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tables/table1.xml" ContentType="application/vnd.openxmlformats-officedocument.spreadsheetml.table+xml"/>
  <Override PartName="/xl/drawings/drawing6.xml" ContentType="application/vnd.openxmlformats-officedocument.drawing+xml"/>
  <Override PartName="/xl/tables/table2.xml" ContentType="application/vnd.openxmlformats-officedocument.spreadsheetml.table+xml"/>
  <Override PartName="/xl/drawings/drawing7.xml" ContentType="application/vnd.openxmlformats-officedocument.drawing+xml"/>
  <Override PartName="/xl/tables/table3.xml" ContentType="application/vnd.openxmlformats-officedocument.spreadsheetml.table+xml"/>
  <Override PartName="/xl/drawings/drawing8.xml" ContentType="application/vnd.openxmlformats-officedocument.drawing+xml"/>
  <Override PartName="/xl/tables/table4.xml" ContentType="application/vnd.openxmlformats-officedocument.spreadsheetml.table+xml"/>
  <Override PartName="/xl/drawings/drawing9.xml" ContentType="application/vnd.openxmlformats-officedocument.drawing+xml"/>
  <Override PartName="/xl/tables/table5.xml" ContentType="application/vnd.openxmlformats-officedocument.spreadsheetml.table+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docs.live.net/8a521bd3ab85f0b3/0-Analise Douglas/Abade/2026/06.Junho/03.06.CN-CONSTRUÇÃO DA NOVA SEDE DA DEFENSORIA PÚBLICA-DEFENSORIA PÚBLICA DO EST DO RIO DE JANEIRO-927919-90001.26 ás 11h/Diligência/"/>
    </mc:Choice>
  </mc:AlternateContent>
  <xr:revisionPtr revIDLastSave="0" documentId="8_{30236A9D-74D8-460B-8F7B-5062180ABADC}" xr6:coauthVersionLast="47" xr6:coauthVersionMax="47" xr10:uidLastSave="{00000000-0000-0000-0000-000000000000}"/>
  <bookViews>
    <workbookView xWindow="-28920" yWindow="-45" windowWidth="29040" windowHeight="15840" firstSheet="3" activeTab="10" xr2:uid="{00000000-000D-0000-FFFF-FFFF00000000}"/>
  </bookViews>
  <sheets>
    <sheet name="PLANILHA ORÇAMENTARIA" sheetId="1" r:id="rId1"/>
    <sheet name="CRONOGRAMA" sheetId="2" r:id="rId2"/>
    <sheet name="PLANILHA RESUMIDA" sheetId="3" r:id="rId3"/>
    <sheet name="RESUMO_DILIG" sheetId="4" r:id="rId4"/>
    <sheet name="ANALITICA_ITENS" sheetId="5" r:id="rId5"/>
    <sheet name="CURVA_ABC" sheetId="6" r:id="rId6"/>
    <sheet name="CPU_UNITARIA" sheetId="7" r:id="rId7"/>
    <sheet name="CPU_DETALHADA_A" sheetId="8" r:id="rId8"/>
    <sheet name="ANEXOS_COMPROVACAO" sheetId="9" state="hidden" r:id="rId9"/>
    <sheet name="COMPROMISSOS" sheetId="10" r:id="rId10"/>
    <sheet name="CPU_ABERTA_FINAL" sheetId="11" r:id="rId11"/>
    <sheet name="VALIDACAO_FINAL" sheetId="12" r:id="rId12"/>
    <sheet name="ANEXOS_SUPORTE_FINAL" sheetId="13" r:id="rId13"/>
    <sheet name="DECL_CUSTOS" sheetId="14" r:id="rId14"/>
    <sheet name="RESUMO_SANEADO" sheetId="15" r:id="rId15"/>
    <sheet name="CHECKLIST_SANEAMENTO" sheetId="16" r:id="rId16"/>
    <sheet name="RESUMO_CORRIGIDO" sheetId="17" r:id="rId17"/>
    <sheet name="CPU_ABERTA_100" sheetId="18" r:id="rId18"/>
    <sheet name="VALIDACAO_100" sheetId="19" r:id="rId19"/>
    <sheet name="OBSERVACOES_ENVIO" sheetId="20" r:id="rId2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15" l="1"/>
  <c r="B6" i="15"/>
  <c r="N646" i="11"/>
  <c r="N645" i="11"/>
  <c r="N644" i="11"/>
  <c r="N643" i="11"/>
  <c r="N647" i="11" s="1"/>
  <c r="N641" i="11"/>
  <c r="N640" i="11"/>
  <c r="N639" i="11"/>
  <c r="N638" i="11"/>
  <c r="N642" i="11" s="1"/>
  <c r="N636" i="11"/>
  <c r="N635" i="11"/>
  <c r="N634" i="11"/>
  <c r="N633" i="11"/>
  <c r="N637" i="11" s="1"/>
  <c r="P637" i="11" s="1"/>
  <c r="N631" i="11"/>
  <c r="N630" i="11"/>
  <c r="N629" i="11"/>
  <c r="N628" i="11"/>
  <c r="N626" i="11"/>
  <c r="N625" i="11"/>
  <c r="N624" i="11"/>
  <c r="N623" i="11"/>
  <c r="N627" i="11" s="1"/>
  <c r="N621" i="11"/>
  <c r="N620" i="11"/>
  <c r="N619" i="11"/>
  <c r="N618" i="11"/>
  <c r="N622" i="11" s="1"/>
  <c r="N616" i="11"/>
  <c r="N615" i="11"/>
  <c r="N614" i="11"/>
  <c r="N613" i="11"/>
  <c r="N611" i="11"/>
  <c r="N610" i="11"/>
  <c r="N609" i="11"/>
  <c r="N608" i="11"/>
  <c r="N606" i="11"/>
  <c r="N605" i="11"/>
  <c r="N604" i="11"/>
  <c r="N603" i="11"/>
  <c r="N607" i="11" s="1"/>
  <c r="N601" i="11"/>
  <c r="N600" i="11"/>
  <c r="N599" i="11"/>
  <c r="N598" i="11"/>
  <c r="N596" i="11"/>
  <c r="N595" i="11"/>
  <c r="N594" i="11"/>
  <c r="N593" i="11"/>
  <c r="N591" i="11"/>
  <c r="N590" i="11"/>
  <c r="N589" i="11"/>
  <c r="N588" i="11"/>
  <c r="N586" i="11"/>
  <c r="N585" i="11"/>
  <c r="N584" i="11"/>
  <c r="N583" i="11"/>
  <c r="N587" i="11" s="1"/>
  <c r="N581" i="11"/>
  <c r="N580" i="11"/>
  <c r="N579" i="11"/>
  <c r="N578" i="11"/>
  <c r="N582" i="11" s="1"/>
  <c r="N576" i="11"/>
  <c r="N575" i="11"/>
  <c r="N574" i="11"/>
  <c r="N573" i="11"/>
  <c r="N577" i="11" s="1"/>
  <c r="P577" i="11" s="1"/>
  <c r="N571" i="11"/>
  <c r="N570" i="11"/>
  <c r="N569" i="11"/>
  <c r="N568" i="11"/>
  <c r="N572" i="11" s="1"/>
  <c r="N566" i="11"/>
  <c r="N565" i="11"/>
  <c r="N564" i="11"/>
  <c r="N563" i="11"/>
  <c r="N567" i="11" s="1"/>
  <c r="N561" i="11"/>
  <c r="N560" i="11"/>
  <c r="N559" i="11"/>
  <c r="N558" i="11"/>
  <c r="N562" i="11" s="1"/>
  <c r="N556" i="11"/>
  <c r="N555" i="11"/>
  <c r="N554" i="11"/>
  <c r="N553" i="11"/>
  <c r="N557" i="11" s="1"/>
  <c r="P557" i="11" s="1"/>
  <c r="N551" i="11"/>
  <c r="N550" i="11"/>
  <c r="N549" i="11"/>
  <c r="N548" i="11"/>
  <c r="N546" i="11"/>
  <c r="N545" i="11"/>
  <c r="N544" i="11"/>
  <c r="N543" i="11"/>
  <c r="N547" i="11" s="1"/>
  <c r="N541" i="11"/>
  <c r="N540" i="11"/>
  <c r="N539" i="11"/>
  <c r="N538" i="11"/>
  <c r="N542" i="11" s="1"/>
  <c r="N536" i="11"/>
  <c r="N535" i="11"/>
  <c r="N534" i="11"/>
  <c r="N533" i="11"/>
  <c r="N531" i="11"/>
  <c r="N530" i="11"/>
  <c r="N529" i="11"/>
  <c r="N528" i="11"/>
  <c r="N526" i="11"/>
  <c r="N525" i="11"/>
  <c r="N524" i="11"/>
  <c r="N523" i="11"/>
  <c r="N527" i="11" s="1"/>
  <c r="N521" i="11"/>
  <c r="N520" i="11"/>
  <c r="N519" i="11"/>
  <c r="N518" i="11"/>
  <c r="N516" i="11"/>
  <c r="N515" i="11"/>
  <c r="N514" i="11"/>
  <c r="N513" i="11"/>
  <c r="N511" i="11"/>
  <c r="N510" i="11"/>
  <c r="N509" i="11"/>
  <c r="N508" i="11"/>
  <c r="N506" i="11"/>
  <c r="N505" i="11"/>
  <c r="N504" i="11"/>
  <c r="N503" i="11"/>
  <c r="N507" i="11" s="1"/>
  <c r="N501" i="11"/>
  <c r="N500" i="11"/>
  <c r="N499" i="11"/>
  <c r="N498" i="11"/>
  <c r="N502" i="11" s="1"/>
  <c r="N496" i="11"/>
  <c r="N495" i="11"/>
  <c r="N494" i="11"/>
  <c r="N493" i="11"/>
  <c r="N497" i="11" s="1"/>
  <c r="P497" i="11" s="1"/>
  <c r="N491" i="11"/>
  <c r="N490" i="11"/>
  <c r="N489" i="11"/>
  <c r="N488" i="11"/>
  <c r="N492" i="11" s="1"/>
  <c r="N486" i="11"/>
  <c r="N485" i="11"/>
  <c r="N484" i="11"/>
  <c r="N483" i="11"/>
  <c r="N487" i="11" s="1"/>
  <c r="N481" i="11"/>
  <c r="N480" i="11"/>
  <c r="N479" i="11"/>
  <c r="N478" i="11"/>
  <c r="N482" i="11" s="1"/>
  <c r="N476" i="11"/>
  <c r="N475" i="11"/>
  <c r="N474" i="11"/>
  <c r="N473" i="11"/>
  <c r="N477" i="11" s="1"/>
  <c r="P477" i="11" s="1"/>
  <c r="N471" i="11"/>
  <c r="N470" i="11"/>
  <c r="N469" i="11"/>
  <c r="N468" i="11"/>
  <c r="N466" i="11"/>
  <c r="N465" i="11"/>
  <c r="N464" i="11"/>
  <c r="N463" i="11"/>
  <c r="N467" i="11" s="1"/>
  <c r="N461" i="11"/>
  <c r="N460" i="11"/>
  <c r="N459" i="11"/>
  <c r="N458" i="11"/>
  <c r="N462" i="11" s="1"/>
  <c r="N456" i="11"/>
  <c r="N455" i="11"/>
  <c r="N454" i="11"/>
  <c r="N453" i="11"/>
  <c r="N451" i="11"/>
  <c r="N450" i="11"/>
  <c r="N449" i="11"/>
  <c r="N448" i="11"/>
  <c r="N446" i="11"/>
  <c r="N445" i="11"/>
  <c r="N444" i="11"/>
  <c r="N443" i="11"/>
  <c r="N447" i="11" s="1"/>
  <c r="N441" i="11"/>
  <c r="N440" i="11"/>
  <c r="N439" i="11"/>
  <c r="N438" i="11"/>
  <c r="N436" i="11"/>
  <c r="N435" i="11"/>
  <c r="N434" i="11"/>
  <c r="N433" i="11"/>
  <c r="N431" i="11"/>
  <c r="N430" i="11"/>
  <c r="N429" i="11"/>
  <c r="N428" i="11"/>
  <c r="N426" i="11"/>
  <c r="N425" i="11"/>
  <c r="N424" i="11"/>
  <c r="N423" i="11"/>
  <c r="N427" i="11" s="1"/>
  <c r="N421" i="11"/>
  <c r="N420" i="11"/>
  <c r="N419" i="11"/>
  <c r="N418" i="11"/>
  <c r="N422" i="11" s="1"/>
  <c r="N416" i="11"/>
  <c r="N415" i="11"/>
  <c r="N414" i="11"/>
  <c r="N413" i="11"/>
  <c r="N417" i="11" s="1"/>
  <c r="P417" i="11" s="1"/>
  <c r="N411" i="11"/>
  <c r="N410" i="11"/>
  <c r="N409" i="11"/>
  <c r="N408" i="11"/>
  <c r="N412" i="11" s="1"/>
  <c r="N406" i="11"/>
  <c r="N405" i="11"/>
  <c r="N404" i="11"/>
  <c r="N403" i="11"/>
  <c r="N407" i="11" s="1"/>
  <c r="N401" i="11"/>
  <c r="N400" i="11"/>
  <c r="N399" i="11"/>
  <c r="N398" i="11"/>
  <c r="N402" i="11" s="1"/>
  <c r="N396" i="11"/>
  <c r="N395" i="11"/>
  <c r="N394" i="11"/>
  <c r="N393" i="11"/>
  <c r="N397" i="11" s="1"/>
  <c r="P397" i="11" s="1"/>
  <c r="N391" i="11"/>
  <c r="N390" i="11"/>
  <c r="N389" i="11"/>
  <c r="N388" i="11"/>
  <c r="N386" i="11"/>
  <c r="N385" i="11"/>
  <c r="N384" i="11"/>
  <c r="N387" i="11" s="1"/>
  <c r="N382" i="11"/>
  <c r="N381" i="11"/>
  <c r="N380" i="11"/>
  <c r="N379" i="11"/>
  <c r="N377" i="11"/>
  <c r="N376" i="11"/>
  <c r="N375" i="11"/>
  <c r="N374" i="11"/>
  <c r="N372" i="11"/>
  <c r="N371" i="11"/>
  <c r="N370" i="11"/>
  <c r="N369" i="11"/>
  <c r="N367" i="11"/>
  <c r="N366" i="11"/>
  <c r="N365" i="11"/>
  <c r="N364" i="11"/>
  <c r="N363" i="11"/>
  <c r="N361" i="11"/>
  <c r="N360" i="11"/>
  <c r="N359" i="11"/>
  <c r="N358" i="11"/>
  <c r="N356" i="11"/>
  <c r="N355" i="11"/>
  <c r="N354" i="11"/>
  <c r="N352" i="11"/>
  <c r="N351" i="11"/>
  <c r="N350" i="11"/>
  <c r="N349" i="11"/>
  <c r="N347" i="11"/>
  <c r="N346" i="11"/>
  <c r="N345" i="11"/>
  <c r="N344" i="11"/>
  <c r="N342" i="11"/>
  <c r="N341" i="11"/>
  <c r="N340" i="11"/>
  <c r="N343" i="11" s="1"/>
  <c r="N338" i="11"/>
  <c r="N337" i="11"/>
  <c r="N336" i="11"/>
  <c r="N335" i="11"/>
  <c r="N333" i="11"/>
  <c r="N332" i="11"/>
  <c r="N331" i="11"/>
  <c r="N330" i="11"/>
  <c r="N328" i="11"/>
  <c r="N327" i="11"/>
  <c r="N326" i="11"/>
  <c r="N325" i="11"/>
  <c r="N323" i="11"/>
  <c r="N322" i="11"/>
  <c r="N321" i="11"/>
  <c r="N324" i="11" s="1"/>
  <c r="N319" i="11"/>
  <c r="N318" i="11"/>
  <c r="N317" i="11"/>
  <c r="N316" i="11"/>
  <c r="N314" i="11"/>
  <c r="N313" i="11"/>
  <c r="N312" i="11"/>
  <c r="N311" i="11"/>
  <c r="N315" i="11" s="1"/>
  <c r="N309" i="11"/>
  <c r="N308" i="11"/>
  <c r="N307" i="11"/>
  <c r="N306" i="11"/>
  <c r="N310" i="11" s="1"/>
  <c r="N304" i="11"/>
  <c r="N303" i="11"/>
  <c r="N302" i="11"/>
  <c r="N301" i="11"/>
  <c r="N299" i="11"/>
  <c r="N298" i="11"/>
  <c r="N297" i="11"/>
  <c r="N296" i="11"/>
  <c r="N294" i="11"/>
  <c r="N293" i="11"/>
  <c r="N292" i="11"/>
  <c r="N291" i="11"/>
  <c r="N295" i="11" s="1"/>
  <c r="N289" i="11"/>
  <c r="N288" i="11"/>
  <c r="N287" i="11"/>
  <c r="N286" i="11"/>
  <c r="N284" i="11"/>
  <c r="N283" i="11"/>
  <c r="N282" i="11"/>
  <c r="N281" i="11"/>
  <c r="N279" i="11"/>
  <c r="N278" i="11"/>
  <c r="N277" i="11"/>
  <c r="N276" i="11"/>
  <c r="N274" i="11"/>
  <c r="N273" i="11"/>
  <c r="N272" i="11"/>
  <c r="N271" i="11"/>
  <c r="N275" i="11" s="1"/>
  <c r="N269" i="11"/>
  <c r="N268" i="11"/>
  <c r="N267" i="11"/>
  <c r="N266" i="11"/>
  <c r="N270" i="11" s="1"/>
  <c r="N264" i="11"/>
  <c r="N263" i="11"/>
  <c r="N262" i="11"/>
  <c r="N261" i="11"/>
  <c r="N265" i="11" s="1"/>
  <c r="P265" i="11" s="1"/>
  <c r="N259" i="11"/>
  <c r="N258" i="11"/>
  <c r="N257" i="11"/>
  <c r="N256" i="11"/>
  <c r="N260" i="11" s="1"/>
  <c r="N254" i="11"/>
  <c r="N253" i="11"/>
  <c r="N252" i="11"/>
  <c r="N251" i="11"/>
  <c r="N255" i="11" s="1"/>
  <c r="N249" i="11"/>
  <c r="N248" i="11"/>
  <c r="N247" i="11"/>
  <c r="N250" i="11" s="1"/>
  <c r="P250" i="11" s="1"/>
  <c r="N245" i="11"/>
  <c r="N244" i="11"/>
  <c r="N243" i="11"/>
  <c r="N242" i="11"/>
  <c r="N246" i="11" s="1"/>
  <c r="N240" i="11"/>
  <c r="N239" i="11"/>
  <c r="N238" i="11"/>
  <c r="N237" i="11"/>
  <c r="N241" i="11" s="1"/>
  <c r="P241" i="11" s="1"/>
  <c r="N235" i="11"/>
  <c r="N234" i="11"/>
  <c r="N233" i="11"/>
  <c r="N232" i="11"/>
  <c r="N230" i="11"/>
  <c r="N229" i="11"/>
  <c r="N228" i="11"/>
  <c r="N227" i="11"/>
  <c r="N231" i="11" s="1"/>
  <c r="N225" i="11"/>
  <c r="N224" i="11"/>
  <c r="N223" i="11"/>
  <c r="N222" i="11"/>
  <c r="N226" i="11" s="1"/>
  <c r="N220" i="11"/>
  <c r="N219" i="11"/>
  <c r="N218" i="11"/>
  <c r="N217" i="11"/>
  <c r="N215" i="11"/>
  <c r="N214" i="11"/>
  <c r="N213" i="11"/>
  <c r="N212" i="11"/>
  <c r="N210" i="11"/>
  <c r="N209" i="11"/>
  <c r="N208" i="11"/>
  <c r="N207" i="11"/>
  <c r="N211" i="11" s="1"/>
  <c r="N205" i="11"/>
  <c r="N204" i="11"/>
  <c r="N203" i="11"/>
  <c r="N201" i="11"/>
  <c r="N200" i="11"/>
  <c r="N199" i="11"/>
  <c r="N198" i="11"/>
  <c r="N196" i="11"/>
  <c r="N195" i="11"/>
  <c r="N194" i="11"/>
  <c r="N193" i="11"/>
  <c r="N191" i="11"/>
  <c r="N190" i="11"/>
  <c r="N189" i="11"/>
  <c r="N188" i="11"/>
  <c r="N186" i="11"/>
  <c r="N185" i="11"/>
  <c r="N184" i="11"/>
  <c r="N183" i="11"/>
  <c r="N181" i="11"/>
  <c r="N180" i="11"/>
  <c r="N179" i="11"/>
  <c r="N178" i="11"/>
  <c r="N176" i="11"/>
  <c r="N175" i="11"/>
  <c r="N174" i="11"/>
  <c r="N173" i="11"/>
  <c r="N171" i="11"/>
  <c r="N170" i="11"/>
  <c r="N169" i="11"/>
  <c r="N168" i="11"/>
  <c r="N166" i="11"/>
  <c r="N165" i="11"/>
  <c r="N164" i="11"/>
  <c r="N163" i="11"/>
  <c r="N161" i="11"/>
  <c r="N160" i="11"/>
  <c r="N159" i="11"/>
  <c r="N158" i="11"/>
  <c r="N157" i="11"/>
  <c r="N162" i="11" s="1"/>
  <c r="N155" i="11"/>
  <c r="N154" i="11"/>
  <c r="N153" i="11"/>
  <c r="N152" i="11"/>
  <c r="N150" i="11"/>
  <c r="N149" i="11"/>
  <c r="N148" i="11"/>
  <c r="N147" i="11"/>
  <c r="N151" i="11" s="1"/>
  <c r="N145" i="11"/>
  <c r="N144" i="11"/>
  <c r="N143" i="11"/>
  <c r="N142" i="11"/>
  <c r="N146" i="11" s="1"/>
  <c r="N140" i="11"/>
  <c r="N139" i="11"/>
  <c r="N138" i="11"/>
  <c r="N137" i="11"/>
  <c r="N135" i="11"/>
  <c r="N134" i="11"/>
  <c r="N133" i="11"/>
  <c r="N131" i="11"/>
  <c r="N130" i="11"/>
  <c r="N129" i="11"/>
  <c r="N128" i="11"/>
  <c r="N126" i="11"/>
  <c r="N125" i="11"/>
  <c r="N124" i="11"/>
  <c r="N123" i="11"/>
  <c r="N121" i="11"/>
  <c r="N120" i="11"/>
  <c r="N119" i="11"/>
  <c r="N118" i="11"/>
  <c r="N116" i="11"/>
  <c r="N115" i="11"/>
  <c r="N114" i="11"/>
  <c r="N113" i="11"/>
  <c r="N111" i="11"/>
  <c r="N110" i="11"/>
  <c r="N109" i="11"/>
  <c r="N107" i="11"/>
  <c r="N106" i="11"/>
  <c r="N105" i="11"/>
  <c r="N104" i="11"/>
  <c r="N102" i="11"/>
  <c r="N101" i="11"/>
  <c r="N100" i="11"/>
  <c r="N99" i="11"/>
  <c r="N97" i="11"/>
  <c r="N96" i="11"/>
  <c r="N95" i="11"/>
  <c r="N94" i="11"/>
  <c r="N92" i="11"/>
  <c r="N91" i="11"/>
  <c r="N90" i="11"/>
  <c r="N89" i="11"/>
  <c r="N87" i="11"/>
  <c r="N86" i="11"/>
  <c r="N85" i="11"/>
  <c r="N83" i="11"/>
  <c r="N82" i="11"/>
  <c r="N81" i="11"/>
  <c r="N80" i="11"/>
  <c r="N78" i="11"/>
  <c r="N77" i="11"/>
  <c r="N76" i="11"/>
  <c r="N74" i="11"/>
  <c r="N73" i="11"/>
  <c r="N72" i="11"/>
  <c r="N71" i="11"/>
  <c r="N69" i="11"/>
  <c r="N68" i="11"/>
  <c r="N67" i="11"/>
  <c r="N66" i="11"/>
  <c r="N64" i="11"/>
  <c r="N63" i="11"/>
  <c r="N62" i="11"/>
  <c r="N61" i="11"/>
  <c r="N59" i="11"/>
  <c r="N58" i="11"/>
  <c r="N57" i="11"/>
  <c r="N56" i="11"/>
  <c r="N54" i="11"/>
  <c r="N53" i="11"/>
  <c r="N52" i="11"/>
  <c r="N50" i="11"/>
  <c r="N49" i="11"/>
  <c r="N48" i="11"/>
  <c r="N47" i="11"/>
  <c r="N45" i="11"/>
  <c r="N44" i="11"/>
  <c r="N43" i="11"/>
  <c r="N42" i="11"/>
  <c r="N46" i="11" s="1"/>
  <c r="N40" i="11"/>
  <c r="N39" i="11"/>
  <c r="N38" i="11"/>
  <c r="N37" i="11"/>
  <c r="N41" i="11" s="1"/>
  <c r="N35" i="11"/>
  <c r="N34" i="11"/>
  <c r="N33" i="11"/>
  <c r="N32" i="11"/>
  <c r="N36" i="11" s="1"/>
  <c r="P36" i="11" s="1"/>
  <c r="N30" i="11"/>
  <c r="N31" i="11" s="1"/>
  <c r="N29" i="11"/>
  <c r="N28" i="11"/>
  <c r="N26" i="11"/>
  <c r="N27" i="11" s="1"/>
  <c r="N25" i="11"/>
  <c r="N24" i="11"/>
  <c r="N22" i="11"/>
  <c r="N21" i="11"/>
  <c r="N20" i="11"/>
  <c r="N19" i="11"/>
  <c r="N17" i="11"/>
  <c r="N16" i="11"/>
  <c r="N15" i="11"/>
  <c r="N14" i="11"/>
  <c r="N12" i="11"/>
  <c r="N11" i="11"/>
  <c r="N10" i="11"/>
  <c r="N9" i="11"/>
  <c r="N7" i="11"/>
  <c r="N6" i="11"/>
  <c r="N5" i="11"/>
  <c r="N4" i="11"/>
  <c r="N3" i="11"/>
  <c r="H33" i="10"/>
  <c r="H32" i="10"/>
  <c r="H31" i="10"/>
  <c r="H30" i="10"/>
  <c r="H29" i="10"/>
  <c r="H28" i="10"/>
  <c r="H27" i="10"/>
  <c r="H26" i="10"/>
  <c r="H25" i="10"/>
  <c r="H24" i="10"/>
  <c r="H23" i="10"/>
  <c r="H22" i="10"/>
  <c r="H21" i="10"/>
  <c r="H20" i="10"/>
  <c r="H19" i="10"/>
  <c r="H18" i="10"/>
  <c r="H17" i="10"/>
  <c r="H16" i="10"/>
  <c r="H15" i="10"/>
  <c r="H14" i="10"/>
  <c r="H13" i="10"/>
  <c r="H12" i="10"/>
  <c r="H11" i="10"/>
  <c r="H10" i="10"/>
  <c r="H9" i="10"/>
  <c r="H8" i="10"/>
  <c r="H7" i="10"/>
  <c r="H6" i="10"/>
  <c r="H5" i="10"/>
  <c r="H4" i="10"/>
  <c r="Q507" i="8"/>
  <c r="O507" i="8"/>
  <c r="O508" i="8" s="1"/>
  <c r="M507" i="8"/>
  <c r="Q503" i="8"/>
  <c r="O503" i="8"/>
  <c r="O504" i="8" s="1"/>
  <c r="M503" i="8"/>
  <c r="Q499" i="8"/>
  <c r="O499" i="8"/>
  <c r="O500" i="8" s="1"/>
  <c r="M499" i="8"/>
  <c r="Q495" i="8"/>
  <c r="O495" i="8"/>
  <c r="O496" i="8" s="1"/>
  <c r="M495" i="8"/>
  <c r="Q491" i="8"/>
  <c r="O491" i="8"/>
  <c r="O492" i="8" s="1"/>
  <c r="M491" i="8"/>
  <c r="Q487" i="8"/>
  <c r="O487" i="8"/>
  <c r="O488" i="8" s="1"/>
  <c r="M487" i="8"/>
  <c r="Q483" i="8"/>
  <c r="O483" i="8"/>
  <c r="O484" i="8" s="1"/>
  <c r="M483" i="8"/>
  <c r="Q479" i="8"/>
  <c r="O479" i="8"/>
  <c r="O480" i="8" s="1"/>
  <c r="M479" i="8"/>
  <c r="Q475" i="8"/>
  <c r="O475" i="8"/>
  <c r="O476" i="8" s="1"/>
  <c r="M475" i="8"/>
  <c r="Q471" i="8"/>
  <c r="O471" i="8"/>
  <c r="O472" i="8" s="1"/>
  <c r="M471" i="8"/>
  <c r="Q467" i="8"/>
  <c r="O467" i="8"/>
  <c r="O468" i="8" s="1"/>
  <c r="M467" i="8"/>
  <c r="Q463" i="8"/>
  <c r="O463" i="8"/>
  <c r="O464" i="8" s="1"/>
  <c r="M463" i="8"/>
  <c r="Q459" i="8"/>
  <c r="O459" i="8"/>
  <c r="O460" i="8" s="1"/>
  <c r="M459" i="8"/>
  <c r="Q455" i="8"/>
  <c r="O455" i="8"/>
  <c r="O456" i="8" s="1"/>
  <c r="M455" i="8"/>
  <c r="Q451" i="8"/>
  <c r="O451" i="8"/>
  <c r="O452" i="8" s="1"/>
  <c r="M451" i="8"/>
  <c r="Q447" i="8"/>
  <c r="O447" i="8"/>
  <c r="O448" i="8" s="1"/>
  <c r="M447" i="8"/>
  <c r="Q443" i="8"/>
  <c r="O443" i="8"/>
  <c r="O444" i="8" s="1"/>
  <c r="M443" i="8"/>
  <c r="Q439" i="8"/>
  <c r="O439" i="8"/>
  <c r="O440" i="8" s="1"/>
  <c r="M439" i="8"/>
  <c r="Q435" i="8"/>
  <c r="O435" i="8"/>
  <c r="O436" i="8" s="1"/>
  <c r="M435" i="8"/>
  <c r="Q431" i="8"/>
  <c r="O431" i="8"/>
  <c r="O432" i="8" s="1"/>
  <c r="M431" i="8"/>
  <c r="Q427" i="8"/>
  <c r="O427" i="8"/>
  <c r="O428" i="8" s="1"/>
  <c r="M427" i="8"/>
  <c r="Q423" i="8"/>
  <c r="O423" i="8"/>
  <c r="O424" i="8" s="1"/>
  <c r="M423" i="8"/>
  <c r="Q419" i="8"/>
  <c r="O419" i="8"/>
  <c r="O420" i="8" s="1"/>
  <c r="M419" i="8"/>
  <c r="Q415" i="8"/>
  <c r="O415" i="8"/>
  <c r="O416" i="8" s="1"/>
  <c r="M415" i="8"/>
  <c r="Q411" i="8"/>
  <c r="O411" i="8"/>
  <c r="O412" i="8" s="1"/>
  <c r="M411" i="8"/>
  <c r="Q407" i="8"/>
  <c r="O407" i="8"/>
  <c r="O408" i="8" s="1"/>
  <c r="M407" i="8"/>
  <c r="Q403" i="8"/>
  <c r="O403" i="8"/>
  <c r="O404" i="8" s="1"/>
  <c r="M403" i="8"/>
  <c r="Q399" i="8"/>
  <c r="O399" i="8"/>
  <c r="O400" i="8" s="1"/>
  <c r="M399" i="8"/>
  <c r="Q395" i="8"/>
  <c r="O395" i="8"/>
  <c r="O396" i="8" s="1"/>
  <c r="M395" i="8"/>
  <c r="Q391" i="8"/>
  <c r="O391" i="8"/>
  <c r="O392" i="8" s="1"/>
  <c r="M391" i="8"/>
  <c r="Q387" i="8"/>
  <c r="O387" i="8"/>
  <c r="O388" i="8" s="1"/>
  <c r="M387" i="8"/>
  <c r="Q383" i="8"/>
  <c r="O383" i="8"/>
  <c r="O384" i="8" s="1"/>
  <c r="M383" i="8"/>
  <c r="Q379" i="8"/>
  <c r="O379" i="8"/>
  <c r="O380" i="8" s="1"/>
  <c r="M379" i="8"/>
  <c r="Q375" i="8"/>
  <c r="O375" i="8"/>
  <c r="O376" i="8" s="1"/>
  <c r="M375" i="8"/>
  <c r="Q371" i="8"/>
  <c r="O371" i="8"/>
  <c r="O372" i="8" s="1"/>
  <c r="M371" i="8"/>
  <c r="Q367" i="8"/>
  <c r="O367" i="8"/>
  <c r="O368" i="8" s="1"/>
  <c r="M367" i="8"/>
  <c r="Q363" i="8"/>
  <c r="O363" i="8"/>
  <c r="O364" i="8" s="1"/>
  <c r="M363" i="8"/>
  <c r="Q359" i="8"/>
  <c r="O359" i="8"/>
  <c r="O360" i="8" s="1"/>
  <c r="M359" i="8"/>
  <c r="Q355" i="8"/>
  <c r="O355" i="8"/>
  <c r="O356" i="8" s="1"/>
  <c r="M355" i="8"/>
  <c r="Q351" i="8"/>
  <c r="O351" i="8"/>
  <c r="O352" i="8" s="1"/>
  <c r="M351" i="8"/>
  <c r="Q347" i="8"/>
  <c r="O347" i="8"/>
  <c r="O348" i="8" s="1"/>
  <c r="M347" i="8"/>
  <c r="Q343" i="8"/>
  <c r="O343" i="8"/>
  <c r="O344" i="8" s="1"/>
  <c r="M343" i="8"/>
  <c r="Q339" i="8"/>
  <c r="O339" i="8"/>
  <c r="O340" i="8" s="1"/>
  <c r="M339" i="8"/>
  <c r="Q335" i="8"/>
  <c r="O335" i="8"/>
  <c r="O336" i="8" s="1"/>
  <c r="M335" i="8"/>
  <c r="Q331" i="8"/>
  <c r="O331" i="8"/>
  <c r="O332" i="8" s="1"/>
  <c r="M331" i="8"/>
  <c r="Q327" i="8"/>
  <c r="O327" i="8"/>
  <c r="O328" i="8" s="1"/>
  <c r="M327" i="8"/>
  <c r="Q323" i="8"/>
  <c r="O323" i="8"/>
  <c r="O324" i="8" s="1"/>
  <c r="M323" i="8"/>
  <c r="Q319" i="8"/>
  <c r="O319" i="8"/>
  <c r="O320" i="8" s="1"/>
  <c r="M319" i="8"/>
  <c r="Q315" i="8"/>
  <c r="O315" i="8"/>
  <c r="O316" i="8" s="1"/>
  <c r="M315" i="8"/>
  <c r="Q311" i="8"/>
  <c r="O311" i="8"/>
  <c r="O312" i="8" s="1"/>
  <c r="M311" i="8"/>
  <c r="Q307" i="8"/>
  <c r="O307" i="8"/>
  <c r="O308" i="8" s="1"/>
  <c r="M307" i="8"/>
  <c r="Q303" i="8"/>
  <c r="O303" i="8"/>
  <c r="O304" i="8" s="1"/>
  <c r="M303" i="8"/>
  <c r="Q299" i="8"/>
  <c r="O299" i="8"/>
  <c r="O300" i="8" s="1"/>
  <c r="M299" i="8"/>
  <c r="Q295" i="8"/>
  <c r="O295" i="8"/>
  <c r="O296" i="8" s="1"/>
  <c r="M295" i="8"/>
  <c r="Q291" i="8"/>
  <c r="O291" i="8"/>
  <c r="O292" i="8" s="1"/>
  <c r="M291" i="8"/>
  <c r="Q287" i="8"/>
  <c r="O287" i="8"/>
  <c r="O288" i="8" s="1"/>
  <c r="M287" i="8"/>
  <c r="Q283" i="8"/>
  <c r="O283" i="8"/>
  <c r="O284" i="8" s="1"/>
  <c r="M283" i="8"/>
  <c r="Q279" i="8"/>
  <c r="O279" i="8"/>
  <c r="O280" i="8" s="1"/>
  <c r="M279" i="8"/>
  <c r="Q275" i="8"/>
  <c r="O275" i="8"/>
  <c r="O276" i="8" s="1"/>
  <c r="M275" i="8"/>
  <c r="Q271" i="8"/>
  <c r="O271" i="8"/>
  <c r="O272" i="8" s="1"/>
  <c r="M271" i="8"/>
  <c r="Q267" i="8"/>
  <c r="O267" i="8"/>
  <c r="O268" i="8" s="1"/>
  <c r="M267" i="8"/>
  <c r="Q263" i="8"/>
  <c r="O263" i="8"/>
  <c r="O264" i="8" s="1"/>
  <c r="M263" i="8"/>
  <c r="Q259" i="8"/>
  <c r="O259" i="8"/>
  <c r="O260" i="8" s="1"/>
  <c r="M259" i="8"/>
  <c r="Q255" i="8"/>
  <c r="O255" i="8"/>
  <c r="O256" i="8" s="1"/>
  <c r="M255" i="8"/>
  <c r="Q251" i="8"/>
  <c r="O251" i="8"/>
  <c r="O252" i="8" s="1"/>
  <c r="M251" i="8"/>
  <c r="Q247" i="8"/>
  <c r="O247" i="8"/>
  <c r="O248" i="8" s="1"/>
  <c r="M247" i="8"/>
  <c r="Q243" i="8"/>
  <c r="O243" i="8"/>
  <c r="O244" i="8" s="1"/>
  <c r="M243" i="8"/>
  <c r="Q239" i="8"/>
  <c r="O239" i="8"/>
  <c r="O240" i="8" s="1"/>
  <c r="M239" i="8"/>
  <c r="Q235" i="8"/>
  <c r="O235" i="8"/>
  <c r="O236" i="8" s="1"/>
  <c r="M235" i="8"/>
  <c r="Q231" i="8"/>
  <c r="O231" i="8"/>
  <c r="O232" i="8" s="1"/>
  <c r="M231" i="8"/>
  <c r="Q227" i="8"/>
  <c r="O227" i="8"/>
  <c r="O228" i="8" s="1"/>
  <c r="M227" i="8"/>
  <c r="Q223" i="8"/>
  <c r="O223" i="8"/>
  <c r="O224" i="8" s="1"/>
  <c r="M223" i="8"/>
  <c r="Q219" i="8"/>
  <c r="M219" i="8"/>
  <c r="O219" i="8" s="1"/>
  <c r="O220" i="8" s="1"/>
  <c r="Q215" i="8"/>
  <c r="O215" i="8"/>
  <c r="O216" i="8" s="1"/>
  <c r="M215" i="8"/>
  <c r="Q211" i="8"/>
  <c r="M211" i="8"/>
  <c r="O211" i="8" s="1"/>
  <c r="O212" i="8" s="1"/>
  <c r="Q207" i="8"/>
  <c r="M207" i="8"/>
  <c r="O207" i="8" s="1"/>
  <c r="O208" i="8" s="1"/>
  <c r="Q203" i="8"/>
  <c r="M203" i="8"/>
  <c r="O203" i="8" s="1"/>
  <c r="O204" i="8" s="1"/>
  <c r="Q199" i="8"/>
  <c r="O199" i="8"/>
  <c r="O200" i="8" s="1"/>
  <c r="M199" i="8"/>
  <c r="Q195" i="8"/>
  <c r="M195" i="8"/>
  <c r="O195" i="8" s="1"/>
  <c r="O196" i="8" s="1"/>
  <c r="Q191" i="8"/>
  <c r="M191" i="8"/>
  <c r="O191" i="8" s="1"/>
  <c r="O192" i="8" s="1"/>
  <c r="Q187" i="8"/>
  <c r="M187" i="8"/>
  <c r="O187" i="8" s="1"/>
  <c r="O188" i="8" s="1"/>
  <c r="Q183" i="8"/>
  <c r="O183" i="8"/>
  <c r="O184" i="8" s="1"/>
  <c r="M183" i="8"/>
  <c r="Q179" i="8"/>
  <c r="M179" i="8"/>
  <c r="O179" i="8" s="1"/>
  <c r="O180" i="8" s="1"/>
  <c r="Q175" i="8"/>
  <c r="M175" i="8"/>
  <c r="O175" i="8" s="1"/>
  <c r="O176" i="8" s="1"/>
  <c r="Q171" i="8"/>
  <c r="M171" i="8"/>
  <c r="O171" i="8" s="1"/>
  <c r="O172" i="8" s="1"/>
  <c r="Q167" i="8"/>
  <c r="O167" i="8"/>
  <c r="O168" i="8" s="1"/>
  <c r="M167" i="8"/>
  <c r="Q163" i="8"/>
  <c r="M163" i="8"/>
  <c r="O163" i="8" s="1"/>
  <c r="O164" i="8" s="1"/>
  <c r="Q159" i="8"/>
  <c r="M159" i="8"/>
  <c r="O159" i="8" s="1"/>
  <c r="O160" i="8" s="1"/>
  <c r="Q155" i="8"/>
  <c r="M155" i="8"/>
  <c r="O155" i="8" s="1"/>
  <c r="O156" i="8" s="1"/>
  <c r="Q151" i="8"/>
  <c r="M151" i="8"/>
  <c r="O151" i="8" s="1"/>
  <c r="O152" i="8" s="1"/>
  <c r="Q147" i="8"/>
  <c r="M147" i="8"/>
  <c r="O147" i="8" s="1"/>
  <c r="O148" i="8" s="1"/>
  <c r="Q143" i="8"/>
  <c r="M143" i="8"/>
  <c r="O143" i="8" s="1"/>
  <c r="O144" i="8" s="1"/>
  <c r="Q139" i="8"/>
  <c r="M139" i="8"/>
  <c r="O139" i="8" s="1"/>
  <c r="O140" i="8" s="1"/>
  <c r="Q135" i="8"/>
  <c r="M135" i="8"/>
  <c r="O135" i="8" s="1"/>
  <c r="O136" i="8" s="1"/>
  <c r="Q131" i="8"/>
  <c r="M131" i="8"/>
  <c r="O131" i="8" s="1"/>
  <c r="O132" i="8" s="1"/>
  <c r="Q127" i="8"/>
  <c r="M127" i="8"/>
  <c r="O127" i="8" s="1"/>
  <c r="O128" i="8" s="1"/>
  <c r="Q123" i="8"/>
  <c r="M123" i="8"/>
  <c r="O123" i="8" s="1"/>
  <c r="O124" i="8" s="1"/>
  <c r="Q119" i="8"/>
  <c r="M119" i="8"/>
  <c r="O119" i="8" s="1"/>
  <c r="O120" i="8" s="1"/>
  <c r="Q115" i="8"/>
  <c r="M115" i="8"/>
  <c r="O115" i="8" s="1"/>
  <c r="O116" i="8" s="1"/>
  <c r="Q111" i="8"/>
  <c r="M111" i="8"/>
  <c r="O111" i="8" s="1"/>
  <c r="O112" i="8" s="1"/>
  <c r="Q107" i="8"/>
  <c r="M107" i="8"/>
  <c r="O107" i="8" s="1"/>
  <c r="O108" i="8" s="1"/>
  <c r="Q103" i="8"/>
  <c r="M103" i="8"/>
  <c r="O103" i="8" s="1"/>
  <c r="O104" i="8" s="1"/>
  <c r="Q99" i="8"/>
  <c r="M99" i="8"/>
  <c r="O99" i="8" s="1"/>
  <c r="O100" i="8" s="1"/>
  <c r="Q95" i="8"/>
  <c r="M95" i="8"/>
  <c r="O95" i="8" s="1"/>
  <c r="O96" i="8" s="1"/>
  <c r="Q91" i="8"/>
  <c r="M91" i="8"/>
  <c r="O91" i="8" s="1"/>
  <c r="O92" i="8" s="1"/>
  <c r="Q87" i="8"/>
  <c r="M87" i="8"/>
  <c r="O87" i="8" s="1"/>
  <c r="O88" i="8" s="1"/>
  <c r="Q83" i="8"/>
  <c r="M83" i="8"/>
  <c r="O83" i="8" s="1"/>
  <c r="O84" i="8" s="1"/>
  <c r="Q79" i="8"/>
  <c r="M79" i="8"/>
  <c r="O79" i="8" s="1"/>
  <c r="O80" i="8" s="1"/>
  <c r="Q75" i="8"/>
  <c r="M75" i="8"/>
  <c r="O75" i="8" s="1"/>
  <c r="O76" i="8" s="1"/>
  <c r="Q71" i="8"/>
  <c r="M71" i="8"/>
  <c r="O71" i="8" s="1"/>
  <c r="O72" i="8" s="1"/>
  <c r="Q67" i="8"/>
  <c r="M67" i="8"/>
  <c r="O67" i="8" s="1"/>
  <c r="O68" i="8" s="1"/>
  <c r="Q63" i="8"/>
  <c r="M63" i="8"/>
  <c r="O63" i="8" s="1"/>
  <c r="O64" i="8" s="1"/>
  <c r="Q59" i="8"/>
  <c r="M59" i="8"/>
  <c r="O59" i="8" s="1"/>
  <c r="O60" i="8" s="1"/>
  <c r="Q55" i="8"/>
  <c r="M55" i="8"/>
  <c r="O55" i="8" s="1"/>
  <c r="O56" i="8" s="1"/>
  <c r="Q51" i="8"/>
  <c r="M51" i="8"/>
  <c r="O51" i="8" s="1"/>
  <c r="O52" i="8" s="1"/>
  <c r="Q47" i="8"/>
  <c r="M47" i="8"/>
  <c r="O47" i="8" s="1"/>
  <c r="O48" i="8" s="1"/>
  <c r="Q43" i="8"/>
  <c r="M43" i="8"/>
  <c r="O43" i="8" s="1"/>
  <c r="O44" i="8" s="1"/>
  <c r="Q39" i="8"/>
  <c r="M39" i="8"/>
  <c r="O39" i="8" s="1"/>
  <c r="O40" i="8" s="1"/>
  <c r="Q35" i="8"/>
  <c r="M35" i="8"/>
  <c r="O35" i="8" s="1"/>
  <c r="O36" i="8" s="1"/>
  <c r="Q31" i="8"/>
  <c r="M31" i="8"/>
  <c r="O31" i="8" s="1"/>
  <c r="O32" i="8" s="1"/>
  <c r="Q27" i="8"/>
  <c r="M27" i="8"/>
  <c r="O27" i="8" s="1"/>
  <c r="O28" i="8" s="1"/>
  <c r="Q23" i="8"/>
  <c r="M23" i="8"/>
  <c r="O23" i="8" s="1"/>
  <c r="O24" i="8" s="1"/>
  <c r="Q19" i="8"/>
  <c r="M19" i="8"/>
  <c r="O19" i="8" s="1"/>
  <c r="O20" i="8" s="1"/>
  <c r="Q15" i="8"/>
  <c r="M15" i="8"/>
  <c r="O15" i="8" s="1"/>
  <c r="O16" i="8" s="1"/>
  <c r="Q11" i="8"/>
  <c r="M11" i="8"/>
  <c r="O11" i="8" s="1"/>
  <c r="O12" i="8" s="1"/>
  <c r="Q7" i="8"/>
  <c r="M7" i="8"/>
  <c r="O7" i="8" s="1"/>
  <c r="O8" i="8" s="1"/>
  <c r="Q3" i="8"/>
  <c r="M3" i="8"/>
  <c r="O3" i="8" s="1"/>
  <c r="O4" i="8" s="1"/>
  <c r="S621" i="7"/>
  <c r="O621" i="7"/>
  <c r="P621" i="7" s="1"/>
  <c r="M621" i="7"/>
  <c r="U621" i="7" s="1"/>
  <c r="L621" i="7"/>
  <c r="J621" i="7"/>
  <c r="P620" i="7"/>
  <c r="O620" i="7"/>
  <c r="M620" i="7"/>
  <c r="S620" i="7" s="1"/>
  <c r="L620" i="7"/>
  <c r="J620" i="7"/>
  <c r="S619" i="7"/>
  <c r="O619" i="7"/>
  <c r="P619" i="7" s="1"/>
  <c r="M619" i="7"/>
  <c r="U619" i="7" s="1"/>
  <c r="L619" i="7"/>
  <c r="J619" i="7"/>
  <c r="U618" i="7"/>
  <c r="P618" i="7"/>
  <c r="O618" i="7"/>
  <c r="M618" i="7"/>
  <c r="S618" i="7" s="1"/>
  <c r="L618" i="7"/>
  <c r="J618" i="7"/>
  <c r="S617" i="7"/>
  <c r="O617" i="7"/>
  <c r="P617" i="7" s="1"/>
  <c r="M617" i="7"/>
  <c r="U617" i="7" s="1"/>
  <c r="L617" i="7"/>
  <c r="J617" i="7"/>
  <c r="P616" i="7"/>
  <c r="O616" i="7"/>
  <c r="M616" i="7"/>
  <c r="L616" i="7"/>
  <c r="J616" i="7"/>
  <c r="S615" i="7"/>
  <c r="O615" i="7"/>
  <c r="P615" i="7" s="1"/>
  <c r="M615" i="7"/>
  <c r="U615" i="7" s="1"/>
  <c r="L615" i="7"/>
  <c r="J615" i="7"/>
  <c r="U614" i="7"/>
  <c r="P614" i="7"/>
  <c r="O614" i="7"/>
  <c r="M614" i="7"/>
  <c r="S614" i="7" s="1"/>
  <c r="L614" i="7"/>
  <c r="J614" i="7"/>
  <c r="S613" i="7"/>
  <c r="O613" i="7"/>
  <c r="P613" i="7" s="1"/>
  <c r="M613" i="7"/>
  <c r="U613" i="7" s="1"/>
  <c r="L613" i="7"/>
  <c r="J613" i="7"/>
  <c r="P612" i="7"/>
  <c r="O612" i="7"/>
  <c r="M612" i="7"/>
  <c r="S612" i="7" s="1"/>
  <c r="L612" i="7"/>
  <c r="J612" i="7"/>
  <c r="S611" i="7"/>
  <c r="O611" i="7"/>
  <c r="P611" i="7" s="1"/>
  <c r="M611" i="7"/>
  <c r="U611" i="7" s="1"/>
  <c r="L611" i="7"/>
  <c r="J611" i="7"/>
  <c r="U610" i="7"/>
  <c r="P610" i="7"/>
  <c r="O610" i="7"/>
  <c r="M610" i="7"/>
  <c r="S610" i="7" s="1"/>
  <c r="L610" i="7"/>
  <c r="J610" i="7"/>
  <c r="S609" i="7"/>
  <c r="O609" i="7"/>
  <c r="P609" i="7" s="1"/>
  <c r="M609" i="7"/>
  <c r="U609" i="7" s="1"/>
  <c r="L609" i="7"/>
  <c r="J609" i="7"/>
  <c r="P608" i="7"/>
  <c r="O608" i="7"/>
  <c r="M608" i="7"/>
  <c r="L608" i="7"/>
  <c r="J608" i="7"/>
  <c r="S607" i="7"/>
  <c r="O607" i="7"/>
  <c r="P607" i="7" s="1"/>
  <c r="M607" i="7"/>
  <c r="U607" i="7" s="1"/>
  <c r="L607" i="7"/>
  <c r="J607" i="7"/>
  <c r="U606" i="7"/>
  <c r="P606" i="7"/>
  <c r="O606" i="7"/>
  <c r="M606" i="7"/>
  <c r="S606" i="7" s="1"/>
  <c r="L606" i="7"/>
  <c r="J606" i="7"/>
  <c r="S605" i="7"/>
  <c r="O605" i="7"/>
  <c r="P605" i="7" s="1"/>
  <c r="M605" i="7"/>
  <c r="U605" i="7" s="1"/>
  <c r="L605" i="7"/>
  <c r="J605" i="7"/>
  <c r="P604" i="7"/>
  <c r="O604" i="7"/>
  <c r="M604" i="7"/>
  <c r="S604" i="7" s="1"/>
  <c r="L604" i="7"/>
  <c r="J604" i="7"/>
  <c r="S603" i="7"/>
  <c r="O603" i="7"/>
  <c r="P603" i="7" s="1"/>
  <c r="M603" i="7"/>
  <c r="U603" i="7" s="1"/>
  <c r="L603" i="7"/>
  <c r="J603" i="7"/>
  <c r="U602" i="7"/>
  <c r="P602" i="7"/>
  <c r="O602" i="7"/>
  <c r="M602" i="7"/>
  <c r="S602" i="7" s="1"/>
  <c r="L602" i="7"/>
  <c r="J602" i="7"/>
  <c r="S601" i="7"/>
  <c r="O601" i="7"/>
  <c r="P601" i="7" s="1"/>
  <c r="M601" i="7"/>
  <c r="U601" i="7" s="1"/>
  <c r="L601" i="7"/>
  <c r="J601" i="7"/>
  <c r="P600" i="7"/>
  <c r="O600" i="7"/>
  <c r="M600" i="7"/>
  <c r="L600" i="7"/>
  <c r="J600" i="7"/>
  <c r="S599" i="7"/>
  <c r="O599" i="7"/>
  <c r="P599" i="7" s="1"/>
  <c r="M599" i="7"/>
  <c r="U599" i="7" s="1"/>
  <c r="L599" i="7"/>
  <c r="J599" i="7"/>
  <c r="U598" i="7"/>
  <c r="P598" i="7"/>
  <c r="O598" i="7"/>
  <c r="M598" i="7"/>
  <c r="S598" i="7" s="1"/>
  <c r="L598" i="7"/>
  <c r="J598" i="7"/>
  <c r="S597" i="7"/>
  <c r="O597" i="7"/>
  <c r="P597" i="7" s="1"/>
  <c r="M597" i="7"/>
  <c r="U597" i="7" s="1"/>
  <c r="L597" i="7"/>
  <c r="J597" i="7"/>
  <c r="P596" i="7"/>
  <c r="O596" i="7"/>
  <c r="M596" i="7"/>
  <c r="S596" i="7" s="1"/>
  <c r="L596" i="7"/>
  <c r="J596" i="7"/>
  <c r="S595" i="7"/>
  <c r="O595" i="7"/>
  <c r="P595" i="7" s="1"/>
  <c r="M595" i="7"/>
  <c r="U595" i="7" s="1"/>
  <c r="L595" i="7"/>
  <c r="J595" i="7"/>
  <c r="U594" i="7"/>
  <c r="P594" i="7"/>
  <c r="O594" i="7"/>
  <c r="M594" i="7"/>
  <c r="S594" i="7" s="1"/>
  <c r="L594" i="7"/>
  <c r="J594" i="7"/>
  <c r="S593" i="7"/>
  <c r="O593" i="7"/>
  <c r="P593" i="7" s="1"/>
  <c r="M593" i="7"/>
  <c r="U593" i="7" s="1"/>
  <c r="L593" i="7"/>
  <c r="J593" i="7"/>
  <c r="P592" i="7"/>
  <c r="O592" i="7"/>
  <c r="M592" i="7"/>
  <c r="L592" i="7"/>
  <c r="J592" i="7"/>
  <c r="S591" i="7"/>
  <c r="O591" i="7"/>
  <c r="P591" i="7" s="1"/>
  <c r="M591" i="7"/>
  <c r="U591" i="7" s="1"/>
  <c r="L591" i="7"/>
  <c r="J591" i="7"/>
  <c r="U590" i="7"/>
  <c r="P590" i="7"/>
  <c r="O590" i="7"/>
  <c r="M590" i="7"/>
  <c r="S590" i="7" s="1"/>
  <c r="L590" i="7"/>
  <c r="J590" i="7"/>
  <c r="S589" i="7"/>
  <c r="O589" i="7"/>
  <c r="P589" i="7" s="1"/>
  <c r="M589" i="7"/>
  <c r="U589" i="7" s="1"/>
  <c r="L589" i="7"/>
  <c r="J589" i="7"/>
  <c r="P588" i="7"/>
  <c r="O588" i="7"/>
  <c r="M588" i="7"/>
  <c r="S588" i="7" s="1"/>
  <c r="L588" i="7"/>
  <c r="J588" i="7"/>
  <c r="S587" i="7"/>
  <c r="O587" i="7"/>
  <c r="P587" i="7" s="1"/>
  <c r="M587" i="7"/>
  <c r="U587" i="7" s="1"/>
  <c r="L587" i="7"/>
  <c r="J587" i="7"/>
  <c r="U586" i="7"/>
  <c r="P586" i="7"/>
  <c r="O586" i="7"/>
  <c r="M586" i="7"/>
  <c r="S586" i="7" s="1"/>
  <c r="L586" i="7"/>
  <c r="J586" i="7"/>
  <c r="S585" i="7"/>
  <c r="O585" i="7"/>
  <c r="P585" i="7" s="1"/>
  <c r="M585" i="7"/>
  <c r="U585" i="7" s="1"/>
  <c r="L585" i="7"/>
  <c r="J585" i="7"/>
  <c r="P584" i="7"/>
  <c r="O584" i="7"/>
  <c r="M584" i="7"/>
  <c r="L584" i="7"/>
  <c r="J584" i="7"/>
  <c r="S583" i="7"/>
  <c r="O583" i="7"/>
  <c r="P583" i="7" s="1"/>
  <c r="M583" i="7"/>
  <c r="U583" i="7" s="1"/>
  <c r="L583" i="7"/>
  <c r="J583" i="7"/>
  <c r="U582" i="7"/>
  <c r="P582" i="7"/>
  <c r="O582" i="7"/>
  <c r="M582" i="7"/>
  <c r="S582" i="7" s="1"/>
  <c r="L582" i="7"/>
  <c r="J582" i="7"/>
  <c r="S581" i="7"/>
  <c r="O581" i="7"/>
  <c r="P581" i="7" s="1"/>
  <c r="M581" i="7"/>
  <c r="U581" i="7" s="1"/>
  <c r="L581" i="7"/>
  <c r="J581" i="7"/>
  <c r="P580" i="7"/>
  <c r="O580" i="7"/>
  <c r="M580" i="7"/>
  <c r="S580" i="7" s="1"/>
  <c r="L580" i="7"/>
  <c r="J580" i="7"/>
  <c r="S579" i="7"/>
  <c r="O579" i="7"/>
  <c r="P579" i="7" s="1"/>
  <c r="M579" i="7"/>
  <c r="U579" i="7" s="1"/>
  <c r="L579" i="7"/>
  <c r="J579" i="7"/>
  <c r="U578" i="7"/>
  <c r="P578" i="7"/>
  <c r="O578" i="7"/>
  <c r="M578" i="7"/>
  <c r="S578" i="7" s="1"/>
  <c r="L578" i="7"/>
  <c r="J578" i="7"/>
  <c r="S577" i="7"/>
  <c r="O577" i="7"/>
  <c r="P577" i="7" s="1"/>
  <c r="M577" i="7"/>
  <c r="U577" i="7" s="1"/>
  <c r="L577" i="7"/>
  <c r="J577" i="7"/>
  <c r="P576" i="7"/>
  <c r="O576" i="7"/>
  <c r="M576" i="7"/>
  <c r="L576" i="7"/>
  <c r="J576" i="7"/>
  <c r="S575" i="7"/>
  <c r="O575" i="7"/>
  <c r="P575" i="7" s="1"/>
  <c r="M575" i="7"/>
  <c r="U575" i="7" s="1"/>
  <c r="L575" i="7"/>
  <c r="J575" i="7"/>
  <c r="U574" i="7"/>
  <c r="P574" i="7"/>
  <c r="O574" i="7"/>
  <c r="M574" i="7"/>
  <c r="S574" i="7" s="1"/>
  <c r="L574" i="7"/>
  <c r="J574" i="7"/>
  <c r="S573" i="7"/>
  <c r="O573" i="7"/>
  <c r="P573" i="7" s="1"/>
  <c r="M573" i="7"/>
  <c r="U573" i="7" s="1"/>
  <c r="L573" i="7"/>
  <c r="J573" i="7"/>
  <c r="P572" i="7"/>
  <c r="O572" i="7"/>
  <c r="M572" i="7"/>
  <c r="S572" i="7" s="1"/>
  <c r="L572" i="7"/>
  <c r="J572" i="7"/>
  <c r="S571" i="7"/>
  <c r="O571" i="7"/>
  <c r="P571" i="7" s="1"/>
  <c r="M571" i="7"/>
  <c r="U571" i="7" s="1"/>
  <c r="L571" i="7"/>
  <c r="J571" i="7"/>
  <c r="U570" i="7"/>
  <c r="P570" i="7"/>
  <c r="O570" i="7"/>
  <c r="M570" i="7"/>
  <c r="S570" i="7" s="1"/>
  <c r="L570" i="7"/>
  <c r="J570" i="7"/>
  <c r="S569" i="7"/>
  <c r="O569" i="7"/>
  <c r="P569" i="7" s="1"/>
  <c r="M569" i="7"/>
  <c r="U569" i="7" s="1"/>
  <c r="L569" i="7"/>
  <c r="J569" i="7"/>
  <c r="P568" i="7"/>
  <c r="O568" i="7"/>
  <c r="M568" i="7"/>
  <c r="L568" i="7"/>
  <c r="J568" i="7"/>
  <c r="S567" i="7"/>
  <c r="O567" i="7"/>
  <c r="P567" i="7" s="1"/>
  <c r="M567" i="7"/>
  <c r="U567" i="7" s="1"/>
  <c r="L567" i="7"/>
  <c r="J567" i="7"/>
  <c r="U566" i="7"/>
  <c r="P566" i="7"/>
  <c r="O566" i="7"/>
  <c r="M566" i="7"/>
  <c r="S566" i="7" s="1"/>
  <c r="L566" i="7"/>
  <c r="J566" i="7"/>
  <c r="S565" i="7"/>
  <c r="O565" i="7"/>
  <c r="P565" i="7" s="1"/>
  <c r="M565" i="7"/>
  <c r="U565" i="7" s="1"/>
  <c r="L565" i="7"/>
  <c r="J565" i="7"/>
  <c r="P564" i="7"/>
  <c r="O564" i="7"/>
  <c r="M564" i="7"/>
  <c r="S564" i="7" s="1"/>
  <c r="L564" i="7"/>
  <c r="J564" i="7"/>
  <c r="S563" i="7"/>
  <c r="O563" i="7"/>
  <c r="P563" i="7" s="1"/>
  <c r="M563" i="7"/>
  <c r="U563" i="7" s="1"/>
  <c r="L563" i="7"/>
  <c r="J563" i="7"/>
  <c r="U562" i="7"/>
  <c r="P562" i="7"/>
  <c r="O562" i="7"/>
  <c r="M562" i="7"/>
  <c r="S562" i="7" s="1"/>
  <c r="L562" i="7"/>
  <c r="J562" i="7"/>
  <c r="S561" i="7"/>
  <c r="O561" i="7"/>
  <c r="P561" i="7" s="1"/>
  <c r="M561" i="7"/>
  <c r="U561" i="7" s="1"/>
  <c r="L561" i="7"/>
  <c r="J561" i="7"/>
  <c r="P560" i="7"/>
  <c r="O560" i="7"/>
  <c r="M560" i="7"/>
  <c r="L560" i="7"/>
  <c r="J560" i="7"/>
  <c r="S559" i="7"/>
  <c r="O559" i="7"/>
  <c r="P559" i="7" s="1"/>
  <c r="M559" i="7"/>
  <c r="U559" i="7" s="1"/>
  <c r="L559" i="7"/>
  <c r="J559" i="7"/>
  <c r="U558" i="7"/>
  <c r="P558" i="7"/>
  <c r="O558" i="7"/>
  <c r="M558" i="7"/>
  <c r="S558" i="7" s="1"/>
  <c r="L558" i="7"/>
  <c r="J558" i="7"/>
  <c r="S557" i="7"/>
  <c r="O557" i="7"/>
  <c r="P557" i="7" s="1"/>
  <c r="M557" i="7"/>
  <c r="U557" i="7" s="1"/>
  <c r="L557" i="7"/>
  <c r="J557" i="7"/>
  <c r="P556" i="7"/>
  <c r="O556" i="7"/>
  <c r="M556" i="7"/>
  <c r="S556" i="7" s="1"/>
  <c r="L556" i="7"/>
  <c r="J556" i="7"/>
  <c r="S555" i="7"/>
  <c r="O555" i="7"/>
  <c r="P555" i="7" s="1"/>
  <c r="M555" i="7"/>
  <c r="U555" i="7" s="1"/>
  <c r="L555" i="7"/>
  <c r="J555" i="7"/>
  <c r="U554" i="7"/>
  <c r="P554" i="7"/>
  <c r="O554" i="7"/>
  <c r="M554" i="7"/>
  <c r="S554" i="7" s="1"/>
  <c r="L554" i="7"/>
  <c r="J554" i="7"/>
  <c r="S553" i="7"/>
  <c r="O553" i="7"/>
  <c r="P553" i="7" s="1"/>
  <c r="M553" i="7"/>
  <c r="U553" i="7" s="1"/>
  <c r="L553" i="7"/>
  <c r="J553" i="7"/>
  <c r="P552" i="7"/>
  <c r="O552" i="7"/>
  <c r="M552" i="7"/>
  <c r="L552" i="7"/>
  <c r="J552" i="7"/>
  <c r="S551" i="7"/>
  <c r="O551" i="7"/>
  <c r="P551" i="7" s="1"/>
  <c r="M551" i="7"/>
  <c r="U551" i="7" s="1"/>
  <c r="L551" i="7"/>
  <c r="J551" i="7"/>
  <c r="U550" i="7"/>
  <c r="P550" i="7"/>
  <c r="O550" i="7"/>
  <c r="M550" i="7"/>
  <c r="S550" i="7" s="1"/>
  <c r="L550" i="7"/>
  <c r="J550" i="7"/>
  <c r="S549" i="7"/>
  <c r="O549" i="7"/>
  <c r="P549" i="7" s="1"/>
  <c r="M549" i="7"/>
  <c r="U549" i="7" s="1"/>
  <c r="L549" i="7"/>
  <c r="J549" i="7"/>
  <c r="P548" i="7"/>
  <c r="O548" i="7"/>
  <c r="M548" i="7"/>
  <c r="S548" i="7" s="1"/>
  <c r="L548" i="7"/>
  <c r="J548" i="7"/>
  <c r="S547" i="7"/>
  <c r="O547" i="7"/>
  <c r="P547" i="7" s="1"/>
  <c r="M547" i="7"/>
  <c r="U547" i="7" s="1"/>
  <c r="L547" i="7"/>
  <c r="J547" i="7"/>
  <c r="U546" i="7"/>
  <c r="P546" i="7"/>
  <c r="O546" i="7"/>
  <c r="M546" i="7"/>
  <c r="S546" i="7" s="1"/>
  <c r="L546" i="7"/>
  <c r="J546" i="7"/>
  <c r="S545" i="7"/>
  <c r="O545" i="7"/>
  <c r="P545" i="7" s="1"/>
  <c r="M545" i="7"/>
  <c r="U545" i="7" s="1"/>
  <c r="L545" i="7"/>
  <c r="J545" i="7"/>
  <c r="P544" i="7"/>
  <c r="O544" i="7"/>
  <c r="M544" i="7"/>
  <c r="L544" i="7"/>
  <c r="J544" i="7"/>
  <c r="S543" i="7"/>
  <c r="O543" i="7"/>
  <c r="P543" i="7" s="1"/>
  <c r="M543" i="7"/>
  <c r="U543" i="7" s="1"/>
  <c r="L543" i="7"/>
  <c r="J543" i="7"/>
  <c r="U542" i="7"/>
  <c r="P542" i="7"/>
  <c r="O542" i="7"/>
  <c r="M542" i="7"/>
  <c r="S542" i="7" s="1"/>
  <c r="L542" i="7"/>
  <c r="J542" i="7"/>
  <c r="S541" i="7"/>
  <c r="O541" i="7"/>
  <c r="P541" i="7" s="1"/>
  <c r="M541" i="7"/>
  <c r="U541" i="7" s="1"/>
  <c r="L541" i="7"/>
  <c r="J541" i="7"/>
  <c r="P540" i="7"/>
  <c r="O540" i="7"/>
  <c r="M540" i="7"/>
  <c r="S540" i="7" s="1"/>
  <c r="L540" i="7"/>
  <c r="J540" i="7"/>
  <c r="S539" i="7"/>
  <c r="O539" i="7"/>
  <c r="P539" i="7" s="1"/>
  <c r="M539" i="7"/>
  <c r="U539" i="7" s="1"/>
  <c r="L539" i="7"/>
  <c r="J539" i="7"/>
  <c r="U538" i="7"/>
  <c r="P538" i="7"/>
  <c r="O538" i="7"/>
  <c r="M538" i="7"/>
  <c r="S538" i="7" s="1"/>
  <c r="L538" i="7"/>
  <c r="J538" i="7"/>
  <c r="S537" i="7"/>
  <c r="O537" i="7"/>
  <c r="P537" i="7" s="1"/>
  <c r="M537" i="7"/>
  <c r="U537" i="7" s="1"/>
  <c r="L537" i="7"/>
  <c r="J537" i="7"/>
  <c r="P536" i="7"/>
  <c r="O536" i="7"/>
  <c r="M536" i="7"/>
  <c r="L536" i="7"/>
  <c r="J536" i="7"/>
  <c r="S535" i="7"/>
  <c r="O535" i="7"/>
  <c r="P535" i="7" s="1"/>
  <c r="M535" i="7"/>
  <c r="U535" i="7" s="1"/>
  <c r="L535" i="7"/>
  <c r="J535" i="7"/>
  <c r="U534" i="7"/>
  <c r="P534" i="7"/>
  <c r="O534" i="7"/>
  <c r="M534" i="7"/>
  <c r="S534" i="7" s="1"/>
  <c r="L534" i="7"/>
  <c r="J534" i="7"/>
  <c r="S533" i="7"/>
  <c r="O533" i="7"/>
  <c r="P533" i="7" s="1"/>
  <c r="M533" i="7"/>
  <c r="U533" i="7" s="1"/>
  <c r="L533" i="7"/>
  <c r="J533" i="7"/>
  <c r="P532" i="7"/>
  <c r="O532" i="7"/>
  <c r="M532" i="7"/>
  <c r="S532" i="7" s="1"/>
  <c r="L532" i="7"/>
  <c r="J532" i="7"/>
  <c r="S531" i="7"/>
  <c r="O531" i="7"/>
  <c r="P531" i="7" s="1"/>
  <c r="M531" i="7"/>
  <c r="U531" i="7" s="1"/>
  <c r="L531" i="7"/>
  <c r="J531" i="7"/>
  <c r="U530" i="7"/>
  <c r="P530" i="7"/>
  <c r="O530" i="7"/>
  <c r="M530" i="7"/>
  <c r="S530" i="7" s="1"/>
  <c r="L530" i="7"/>
  <c r="J530" i="7"/>
  <c r="S529" i="7"/>
  <c r="O529" i="7"/>
  <c r="P529" i="7" s="1"/>
  <c r="M529" i="7"/>
  <c r="U529" i="7" s="1"/>
  <c r="L529" i="7"/>
  <c r="J529" i="7"/>
  <c r="P528" i="7"/>
  <c r="O528" i="7"/>
  <c r="M528" i="7"/>
  <c r="L528" i="7"/>
  <c r="J528" i="7"/>
  <c r="S527" i="7"/>
  <c r="O527" i="7"/>
  <c r="P527" i="7" s="1"/>
  <c r="M527" i="7"/>
  <c r="U527" i="7" s="1"/>
  <c r="L527" i="7"/>
  <c r="J527" i="7"/>
  <c r="U526" i="7"/>
  <c r="P526" i="7"/>
  <c r="O526" i="7"/>
  <c r="M526" i="7"/>
  <c r="S526" i="7" s="1"/>
  <c r="L526" i="7"/>
  <c r="J526" i="7"/>
  <c r="S525" i="7"/>
  <c r="O525" i="7"/>
  <c r="P525" i="7" s="1"/>
  <c r="M525" i="7"/>
  <c r="U525" i="7" s="1"/>
  <c r="L525" i="7"/>
  <c r="J525" i="7"/>
  <c r="P524" i="7"/>
  <c r="O524" i="7"/>
  <c r="M524" i="7"/>
  <c r="S524" i="7" s="1"/>
  <c r="L524" i="7"/>
  <c r="J524" i="7"/>
  <c r="S523" i="7"/>
  <c r="O523" i="7"/>
  <c r="P523" i="7" s="1"/>
  <c r="M523" i="7"/>
  <c r="U523" i="7" s="1"/>
  <c r="L523" i="7"/>
  <c r="J523" i="7"/>
  <c r="U522" i="7"/>
  <c r="P522" i="7"/>
  <c r="O522" i="7"/>
  <c r="M522" i="7"/>
  <c r="S522" i="7" s="1"/>
  <c r="L522" i="7"/>
  <c r="J522" i="7"/>
  <c r="S521" i="7"/>
  <c r="O521" i="7"/>
  <c r="P521" i="7" s="1"/>
  <c r="M521" i="7"/>
  <c r="U521" i="7" s="1"/>
  <c r="L521" i="7"/>
  <c r="J521" i="7"/>
  <c r="P520" i="7"/>
  <c r="O520" i="7"/>
  <c r="M520" i="7"/>
  <c r="L520" i="7"/>
  <c r="J520" i="7"/>
  <c r="S519" i="7"/>
  <c r="O519" i="7"/>
  <c r="P519" i="7" s="1"/>
  <c r="M519" i="7"/>
  <c r="U519" i="7" s="1"/>
  <c r="L519" i="7"/>
  <c r="J519" i="7"/>
  <c r="U518" i="7"/>
  <c r="P518" i="7"/>
  <c r="O518" i="7"/>
  <c r="M518" i="7"/>
  <c r="S518" i="7" s="1"/>
  <c r="L518" i="7"/>
  <c r="J518" i="7"/>
  <c r="S517" i="7"/>
  <c r="O517" i="7"/>
  <c r="P517" i="7" s="1"/>
  <c r="M517" i="7"/>
  <c r="U517" i="7" s="1"/>
  <c r="L517" i="7"/>
  <c r="J517" i="7"/>
  <c r="P516" i="7"/>
  <c r="O516" i="7"/>
  <c r="M516" i="7"/>
  <c r="S516" i="7" s="1"/>
  <c r="L516" i="7"/>
  <c r="J516" i="7"/>
  <c r="S515" i="7"/>
  <c r="O515" i="7"/>
  <c r="P515" i="7" s="1"/>
  <c r="M515" i="7"/>
  <c r="U515" i="7" s="1"/>
  <c r="L515" i="7"/>
  <c r="J515" i="7"/>
  <c r="U514" i="7"/>
  <c r="P514" i="7"/>
  <c r="O514" i="7"/>
  <c r="M514" i="7"/>
  <c r="S514" i="7" s="1"/>
  <c r="L514" i="7"/>
  <c r="J514" i="7"/>
  <c r="S513" i="7"/>
  <c r="O513" i="7"/>
  <c r="P513" i="7" s="1"/>
  <c r="M513" i="7"/>
  <c r="U513" i="7" s="1"/>
  <c r="L513" i="7"/>
  <c r="J513" i="7"/>
  <c r="P512" i="7"/>
  <c r="O512" i="7"/>
  <c r="M512" i="7"/>
  <c r="L512" i="7"/>
  <c r="J512" i="7"/>
  <c r="S511" i="7"/>
  <c r="O511" i="7"/>
  <c r="P511" i="7" s="1"/>
  <c r="M511" i="7"/>
  <c r="U511" i="7" s="1"/>
  <c r="L511" i="7"/>
  <c r="J511" i="7"/>
  <c r="U510" i="7"/>
  <c r="P510" i="7"/>
  <c r="O510" i="7"/>
  <c r="M510" i="7"/>
  <c r="S510" i="7" s="1"/>
  <c r="L510" i="7"/>
  <c r="J510" i="7"/>
  <c r="S509" i="7"/>
  <c r="O509" i="7"/>
  <c r="P509" i="7" s="1"/>
  <c r="M509" i="7"/>
  <c r="U509" i="7" s="1"/>
  <c r="L509" i="7"/>
  <c r="J509" i="7"/>
  <c r="P508" i="7"/>
  <c r="O508" i="7"/>
  <c r="M508" i="7"/>
  <c r="S508" i="7" s="1"/>
  <c r="L508" i="7"/>
  <c r="J508" i="7"/>
  <c r="S507" i="7"/>
  <c r="O507" i="7"/>
  <c r="P507" i="7" s="1"/>
  <c r="M507" i="7"/>
  <c r="U507" i="7" s="1"/>
  <c r="L507" i="7"/>
  <c r="J507" i="7"/>
  <c r="U506" i="7"/>
  <c r="P506" i="7"/>
  <c r="O506" i="7"/>
  <c r="M506" i="7"/>
  <c r="S506" i="7" s="1"/>
  <c r="L506" i="7"/>
  <c r="J506" i="7"/>
  <c r="S505" i="7"/>
  <c r="O505" i="7"/>
  <c r="P505" i="7" s="1"/>
  <c r="M505" i="7"/>
  <c r="U505" i="7" s="1"/>
  <c r="L505" i="7"/>
  <c r="J505" i="7"/>
  <c r="P504" i="7"/>
  <c r="O504" i="7"/>
  <c r="M504" i="7"/>
  <c r="L504" i="7"/>
  <c r="J504" i="7"/>
  <c r="S503" i="7"/>
  <c r="O503" i="7"/>
  <c r="P503" i="7" s="1"/>
  <c r="M503" i="7"/>
  <c r="U503" i="7" s="1"/>
  <c r="L503" i="7"/>
  <c r="J503" i="7"/>
  <c r="U502" i="7"/>
  <c r="P502" i="7"/>
  <c r="O502" i="7"/>
  <c r="M502" i="7"/>
  <c r="S502" i="7" s="1"/>
  <c r="L502" i="7"/>
  <c r="J502" i="7"/>
  <c r="S501" i="7"/>
  <c r="O501" i="7"/>
  <c r="P501" i="7" s="1"/>
  <c r="M501" i="7"/>
  <c r="U501" i="7" s="1"/>
  <c r="L501" i="7"/>
  <c r="J501" i="7"/>
  <c r="P500" i="7"/>
  <c r="O500" i="7"/>
  <c r="M500" i="7"/>
  <c r="S500" i="7" s="1"/>
  <c r="L500" i="7"/>
  <c r="J500" i="7"/>
  <c r="S499" i="7"/>
  <c r="O499" i="7"/>
  <c r="P499" i="7" s="1"/>
  <c r="M499" i="7"/>
  <c r="U499" i="7" s="1"/>
  <c r="L499" i="7"/>
  <c r="J499" i="7"/>
  <c r="U498" i="7"/>
  <c r="P498" i="7"/>
  <c r="O498" i="7"/>
  <c r="M498" i="7"/>
  <c r="S498" i="7" s="1"/>
  <c r="L498" i="7"/>
  <c r="J498" i="7"/>
  <c r="S497" i="7"/>
  <c r="O497" i="7"/>
  <c r="P497" i="7" s="1"/>
  <c r="M497" i="7"/>
  <c r="U497" i="7" s="1"/>
  <c r="L497" i="7"/>
  <c r="J497" i="7"/>
  <c r="P496" i="7"/>
  <c r="O496" i="7"/>
  <c r="M496" i="7"/>
  <c r="L496" i="7"/>
  <c r="J496" i="7"/>
  <c r="S495" i="7"/>
  <c r="O495" i="7"/>
  <c r="P495" i="7" s="1"/>
  <c r="M495" i="7"/>
  <c r="U495" i="7" s="1"/>
  <c r="L495" i="7"/>
  <c r="J495" i="7"/>
  <c r="U494" i="7"/>
  <c r="P494" i="7"/>
  <c r="O494" i="7"/>
  <c r="M494" i="7"/>
  <c r="S494" i="7" s="1"/>
  <c r="L494" i="7"/>
  <c r="J494" i="7"/>
  <c r="S493" i="7"/>
  <c r="O493" i="7"/>
  <c r="P493" i="7" s="1"/>
  <c r="M493" i="7"/>
  <c r="U493" i="7" s="1"/>
  <c r="L493" i="7"/>
  <c r="J493" i="7"/>
  <c r="P492" i="7"/>
  <c r="O492" i="7"/>
  <c r="M492" i="7"/>
  <c r="S492" i="7" s="1"/>
  <c r="L492" i="7"/>
  <c r="J492" i="7"/>
  <c r="S491" i="7"/>
  <c r="O491" i="7"/>
  <c r="P491" i="7" s="1"/>
  <c r="M491" i="7"/>
  <c r="U491" i="7" s="1"/>
  <c r="L491" i="7"/>
  <c r="J491" i="7"/>
  <c r="U490" i="7"/>
  <c r="P490" i="7"/>
  <c r="O490" i="7"/>
  <c r="M490" i="7"/>
  <c r="S490" i="7" s="1"/>
  <c r="L490" i="7"/>
  <c r="J490" i="7"/>
  <c r="S489" i="7"/>
  <c r="O489" i="7"/>
  <c r="P489" i="7" s="1"/>
  <c r="M489" i="7"/>
  <c r="U489" i="7" s="1"/>
  <c r="L489" i="7"/>
  <c r="J489" i="7"/>
  <c r="P488" i="7"/>
  <c r="O488" i="7"/>
  <c r="M488" i="7"/>
  <c r="L488" i="7"/>
  <c r="J488" i="7"/>
  <c r="S487" i="7"/>
  <c r="O487" i="7"/>
  <c r="P487" i="7" s="1"/>
  <c r="M487" i="7"/>
  <c r="U487" i="7" s="1"/>
  <c r="L487" i="7"/>
  <c r="J487" i="7"/>
  <c r="U486" i="7"/>
  <c r="P486" i="7"/>
  <c r="O486" i="7"/>
  <c r="M486" i="7"/>
  <c r="S486" i="7" s="1"/>
  <c r="L486" i="7"/>
  <c r="J486" i="7"/>
  <c r="S485" i="7"/>
  <c r="O485" i="7"/>
  <c r="P485" i="7" s="1"/>
  <c r="M485" i="7"/>
  <c r="U485" i="7" s="1"/>
  <c r="L485" i="7"/>
  <c r="J485" i="7"/>
  <c r="P484" i="7"/>
  <c r="O484" i="7"/>
  <c r="M484" i="7"/>
  <c r="S484" i="7" s="1"/>
  <c r="L484" i="7"/>
  <c r="J484" i="7"/>
  <c r="S483" i="7"/>
  <c r="O483" i="7"/>
  <c r="P483" i="7" s="1"/>
  <c r="M483" i="7"/>
  <c r="U483" i="7" s="1"/>
  <c r="L483" i="7"/>
  <c r="J483" i="7"/>
  <c r="U482" i="7"/>
  <c r="P482" i="7"/>
  <c r="O482" i="7"/>
  <c r="M482" i="7"/>
  <c r="S482" i="7" s="1"/>
  <c r="L482" i="7"/>
  <c r="J482" i="7"/>
  <c r="S481" i="7"/>
  <c r="O481" i="7"/>
  <c r="P481" i="7" s="1"/>
  <c r="M481" i="7"/>
  <c r="U481" i="7" s="1"/>
  <c r="L481" i="7"/>
  <c r="J481" i="7"/>
  <c r="P480" i="7"/>
  <c r="O480" i="7"/>
  <c r="M480" i="7"/>
  <c r="L480" i="7"/>
  <c r="J480" i="7"/>
  <c r="P479" i="7"/>
  <c r="O479" i="7"/>
  <c r="M479" i="7"/>
  <c r="U479" i="7" s="1"/>
  <c r="L479" i="7"/>
  <c r="J479" i="7"/>
  <c r="S478" i="7"/>
  <c r="O478" i="7"/>
  <c r="P478" i="7" s="1"/>
  <c r="M478" i="7"/>
  <c r="U478" i="7" s="1"/>
  <c r="L478" i="7"/>
  <c r="J478" i="7"/>
  <c r="U477" i="7"/>
  <c r="P477" i="7"/>
  <c r="O477" i="7"/>
  <c r="M477" i="7"/>
  <c r="S477" i="7" s="1"/>
  <c r="L477" i="7"/>
  <c r="J477" i="7"/>
  <c r="S476" i="7"/>
  <c r="O476" i="7"/>
  <c r="P476" i="7" s="1"/>
  <c r="M476" i="7"/>
  <c r="U476" i="7" s="1"/>
  <c r="L476" i="7"/>
  <c r="J476" i="7"/>
  <c r="P475" i="7"/>
  <c r="O475" i="7"/>
  <c r="M475" i="7"/>
  <c r="S475" i="7" s="1"/>
  <c r="L475" i="7"/>
  <c r="J475" i="7"/>
  <c r="S474" i="7"/>
  <c r="O474" i="7"/>
  <c r="P474" i="7" s="1"/>
  <c r="M474" i="7"/>
  <c r="U474" i="7" s="1"/>
  <c r="L474" i="7"/>
  <c r="J474" i="7"/>
  <c r="P473" i="7"/>
  <c r="O473" i="7"/>
  <c r="M473" i="7"/>
  <c r="S473" i="7" s="1"/>
  <c r="L473" i="7"/>
  <c r="J473" i="7"/>
  <c r="S472" i="7"/>
  <c r="O472" i="7"/>
  <c r="P472" i="7" s="1"/>
  <c r="M472" i="7"/>
  <c r="U472" i="7" s="1"/>
  <c r="L472" i="7"/>
  <c r="J472" i="7"/>
  <c r="P471" i="7"/>
  <c r="O471" i="7"/>
  <c r="M471" i="7"/>
  <c r="S471" i="7" s="1"/>
  <c r="L471" i="7"/>
  <c r="J471" i="7"/>
  <c r="S470" i="7"/>
  <c r="O470" i="7"/>
  <c r="P470" i="7" s="1"/>
  <c r="M470" i="7"/>
  <c r="U470" i="7" s="1"/>
  <c r="L470" i="7"/>
  <c r="J470" i="7"/>
  <c r="U469" i="7"/>
  <c r="P469" i="7"/>
  <c r="O469" i="7"/>
  <c r="M469" i="7"/>
  <c r="S469" i="7" s="1"/>
  <c r="L469" i="7"/>
  <c r="J469" i="7"/>
  <c r="S468" i="7"/>
  <c r="O468" i="7"/>
  <c r="P468" i="7" s="1"/>
  <c r="M468" i="7"/>
  <c r="U468" i="7" s="1"/>
  <c r="L468" i="7"/>
  <c r="J468" i="7"/>
  <c r="P467" i="7"/>
  <c r="O467" i="7"/>
  <c r="M467" i="7"/>
  <c r="S467" i="7" s="1"/>
  <c r="L467" i="7"/>
  <c r="J467" i="7"/>
  <c r="S466" i="7"/>
  <c r="O466" i="7"/>
  <c r="P466" i="7" s="1"/>
  <c r="M466" i="7"/>
  <c r="U466" i="7" s="1"/>
  <c r="L466" i="7"/>
  <c r="J466" i="7"/>
  <c r="P465" i="7"/>
  <c r="O465" i="7"/>
  <c r="M465" i="7"/>
  <c r="L465" i="7"/>
  <c r="J465" i="7"/>
  <c r="S464" i="7"/>
  <c r="O464" i="7"/>
  <c r="P464" i="7" s="1"/>
  <c r="M464" i="7"/>
  <c r="U464" i="7" s="1"/>
  <c r="L464" i="7"/>
  <c r="J464" i="7"/>
  <c r="P463" i="7"/>
  <c r="O463" i="7"/>
  <c r="M463" i="7"/>
  <c r="S463" i="7" s="1"/>
  <c r="L463" i="7"/>
  <c r="J463" i="7"/>
  <c r="S462" i="7"/>
  <c r="O462" i="7"/>
  <c r="P462" i="7" s="1"/>
  <c r="M462" i="7"/>
  <c r="U462" i="7" s="1"/>
  <c r="L462" i="7"/>
  <c r="J462" i="7"/>
  <c r="U461" i="7"/>
  <c r="P461" i="7"/>
  <c r="O461" i="7"/>
  <c r="M461" i="7"/>
  <c r="S461" i="7" s="1"/>
  <c r="L461" i="7"/>
  <c r="J461" i="7"/>
  <c r="S460" i="7"/>
  <c r="O460" i="7"/>
  <c r="P460" i="7" s="1"/>
  <c r="M460" i="7"/>
  <c r="U460" i="7" s="1"/>
  <c r="L460" i="7"/>
  <c r="J460" i="7"/>
  <c r="P459" i="7"/>
  <c r="O459" i="7"/>
  <c r="M459" i="7"/>
  <c r="S459" i="7" s="1"/>
  <c r="L459" i="7"/>
  <c r="J459" i="7"/>
  <c r="S458" i="7"/>
  <c r="O458" i="7"/>
  <c r="P458" i="7" s="1"/>
  <c r="M458" i="7"/>
  <c r="U458" i="7" s="1"/>
  <c r="L458" i="7"/>
  <c r="J458" i="7"/>
  <c r="P457" i="7"/>
  <c r="O457" i="7"/>
  <c r="M457" i="7"/>
  <c r="S457" i="7" s="1"/>
  <c r="L457" i="7"/>
  <c r="J457" i="7"/>
  <c r="S456" i="7"/>
  <c r="O456" i="7"/>
  <c r="P456" i="7" s="1"/>
  <c r="M456" i="7"/>
  <c r="U456" i="7" s="1"/>
  <c r="L456" i="7"/>
  <c r="J456" i="7"/>
  <c r="P455" i="7"/>
  <c r="O455" i="7"/>
  <c r="M455" i="7"/>
  <c r="S455" i="7" s="1"/>
  <c r="L455" i="7"/>
  <c r="J455" i="7"/>
  <c r="S454" i="7"/>
  <c r="O454" i="7"/>
  <c r="P454" i="7" s="1"/>
  <c r="M454" i="7"/>
  <c r="U454" i="7" s="1"/>
  <c r="L454" i="7"/>
  <c r="J454" i="7"/>
  <c r="U453" i="7"/>
  <c r="P453" i="7"/>
  <c r="O453" i="7"/>
  <c r="M453" i="7"/>
  <c r="S453" i="7" s="1"/>
  <c r="L453" i="7"/>
  <c r="J453" i="7"/>
  <c r="S452" i="7"/>
  <c r="O452" i="7"/>
  <c r="P452" i="7" s="1"/>
  <c r="M452" i="7"/>
  <c r="U452" i="7" s="1"/>
  <c r="L452" i="7"/>
  <c r="J452" i="7"/>
  <c r="P451" i="7"/>
  <c r="O451" i="7"/>
  <c r="M451" i="7"/>
  <c r="S451" i="7" s="1"/>
  <c r="L451" i="7"/>
  <c r="J451" i="7"/>
  <c r="S450" i="7"/>
  <c r="O450" i="7"/>
  <c r="P450" i="7" s="1"/>
  <c r="M450" i="7"/>
  <c r="U450" i="7" s="1"/>
  <c r="L450" i="7"/>
  <c r="J450" i="7"/>
  <c r="P449" i="7"/>
  <c r="O449" i="7"/>
  <c r="M449" i="7"/>
  <c r="L449" i="7"/>
  <c r="J449" i="7"/>
  <c r="S448" i="7"/>
  <c r="O448" i="7"/>
  <c r="P448" i="7" s="1"/>
  <c r="M448" i="7"/>
  <c r="U448" i="7" s="1"/>
  <c r="L448" i="7"/>
  <c r="J448" i="7"/>
  <c r="P447" i="7"/>
  <c r="O447" i="7"/>
  <c r="M447" i="7"/>
  <c r="S447" i="7" s="1"/>
  <c r="L447" i="7"/>
  <c r="J447" i="7"/>
  <c r="S446" i="7"/>
  <c r="O446" i="7"/>
  <c r="P446" i="7" s="1"/>
  <c r="M446" i="7"/>
  <c r="U446" i="7" s="1"/>
  <c r="L446" i="7"/>
  <c r="J446" i="7"/>
  <c r="U445" i="7"/>
  <c r="P445" i="7"/>
  <c r="O445" i="7"/>
  <c r="M445" i="7"/>
  <c r="S445" i="7" s="1"/>
  <c r="L445" i="7"/>
  <c r="J445" i="7"/>
  <c r="S444" i="7"/>
  <c r="O444" i="7"/>
  <c r="P444" i="7" s="1"/>
  <c r="M444" i="7"/>
  <c r="U444" i="7" s="1"/>
  <c r="L444" i="7"/>
  <c r="J444" i="7"/>
  <c r="P443" i="7"/>
  <c r="O443" i="7"/>
  <c r="M443" i="7"/>
  <c r="S443" i="7" s="1"/>
  <c r="L443" i="7"/>
  <c r="J443" i="7"/>
  <c r="S442" i="7"/>
  <c r="O442" i="7"/>
  <c r="P442" i="7" s="1"/>
  <c r="M442" i="7"/>
  <c r="U442" i="7" s="1"/>
  <c r="L442" i="7"/>
  <c r="J442" i="7"/>
  <c r="P441" i="7"/>
  <c r="O441" i="7"/>
  <c r="M441" i="7"/>
  <c r="S441" i="7" s="1"/>
  <c r="L441" i="7"/>
  <c r="J441" i="7"/>
  <c r="S440" i="7"/>
  <c r="O440" i="7"/>
  <c r="P440" i="7" s="1"/>
  <c r="M440" i="7"/>
  <c r="U440" i="7" s="1"/>
  <c r="L440" i="7"/>
  <c r="J440" i="7"/>
  <c r="P439" i="7"/>
  <c r="O439" i="7"/>
  <c r="M439" i="7"/>
  <c r="S439" i="7" s="1"/>
  <c r="L439" i="7"/>
  <c r="J439" i="7"/>
  <c r="S438" i="7"/>
  <c r="O438" i="7"/>
  <c r="P438" i="7" s="1"/>
  <c r="M438" i="7"/>
  <c r="U438" i="7" s="1"/>
  <c r="L438" i="7"/>
  <c r="J438" i="7"/>
  <c r="U437" i="7"/>
  <c r="P437" i="7"/>
  <c r="O437" i="7"/>
  <c r="M437" i="7"/>
  <c r="S437" i="7" s="1"/>
  <c r="L437" i="7"/>
  <c r="J437" i="7"/>
  <c r="S436" i="7"/>
  <c r="O436" i="7"/>
  <c r="P436" i="7" s="1"/>
  <c r="M436" i="7"/>
  <c r="U436" i="7" s="1"/>
  <c r="L436" i="7"/>
  <c r="J436" i="7"/>
  <c r="P435" i="7"/>
  <c r="O435" i="7"/>
  <c r="M435" i="7"/>
  <c r="S435" i="7" s="1"/>
  <c r="L435" i="7"/>
  <c r="J435" i="7"/>
  <c r="S434" i="7"/>
  <c r="O434" i="7"/>
  <c r="P434" i="7" s="1"/>
  <c r="M434" i="7"/>
  <c r="U434" i="7" s="1"/>
  <c r="L434" i="7"/>
  <c r="J434" i="7"/>
  <c r="P433" i="7"/>
  <c r="O433" i="7"/>
  <c r="M433" i="7"/>
  <c r="L433" i="7"/>
  <c r="J433" i="7"/>
  <c r="S432" i="7"/>
  <c r="O432" i="7"/>
  <c r="P432" i="7" s="1"/>
  <c r="M432" i="7"/>
  <c r="U432" i="7" s="1"/>
  <c r="L432" i="7"/>
  <c r="J432" i="7"/>
  <c r="P431" i="7"/>
  <c r="O431" i="7"/>
  <c r="M431" i="7"/>
  <c r="S431" i="7" s="1"/>
  <c r="L431" i="7"/>
  <c r="J431" i="7"/>
  <c r="S430" i="7"/>
  <c r="O430" i="7"/>
  <c r="P430" i="7" s="1"/>
  <c r="M430" i="7"/>
  <c r="U430" i="7" s="1"/>
  <c r="L430" i="7"/>
  <c r="J430" i="7"/>
  <c r="U429" i="7"/>
  <c r="P429" i="7"/>
  <c r="O429" i="7"/>
  <c r="M429" i="7"/>
  <c r="S429" i="7" s="1"/>
  <c r="L429" i="7"/>
  <c r="J429" i="7"/>
  <c r="S428" i="7"/>
  <c r="O428" i="7"/>
  <c r="P428" i="7" s="1"/>
  <c r="M428" i="7"/>
  <c r="U428" i="7" s="1"/>
  <c r="L428" i="7"/>
  <c r="J428" i="7"/>
  <c r="P427" i="7"/>
  <c r="O427" i="7"/>
  <c r="M427" i="7"/>
  <c r="S427" i="7" s="1"/>
  <c r="L427" i="7"/>
  <c r="J427" i="7"/>
  <c r="S426" i="7"/>
  <c r="O426" i="7"/>
  <c r="P426" i="7" s="1"/>
  <c r="M426" i="7"/>
  <c r="U426" i="7" s="1"/>
  <c r="L426" i="7"/>
  <c r="J426" i="7"/>
  <c r="P425" i="7"/>
  <c r="O425" i="7"/>
  <c r="M425" i="7"/>
  <c r="S425" i="7" s="1"/>
  <c r="L425" i="7"/>
  <c r="J425" i="7"/>
  <c r="S424" i="7"/>
  <c r="O424" i="7"/>
  <c r="P424" i="7" s="1"/>
  <c r="M424" i="7"/>
  <c r="U424" i="7" s="1"/>
  <c r="L424" i="7"/>
  <c r="J424" i="7"/>
  <c r="P423" i="7"/>
  <c r="O423" i="7"/>
  <c r="M423" i="7"/>
  <c r="S423" i="7" s="1"/>
  <c r="L423" i="7"/>
  <c r="J423" i="7"/>
  <c r="S422" i="7"/>
  <c r="O422" i="7"/>
  <c r="P422" i="7" s="1"/>
  <c r="M422" i="7"/>
  <c r="U422" i="7" s="1"/>
  <c r="L422" i="7"/>
  <c r="J422" i="7"/>
  <c r="U421" i="7"/>
  <c r="P421" i="7"/>
  <c r="O421" i="7"/>
  <c r="M421" i="7"/>
  <c r="S421" i="7" s="1"/>
  <c r="L421" i="7"/>
  <c r="J421" i="7"/>
  <c r="S420" i="7"/>
  <c r="O420" i="7"/>
  <c r="P420" i="7" s="1"/>
  <c r="M420" i="7"/>
  <c r="U420" i="7" s="1"/>
  <c r="L420" i="7"/>
  <c r="J420" i="7"/>
  <c r="P419" i="7"/>
  <c r="O419" i="7"/>
  <c r="M419" i="7"/>
  <c r="S419" i="7" s="1"/>
  <c r="L419" i="7"/>
  <c r="J419" i="7"/>
  <c r="S418" i="7"/>
  <c r="O418" i="7"/>
  <c r="P418" i="7" s="1"/>
  <c r="M418" i="7"/>
  <c r="U418" i="7" s="1"/>
  <c r="L418" i="7"/>
  <c r="J418" i="7"/>
  <c r="P417" i="7"/>
  <c r="O417" i="7"/>
  <c r="M417" i="7"/>
  <c r="L417" i="7"/>
  <c r="J417" i="7"/>
  <c r="S416" i="7"/>
  <c r="O416" i="7"/>
  <c r="P416" i="7" s="1"/>
  <c r="M416" i="7"/>
  <c r="U416" i="7" s="1"/>
  <c r="L416" i="7"/>
  <c r="J416" i="7"/>
  <c r="P415" i="7"/>
  <c r="O415" i="7"/>
  <c r="M415" i="7"/>
  <c r="S415" i="7" s="1"/>
  <c r="L415" i="7"/>
  <c r="J415" i="7"/>
  <c r="S414" i="7"/>
  <c r="O414" i="7"/>
  <c r="P414" i="7" s="1"/>
  <c r="M414" i="7"/>
  <c r="U414" i="7" s="1"/>
  <c r="L414" i="7"/>
  <c r="J414" i="7"/>
  <c r="U413" i="7"/>
  <c r="P413" i="7"/>
  <c r="O413" i="7"/>
  <c r="M413" i="7"/>
  <c r="S413" i="7" s="1"/>
  <c r="L413" i="7"/>
  <c r="J413" i="7"/>
  <c r="S412" i="7"/>
  <c r="O412" i="7"/>
  <c r="P412" i="7" s="1"/>
  <c r="M412" i="7"/>
  <c r="U412" i="7" s="1"/>
  <c r="L412" i="7"/>
  <c r="J412" i="7"/>
  <c r="P411" i="7"/>
  <c r="O411" i="7"/>
  <c r="M411" i="7"/>
  <c r="S411" i="7" s="1"/>
  <c r="L411" i="7"/>
  <c r="J411" i="7"/>
  <c r="S410" i="7"/>
  <c r="O410" i="7"/>
  <c r="P410" i="7" s="1"/>
  <c r="M410" i="7"/>
  <c r="U410" i="7" s="1"/>
  <c r="L410" i="7"/>
  <c r="J410" i="7"/>
  <c r="P409" i="7"/>
  <c r="O409" i="7"/>
  <c r="M409" i="7"/>
  <c r="S409" i="7" s="1"/>
  <c r="L409" i="7"/>
  <c r="J409" i="7"/>
  <c r="S408" i="7"/>
  <c r="O408" i="7"/>
  <c r="P408" i="7" s="1"/>
  <c r="M408" i="7"/>
  <c r="U408" i="7" s="1"/>
  <c r="L408" i="7"/>
  <c r="J408" i="7"/>
  <c r="P407" i="7"/>
  <c r="O407" i="7"/>
  <c r="M407" i="7"/>
  <c r="S407" i="7" s="1"/>
  <c r="L407" i="7"/>
  <c r="J407" i="7"/>
  <c r="S406" i="7"/>
  <c r="O406" i="7"/>
  <c r="P406" i="7" s="1"/>
  <c r="M406" i="7"/>
  <c r="U406" i="7" s="1"/>
  <c r="L406" i="7"/>
  <c r="J406" i="7"/>
  <c r="U405" i="7"/>
  <c r="P405" i="7"/>
  <c r="O405" i="7"/>
  <c r="M405" i="7"/>
  <c r="S405" i="7" s="1"/>
  <c r="L405" i="7"/>
  <c r="J405" i="7"/>
  <c r="S404" i="7"/>
  <c r="O404" i="7"/>
  <c r="P404" i="7" s="1"/>
  <c r="M404" i="7"/>
  <c r="U404" i="7" s="1"/>
  <c r="L404" i="7"/>
  <c r="J404" i="7"/>
  <c r="P403" i="7"/>
  <c r="O403" i="7"/>
  <c r="M403" i="7"/>
  <c r="S403" i="7" s="1"/>
  <c r="L403" i="7"/>
  <c r="J403" i="7"/>
  <c r="S402" i="7"/>
  <c r="O402" i="7"/>
  <c r="P402" i="7" s="1"/>
  <c r="M402" i="7"/>
  <c r="U402" i="7" s="1"/>
  <c r="L402" i="7"/>
  <c r="J402" i="7"/>
  <c r="P401" i="7"/>
  <c r="O401" i="7"/>
  <c r="M401" i="7"/>
  <c r="L401" i="7"/>
  <c r="J401" i="7"/>
  <c r="S400" i="7"/>
  <c r="O400" i="7"/>
  <c r="P400" i="7" s="1"/>
  <c r="M400" i="7"/>
  <c r="U400" i="7" s="1"/>
  <c r="L400" i="7"/>
  <c r="J400" i="7"/>
  <c r="P399" i="7"/>
  <c r="O399" i="7"/>
  <c r="M399" i="7"/>
  <c r="S399" i="7" s="1"/>
  <c r="L399" i="7"/>
  <c r="J399" i="7"/>
  <c r="S398" i="7"/>
  <c r="O398" i="7"/>
  <c r="P398" i="7" s="1"/>
  <c r="M398" i="7"/>
  <c r="U398" i="7" s="1"/>
  <c r="L398" i="7"/>
  <c r="J398" i="7"/>
  <c r="U397" i="7"/>
  <c r="P397" i="7"/>
  <c r="O397" i="7"/>
  <c r="M397" i="7"/>
  <c r="S397" i="7" s="1"/>
  <c r="L397" i="7"/>
  <c r="J397" i="7"/>
  <c r="S396" i="7"/>
  <c r="O396" i="7"/>
  <c r="P396" i="7" s="1"/>
  <c r="M396" i="7"/>
  <c r="U396" i="7" s="1"/>
  <c r="L396" i="7"/>
  <c r="J396" i="7"/>
  <c r="P395" i="7"/>
  <c r="O395" i="7"/>
  <c r="M395" i="7"/>
  <c r="S395" i="7" s="1"/>
  <c r="L395" i="7"/>
  <c r="J395" i="7"/>
  <c r="S394" i="7"/>
  <c r="O394" i="7"/>
  <c r="P394" i="7" s="1"/>
  <c r="M394" i="7"/>
  <c r="U394" i="7" s="1"/>
  <c r="L394" i="7"/>
  <c r="J394" i="7"/>
  <c r="P393" i="7"/>
  <c r="O393" i="7"/>
  <c r="M393" i="7"/>
  <c r="S393" i="7" s="1"/>
  <c r="L393" i="7"/>
  <c r="J393" i="7"/>
  <c r="S392" i="7"/>
  <c r="O392" i="7"/>
  <c r="P392" i="7" s="1"/>
  <c r="M392" i="7"/>
  <c r="U392" i="7" s="1"/>
  <c r="L392" i="7"/>
  <c r="J392" i="7"/>
  <c r="P391" i="7"/>
  <c r="O391" i="7"/>
  <c r="M391" i="7"/>
  <c r="S391" i="7" s="1"/>
  <c r="L391" i="7"/>
  <c r="J391" i="7"/>
  <c r="S390" i="7"/>
  <c r="O390" i="7"/>
  <c r="P390" i="7" s="1"/>
  <c r="M390" i="7"/>
  <c r="U390" i="7" s="1"/>
  <c r="L390" i="7"/>
  <c r="J390" i="7"/>
  <c r="U389" i="7"/>
  <c r="P389" i="7"/>
  <c r="O389" i="7"/>
  <c r="M389" i="7"/>
  <c r="S389" i="7" s="1"/>
  <c r="L389" i="7"/>
  <c r="J389" i="7"/>
  <c r="S388" i="7"/>
  <c r="O388" i="7"/>
  <c r="P388" i="7" s="1"/>
  <c r="M388" i="7"/>
  <c r="U388" i="7" s="1"/>
  <c r="L388" i="7"/>
  <c r="J388" i="7"/>
  <c r="P387" i="7"/>
  <c r="O387" i="7"/>
  <c r="M387" i="7"/>
  <c r="S387" i="7" s="1"/>
  <c r="L387" i="7"/>
  <c r="J387" i="7"/>
  <c r="S386" i="7"/>
  <c r="O386" i="7"/>
  <c r="P386" i="7" s="1"/>
  <c r="M386" i="7"/>
  <c r="U386" i="7" s="1"/>
  <c r="L386" i="7"/>
  <c r="J386" i="7"/>
  <c r="P385" i="7"/>
  <c r="O385" i="7"/>
  <c r="M385" i="7"/>
  <c r="L385" i="7"/>
  <c r="J385" i="7"/>
  <c r="S384" i="7"/>
  <c r="O384" i="7"/>
  <c r="P384" i="7" s="1"/>
  <c r="M384" i="7"/>
  <c r="U384" i="7" s="1"/>
  <c r="L384" i="7"/>
  <c r="J384" i="7"/>
  <c r="P383" i="7"/>
  <c r="O383" i="7"/>
  <c r="M383" i="7"/>
  <c r="S383" i="7" s="1"/>
  <c r="L383" i="7"/>
  <c r="J383" i="7"/>
  <c r="S382" i="7"/>
  <c r="O382" i="7"/>
  <c r="P382" i="7" s="1"/>
  <c r="M382" i="7"/>
  <c r="U382" i="7" s="1"/>
  <c r="L382" i="7"/>
  <c r="J382" i="7"/>
  <c r="U381" i="7"/>
  <c r="P381" i="7"/>
  <c r="O381" i="7"/>
  <c r="M381" i="7"/>
  <c r="S381" i="7" s="1"/>
  <c r="L381" i="7"/>
  <c r="J381" i="7"/>
  <c r="S380" i="7"/>
  <c r="O380" i="7"/>
  <c r="P380" i="7" s="1"/>
  <c r="M380" i="7"/>
  <c r="U380" i="7" s="1"/>
  <c r="L380" i="7"/>
  <c r="J380" i="7"/>
  <c r="P379" i="7"/>
  <c r="O379" i="7"/>
  <c r="M379" i="7"/>
  <c r="S379" i="7" s="1"/>
  <c r="L379" i="7"/>
  <c r="J379" i="7"/>
  <c r="S378" i="7"/>
  <c r="O378" i="7"/>
  <c r="P378" i="7" s="1"/>
  <c r="M378" i="7"/>
  <c r="U378" i="7" s="1"/>
  <c r="L378" i="7"/>
  <c r="J378" i="7"/>
  <c r="P377" i="7"/>
  <c r="O377" i="7"/>
  <c r="M377" i="7"/>
  <c r="S377" i="7" s="1"/>
  <c r="L377" i="7"/>
  <c r="J377" i="7"/>
  <c r="S376" i="7"/>
  <c r="O376" i="7"/>
  <c r="P376" i="7" s="1"/>
  <c r="M376" i="7"/>
  <c r="U376" i="7" s="1"/>
  <c r="L376" i="7"/>
  <c r="J376" i="7"/>
  <c r="P375" i="7"/>
  <c r="O375" i="7"/>
  <c r="M375" i="7"/>
  <c r="S375" i="7" s="1"/>
  <c r="L375" i="7"/>
  <c r="J375" i="7"/>
  <c r="S374" i="7"/>
  <c r="O374" i="7"/>
  <c r="P374" i="7" s="1"/>
  <c r="M374" i="7"/>
  <c r="U374" i="7" s="1"/>
  <c r="L374" i="7"/>
  <c r="J374" i="7"/>
  <c r="U373" i="7"/>
  <c r="P373" i="7"/>
  <c r="O373" i="7"/>
  <c r="M373" i="7"/>
  <c r="S373" i="7" s="1"/>
  <c r="L373" i="7"/>
  <c r="J373" i="7"/>
  <c r="S372" i="7"/>
  <c r="O372" i="7"/>
  <c r="P372" i="7" s="1"/>
  <c r="M372" i="7"/>
  <c r="U372" i="7" s="1"/>
  <c r="L372" i="7"/>
  <c r="J372" i="7"/>
  <c r="P371" i="7"/>
  <c r="O371" i="7"/>
  <c r="M371" i="7"/>
  <c r="S371" i="7" s="1"/>
  <c r="L371" i="7"/>
  <c r="J371" i="7"/>
  <c r="S370" i="7"/>
  <c r="O370" i="7"/>
  <c r="P370" i="7" s="1"/>
  <c r="M370" i="7"/>
  <c r="U370" i="7" s="1"/>
  <c r="L370" i="7"/>
  <c r="J370" i="7"/>
  <c r="P369" i="7"/>
  <c r="O369" i="7"/>
  <c r="M369" i="7"/>
  <c r="L369" i="7"/>
  <c r="J369" i="7"/>
  <c r="S368" i="7"/>
  <c r="O368" i="7"/>
  <c r="P368" i="7" s="1"/>
  <c r="M368" i="7"/>
  <c r="U368" i="7" s="1"/>
  <c r="L368" i="7"/>
  <c r="J368" i="7"/>
  <c r="P367" i="7"/>
  <c r="O367" i="7"/>
  <c r="M367" i="7"/>
  <c r="S367" i="7" s="1"/>
  <c r="L367" i="7"/>
  <c r="J367" i="7"/>
  <c r="S366" i="7"/>
  <c r="O366" i="7"/>
  <c r="P366" i="7" s="1"/>
  <c r="M366" i="7"/>
  <c r="U366" i="7" s="1"/>
  <c r="L366" i="7"/>
  <c r="J366" i="7"/>
  <c r="U365" i="7"/>
  <c r="P365" i="7"/>
  <c r="O365" i="7"/>
  <c r="M365" i="7"/>
  <c r="S365" i="7" s="1"/>
  <c r="L365" i="7"/>
  <c r="J365" i="7"/>
  <c r="S364" i="7"/>
  <c r="O364" i="7"/>
  <c r="P364" i="7" s="1"/>
  <c r="M364" i="7"/>
  <c r="U364" i="7" s="1"/>
  <c r="L364" i="7"/>
  <c r="J364" i="7"/>
  <c r="P363" i="7"/>
  <c r="O363" i="7"/>
  <c r="M363" i="7"/>
  <c r="S363" i="7" s="1"/>
  <c r="L363" i="7"/>
  <c r="J363" i="7"/>
  <c r="S362" i="7"/>
  <c r="O362" i="7"/>
  <c r="P362" i="7" s="1"/>
  <c r="M362" i="7"/>
  <c r="U362" i="7" s="1"/>
  <c r="L362" i="7"/>
  <c r="J362" i="7"/>
  <c r="P361" i="7"/>
  <c r="O361" i="7"/>
  <c r="M361" i="7"/>
  <c r="S361" i="7" s="1"/>
  <c r="L361" i="7"/>
  <c r="J361" i="7"/>
  <c r="S360" i="7"/>
  <c r="O360" i="7"/>
  <c r="P360" i="7" s="1"/>
  <c r="M360" i="7"/>
  <c r="U360" i="7" s="1"/>
  <c r="L360" i="7"/>
  <c r="J360" i="7"/>
  <c r="P359" i="7"/>
  <c r="O359" i="7"/>
  <c r="M359" i="7"/>
  <c r="S359" i="7" s="1"/>
  <c r="L359" i="7"/>
  <c r="J359" i="7"/>
  <c r="S358" i="7"/>
  <c r="O358" i="7"/>
  <c r="P358" i="7" s="1"/>
  <c r="M358" i="7"/>
  <c r="U358" i="7" s="1"/>
  <c r="L358" i="7"/>
  <c r="J358" i="7"/>
  <c r="U357" i="7"/>
  <c r="P357" i="7"/>
  <c r="O357" i="7"/>
  <c r="M357" i="7"/>
  <c r="S357" i="7" s="1"/>
  <c r="L357" i="7"/>
  <c r="J357" i="7"/>
  <c r="S356" i="7"/>
  <c r="O356" i="7"/>
  <c r="P356" i="7" s="1"/>
  <c r="M356" i="7"/>
  <c r="U356" i="7" s="1"/>
  <c r="L356" i="7"/>
  <c r="J356" i="7"/>
  <c r="P355" i="7"/>
  <c r="O355" i="7"/>
  <c r="M355" i="7"/>
  <c r="S355" i="7" s="1"/>
  <c r="L355" i="7"/>
  <c r="J355" i="7"/>
  <c r="S354" i="7"/>
  <c r="O354" i="7"/>
  <c r="P354" i="7" s="1"/>
  <c r="M354" i="7"/>
  <c r="U354" i="7" s="1"/>
  <c r="L354" i="7"/>
  <c r="J354" i="7"/>
  <c r="P353" i="7"/>
  <c r="O353" i="7"/>
  <c r="M353" i="7"/>
  <c r="L353" i="7"/>
  <c r="J353" i="7"/>
  <c r="S352" i="7"/>
  <c r="O352" i="7"/>
  <c r="P352" i="7" s="1"/>
  <c r="M352" i="7"/>
  <c r="U352" i="7" s="1"/>
  <c r="L352" i="7"/>
  <c r="J352" i="7"/>
  <c r="P351" i="7"/>
  <c r="O351" i="7"/>
  <c r="M351" i="7"/>
  <c r="S351" i="7" s="1"/>
  <c r="L351" i="7"/>
  <c r="J351" i="7"/>
  <c r="S350" i="7"/>
  <c r="O350" i="7"/>
  <c r="P350" i="7" s="1"/>
  <c r="M350" i="7"/>
  <c r="U350" i="7" s="1"/>
  <c r="L350" i="7"/>
  <c r="J350" i="7"/>
  <c r="U349" i="7"/>
  <c r="P349" i="7"/>
  <c r="O349" i="7"/>
  <c r="M349" i="7"/>
  <c r="S349" i="7" s="1"/>
  <c r="L349" i="7"/>
  <c r="J349" i="7"/>
  <c r="S348" i="7"/>
  <c r="O348" i="7"/>
  <c r="P348" i="7" s="1"/>
  <c r="M348" i="7"/>
  <c r="U348" i="7" s="1"/>
  <c r="L348" i="7"/>
  <c r="J348" i="7"/>
  <c r="P347" i="7"/>
  <c r="O347" i="7"/>
  <c r="M347" i="7"/>
  <c r="S347" i="7" s="1"/>
  <c r="L347" i="7"/>
  <c r="J347" i="7"/>
  <c r="S346" i="7"/>
  <c r="O346" i="7"/>
  <c r="P346" i="7" s="1"/>
  <c r="M346" i="7"/>
  <c r="U346" i="7" s="1"/>
  <c r="L346" i="7"/>
  <c r="J346" i="7"/>
  <c r="P345" i="7"/>
  <c r="O345" i="7"/>
  <c r="M345" i="7"/>
  <c r="S345" i="7" s="1"/>
  <c r="L345" i="7"/>
  <c r="J345" i="7"/>
  <c r="S344" i="7"/>
  <c r="O344" i="7"/>
  <c r="P344" i="7" s="1"/>
  <c r="M344" i="7"/>
  <c r="U344" i="7" s="1"/>
  <c r="L344" i="7"/>
  <c r="J344" i="7"/>
  <c r="P343" i="7"/>
  <c r="O343" i="7"/>
  <c r="M343" i="7"/>
  <c r="S343" i="7" s="1"/>
  <c r="L343" i="7"/>
  <c r="J343" i="7"/>
  <c r="S342" i="7"/>
  <c r="O342" i="7"/>
  <c r="P342" i="7" s="1"/>
  <c r="M342" i="7"/>
  <c r="U342" i="7" s="1"/>
  <c r="L342" i="7"/>
  <c r="J342" i="7"/>
  <c r="U341" i="7"/>
  <c r="P341" i="7"/>
  <c r="O341" i="7"/>
  <c r="M341" i="7"/>
  <c r="S341" i="7" s="1"/>
  <c r="L341" i="7"/>
  <c r="J341" i="7"/>
  <c r="S340" i="7"/>
  <c r="O340" i="7"/>
  <c r="P340" i="7" s="1"/>
  <c r="M340" i="7"/>
  <c r="U340" i="7" s="1"/>
  <c r="L340" i="7"/>
  <c r="J340" i="7"/>
  <c r="P339" i="7"/>
  <c r="O339" i="7"/>
  <c r="M339" i="7"/>
  <c r="S339" i="7" s="1"/>
  <c r="L339" i="7"/>
  <c r="J339" i="7"/>
  <c r="S338" i="7"/>
  <c r="O338" i="7"/>
  <c r="P338" i="7" s="1"/>
  <c r="M338" i="7"/>
  <c r="U338" i="7" s="1"/>
  <c r="L338" i="7"/>
  <c r="J338" i="7"/>
  <c r="P337" i="7"/>
  <c r="O337" i="7"/>
  <c r="M337" i="7"/>
  <c r="L337" i="7"/>
  <c r="J337" i="7"/>
  <c r="S336" i="7"/>
  <c r="O336" i="7"/>
  <c r="P336" i="7" s="1"/>
  <c r="M336" i="7"/>
  <c r="U336" i="7" s="1"/>
  <c r="L336" i="7"/>
  <c r="J336" i="7"/>
  <c r="P335" i="7"/>
  <c r="O335" i="7"/>
  <c r="M335" i="7"/>
  <c r="S335" i="7" s="1"/>
  <c r="L335" i="7"/>
  <c r="J335" i="7"/>
  <c r="S334" i="7"/>
  <c r="O334" i="7"/>
  <c r="P334" i="7" s="1"/>
  <c r="M334" i="7"/>
  <c r="U334" i="7" s="1"/>
  <c r="L334" i="7"/>
  <c r="J334" i="7"/>
  <c r="U333" i="7"/>
  <c r="P333" i="7"/>
  <c r="O333" i="7"/>
  <c r="M333" i="7"/>
  <c r="S333" i="7" s="1"/>
  <c r="L333" i="7"/>
  <c r="J333" i="7"/>
  <c r="S332" i="7"/>
  <c r="O332" i="7"/>
  <c r="P332" i="7" s="1"/>
  <c r="M332" i="7"/>
  <c r="U332" i="7" s="1"/>
  <c r="L332" i="7"/>
  <c r="J332" i="7"/>
  <c r="P331" i="7"/>
  <c r="O331" i="7"/>
  <c r="M331" i="7"/>
  <c r="S331" i="7" s="1"/>
  <c r="L331" i="7"/>
  <c r="J331" i="7"/>
  <c r="S330" i="7"/>
  <c r="O330" i="7"/>
  <c r="P330" i="7" s="1"/>
  <c r="M330" i="7"/>
  <c r="U330" i="7" s="1"/>
  <c r="L330" i="7"/>
  <c r="J330" i="7"/>
  <c r="P329" i="7"/>
  <c r="O329" i="7"/>
  <c r="M329" i="7"/>
  <c r="S329" i="7" s="1"/>
  <c r="L329" i="7"/>
  <c r="J329" i="7"/>
  <c r="S328" i="7"/>
  <c r="O328" i="7"/>
  <c r="P328" i="7" s="1"/>
  <c r="M328" i="7"/>
  <c r="U328" i="7" s="1"/>
  <c r="L328" i="7"/>
  <c r="J328" i="7"/>
  <c r="P327" i="7"/>
  <c r="O327" i="7"/>
  <c r="M327" i="7"/>
  <c r="S327" i="7" s="1"/>
  <c r="L327" i="7"/>
  <c r="J327" i="7"/>
  <c r="S326" i="7"/>
  <c r="O326" i="7"/>
  <c r="P326" i="7" s="1"/>
  <c r="M326" i="7"/>
  <c r="U326" i="7" s="1"/>
  <c r="L326" i="7"/>
  <c r="J326" i="7"/>
  <c r="U325" i="7"/>
  <c r="P325" i="7"/>
  <c r="O325" i="7"/>
  <c r="M325" i="7"/>
  <c r="S325" i="7" s="1"/>
  <c r="L325" i="7"/>
  <c r="J325" i="7"/>
  <c r="S324" i="7"/>
  <c r="O324" i="7"/>
  <c r="P324" i="7" s="1"/>
  <c r="M324" i="7"/>
  <c r="U324" i="7" s="1"/>
  <c r="L324" i="7"/>
  <c r="J324" i="7"/>
  <c r="P323" i="7"/>
  <c r="O323" i="7"/>
  <c r="M323" i="7"/>
  <c r="S323" i="7" s="1"/>
  <c r="L323" i="7"/>
  <c r="J323" i="7"/>
  <c r="S322" i="7"/>
  <c r="O322" i="7"/>
  <c r="P322" i="7" s="1"/>
  <c r="M322" i="7"/>
  <c r="U322" i="7" s="1"/>
  <c r="L322" i="7"/>
  <c r="J322" i="7"/>
  <c r="P321" i="7"/>
  <c r="O321" i="7"/>
  <c r="M321" i="7"/>
  <c r="L321" i="7"/>
  <c r="J321" i="7"/>
  <c r="S320" i="7"/>
  <c r="O320" i="7"/>
  <c r="P320" i="7" s="1"/>
  <c r="M320" i="7"/>
  <c r="U320" i="7" s="1"/>
  <c r="L320" i="7"/>
  <c r="J320" i="7"/>
  <c r="P319" i="7"/>
  <c r="O319" i="7"/>
  <c r="M319" i="7"/>
  <c r="S319" i="7" s="1"/>
  <c r="L319" i="7"/>
  <c r="J319" i="7"/>
  <c r="S318" i="7"/>
  <c r="O318" i="7"/>
  <c r="P318" i="7" s="1"/>
  <c r="M318" i="7"/>
  <c r="U318" i="7" s="1"/>
  <c r="L318" i="7"/>
  <c r="J318" i="7"/>
  <c r="U317" i="7"/>
  <c r="P317" i="7"/>
  <c r="O317" i="7"/>
  <c r="M317" i="7"/>
  <c r="S317" i="7" s="1"/>
  <c r="L317" i="7"/>
  <c r="J317" i="7"/>
  <c r="S316" i="7"/>
  <c r="O316" i="7"/>
  <c r="P316" i="7" s="1"/>
  <c r="M316" i="7"/>
  <c r="U316" i="7" s="1"/>
  <c r="L316" i="7"/>
  <c r="J316" i="7"/>
  <c r="P315" i="7"/>
  <c r="O315" i="7"/>
  <c r="M315" i="7"/>
  <c r="S315" i="7" s="1"/>
  <c r="L315" i="7"/>
  <c r="J315" i="7"/>
  <c r="S314" i="7"/>
  <c r="O314" i="7"/>
  <c r="P314" i="7" s="1"/>
  <c r="M314" i="7"/>
  <c r="U314" i="7" s="1"/>
  <c r="L314" i="7"/>
  <c r="J314" i="7"/>
  <c r="P313" i="7"/>
  <c r="O313" i="7"/>
  <c r="M313" i="7"/>
  <c r="S313" i="7" s="1"/>
  <c r="L313" i="7"/>
  <c r="J313" i="7"/>
  <c r="S312" i="7"/>
  <c r="O312" i="7"/>
  <c r="P312" i="7" s="1"/>
  <c r="M312" i="7"/>
  <c r="U312" i="7" s="1"/>
  <c r="L312" i="7"/>
  <c r="J312" i="7"/>
  <c r="P311" i="7"/>
  <c r="O311" i="7"/>
  <c r="M311" i="7"/>
  <c r="S311" i="7" s="1"/>
  <c r="L311" i="7"/>
  <c r="J311" i="7"/>
  <c r="S310" i="7"/>
  <c r="O310" i="7"/>
  <c r="P310" i="7" s="1"/>
  <c r="M310" i="7"/>
  <c r="U310" i="7" s="1"/>
  <c r="L310" i="7"/>
  <c r="J310" i="7"/>
  <c r="U309" i="7"/>
  <c r="P309" i="7"/>
  <c r="O309" i="7"/>
  <c r="M309" i="7"/>
  <c r="S309" i="7" s="1"/>
  <c r="L309" i="7"/>
  <c r="J309" i="7"/>
  <c r="S308" i="7"/>
  <c r="O308" i="7"/>
  <c r="P308" i="7" s="1"/>
  <c r="M308" i="7"/>
  <c r="U308" i="7" s="1"/>
  <c r="L308" i="7"/>
  <c r="J308" i="7"/>
  <c r="P307" i="7"/>
  <c r="O307" i="7"/>
  <c r="M307" i="7"/>
  <c r="S307" i="7" s="1"/>
  <c r="L307" i="7"/>
  <c r="J307" i="7"/>
  <c r="S306" i="7"/>
  <c r="O306" i="7"/>
  <c r="P306" i="7" s="1"/>
  <c r="M306" i="7"/>
  <c r="U306" i="7" s="1"/>
  <c r="L306" i="7"/>
  <c r="J306" i="7"/>
  <c r="P305" i="7"/>
  <c r="O305" i="7"/>
  <c r="M305" i="7"/>
  <c r="L305" i="7"/>
  <c r="J305" i="7"/>
  <c r="S304" i="7"/>
  <c r="O304" i="7"/>
  <c r="P304" i="7" s="1"/>
  <c r="M304" i="7"/>
  <c r="U304" i="7" s="1"/>
  <c r="L304" i="7"/>
  <c r="J304" i="7"/>
  <c r="P303" i="7"/>
  <c r="O303" i="7"/>
  <c r="M303" i="7"/>
  <c r="S303" i="7" s="1"/>
  <c r="L303" i="7"/>
  <c r="J303" i="7"/>
  <c r="S302" i="7"/>
  <c r="O302" i="7"/>
  <c r="P302" i="7" s="1"/>
  <c r="M302" i="7"/>
  <c r="U302" i="7" s="1"/>
  <c r="L302" i="7"/>
  <c r="J302" i="7"/>
  <c r="U301" i="7"/>
  <c r="P301" i="7"/>
  <c r="O301" i="7"/>
  <c r="M301" i="7"/>
  <c r="S301" i="7" s="1"/>
  <c r="L301" i="7"/>
  <c r="J301" i="7"/>
  <c r="S300" i="7"/>
  <c r="O300" i="7"/>
  <c r="P300" i="7" s="1"/>
  <c r="M300" i="7"/>
  <c r="U300" i="7" s="1"/>
  <c r="L300" i="7"/>
  <c r="J300" i="7"/>
  <c r="P299" i="7"/>
  <c r="O299" i="7"/>
  <c r="M299" i="7"/>
  <c r="S299" i="7" s="1"/>
  <c r="L299" i="7"/>
  <c r="J299" i="7"/>
  <c r="S298" i="7"/>
  <c r="O298" i="7"/>
  <c r="P298" i="7" s="1"/>
  <c r="M298" i="7"/>
  <c r="U298" i="7" s="1"/>
  <c r="L298" i="7"/>
  <c r="J298" i="7"/>
  <c r="P297" i="7"/>
  <c r="O297" i="7"/>
  <c r="M297" i="7"/>
  <c r="S297" i="7" s="1"/>
  <c r="L297" i="7"/>
  <c r="J297" i="7"/>
  <c r="S296" i="7"/>
  <c r="O296" i="7"/>
  <c r="P296" i="7" s="1"/>
  <c r="M296" i="7"/>
  <c r="U296" i="7" s="1"/>
  <c r="L296" i="7"/>
  <c r="J296" i="7"/>
  <c r="P295" i="7"/>
  <c r="O295" i="7"/>
  <c r="M295" i="7"/>
  <c r="S295" i="7" s="1"/>
  <c r="L295" i="7"/>
  <c r="J295" i="7"/>
  <c r="S294" i="7"/>
  <c r="O294" i="7"/>
  <c r="P294" i="7" s="1"/>
  <c r="M294" i="7"/>
  <c r="U294" i="7" s="1"/>
  <c r="L294" i="7"/>
  <c r="J294" i="7"/>
  <c r="U293" i="7"/>
  <c r="P293" i="7"/>
  <c r="O293" i="7"/>
  <c r="M293" i="7"/>
  <c r="S293" i="7" s="1"/>
  <c r="L293" i="7"/>
  <c r="J293" i="7"/>
  <c r="S292" i="7"/>
  <c r="O292" i="7"/>
  <c r="P292" i="7" s="1"/>
  <c r="M292" i="7"/>
  <c r="U292" i="7" s="1"/>
  <c r="L292" i="7"/>
  <c r="J292" i="7"/>
  <c r="P291" i="7"/>
  <c r="O291" i="7"/>
  <c r="M291" i="7"/>
  <c r="S291" i="7" s="1"/>
  <c r="L291" i="7"/>
  <c r="J291" i="7"/>
  <c r="S290" i="7"/>
  <c r="O290" i="7"/>
  <c r="P290" i="7" s="1"/>
  <c r="M290" i="7"/>
  <c r="U290" i="7" s="1"/>
  <c r="L290" i="7"/>
  <c r="J290" i="7"/>
  <c r="P289" i="7"/>
  <c r="O289" i="7"/>
  <c r="M289" i="7"/>
  <c r="L289" i="7"/>
  <c r="J289" i="7"/>
  <c r="S288" i="7"/>
  <c r="O288" i="7"/>
  <c r="P288" i="7" s="1"/>
  <c r="M288" i="7"/>
  <c r="U288" i="7" s="1"/>
  <c r="L288" i="7"/>
  <c r="J288" i="7"/>
  <c r="P287" i="7"/>
  <c r="O287" i="7"/>
  <c r="M287" i="7"/>
  <c r="S287" i="7" s="1"/>
  <c r="L287" i="7"/>
  <c r="J287" i="7"/>
  <c r="S286" i="7"/>
  <c r="O286" i="7"/>
  <c r="P286" i="7" s="1"/>
  <c r="M286" i="7"/>
  <c r="U286" i="7" s="1"/>
  <c r="L286" i="7"/>
  <c r="J286" i="7"/>
  <c r="U285" i="7"/>
  <c r="P285" i="7"/>
  <c r="O285" i="7"/>
  <c r="M285" i="7"/>
  <c r="S285" i="7" s="1"/>
  <c r="L285" i="7"/>
  <c r="J285" i="7"/>
  <c r="S284" i="7"/>
  <c r="O284" i="7"/>
  <c r="P284" i="7" s="1"/>
  <c r="M284" i="7"/>
  <c r="U284" i="7" s="1"/>
  <c r="L284" i="7"/>
  <c r="J284" i="7"/>
  <c r="P283" i="7"/>
  <c r="O283" i="7"/>
  <c r="M283" i="7"/>
  <c r="S283" i="7" s="1"/>
  <c r="L283" i="7"/>
  <c r="J283" i="7"/>
  <c r="S282" i="7"/>
  <c r="O282" i="7"/>
  <c r="P282" i="7" s="1"/>
  <c r="M282" i="7"/>
  <c r="U282" i="7" s="1"/>
  <c r="L282" i="7"/>
  <c r="J282" i="7"/>
  <c r="P281" i="7"/>
  <c r="O281" i="7"/>
  <c r="M281" i="7"/>
  <c r="S281" i="7" s="1"/>
  <c r="L281" i="7"/>
  <c r="J281" i="7"/>
  <c r="S280" i="7"/>
  <c r="O280" i="7"/>
  <c r="P280" i="7" s="1"/>
  <c r="M280" i="7"/>
  <c r="U280" i="7" s="1"/>
  <c r="L280" i="7"/>
  <c r="J280" i="7"/>
  <c r="P279" i="7"/>
  <c r="O279" i="7"/>
  <c r="M279" i="7"/>
  <c r="S279" i="7" s="1"/>
  <c r="L279" i="7"/>
  <c r="J279" i="7"/>
  <c r="O278" i="7"/>
  <c r="P278" i="7" s="1"/>
  <c r="M278" i="7"/>
  <c r="S278" i="7" s="1"/>
  <c r="L278" i="7"/>
  <c r="J278" i="7"/>
  <c r="U277" i="7"/>
  <c r="P277" i="7"/>
  <c r="O277" i="7"/>
  <c r="M277" i="7"/>
  <c r="S277" i="7" s="1"/>
  <c r="L277" i="7"/>
  <c r="J277" i="7"/>
  <c r="S276" i="7"/>
  <c r="P276" i="7"/>
  <c r="O276" i="7"/>
  <c r="M276" i="7"/>
  <c r="U276" i="7" s="1"/>
  <c r="L276" i="7"/>
  <c r="J276" i="7"/>
  <c r="O275" i="7"/>
  <c r="P275" i="7" s="1"/>
  <c r="M275" i="7"/>
  <c r="S275" i="7" s="1"/>
  <c r="L275" i="7"/>
  <c r="J275" i="7"/>
  <c r="O274" i="7"/>
  <c r="P274" i="7" s="1"/>
  <c r="M274" i="7"/>
  <c r="L274" i="7"/>
  <c r="J274" i="7"/>
  <c r="S273" i="7"/>
  <c r="P273" i="7"/>
  <c r="O273" i="7"/>
  <c r="M273" i="7"/>
  <c r="U273" i="7" s="1"/>
  <c r="L273" i="7"/>
  <c r="J273" i="7"/>
  <c r="S272" i="7"/>
  <c r="P272" i="7"/>
  <c r="O272" i="7"/>
  <c r="M272" i="7"/>
  <c r="U272" i="7" s="1"/>
  <c r="L272" i="7"/>
  <c r="J272" i="7"/>
  <c r="P271" i="7"/>
  <c r="O271" i="7"/>
  <c r="M271" i="7"/>
  <c r="S271" i="7" s="1"/>
  <c r="L271" i="7"/>
  <c r="J271" i="7"/>
  <c r="U270" i="7"/>
  <c r="O270" i="7"/>
  <c r="P270" i="7" s="1"/>
  <c r="M270" i="7"/>
  <c r="S270" i="7" s="1"/>
  <c r="L270" i="7"/>
  <c r="J270" i="7"/>
  <c r="P269" i="7"/>
  <c r="O269" i="7"/>
  <c r="M269" i="7"/>
  <c r="S269" i="7" s="1"/>
  <c r="L269" i="7"/>
  <c r="J269" i="7"/>
  <c r="S268" i="7"/>
  <c r="P268" i="7"/>
  <c r="O268" i="7"/>
  <c r="M268" i="7"/>
  <c r="U268" i="7" s="1"/>
  <c r="L268" i="7"/>
  <c r="J268" i="7"/>
  <c r="O267" i="7"/>
  <c r="P267" i="7" s="1"/>
  <c r="M267" i="7"/>
  <c r="S267" i="7" s="1"/>
  <c r="L267" i="7"/>
  <c r="J267" i="7"/>
  <c r="U266" i="7"/>
  <c r="O266" i="7"/>
  <c r="P266" i="7" s="1"/>
  <c r="M266" i="7"/>
  <c r="S266" i="7" s="1"/>
  <c r="L266" i="7"/>
  <c r="J266" i="7"/>
  <c r="S265" i="7"/>
  <c r="P265" i="7"/>
  <c r="O265" i="7"/>
  <c r="M265" i="7"/>
  <c r="U265" i="7" s="1"/>
  <c r="L265" i="7"/>
  <c r="J265" i="7"/>
  <c r="S264" i="7"/>
  <c r="P264" i="7"/>
  <c r="O264" i="7"/>
  <c r="M264" i="7"/>
  <c r="U264" i="7" s="1"/>
  <c r="L264" i="7"/>
  <c r="J264" i="7"/>
  <c r="P263" i="7"/>
  <c r="O263" i="7"/>
  <c r="M263" i="7"/>
  <c r="S263" i="7" s="1"/>
  <c r="L263" i="7"/>
  <c r="J263" i="7"/>
  <c r="O262" i="7"/>
  <c r="P262" i="7" s="1"/>
  <c r="M262" i="7"/>
  <c r="S262" i="7" s="1"/>
  <c r="L262" i="7"/>
  <c r="J262" i="7"/>
  <c r="P261" i="7"/>
  <c r="O261" i="7"/>
  <c r="M261" i="7"/>
  <c r="L261" i="7"/>
  <c r="J261" i="7"/>
  <c r="S260" i="7"/>
  <c r="P260" i="7"/>
  <c r="O260" i="7"/>
  <c r="M260" i="7"/>
  <c r="U260" i="7" s="1"/>
  <c r="L260" i="7"/>
  <c r="J260" i="7"/>
  <c r="O259" i="7"/>
  <c r="P259" i="7" s="1"/>
  <c r="M259" i="7"/>
  <c r="S259" i="7" s="1"/>
  <c r="L259" i="7"/>
  <c r="J259" i="7"/>
  <c r="O258" i="7"/>
  <c r="P258" i="7" s="1"/>
  <c r="M258" i="7"/>
  <c r="L258" i="7"/>
  <c r="J258" i="7"/>
  <c r="S257" i="7"/>
  <c r="P257" i="7"/>
  <c r="O257" i="7"/>
  <c r="M257" i="7"/>
  <c r="U257" i="7" s="1"/>
  <c r="L257" i="7"/>
  <c r="J257" i="7"/>
  <c r="S256" i="7"/>
  <c r="P256" i="7"/>
  <c r="O256" i="7"/>
  <c r="M256" i="7"/>
  <c r="U256" i="7" s="1"/>
  <c r="L256" i="7"/>
  <c r="J256" i="7"/>
  <c r="P255" i="7"/>
  <c r="O255" i="7"/>
  <c r="M255" i="7"/>
  <c r="S255" i="7" s="1"/>
  <c r="L255" i="7"/>
  <c r="J255" i="7"/>
  <c r="U254" i="7"/>
  <c r="O254" i="7"/>
  <c r="P254" i="7" s="1"/>
  <c r="M254" i="7"/>
  <c r="S254" i="7" s="1"/>
  <c r="L254" i="7"/>
  <c r="J254" i="7"/>
  <c r="P253" i="7"/>
  <c r="O253" i="7"/>
  <c r="M253" i="7"/>
  <c r="S253" i="7" s="1"/>
  <c r="L253" i="7"/>
  <c r="J253" i="7"/>
  <c r="S252" i="7"/>
  <c r="P252" i="7"/>
  <c r="O252" i="7"/>
  <c r="M252" i="7"/>
  <c r="U252" i="7" s="1"/>
  <c r="L252" i="7"/>
  <c r="J252" i="7"/>
  <c r="O251" i="7"/>
  <c r="P251" i="7" s="1"/>
  <c r="M251" i="7"/>
  <c r="S251" i="7" s="1"/>
  <c r="L251" i="7"/>
  <c r="J251" i="7"/>
  <c r="U250" i="7"/>
  <c r="O250" i="7"/>
  <c r="P250" i="7" s="1"/>
  <c r="M250" i="7"/>
  <c r="S250" i="7" s="1"/>
  <c r="L250" i="7"/>
  <c r="J250" i="7"/>
  <c r="S249" i="7"/>
  <c r="P249" i="7"/>
  <c r="O249" i="7"/>
  <c r="M249" i="7"/>
  <c r="U249" i="7" s="1"/>
  <c r="L249" i="7"/>
  <c r="J249" i="7"/>
  <c r="S248" i="7"/>
  <c r="P248" i="7"/>
  <c r="O248" i="7"/>
  <c r="M248" i="7"/>
  <c r="U248" i="7" s="1"/>
  <c r="L248" i="7"/>
  <c r="J248" i="7"/>
  <c r="P247" i="7"/>
  <c r="O247" i="7"/>
  <c r="M247" i="7"/>
  <c r="S247" i="7" s="1"/>
  <c r="L247" i="7"/>
  <c r="J247" i="7"/>
  <c r="O246" i="7"/>
  <c r="P246" i="7" s="1"/>
  <c r="M246" i="7"/>
  <c r="S246" i="7" s="1"/>
  <c r="L246" i="7"/>
  <c r="J246" i="7"/>
  <c r="U245" i="7"/>
  <c r="P245" i="7"/>
  <c r="O245" i="7"/>
  <c r="M245" i="7"/>
  <c r="S245" i="7" s="1"/>
  <c r="L245" i="7"/>
  <c r="J245" i="7"/>
  <c r="S244" i="7"/>
  <c r="P244" i="7"/>
  <c r="O244" i="7"/>
  <c r="M244" i="7"/>
  <c r="U244" i="7" s="1"/>
  <c r="L244" i="7"/>
  <c r="J244" i="7"/>
  <c r="O243" i="7"/>
  <c r="P243" i="7" s="1"/>
  <c r="M243" i="7"/>
  <c r="S243" i="7" s="1"/>
  <c r="L243" i="7"/>
  <c r="J243" i="7"/>
  <c r="O242" i="7"/>
  <c r="P242" i="7" s="1"/>
  <c r="M242" i="7"/>
  <c r="L242" i="7"/>
  <c r="J242" i="7"/>
  <c r="S241" i="7"/>
  <c r="P241" i="7"/>
  <c r="O241" i="7"/>
  <c r="M241" i="7"/>
  <c r="U241" i="7" s="1"/>
  <c r="L241" i="7"/>
  <c r="J241" i="7"/>
  <c r="S240" i="7"/>
  <c r="P240" i="7"/>
  <c r="O240" i="7"/>
  <c r="M240" i="7"/>
  <c r="U240" i="7" s="1"/>
  <c r="L240" i="7"/>
  <c r="J240" i="7"/>
  <c r="P239" i="7"/>
  <c r="O239" i="7"/>
  <c r="M239" i="7"/>
  <c r="S239" i="7" s="1"/>
  <c r="L239" i="7"/>
  <c r="J239" i="7"/>
  <c r="U238" i="7"/>
  <c r="O238" i="7"/>
  <c r="P238" i="7" s="1"/>
  <c r="M238" i="7"/>
  <c r="S238" i="7" s="1"/>
  <c r="L238" i="7"/>
  <c r="J238" i="7"/>
  <c r="P237" i="7"/>
  <c r="O237" i="7"/>
  <c r="M237" i="7"/>
  <c r="S237" i="7" s="1"/>
  <c r="L237" i="7"/>
  <c r="J237" i="7"/>
  <c r="S236" i="7"/>
  <c r="P236" i="7"/>
  <c r="O236" i="7"/>
  <c r="M236" i="7"/>
  <c r="U236" i="7" s="1"/>
  <c r="L236" i="7"/>
  <c r="J236" i="7"/>
  <c r="O235" i="7"/>
  <c r="P235" i="7" s="1"/>
  <c r="M235" i="7"/>
  <c r="S235" i="7" s="1"/>
  <c r="L235" i="7"/>
  <c r="J235" i="7"/>
  <c r="U234" i="7"/>
  <c r="O234" i="7"/>
  <c r="P234" i="7" s="1"/>
  <c r="M234" i="7"/>
  <c r="S234" i="7" s="1"/>
  <c r="L234" i="7"/>
  <c r="J234" i="7"/>
  <c r="S233" i="7"/>
  <c r="P233" i="7"/>
  <c r="O233" i="7"/>
  <c r="M233" i="7"/>
  <c r="U233" i="7" s="1"/>
  <c r="L233" i="7"/>
  <c r="J233" i="7"/>
  <c r="S232" i="7"/>
  <c r="P232" i="7"/>
  <c r="O232" i="7"/>
  <c r="M232" i="7"/>
  <c r="U232" i="7" s="1"/>
  <c r="L232" i="7"/>
  <c r="J232" i="7"/>
  <c r="P231" i="7"/>
  <c r="O231" i="7"/>
  <c r="M231" i="7"/>
  <c r="S231" i="7" s="1"/>
  <c r="L231" i="7"/>
  <c r="J231" i="7"/>
  <c r="O230" i="7"/>
  <c r="P230" i="7" s="1"/>
  <c r="M230" i="7"/>
  <c r="S230" i="7" s="1"/>
  <c r="L230" i="7"/>
  <c r="J230" i="7"/>
  <c r="P229" i="7"/>
  <c r="O229" i="7"/>
  <c r="M229" i="7"/>
  <c r="L229" i="7"/>
  <c r="J229" i="7"/>
  <c r="S228" i="7"/>
  <c r="P228" i="7"/>
  <c r="O228" i="7"/>
  <c r="M228" i="7"/>
  <c r="U228" i="7" s="1"/>
  <c r="L228" i="7"/>
  <c r="J228" i="7"/>
  <c r="O227" i="7"/>
  <c r="P227" i="7" s="1"/>
  <c r="M227" i="7"/>
  <c r="S227" i="7" s="1"/>
  <c r="L227" i="7"/>
  <c r="J227" i="7"/>
  <c r="O226" i="7"/>
  <c r="P226" i="7" s="1"/>
  <c r="M226" i="7"/>
  <c r="L226" i="7"/>
  <c r="J226" i="7"/>
  <c r="S225" i="7"/>
  <c r="P225" i="7"/>
  <c r="O225" i="7"/>
  <c r="M225" i="7"/>
  <c r="U225" i="7" s="1"/>
  <c r="L225" i="7"/>
  <c r="J225" i="7"/>
  <c r="S224" i="7"/>
  <c r="P224" i="7"/>
  <c r="O224" i="7"/>
  <c r="M224" i="7"/>
  <c r="U224" i="7" s="1"/>
  <c r="L224" i="7"/>
  <c r="J224" i="7"/>
  <c r="P223" i="7"/>
  <c r="O223" i="7"/>
  <c r="M223" i="7"/>
  <c r="S223" i="7" s="1"/>
  <c r="L223" i="7"/>
  <c r="J223" i="7"/>
  <c r="U222" i="7"/>
  <c r="O222" i="7"/>
  <c r="P222" i="7" s="1"/>
  <c r="M222" i="7"/>
  <c r="S222" i="7" s="1"/>
  <c r="L222" i="7"/>
  <c r="J222" i="7"/>
  <c r="P221" i="7"/>
  <c r="O221" i="7"/>
  <c r="M221" i="7"/>
  <c r="S221" i="7" s="1"/>
  <c r="L221" i="7"/>
  <c r="J221" i="7"/>
  <c r="S220" i="7"/>
  <c r="P220" i="7"/>
  <c r="O220" i="7"/>
  <c r="M220" i="7"/>
  <c r="U220" i="7" s="1"/>
  <c r="L220" i="7"/>
  <c r="J220" i="7"/>
  <c r="O219" i="7"/>
  <c r="P219" i="7" s="1"/>
  <c r="M219" i="7"/>
  <c r="S219" i="7" s="1"/>
  <c r="L219" i="7"/>
  <c r="J219" i="7"/>
  <c r="U218" i="7"/>
  <c r="O218" i="7"/>
  <c r="P218" i="7" s="1"/>
  <c r="M218" i="7"/>
  <c r="S218" i="7" s="1"/>
  <c r="L218" i="7"/>
  <c r="J218" i="7"/>
  <c r="S217" i="7"/>
  <c r="P217" i="7"/>
  <c r="O217" i="7"/>
  <c r="M217" i="7"/>
  <c r="U217" i="7" s="1"/>
  <c r="L217" i="7"/>
  <c r="J217" i="7"/>
  <c r="S216" i="7"/>
  <c r="O216" i="7"/>
  <c r="P216" i="7" s="1"/>
  <c r="M216" i="7"/>
  <c r="U216" i="7" s="1"/>
  <c r="L216" i="7"/>
  <c r="J216" i="7"/>
  <c r="U215" i="7"/>
  <c r="O215" i="7"/>
  <c r="P215" i="7" s="1"/>
  <c r="M215" i="7"/>
  <c r="S215" i="7" s="1"/>
  <c r="L215" i="7"/>
  <c r="J215" i="7"/>
  <c r="U214" i="7"/>
  <c r="S214" i="7"/>
  <c r="O214" i="7"/>
  <c r="P214" i="7" s="1"/>
  <c r="M214" i="7"/>
  <c r="L214" i="7"/>
  <c r="J214" i="7"/>
  <c r="P213" i="7"/>
  <c r="O213" i="7"/>
  <c r="M213" i="7"/>
  <c r="S213" i="7" s="1"/>
  <c r="L213" i="7"/>
  <c r="J213" i="7"/>
  <c r="S212" i="7"/>
  <c r="P212" i="7"/>
  <c r="O212" i="7"/>
  <c r="M212" i="7"/>
  <c r="U212" i="7" s="1"/>
  <c r="L212" i="7"/>
  <c r="J212" i="7"/>
  <c r="P211" i="7"/>
  <c r="O211" i="7"/>
  <c r="M211" i="7"/>
  <c r="S211" i="7" s="1"/>
  <c r="L211" i="7"/>
  <c r="J211" i="7"/>
  <c r="O210" i="7"/>
  <c r="P210" i="7" s="1"/>
  <c r="M210" i="7"/>
  <c r="L210" i="7"/>
  <c r="J210" i="7"/>
  <c r="S209" i="7"/>
  <c r="P209" i="7"/>
  <c r="O209" i="7"/>
  <c r="M209" i="7"/>
  <c r="U209" i="7" s="1"/>
  <c r="L209" i="7"/>
  <c r="J209" i="7"/>
  <c r="S208" i="7"/>
  <c r="O208" i="7"/>
  <c r="P208" i="7" s="1"/>
  <c r="M208" i="7"/>
  <c r="U208" i="7" s="1"/>
  <c r="L208" i="7"/>
  <c r="J208" i="7"/>
  <c r="U207" i="7"/>
  <c r="O207" i="7"/>
  <c r="P207" i="7" s="1"/>
  <c r="M207" i="7"/>
  <c r="S207" i="7" s="1"/>
  <c r="L207" i="7"/>
  <c r="J207" i="7"/>
  <c r="U206" i="7"/>
  <c r="O206" i="7"/>
  <c r="P206" i="7" s="1"/>
  <c r="M206" i="7"/>
  <c r="S206" i="7" s="1"/>
  <c r="L206" i="7"/>
  <c r="J206" i="7"/>
  <c r="U205" i="7"/>
  <c r="P205" i="7"/>
  <c r="O205" i="7"/>
  <c r="M205" i="7"/>
  <c r="S205" i="7" s="1"/>
  <c r="L205" i="7"/>
  <c r="J205" i="7"/>
  <c r="S204" i="7"/>
  <c r="P204" i="7"/>
  <c r="O204" i="7"/>
  <c r="M204" i="7"/>
  <c r="U204" i="7" s="1"/>
  <c r="L204" i="7"/>
  <c r="J204" i="7"/>
  <c r="P203" i="7"/>
  <c r="O203" i="7"/>
  <c r="M203" i="7"/>
  <c r="L203" i="7"/>
  <c r="J203" i="7"/>
  <c r="S202" i="7"/>
  <c r="O202" i="7"/>
  <c r="P202" i="7" s="1"/>
  <c r="M202" i="7"/>
  <c r="U202" i="7" s="1"/>
  <c r="L202" i="7"/>
  <c r="J202" i="7"/>
  <c r="S201" i="7"/>
  <c r="P201" i="7"/>
  <c r="O201" i="7"/>
  <c r="M201" i="7"/>
  <c r="U201" i="7" s="1"/>
  <c r="L201" i="7"/>
  <c r="J201" i="7"/>
  <c r="S200" i="7"/>
  <c r="O200" i="7"/>
  <c r="P200" i="7" s="1"/>
  <c r="M200" i="7"/>
  <c r="U200" i="7" s="1"/>
  <c r="L200" i="7"/>
  <c r="J200" i="7"/>
  <c r="U199" i="7"/>
  <c r="O199" i="7"/>
  <c r="P199" i="7" s="1"/>
  <c r="M199" i="7"/>
  <c r="S199" i="7" s="1"/>
  <c r="L199" i="7"/>
  <c r="J199" i="7"/>
  <c r="U198" i="7"/>
  <c r="S198" i="7"/>
  <c r="O198" i="7"/>
  <c r="P198" i="7" s="1"/>
  <c r="M198" i="7"/>
  <c r="L198" i="7"/>
  <c r="J198" i="7"/>
  <c r="P197" i="7"/>
  <c r="O197" i="7"/>
  <c r="M197" i="7"/>
  <c r="S197" i="7" s="1"/>
  <c r="L197" i="7"/>
  <c r="J197" i="7"/>
  <c r="S196" i="7"/>
  <c r="P196" i="7"/>
  <c r="O196" i="7"/>
  <c r="M196" i="7"/>
  <c r="U196" i="7" s="1"/>
  <c r="L196" i="7"/>
  <c r="J196" i="7"/>
  <c r="P195" i="7"/>
  <c r="O195" i="7"/>
  <c r="M195" i="7"/>
  <c r="S195" i="7" s="1"/>
  <c r="L195" i="7"/>
  <c r="J195" i="7"/>
  <c r="O194" i="7"/>
  <c r="P194" i="7" s="1"/>
  <c r="M194" i="7"/>
  <c r="L194" i="7"/>
  <c r="J194" i="7"/>
  <c r="S193" i="7"/>
  <c r="P193" i="7"/>
  <c r="O193" i="7"/>
  <c r="M193" i="7"/>
  <c r="U193" i="7" s="1"/>
  <c r="L193" i="7"/>
  <c r="J193" i="7"/>
  <c r="S192" i="7"/>
  <c r="O192" i="7"/>
  <c r="P192" i="7" s="1"/>
  <c r="M192" i="7"/>
  <c r="U192" i="7" s="1"/>
  <c r="L192" i="7"/>
  <c r="J192" i="7"/>
  <c r="U191" i="7"/>
  <c r="O191" i="7"/>
  <c r="P191" i="7" s="1"/>
  <c r="M191" i="7"/>
  <c r="S191" i="7" s="1"/>
  <c r="L191" i="7"/>
  <c r="J191" i="7"/>
  <c r="U190" i="7"/>
  <c r="O190" i="7"/>
  <c r="P190" i="7" s="1"/>
  <c r="M190" i="7"/>
  <c r="S190" i="7" s="1"/>
  <c r="L190" i="7"/>
  <c r="J190" i="7"/>
  <c r="P189" i="7"/>
  <c r="O189" i="7"/>
  <c r="M189" i="7"/>
  <c r="L189" i="7"/>
  <c r="J189" i="7"/>
  <c r="S188" i="7"/>
  <c r="P188" i="7"/>
  <c r="O188" i="7"/>
  <c r="M188" i="7"/>
  <c r="U188" i="7" s="1"/>
  <c r="L188" i="7"/>
  <c r="J188" i="7"/>
  <c r="P187" i="7"/>
  <c r="O187" i="7"/>
  <c r="M187" i="7"/>
  <c r="L187" i="7"/>
  <c r="J187" i="7"/>
  <c r="S186" i="7"/>
  <c r="O186" i="7"/>
  <c r="P186" i="7" s="1"/>
  <c r="M186" i="7"/>
  <c r="U186" i="7" s="1"/>
  <c r="L186" i="7"/>
  <c r="J186" i="7"/>
  <c r="S185" i="7"/>
  <c r="P185" i="7"/>
  <c r="O185" i="7"/>
  <c r="M185" i="7"/>
  <c r="U185" i="7" s="1"/>
  <c r="L185" i="7"/>
  <c r="J185" i="7"/>
  <c r="S184" i="7"/>
  <c r="O184" i="7"/>
  <c r="P184" i="7" s="1"/>
  <c r="M184" i="7"/>
  <c r="U184" i="7" s="1"/>
  <c r="L184" i="7"/>
  <c r="J184" i="7"/>
  <c r="U183" i="7"/>
  <c r="O183" i="7"/>
  <c r="P183" i="7" s="1"/>
  <c r="M183" i="7"/>
  <c r="S183" i="7" s="1"/>
  <c r="L183" i="7"/>
  <c r="J183" i="7"/>
  <c r="U182" i="7"/>
  <c r="S182" i="7"/>
  <c r="O182" i="7"/>
  <c r="P182" i="7" s="1"/>
  <c r="M182" i="7"/>
  <c r="L182" i="7"/>
  <c r="J182" i="7"/>
  <c r="P181" i="7"/>
  <c r="O181" i="7"/>
  <c r="M181" i="7"/>
  <c r="S181" i="7" s="1"/>
  <c r="L181" i="7"/>
  <c r="J181" i="7"/>
  <c r="S180" i="7"/>
  <c r="P180" i="7"/>
  <c r="O180" i="7"/>
  <c r="M180" i="7"/>
  <c r="U180" i="7" s="1"/>
  <c r="L180" i="7"/>
  <c r="J180" i="7"/>
  <c r="P179" i="7"/>
  <c r="O179" i="7"/>
  <c r="M179" i="7"/>
  <c r="S179" i="7" s="1"/>
  <c r="L179" i="7"/>
  <c r="J179" i="7"/>
  <c r="O178" i="7"/>
  <c r="P178" i="7" s="1"/>
  <c r="M178" i="7"/>
  <c r="L178" i="7"/>
  <c r="J178" i="7"/>
  <c r="S177" i="7"/>
  <c r="P177" i="7"/>
  <c r="O177" i="7"/>
  <c r="M177" i="7"/>
  <c r="U177" i="7" s="1"/>
  <c r="L177" i="7"/>
  <c r="J177" i="7"/>
  <c r="S176" i="7"/>
  <c r="O176" i="7"/>
  <c r="P176" i="7" s="1"/>
  <c r="M176" i="7"/>
  <c r="U176" i="7" s="1"/>
  <c r="L176" i="7"/>
  <c r="J176" i="7"/>
  <c r="U175" i="7"/>
  <c r="O175" i="7"/>
  <c r="P175" i="7" s="1"/>
  <c r="M175" i="7"/>
  <c r="S175" i="7" s="1"/>
  <c r="L175" i="7"/>
  <c r="J175" i="7"/>
  <c r="U174" i="7"/>
  <c r="O174" i="7"/>
  <c r="P174" i="7" s="1"/>
  <c r="M174" i="7"/>
  <c r="S174" i="7" s="1"/>
  <c r="L174" i="7"/>
  <c r="J174" i="7"/>
  <c r="U173" i="7"/>
  <c r="P173" i="7"/>
  <c r="O173" i="7"/>
  <c r="M173" i="7"/>
  <c r="S173" i="7" s="1"/>
  <c r="L173" i="7"/>
  <c r="J173" i="7"/>
  <c r="S172" i="7"/>
  <c r="P172" i="7"/>
  <c r="O172" i="7"/>
  <c r="M172" i="7"/>
  <c r="U172" i="7" s="1"/>
  <c r="L172" i="7"/>
  <c r="J172" i="7"/>
  <c r="P171" i="7"/>
  <c r="O171" i="7"/>
  <c r="M171" i="7"/>
  <c r="L171" i="7"/>
  <c r="J171" i="7"/>
  <c r="S170" i="7"/>
  <c r="O170" i="7"/>
  <c r="P170" i="7" s="1"/>
  <c r="M170" i="7"/>
  <c r="U170" i="7" s="1"/>
  <c r="L170" i="7"/>
  <c r="J170" i="7"/>
  <c r="S169" i="7"/>
  <c r="P169" i="7"/>
  <c r="O169" i="7"/>
  <c r="M169" i="7"/>
  <c r="U169" i="7" s="1"/>
  <c r="L169" i="7"/>
  <c r="J169" i="7"/>
  <c r="S168" i="7"/>
  <c r="O168" i="7"/>
  <c r="P168" i="7" s="1"/>
  <c r="M168" i="7"/>
  <c r="U168" i="7" s="1"/>
  <c r="L168" i="7"/>
  <c r="J168" i="7"/>
  <c r="U167" i="7"/>
  <c r="O167" i="7"/>
  <c r="P167" i="7" s="1"/>
  <c r="M167" i="7"/>
  <c r="S167" i="7" s="1"/>
  <c r="L167" i="7"/>
  <c r="J167" i="7"/>
  <c r="U166" i="7"/>
  <c r="S166" i="7"/>
  <c r="O166" i="7"/>
  <c r="P166" i="7" s="1"/>
  <c r="M166" i="7"/>
  <c r="L166" i="7"/>
  <c r="J166" i="7"/>
  <c r="P165" i="7"/>
  <c r="O165" i="7"/>
  <c r="M165" i="7"/>
  <c r="S165" i="7" s="1"/>
  <c r="L165" i="7"/>
  <c r="J165" i="7"/>
  <c r="S164" i="7"/>
  <c r="P164" i="7"/>
  <c r="O164" i="7"/>
  <c r="M164" i="7"/>
  <c r="U164" i="7" s="1"/>
  <c r="L164" i="7"/>
  <c r="J164" i="7"/>
  <c r="P163" i="7"/>
  <c r="O163" i="7"/>
  <c r="M163" i="7"/>
  <c r="S163" i="7" s="1"/>
  <c r="L163" i="7"/>
  <c r="J163" i="7"/>
  <c r="O162" i="7"/>
  <c r="P162" i="7" s="1"/>
  <c r="M162" i="7"/>
  <c r="L162" i="7"/>
  <c r="J162" i="7"/>
  <c r="S161" i="7"/>
  <c r="P161" i="7"/>
  <c r="O161" i="7"/>
  <c r="M161" i="7"/>
  <c r="U161" i="7" s="1"/>
  <c r="L161" i="7"/>
  <c r="J161" i="7"/>
  <c r="S160" i="7"/>
  <c r="O160" i="7"/>
  <c r="P160" i="7" s="1"/>
  <c r="M160" i="7"/>
  <c r="U160" i="7" s="1"/>
  <c r="L160" i="7"/>
  <c r="J160" i="7"/>
  <c r="U159" i="7"/>
  <c r="O159" i="7"/>
  <c r="P159" i="7" s="1"/>
  <c r="M159" i="7"/>
  <c r="S159" i="7" s="1"/>
  <c r="L159" i="7"/>
  <c r="J159" i="7"/>
  <c r="U158" i="7"/>
  <c r="O158" i="7"/>
  <c r="P158" i="7" s="1"/>
  <c r="M158" i="7"/>
  <c r="S158" i="7" s="1"/>
  <c r="L158" i="7"/>
  <c r="J158" i="7"/>
  <c r="P157" i="7"/>
  <c r="O157" i="7"/>
  <c r="M157" i="7"/>
  <c r="L157" i="7"/>
  <c r="J157" i="7"/>
  <c r="S156" i="7"/>
  <c r="P156" i="7"/>
  <c r="O156" i="7"/>
  <c r="M156" i="7"/>
  <c r="U156" i="7" s="1"/>
  <c r="L156" i="7"/>
  <c r="J156" i="7"/>
  <c r="P155" i="7"/>
  <c r="O155" i="7"/>
  <c r="M155" i="7"/>
  <c r="L155" i="7"/>
  <c r="J155" i="7"/>
  <c r="S154" i="7"/>
  <c r="O154" i="7"/>
  <c r="P154" i="7" s="1"/>
  <c r="M154" i="7"/>
  <c r="U154" i="7" s="1"/>
  <c r="L154" i="7"/>
  <c r="J154" i="7"/>
  <c r="S153" i="7"/>
  <c r="P153" i="7"/>
  <c r="O153" i="7"/>
  <c r="M153" i="7"/>
  <c r="U153" i="7" s="1"/>
  <c r="L153" i="7"/>
  <c r="J153" i="7"/>
  <c r="S152" i="7"/>
  <c r="O152" i="7"/>
  <c r="P152" i="7" s="1"/>
  <c r="M152" i="7"/>
  <c r="U152" i="7" s="1"/>
  <c r="L152" i="7"/>
  <c r="J152" i="7"/>
  <c r="U151" i="7"/>
  <c r="O151" i="7"/>
  <c r="P151" i="7" s="1"/>
  <c r="M151" i="7"/>
  <c r="S151" i="7" s="1"/>
  <c r="L151" i="7"/>
  <c r="J151" i="7"/>
  <c r="U150" i="7"/>
  <c r="S150" i="7"/>
  <c r="O150" i="7"/>
  <c r="P150" i="7" s="1"/>
  <c r="M150" i="7"/>
  <c r="L150" i="7"/>
  <c r="J150" i="7"/>
  <c r="P149" i="7"/>
  <c r="O149" i="7"/>
  <c r="M149" i="7"/>
  <c r="S149" i="7" s="1"/>
  <c r="L149" i="7"/>
  <c r="J149" i="7"/>
  <c r="S148" i="7"/>
  <c r="P148" i="7"/>
  <c r="O148" i="7"/>
  <c r="M148" i="7"/>
  <c r="U148" i="7" s="1"/>
  <c r="L148" i="7"/>
  <c r="J148" i="7"/>
  <c r="P147" i="7"/>
  <c r="O147" i="7"/>
  <c r="M147" i="7"/>
  <c r="S147" i="7" s="1"/>
  <c r="L147" i="7"/>
  <c r="J147" i="7"/>
  <c r="O146" i="7"/>
  <c r="P146" i="7" s="1"/>
  <c r="M146" i="7"/>
  <c r="L146" i="7"/>
  <c r="J146" i="7"/>
  <c r="S145" i="7"/>
  <c r="P145" i="7"/>
  <c r="O145" i="7"/>
  <c r="M145" i="7"/>
  <c r="U145" i="7" s="1"/>
  <c r="L145" i="7"/>
  <c r="J145" i="7"/>
  <c r="S144" i="7"/>
  <c r="O144" i="7"/>
  <c r="P144" i="7" s="1"/>
  <c r="M144" i="7"/>
  <c r="U144" i="7" s="1"/>
  <c r="L144" i="7"/>
  <c r="J144" i="7"/>
  <c r="U143" i="7"/>
  <c r="O143" i="7"/>
  <c r="P143" i="7" s="1"/>
  <c r="M143" i="7"/>
  <c r="S143" i="7" s="1"/>
  <c r="L143" i="7"/>
  <c r="J143" i="7"/>
  <c r="U142" i="7"/>
  <c r="O142" i="7"/>
  <c r="P142" i="7" s="1"/>
  <c r="M142" i="7"/>
  <c r="S142" i="7" s="1"/>
  <c r="L142" i="7"/>
  <c r="J142" i="7"/>
  <c r="U141" i="7"/>
  <c r="P141" i="7"/>
  <c r="O141" i="7"/>
  <c r="M141" i="7"/>
  <c r="S141" i="7" s="1"/>
  <c r="L141" i="7"/>
  <c r="J141" i="7"/>
  <c r="S140" i="7"/>
  <c r="P140" i="7"/>
  <c r="O140" i="7"/>
  <c r="M140" i="7"/>
  <c r="U140" i="7" s="1"/>
  <c r="L140" i="7"/>
  <c r="J140" i="7"/>
  <c r="P139" i="7"/>
  <c r="O139" i="7"/>
  <c r="M139" i="7"/>
  <c r="L139" i="7"/>
  <c r="J139" i="7"/>
  <c r="S138" i="7"/>
  <c r="O138" i="7"/>
  <c r="P138" i="7" s="1"/>
  <c r="M138" i="7"/>
  <c r="U138" i="7" s="1"/>
  <c r="L138" i="7"/>
  <c r="J138" i="7"/>
  <c r="S137" i="7"/>
  <c r="P137" i="7"/>
  <c r="O137" i="7"/>
  <c r="M137" i="7"/>
  <c r="U137" i="7" s="1"/>
  <c r="L137" i="7"/>
  <c r="J137" i="7"/>
  <c r="S136" i="7"/>
  <c r="O136" i="7"/>
  <c r="P136" i="7" s="1"/>
  <c r="M136" i="7"/>
  <c r="U136" i="7" s="1"/>
  <c r="L136" i="7"/>
  <c r="J136" i="7"/>
  <c r="U135" i="7"/>
  <c r="O135" i="7"/>
  <c r="P135" i="7" s="1"/>
  <c r="M135" i="7"/>
  <c r="S135" i="7" s="1"/>
  <c r="L135" i="7"/>
  <c r="J135" i="7"/>
  <c r="U134" i="7"/>
  <c r="S134" i="7"/>
  <c r="O134" i="7"/>
  <c r="P134" i="7" s="1"/>
  <c r="M134" i="7"/>
  <c r="L134" i="7"/>
  <c r="J134" i="7"/>
  <c r="P133" i="7"/>
  <c r="O133" i="7"/>
  <c r="M133" i="7"/>
  <c r="S133" i="7" s="1"/>
  <c r="L133" i="7"/>
  <c r="J133" i="7"/>
  <c r="S132" i="7"/>
  <c r="P132" i="7"/>
  <c r="O132" i="7"/>
  <c r="M132" i="7"/>
  <c r="U132" i="7" s="1"/>
  <c r="L132" i="7"/>
  <c r="J132" i="7"/>
  <c r="P131" i="7"/>
  <c r="O131" i="7"/>
  <c r="M131" i="7"/>
  <c r="S131" i="7" s="1"/>
  <c r="L131" i="7"/>
  <c r="J131" i="7"/>
  <c r="O130" i="7"/>
  <c r="P130" i="7" s="1"/>
  <c r="M130" i="7"/>
  <c r="L130" i="7"/>
  <c r="J130" i="7"/>
  <c r="S129" i="7"/>
  <c r="P129" i="7"/>
  <c r="O129" i="7"/>
  <c r="M129" i="7"/>
  <c r="U129" i="7" s="1"/>
  <c r="L129" i="7"/>
  <c r="J129" i="7"/>
  <c r="S128" i="7"/>
  <c r="O128" i="7"/>
  <c r="P128" i="7" s="1"/>
  <c r="M128" i="7"/>
  <c r="U128" i="7" s="1"/>
  <c r="L128" i="7"/>
  <c r="J128" i="7"/>
  <c r="U127" i="7"/>
  <c r="O127" i="7"/>
  <c r="P127" i="7" s="1"/>
  <c r="M127" i="7"/>
  <c r="S127" i="7" s="1"/>
  <c r="L127" i="7"/>
  <c r="J127" i="7"/>
  <c r="U126" i="7"/>
  <c r="O126" i="7"/>
  <c r="P126" i="7" s="1"/>
  <c r="M126" i="7"/>
  <c r="S126" i="7" s="1"/>
  <c r="L126" i="7"/>
  <c r="J126" i="7"/>
  <c r="P125" i="7"/>
  <c r="O125" i="7"/>
  <c r="M125" i="7"/>
  <c r="L125" i="7"/>
  <c r="J125" i="7"/>
  <c r="S124" i="7"/>
  <c r="P124" i="7"/>
  <c r="O124" i="7"/>
  <c r="M124" i="7"/>
  <c r="U124" i="7" s="1"/>
  <c r="L124" i="7"/>
  <c r="J124" i="7"/>
  <c r="P123" i="7"/>
  <c r="O123" i="7"/>
  <c r="M123" i="7"/>
  <c r="L123" i="7"/>
  <c r="J123" i="7"/>
  <c r="S122" i="7"/>
  <c r="O122" i="7"/>
  <c r="P122" i="7" s="1"/>
  <c r="M122" i="7"/>
  <c r="U122" i="7" s="1"/>
  <c r="L122" i="7"/>
  <c r="J122" i="7"/>
  <c r="S121" i="7"/>
  <c r="P121" i="7"/>
  <c r="O121" i="7"/>
  <c r="M121" i="7"/>
  <c r="U121" i="7" s="1"/>
  <c r="L121" i="7"/>
  <c r="J121" i="7"/>
  <c r="S120" i="7"/>
  <c r="O120" i="7"/>
  <c r="P120" i="7" s="1"/>
  <c r="M120" i="7"/>
  <c r="U120" i="7" s="1"/>
  <c r="L120" i="7"/>
  <c r="J120" i="7"/>
  <c r="U119" i="7"/>
  <c r="O119" i="7"/>
  <c r="P119" i="7" s="1"/>
  <c r="M119" i="7"/>
  <c r="S119" i="7" s="1"/>
  <c r="L119" i="7"/>
  <c r="J119" i="7"/>
  <c r="U118" i="7"/>
  <c r="S118" i="7"/>
  <c r="O118" i="7"/>
  <c r="P118" i="7" s="1"/>
  <c r="M118" i="7"/>
  <c r="L118" i="7"/>
  <c r="J118" i="7"/>
  <c r="P117" i="7"/>
  <c r="O117" i="7"/>
  <c r="M117" i="7"/>
  <c r="S117" i="7" s="1"/>
  <c r="L117" i="7"/>
  <c r="J117" i="7"/>
  <c r="S116" i="7"/>
  <c r="P116" i="7"/>
  <c r="O116" i="7"/>
  <c r="M116" i="7"/>
  <c r="U116" i="7" s="1"/>
  <c r="L116" i="7"/>
  <c r="J116" i="7"/>
  <c r="P115" i="7"/>
  <c r="O115" i="7"/>
  <c r="M115" i="7"/>
  <c r="S115" i="7" s="1"/>
  <c r="L115" i="7"/>
  <c r="J115" i="7"/>
  <c r="O114" i="7"/>
  <c r="P114" i="7" s="1"/>
  <c r="M114" i="7"/>
  <c r="L114" i="7"/>
  <c r="J114" i="7"/>
  <c r="S113" i="7"/>
  <c r="P113" i="7"/>
  <c r="O113" i="7"/>
  <c r="M113" i="7"/>
  <c r="U113" i="7" s="1"/>
  <c r="L113" i="7"/>
  <c r="J113" i="7"/>
  <c r="S112" i="7"/>
  <c r="O112" i="7"/>
  <c r="P112" i="7" s="1"/>
  <c r="M112" i="7"/>
  <c r="U112" i="7" s="1"/>
  <c r="L112" i="7"/>
  <c r="J112" i="7"/>
  <c r="U111" i="7"/>
  <c r="O111" i="7"/>
  <c r="P111" i="7" s="1"/>
  <c r="M111" i="7"/>
  <c r="S111" i="7" s="1"/>
  <c r="L111" i="7"/>
  <c r="J111" i="7"/>
  <c r="U110" i="7"/>
  <c r="O110" i="7"/>
  <c r="P110" i="7" s="1"/>
  <c r="M110" i="7"/>
  <c r="S110" i="7" s="1"/>
  <c r="L110" i="7"/>
  <c r="J110" i="7"/>
  <c r="U109" i="7"/>
  <c r="P109" i="7"/>
  <c r="O109" i="7"/>
  <c r="M109" i="7"/>
  <c r="S109" i="7" s="1"/>
  <c r="L109" i="7"/>
  <c r="J109" i="7"/>
  <c r="S108" i="7"/>
  <c r="P108" i="7"/>
  <c r="O108" i="7"/>
  <c r="M108" i="7"/>
  <c r="U108" i="7" s="1"/>
  <c r="L108" i="7"/>
  <c r="J108" i="7"/>
  <c r="P107" i="7"/>
  <c r="O107" i="7"/>
  <c r="M107" i="7"/>
  <c r="L107" i="7"/>
  <c r="J107" i="7"/>
  <c r="S106" i="7"/>
  <c r="O106" i="7"/>
  <c r="P106" i="7" s="1"/>
  <c r="M106" i="7"/>
  <c r="U106" i="7" s="1"/>
  <c r="L106" i="7"/>
  <c r="J106" i="7"/>
  <c r="S105" i="7"/>
  <c r="P105" i="7"/>
  <c r="O105" i="7"/>
  <c r="M105" i="7"/>
  <c r="U105" i="7" s="1"/>
  <c r="L105" i="7"/>
  <c r="J105" i="7"/>
  <c r="S104" i="7"/>
  <c r="O104" i="7"/>
  <c r="P104" i="7" s="1"/>
  <c r="M104" i="7"/>
  <c r="U104" i="7" s="1"/>
  <c r="L104" i="7"/>
  <c r="J104" i="7"/>
  <c r="U103" i="7"/>
  <c r="O103" i="7"/>
  <c r="P103" i="7" s="1"/>
  <c r="M103" i="7"/>
  <c r="S103" i="7" s="1"/>
  <c r="L103" i="7"/>
  <c r="J103" i="7"/>
  <c r="U102" i="7"/>
  <c r="S102" i="7"/>
  <c r="O102" i="7"/>
  <c r="P102" i="7" s="1"/>
  <c r="M102" i="7"/>
  <c r="L102" i="7"/>
  <c r="J102" i="7"/>
  <c r="P101" i="7"/>
  <c r="O101" i="7"/>
  <c r="M101" i="7"/>
  <c r="S101" i="7" s="1"/>
  <c r="L101" i="7"/>
  <c r="J101" i="7"/>
  <c r="S100" i="7"/>
  <c r="P100" i="7"/>
  <c r="O100" i="7"/>
  <c r="M100" i="7"/>
  <c r="U100" i="7" s="1"/>
  <c r="L100" i="7"/>
  <c r="J100" i="7"/>
  <c r="P99" i="7"/>
  <c r="O99" i="7"/>
  <c r="M99" i="7"/>
  <c r="S99" i="7" s="1"/>
  <c r="L99" i="7"/>
  <c r="J99" i="7"/>
  <c r="O98" i="7"/>
  <c r="P98" i="7" s="1"/>
  <c r="M98" i="7"/>
  <c r="L98" i="7"/>
  <c r="J98" i="7"/>
  <c r="S97" i="7"/>
  <c r="P97" i="7"/>
  <c r="O97" i="7"/>
  <c r="M97" i="7"/>
  <c r="U97" i="7" s="1"/>
  <c r="L97" i="7"/>
  <c r="J97" i="7"/>
  <c r="S96" i="7"/>
  <c r="O96" i="7"/>
  <c r="P96" i="7" s="1"/>
  <c r="M96" i="7"/>
  <c r="U96" i="7" s="1"/>
  <c r="L96" i="7"/>
  <c r="J96" i="7"/>
  <c r="U95" i="7"/>
  <c r="O95" i="7"/>
  <c r="P95" i="7" s="1"/>
  <c r="M95" i="7"/>
  <c r="S95" i="7" s="1"/>
  <c r="L95" i="7"/>
  <c r="J95" i="7"/>
  <c r="U94" i="7"/>
  <c r="O94" i="7"/>
  <c r="P94" i="7" s="1"/>
  <c r="M94" i="7"/>
  <c r="S94" i="7" s="1"/>
  <c r="L94" i="7"/>
  <c r="J94" i="7"/>
  <c r="P93" i="7"/>
  <c r="O93" i="7"/>
  <c r="M93" i="7"/>
  <c r="L93" i="7"/>
  <c r="J93" i="7"/>
  <c r="S92" i="7"/>
  <c r="P92" i="7"/>
  <c r="O92" i="7"/>
  <c r="M92" i="7"/>
  <c r="U92" i="7" s="1"/>
  <c r="L92" i="7"/>
  <c r="J92" i="7"/>
  <c r="P91" i="7"/>
  <c r="O91" i="7"/>
  <c r="M91" i="7"/>
  <c r="L91" i="7"/>
  <c r="J91" i="7"/>
  <c r="S90" i="7"/>
  <c r="O90" i="7"/>
  <c r="P90" i="7" s="1"/>
  <c r="M90" i="7"/>
  <c r="U90" i="7" s="1"/>
  <c r="L90" i="7"/>
  <c r="J90" i="7"/>
  <c r="S89" i="7"/>
  <c r="P89" i="7"/>
  <c r="O89" i="7"/>
  <c r="M89" i="7"/>
  <c r="U89" i="7" s="1"/>
  <c r="L89" i="7"/>
  <c r="J89" i="7"/>
  <c r="S88" i="7"/>
  <c r="O88" i="7"/>
  <c r="P88" i="7" s="1"/>
  <c r="M88" i="7"/>
  <c r="U88" i="7" s="1"/>
  <c r="L88" i="7"/>
  <c r="J88" i="7"/>
  <c r="U87" i="7"/>
  <c r="O87" i="7"/>
  <c r="P87" i="7" s="1"/>
  <c r="M87" i="7"/>
  <c r="S87" i="7" s="1"/>
  <c r="L87" i="7"/>
  <c r="J87" i="7"/>
  <c r="U86" i="7"/>
  <c r="S86" i="7"/>
  <c r="O86" i="7"/>
  <c r="P86" i="7" s="1"/>
  <c r="M86" i="7"/>
  <c r="L86" i="7"/>
  <c r="J86" i="7"/>
  <c r="P85" i="7"/>
  <c r="O85" i="7"/>
  <c r="M85" i="7"/>
  <c r="S85" i="7" s="1"/>
  <c r="L85" i="7"/>
  <c r="J85" i="7"/>
  <c r="S84" i="7"/>
  <c r="P84" i="7"/>
  <c r="O84" i="7"/>
  <c r="M84" i="7"/>
  <c r="U84" i="7" s="1"/>
  <c r="L84" i="7"/>
  <c r="J84" i="7"/>
  <c r="P83" i="7"/>
  <c r="O83" i="7"/>
  <c r="M83" i="7"/>
  <c r="S83" i="7" s="1"/>
  <c r="L83" i="7"/>
  <c r="J83" i="7"/>
  <c r="O82" i="7"/>
  <c r="P82" i="7" s="1"/>
  <c r="M82" i="7"/>
  <c r="L82" i="7"/>
  <c r="J82" i="7"/>
  <c r="S81" i="7"/>
  <c r="P81" i="7"/>
  <c r="O81" i="7"/>
  <c r="M81" i="7"/>
  <c r="U81" i="7" s="1"/>
  <c r="L81" i="7"/>
  <c r="J81" i="7"/>
  <c r="S80" i="7"/>
  <c r="O80" i="7"/>
  <c r="P80" i="7" s="1"/>
  <c r="M80" i="7"/>
  <c r="U80" i="7" s="1"/>
  <c r="L80" i="7"/>
  <c r="J80" i="7"/>
  <c r="U79" i="7"/>
  <c r="O79" i="7"/>
  <c r="P79" i="7" s="1"/>
  <c r="M79" i="7"/>
  <c r="S79" i="7" s="1"/>
  <c r="L79" i="7"/>
  <c r="J79" i="7"/>
  <c r="U78" i="7"/>
  <c r="O78" i="7"/>
  <c r="P78" i="7" s="1"/>
  <c r="M78" i="7"/>
  <c r="S78" i="7" s="1"/>
  <c r="L78" i="7"/>
  <c r="J78" i="7"/>
  <c r="U77" i="7"/>
  <c r="P77" i="7"/>
  <c r="O77" i="7"/>
  <c r="M77" i="7"/>
  <c r="S77" i="7" s="1"/>
  <c r="L77" i="7"/>
  <c r="J77" i="7"/>
  <c r="S76" i="7"/>
  <c r="P76" i="7"/>
  <c r="O76" i="7"/>
  <c r="M76" i="7"/>
  <c r="U76" i="7" s="1"/>
  <c r="L76" i="7"/>
  <c r="J76" i="7"/>
  <c r="P75" i="7"/>
  <c r="O75" i="7"/>
  <c r="M75" i="7"/>
  <c r="L75" i="7"/>
  <c r="J75" i="7"/>
  <c r="S74" i="7"/>
  <c r="O74" i="7"/>
  <c r="P74" i="7" s="1"/>
  <c r="M74" i="7"/>
  <c r="U74" i="7" s="1"/>
  <c r="L74" i="7"/>
  <c r="J74" i="7"/>
  <c r="S73" i="7"/>
  <c r="P73" i="7"/>
  <c r="O73" i="7"/>
  <c r="M73" i="7"/>
  <c r="U73" i="7" s="1"/>
  <c r="L73" i="7"/>
  <c r="J73" i="7"/>
  <c r="S72" i="7"/>
  <c r="O72" i="7"/>
  <c r="P72" i="7" s="1"/>
  <c r="M72" i="7"/>
  <c r="U72" i="7" s="1"/>
  <c r="L72" i="7"/>
  <c r="J72" i="7"/>
  <c r="U71" i="7"/>
  <c r="O71" i="7"/>
  <c r="P71" i="7" s="1"/>
  <c r="M71" i="7"/>
  <c r="S71" i="7" s="1"/>
  <c r="L71" i="7"/>
  <c r="J71" i="7"/>
  <c r="U70" i="7"/>
  <c r="S70" i="7"/>
  <c r="O70" i="7"/>
  <c r="P70" i="7" s="1"/>
  <c r="M70" i="7"/>
  <c r="L70" i="7"/>
  <c r="J70" i="7"/>
  <c r="P69" i="7"/>
  <c r="O69" i="7"/>
  <c r="M69" i="7"/>
  <c r="S69" i="7" s="1"/>
  <c r="L69" i="7"/>
  <c r="J69" i="7"/>
  <c r="S68" i="7"/>
  <c r="P68" i="7"/>
  <c r="O68" i="7"/>
  <c r="M68" i="7"/>
  <c r="U68" i="7" s="1"/>
  <c r="L68" i="7"/>
  <c r="J68" i="7"/>
  <c r="P67" i="7"/>
  <c r="O67" i="7"/>
  <c r="M67" i="7"/>
  <c r="S67" i="7" s="1"/>
  <c r="L67" i="7"/>
  <c r="J67" i="7"/>
  <c r="O66" i="7"/>
  <c r="P66" i="7" s="1"/>
  <c r="M66" i="7"/>
  <c r="L66" i="7"/>
  <c r="J66" i="7"/>
  <c r="S65" i="7"/>
  <c r="P65" i="7"/>
  <c r="O65" i="7"/>
  <c r="M65" i="7"/>
  <c r="U65" i="7" s="1"/>
  <c r="L65" i="7"/>
  <c r="J65" i="7"/>
  <c r="S64" i="7"/>
  <c r="O64" i="7"/>
  <c r="P64" i="7" s="1"/>
  <c r="M64" i="7"/>
  <c r="U64" i="7" s="1"/>
  <c r="L64" i="7"/>
  <c r="J64" i="7"/>
  <c r="U63" i="7"/>
  <c r="O63" i="7"/>
  <c r="P63" i="7" s="1"/>
  <c r="M63" i="7"/>
  <c r="S63" i="7" s="1"/>
  <c r="L63" i="7"/>
  <c r="J63" i="7"/>
  <c r="U62" i="7"/>
  <c r="O62" i="7"/>
  <c r="P62" i="7" s="1"/>
  <c r="M62" i="7"/>
  <c r="S62" i="7" s="1"/>
  <c r="L62" i="7"/>
  <c r="J62" i="7"/>
  <c r="P61" i="7"/>
  <c r="O61" i="7"/>
  <c r="M61" i="7"/>
  <c r="L61" i="7"/>
  <c r="J61" i="7"/>
  <c r="S60" i="7"/>
  <c r="P60" i="7"/>
  <c r="O60" i="7"/>
  <c r="M60" i="7"/>
  <c r="U60" i="7" s="1"/>
  <c r="L60" i="7"/>
  <c r="J60" i="7"/>
  <c r="P59" i="7"/>
  <c r="O59" i="7"/>
  <c r="M59" i="7"/>
  <c r="L59" i="7"/>
  <c r="J59" i="7"/>
  <c r="S58" i="7"/>
  <c r="O58" i="7"/>
  <c r="P58" i="7" s="1"/>
  <c r="M58" i="7"/>
  <c r="U58" i="7" s="1"/>
  <c r="L58" i="7"/>
  <c r="J58" i="7"/>
  <c r="S57" i="7"/>
  <c r="P57" i="7"/>
  <c r="O57" i="7"/>
  <c r="M57" i="7"/>
  <c r="U57" i="7" s="1"/>
  <c r="L57" i="7"/>
  <c r="J57" i="7"/>
  <c r="S56" i="7"/>
  <c r="O56" i="7"/>
  <c r="P56" i="7" s="1"/>
  <c r="M56" i="7"/>
  <c r="U56" i="7" s="1"/>
  <c r="L56" i="7"/>
  <c r="J56" i="7"/>
  <c r="U55" i="7"/>
  <c r="O55" i="7"/>
  <c r="P55" i="7" s="1"/>
  <c r="M55" i="7"/>
  <c r="S55" i="7" s="1"/>
  <c r="L55" i="7"/>
  <c r="J55" i="7"/>
  <c r="U54" i="7"/>
  <c r="S54" i="7"/>
  <c r="O54" i="7"/>
  <c r="P54" i="7" s="1"/>
  <c r="M54" i="7"/>
  <c r="L54" i="7"/>
  <c r="J54" i="7"/>
  <c r="P53" i="7"/>
  <c r="O53" i="7"/>
  <c r="M53" i="7"/>
  <c r="S53" i="7" s="1"/>
  <c r="L53" i="7"/>
  <c r="J53" i="7"/>
  <c r="S52" i="7"/>
  <c r="P52" i="7"/>
  <c r="O52" i="7"/>
  <c r="M52" i="7"/>
  <c r="U52" i="7" s="1"/>
  <c r="L52" i="7"/>
  <c r="J52" i="7"/>
  <c r="P51" i="7"/>
  <c r="O51" i="7"/>
  <c r="M51" i="7"/>
  <c r="S51" i="7" s="1"/>
  <c r="L51" i="7"/>
  <c r="J51" i="7"/>
  <c r="O50" i="7"/>
  <c r="P50" i="7" s="1"/>
  <c r="M50" i="7"/>
  <c r="L50" i="7"/>
  <c r="J50" i="7"/>
  <c r="S49" i="7"/>
  <c r="O49" i="7"/>
  <c r="P49" i="7" s="1"/>
  <c r="M49" i="7"/>
  <c r="U49" i="7" s="1"/>
  <c r="L49" i="7"/>
  <c r="J49" i="7"/>
  <c r="P48" i="7"/>
  <c r="O48" i="7"/>
  <c r="M48" i="7"/>
  <c r="S48" i="7" s="1"/>
  <c r="L48" i="7"/>
  <c r="J48" i="7"/>
  <c r="S47" i="7"/>
  <c r="O47" i="7"/>
  <c r="P47" i="7" s="1"/>
  <c r="M47" i="7"/>
  <c r="U47" i="7" s="1"/>
  <c r="L47" i="7"/>
  <c r="J47" i="7"/>
  <c r="U46" i="7"/>
  <c r="P46" i="7"/>
  <c r="O46" i="7"/>
  <c r="M46" i="7"/>
  <c r="S46" i="7" s="1"/>
  <c r="L46" i="7"/>
  <c r="J46" i="7"/>
  <c r="S45" i="7"/>
  <c r="O45" i="7"/>
  <c r="P45" i="7" s="1"/>
  <c r="M45" i="7"/>
  <c r="U45" i="7" s="1"/>
  <c r="L45" i="7"/>
  <c r="J45" i="7"/>
  <c r="P44" i="7"/>
  <c r="O44" i="7"/>
  <c r="M44" i="7"/>
  <c r="S44" i="7" s="1"/>
  <c r="L44" i="7"/>
  <c r="J44" i="7"/>
  <c r="S43" i="7"/>
  <c r="O43" i="7"/>
  <c r="P43" i="7" s="1"/>
  <c r="M43" i="7"/>
  <c r="U43" i="7" s="1"/>
  <c r="L43" i="7"/>
  <c r="J43" i="7"/>
  <c r="P42" i="7"/>
  <c r="O42" i="7"/>
  <c r="M42" i="7"/>
  <c r="L42" i="7"/>
  <c r="J42" i="7"/>
  <c r="S41" i="7"/>
  <c r="O41" i="7"/>
  <c r="P41" i="7" s="1"/>
  <c r="M41" i="7"/>
  <c r="U41" i="7" s="1"/>
  <c r="L41" i="7"/>
  <c r="J41" i="7"/>
  <c r="P40" i="7"/>
  <c r="O40" i="7"/>
  <c r="M40" i="7"/>
  <c r="S40" i="7" s="1"/>
  <c r="L40" i="7"/>
  <c r="J40" i="7"/>
  <c r="S39" i="7"/>
  <c r="O39" i="7"/>
  <c r="P39" i="7" s="1"/>
  <c r="M39" i="7"/>
  <c r="U39" i="7" s="1"/>
  <c r="L39" i="7"/>
  <c r="J39" i="7"/>
  <c r="U38" i="7"/>
  <c r="P38" i="7"/>
  <c r="O38" i="7"/>
  <c r="M38" i="7"/>
  <c r="S38" i="7" s="1"/>
  <c r="L38" i="7"/>
  <c r="J38" i="7"/>
  <c r="S37" i="7"/>
  <c r="O37" i="7"/>
  <c r="P37" i="7" s="1"/>
  <c r="M37" i="7"/>
  <c r="U37" i="7" s="1"/>
  <c r="L37" i="7"/>
  <c r="J37" i="7"/>
  <c r="P36" i="7"/>
  <c r="O36" i="7"/>
  <c r="M36" i="7"/>
  <c r="S36" i="7" s="1"/>
  <c r="L36" i="7"/>
  <c r="J36" i="7"/>
  <c r="S35" i="7"/>
  <c r="O35" i="7"/>
  <c r="P35" i="7" s="1"/>
  <c r="M35" i="7"/>
  <c r="U35" i="7" s="1"/>
  <c r="L35" i="7"/>
  <c r="J35" i="7"/>
  <c r="P34" i="7"/>
  <c r="O34" i="7"/>
  <c r="M34" i="7"/>
  <c r="L34" i="7"/>
  <c r="J34" i="7"/>
  <c r="S33" i="7"/>
  <c r="O33" i="7"/>
  <c r="P33" i="7" s="1"/>
  <c r="M33" i="7"/>
  <c r="U33" i="7" s="1"/>
  <c r="L33" i="7"/>
  <c r="J33" i="7"/>
  <c r="P32" i="7"/>
  <c r="O32" i="7"/>
  <c r="M32" i="7"/>
  <c r="S32" i="7" s="1"/>
  <c r="L32" i="7"/>
  <c r="J32" i="7"/>
  <c r="S31" i="7"/>
  <c r="O31" i="7"/>
  <c r="P31" i="7" s="1"/>
  <c r="M31" i="7"/>
  <c r="U31" i="7" s="1"/>
  <c r="L31" i="7"/>
  <c r="J31" i="7"/>
  <c r="U30" i="7"/>
  <c r="P30" i="7"/>
  <c r="O30" i="7"/>
  <c r="M30" i="7"/>
  <c r="S30" i="7" s="1"/>
  <c r="L30" i="7"/>
  <c r="J30" i="7"/>
  <c r="S29" i="7"/>
  <c r="O29" i="7"/>
  <c r="P29" i="7" s="1"/>
  <c r="M29" i="7"/>
  <c r="U29" i="7" s="1"/>
  <c r="L29" i="7"/>
  <c r="J29" i="7"/>
  <c r="P28" i="7"/>
  <c r="O28" i="7"/>
  <c r="M28" i="7"/>
  <c r="S28" i="7" s="1"/>
  <c r="L28" i="7"/>
  <c r="J28" i="7"/>
  <c r="S27" i="7"/>
  <c r="O27" i="7"/>
  <c r="P27" i="7" s="1"/>
  <c r="M27" i="7"/>
  <c r="U27" i="7" s="1"/>
  <c r="L27" i="7"/>
  <c r="J27" i="7"/>
  <c r="P26" i="7"/>
  <c r="O26" i="7"/>
  <c r="M26" i="7"/>
  <c r="L26" i="7"/>
  <c r="J26" i="7"/>
  <c r="S25" i="7"/>
  <c r="O25" i="7"/>
  <c r="P25" i="7" s="1"/>
  <c r="M25" i="7"/>
  <c r="U25" i="7" s="1"/>
  <c r="L25" i="7"/>
  <c r="J25" i="7"/>
  <c r="P24" i="7"/>
  <c r="O24" i="7"/>
  <c r="M24" i="7"/>
  <c r="S24" i="7" s="1"/>
  <c r="L24" i="7"/>
  <c r="J24" i="7"/>
  <c r="S23" i="7"/>
  <c r="O23" i="7"/>
  <c r="P23" i="7" s="1"/>
  <c r="M23" i="7"/>
  <c r="U23" i="7" s="1"/>
  <c r="L23" i="7"/>
  <c r="J23" i="7"/>
  <c r="U22" i="7"/>
  <c r="P22" i="7"/>
  <c r="O22" i="7"/>
  <c r="M22" i="7"/>
  <c r="S22" i="7" s="1"/>
  <c r="L22" i="7"/>
  <c r="J22" i="7"/>
  <c r="S21" i="7"/>
  <c r="O21" i="7"/>
  <c r="P21" i="7" s="1"/>
  <c r="M21" i="7"/>
  <c r="U21" i="7" s="1"/>
  <c r="L21" i="7"/>
  <c r="J21" i="7"/>
  <c r="P20" i="7"/>
  <c r="O20" i="7"/>
  <c r="M20" i="7"/>
  <c r="S20" i="7" s="1"/>
  <c r="L20" i="7"/>
  <c r="J20" i="7"/>
  <c r="S19" i="7"/>
  <c r="O19" i="7"/>
  <c r="P19" i="7" s="1"/>
  <c r="M19" i="7"/>
  <c r="U19" i="7" s="1"/>
  <c r="L19" i="7"/>
  <c r="J19" i="7"/>
  <c r="P18" i="7"/>
  <c r="O18" i="7"/>
  <c r="M18" i="7"/>
  <c r="L18" i="7"/>
  <c r="J18" i="7"/>
  <c r="S17" i="7"/>
  <c r="O17" i="7"/>
  <c r="P17" i="7" s="1"/>
  <c r="M17" i="7"/>
  <c r="U17" i="7" s="1"/>
  <c r="L17" i="7"/>
  <c r="J17" i="7"/>
  <c r="P16" i="7"/>
  <c r="O16" i="7"/>
  <c r="M16" i="7"/>
  <c r="S16" i="7" s="1"/>
  <c r="L16" i="7"/>
  <c r="J16" i="7"/>
  <c r="S15" i="7"/>
  <c r="O15" i="7"/>
  <c r="P15" i="7" s="1"/>
  <c r="M15" i="7"/>
  <c r="U15" i="7" s="1"/>
  <c r="L15" i="7"/>
  <c r="J15" i="7"/>
  <c r="U14" i="7"/>
  <c r="P14" i="7"/>
  <c r="O14" i="7"/>
  <c r="M14" i="7"/>
  <c r="S14" i="7" s="1"/>
  <c r="L14" i="7"/>
  <c r="J14" i="7"/>
  <c r="S13" i="7"/>
  <c r="O13" i="7"/>
  <c r="P13" i="7" s="1"/>
  <c r="M13" i="7"/>
  <c r="U13" i="7" s="1"/>
  <c r="L13" i="7"/>
  <c r="J13" i="7"/>
  <c r="P12" i="7"/>
  <c r="O12" i="7"/>
  <c r="M12" i="7"/>
  <c r="S12" i="7" s="1"/>
  <c r="L12" i="7"/>
  <c r="J12" i="7"/>
  <c r="S11" i="7"/>
  <c r="O11" i="7"/>
  <c r="P11" i="7" s="1"/>
  <c r="M11" i="7"/>
  <c r="U11" i="7" s="1"/>
  <c r="L11" i="7"/>
  <c r="J11" i="7"/>
  <c r="P10" i="7"/>
  <c r="O10" i="7"/>
  <c r="M10" i="7"/>
  <c r="L10" i="7"/>
  <c r="J10" i="7"/>
  <c r="S9" i="7"/>
  <c r="O9" i="7"/>
  <c r="P9" i="7" s="1"/>
  <c r="M9" i="7"/>
  <c r="U9" i="7" s="1"/>
  <c r="L9" i="7"/>
  <c r="J9" i="7"/>
  <c r="P8" i="7"/>
  <c r="O8" i="7"/>
  <c r="M8" i="7"/>
  <c r="S8" i="7" s="1"/>
  <c r="L8" i="7"/>
  <c r="J8" i="7"/>
  <c r="S7" i="7"/>
  <c r="O7" i="7"/>
  <c r="P7" i="7" s="1"/>
  <c r="M7" i="7"/>
  <c r="U7" i="7" s="1"/>
  <c r="L7" i="7"/>
  <c r="J7" i="7"/>
  <c r="U6" i="7"/>
  <c r="P6" i="7"/>
  <c r="O6" i="7"/>
  <c r="M6" i="7"/>
  <c r="S6" i="7" s="1"/>
  <c r="L6" i="7"/>
  <c r="J6" i="7"/>
  <c r="S5" i="7"/>
  <c r="O5" i="7"/>
  <c r="P5" i="7" s="1"/>
  <c r="M5" i="7"/>
  <c r="U5" i="7" s="1"/>
  <c r="L5" i="7"/>
  <c r="J5" i="7"/>
  <c r="P4" i="7"/>
  <c r="O4" i="7"/>
  <c r="M4" i="7"/>
  <c r="S4" i="7" s="1"/>
  <c r="L4" i="7"/>
  <c r="J4" i="7"/>
  <c r="S3" i="7"/>
  <c r="O3" i="7"/>
  <c r="P3" i="7" s="1"/>
  <c r="M3" i="7"/>
  <c r="U3" i="7" s="1"/>
  <c r="L3" i="7"/>
  <c r="J3" i="7"/>
  <c r="Q622" i="5"/>
  <c r="P622" i="5"/>
  <c r="O622" i="5"/>
  <c r="Q621" i="5"/>
  <c r="P621" i="5"/>
  <c r="O621" i="5"/>
  <c r="Q620" i="5"/>
  <c r="P620" i="5"/>
  <c r="O620" i="5"/>
  <c r="Q619" i="5"/>
  <c r="P619" i="5"/>
  <c r="O619" i="5"/>
  <c r="Q618" i="5"/>
  <c r="P618" i="5"/>
  <c r="O618" i="5"/>
  <c r="Q617" i="5"/>
  <c r="P617" i="5"/>
  <c r="O617" i="5"/>
  <c r="Q616" i="5"/>
  <c r="P616" i="5"/>
  <c r="O616" i="5"/>
  <c r="Q615" i="5"/>
  <c r="P615" i="5"/>
  <c r="O615" i="5"/>
  <c r="Q614" i="5"/>
  <c r="P614" i="5"/>
  <c r="O614" i="5"/>
  <c r="Q613" i="5"/>
  <c r="P613" i="5"/>
  <c r="O613" i="5"/>
  <c r="Q612" i="5"/>
  <c r="P612" i="5"/>
  <c r="O612" i="5"/>
  <c r="Q611" i="5"/>
  <c r="P611" i="5"/>
  <c r="O611" i="5"/>
  <c r="Q610" i="5"/>
  <c r="P610" i="5"/>
  <c r="O610" i="5"/>
  <c r="Q609" i="5"/>
  <c r="P609" i="5"/>
  <c r="O609" i="5"/>
  <c r="Q608" i="5"/>
  <c r="P608" i="5"/>
  <c r="O608" i="5"/>
  <c r="Q607" i="5"/>
  <c r="P607" i="5"/>
  <c r="O607" i="5"/>
  <c r="Q606" i="5"/>
  <c r="P606" i="5"/>
  <c r="O606" i="5"/>
  <c r="Q605" i="5"/>
  <c r="P605" i="5"/>
  <c r="O605" i="5"/>
  <c r="Q604" i="5"/>
  <c r="P604" i="5"/>
  <c r="O604" i="5"/>
  <c r="Q603" i="5"/>
  <c r="P603" i="5"/>
  <c r="O603" i="5"/>
  <c r="Q602" i="5"/>
  <c r="P602" i="5"/>
  <c r="O602" i="5"/>
  <c r="Q601" i="5"/>
  <c r="P601" i="5"/>
  <c r="O601" i="5"/>
  <c r="Q600" i="5"/>
  <c r="P600" i="5"/>
  <c r="O600" i="5"/>
  <c r="Q599" i="5"/>
  <c r="P599" i="5"/>
  <c r="O599" i="5"/>
  <c r="Q598" i="5"/>
  <c r="P598" i="5"/>
  <c r="O598" i="5"/>
  <c r="Q597" i="5"/>
  <c r="P597" i="5"/>
  <c r="O597" i="5"/>
  <c r="Q596" i="5"/>
  <c r="P596" i="5"/>
  <c r="O596" i="5"/>
  <c r="Q595" i="5"/>
  <c r="P595" i="5"/>
  <c r="O595" i="5"/>
  <c r="Q594" i="5"/>
  <c r="P594" i="5"/>
  <c r="O594" i="5"/>
  <c r="Q593" i="5"/>
  <c r="P593" i="5"/>
  <c r="O593" i="5"/>
  <c r="Q592" i="5"/>
  <c r="P592" i="5"/>
  <c r="O592" i="5"/>
  <c r="Q591" i="5"/>
  <c r="P591" i="5"/>
  <c r="O591" i="5"/>
  <c r="Q590" i="5"/>
  <c r="P590" i="5"/>
  <c r="O590" i="5"/>
  <c r="Q589" i="5"/>
  <c r="P589" i="5"/>
  <c r="O589" i="5"/>
  <c r="Q588" i="5"/>
  <c r="P588" i="5"/>
  <c r="O588" i="5"/>
  <c r="Q587" i="5"/>
  <c r="P587" i="5"/>
  <c r="O587" i="5"/>
  <c r="Q586" i="5"/>
  <c r="P586" i="5"/>
  <c r="O586" i="5"/>
  <c r="Q585" i="5"/>
  <c r="P585" i="5"/>
  <c r="O585" i="5"/>
  <c r="Q584" i="5"/>
  <c r="P584" i="5"/>
  <c r="O584" i="5"/>
  <c r="Q583" i="5"/>
  <c r="P583" i="5"/>
  <c r="O583" i="5"/>
  <c r="Q582" i="5"/>
  <c r="P582" i="5"/>
  <c r="O582" i="5"/>
  <c r="Q581" i="5"/>
  <c r="P581" i="5"/>
  <c r="O581" i="5"/>
  <c r="Q580" i="5"/>
  <c r="P580" i="5"/>
  <c r="O580" i="5"/>
  <c r="Q579" i="5"/>
  <c r="P579" i="5"/>
  <c r="O579" i="5"/>
  <c r="Q578" i="5"/>
  <c r="P578" i="5"/>
  <c r="O578" i="5"/>
  <c r="Q577" i="5"/>
  <c r="P577" i="5"/>
  <c r="O577" i="5"/>
  <c r="Q576" i="5"/>
  <c r="P576" i="5"/>
  <c r="O576" i="5"/>
  <c r="Q575" i="5"/>
  <c r="P575" i="5"/>
  <c r="O575" i="5"/>
  <c r="Q574" i="5"/>
  <c r="P574" i="5"/>
  <c r="O574" i="5"/>
  <c r="Q573" i="5"/>
  <c r="P573" i="5"/>
  <c r="O573" i="5"/>
  <c r="Q572" i="5"/>
  <c r="P572" i="5"/>
  <c r="O572" i="5"/>
  <c r="Q571" i="5"/>
  <c r="P571" i="5"/>
  <c r="O571" i="5"/>
  <c r="Q570" i="5"/>
  <c r="P570" i="5"/>
  <c r="O570" i="5"/>
  <c r="Q569" i="5"/>
  <c r="P569" i="5"/>
  <c r="O569" i="5"/>
  <c r="Q568" i="5"/>
  <c r="P568" i="5"/>
  <c r="O568" i="5"/>
  <c r="Q567" i="5"/>
  <c r="P567" i="5"/>
  <c r="O567" i="5"/>
  <c r="Q566" i="5"/>
  <c r="P566" i="5"/>
  <c r="O566" i="5"/>
  <c r="Q565" i="5"/>
  <c r="P565" i="5"/>
  <c r="O565" i="5"/>
  <c r="Q564" i="5"/>
  <c r="P564" i="5"/>
  <c r="O564" i="5"/>
  <c r="Q563" i="5"/>
  <c r="P563" i="5"/>
  <c r="O563" i="5"/>
  <c r="Q562" i="5"/>
  <c r="P562" i="5"/>
  <c r="O562" i="5"/>
  <c r="Q561" i="5"/>
  <c r="P561" i="5"/>
  <c r="O561" i="5"/>
  <c r="Q560" i="5"/>
  <c r="P560" i="5"/>
  <c r="O560" i="5"/>
  <c r="Q559" i="5"/>
  <c r="P559" i="5"/>
  <c r="O559" i="5"/>
  <c r="Q558" i="5"/>
  <c r="P558" i="5"/>
  <c r="O558" i="5"/>
  <c r="Q557" i="5"/>
  <c r="P557" i="5"/>
  <c r="O557" i="5"/>
  <c r="Q556" i="5"/>
  <c r="P556" i="5"/>
  <c r="O556" i="5"/>
  <c r="Q555" i="5"/>
  <c r="P555" i="5"/>
  <c r="O555" i="5"/>
  <c r="Q554" i="5"/>
  <c r="P554" i="5"/>
  <c r="O554" i="5"/>
  <c r="Q553" i="5"/>
  <c r="P553" i="5"/>
  <c r="O553" i="5"/>
  <c r="Q552" i="5"/>
  <c r="P552" i="5"/>
  <c r="O552" i="5"/>
  <c r="Q551" i="5"/>
  <c r="P551" i="5"/>
  <c r="O551" i="5"/>
  <c r="Q550" i="5"/>
  <c r="P550" i="5"/>
  <c r="O550" i="5"/>
  <c r="Q549" i="5"/>
  <c r="P549" i="5"/>
  <c r="O549" i="5"/>
  <c r="Q548" i="5"/>
  <c r="P548" i="5"/>
  <c r="O548" i="5"/>
  <c r="Q547" i="5"/>
  <c r="P547" i="5"/>
  <c r="O547" i="5"/>
  <c r="Q546" i="5"/>
  <c r="P546" i="5"/>
  <c r="O546" i="5"/>
  <c r="Q545" i="5"/>
  <c r="P545" i="5"/>
  <c r="O545" i="5"/>
  <c r="Q544" i="5"/>
  <c r="P544" i="5"/>
  <c r="O544" i="5"/>
  <c r="Q543" i="5"/>
  <c r="P543" i="5"/>
  <c r="O543" i="5"/>
  <c r="Q542" i="5"/>
  <c r="P542" i="5"/>
  <c r="O542" i="5"/>
  <c r="Q541" i="5"/>
  <c r="P541" i="5"/>
  <c r="O541" i="5"/>
  <c r="Q540" i="5"/>
  <c r="P540" i="5"/>
  <c r="O540" i="5"/>
  <c r="Q539" i="5"/>
  <c r="P539" i="5"/>
  <c r="O539" i="5"/>
  <c r="Q538" i="5"/>
  <c r="P538" i="5"/>
  <c r="O538" i="5"/>
  <c r="Q537" i="5"/>
  <c r="P537" i="5"/>
  <c r="O537" i="5"/>
  <c r="Q536" i="5"/>
  <c r="P536" i="5"/>
  <c r="O536" i="5"/>
  <c r="Q535" i="5"/>
  <c r="P535" i="5"/>
  <c r="O535" i="5"/>
  <c r="Q534" i="5"/>
  <c r="P534" i="5"/>
  <c r="O534" i="5"/>
  <c r="Q533" i="5"/>
  <c r="P533" i="5"/>
  <c r="O533" i="5"/>
  <c r="Q532" i="5"/>
  <c r="P532" i="5"/>
  <c r="O532" i="5"/>
  <c r="Q531" i="5"/>
  <c r="P531" i="5"/>
  <c r="O531" i="5"/>
  <c r="Q530" i="5"/>
  <c r="P530" i="5"/>
  <c r="O530" i="5"/>
  <c r="Q529" i="5"/>
  <c r="P529" i="5"/>
  <c r="O529" i="5"/>
  <c r="Q528" i="5"/>
  <c r="P528" i="5"/>
  <c r="O528" i="5"/>
  <c r="Q527" i="5"/>
  <c r="P527" i="5"/>
  <c r="O527" i="5"/>
  <c r="Q526" i="5"/>
  <c r="P526" i="5"/>
  <c r="O526" i="5"/>
  <c r="Q525" i="5"/>
  <c r="P525" i="5"/>
  <c r="O525" i="5"/>
  <c r="Q524" i="5"/>
  <c r="P524" i="5"/>
  <c r="O524" i="5"/>
  <c r="Q523" i="5"/>
  <c r="P523" i="5"/>
  <c r="O523" i="5"/>
  <c r="Q522" i="5"/>
  <c r="P522" i="5"/>
  <c r="O522" i="5"/>
  <c r="Q521" i="5"/>
  <c r="P521" i="5"/>
  <c r="O521" i="5"/>
  <c r="Q520" i="5"/>
  <c r="P520" i="5"/>
  <c r="O520" i="5"/>
  <c r="Q519" i="5"/>
  <c r="P519" i="5"/>
  <c r="O519" i="5"/>
  <c r="Q518" i="5"/>
  <c r="P518" i="5"/>
  <c r="O518" i="5"/>
  <c r="Q517" i="5"/>
  <c r="P517" i="5"/>
  <c r="O517" i="5"/>
  <c r="Q516" i="5"/>
  <c r="P516" i="5"/>
  <c r="O516" i="5"/>
  <c r="Q515" i="5"/>
  <c r="P515" i="5"/>
  <c r="O515" i="5"/>
  <c r="Q514" i="5"/>
  <c r="P514" i="5"/>
  <c r="O514" i="5"/>
  <c r="Q513" i="5"/>
  <c r="P513" i="5"/>
  <c r="O513" i="5"/>
  <c r="Q512" i="5"/>
  <c r="P512" i="5"/>
  <c r="O512" i="5"/>
  <c r="Q511" i="5"/>
  <c r="P511" i="5"/>
  <c r="O511" i="5"/>
  <c r="Q510" i="5"/>
  <c r="P510" i="5"/>
  <c r="O510" i="5"/>
  <c r="Q509" i="5"/>
  <c r="P509" i="5"/>
  <c r="O509" i="5"/>
  <c r="Q508" i="5"/>
  <c r="P508" i="5"/>
  <c r="O508" i="5"/>
  <c r="Q507" i="5"/>
  <c r="P507" i="5"/>
  <c r="O507" i="5"/>
  <c r="Q506" i="5"/>
  <c r="P506" i="5"/>
  <c r="O506" i="5"/>
  <c r="Q505" i="5"/>
  <c r="P505" i="5"/>
  <c r="O505" i="5"/>
  <c r="Q504" i="5"/>
  <c r="P504" i="5"/>
  <c r="O504" i="5"/>
  <c r="Q503" i="5"/>
  <c r="P503" i="5"/>
  <c r="O503" i="5"/>
  <c r="Q502" i="5"/>
  <c r="P502" i="5"/>
  <c r="O502" i="5"/>
  <c r="Q501" i="5"/>
  <c r="P501" i="5"/>
  <c r="O501" i="5"/>
  <c r="Q500" i="5"/>
  <c r="P500" i="5"/>
  <c r="O500" i="5"/>
  <c r="Q499" i="5"/>
  <c r="P499" i="5"/>
  <c r="O499" i="5"/>
  <c r="Q498" i="5"/>
  <c r="P498" i="5"/>
  <c r="O498" i="5"/>
  <c r="Q497" i="5"/>
  <c r="P497" i="5"/>
  <c r="O497" i="5"/>
  <c r="Q496" i="5"/>
  <c r="P496" i="5"/>
  <c r="O496" i="5"/>
  <c r="Q495" i="5"/>
  <c r="P495" i="5"/>
  <c r="O495" i="5"/>
  <c r="Q494" i="5"/>
  <c r="P494" i="5"/>
  <c r="O494" i="5"/>
  <c r="Q493" i="5"/>
  <c r="P493" i="5"/>
  <c r="O493" i="5"/>
  <c r="Q492" i="5"/>
  <c r="P492" i="5"/>
  <c r="O492" i="5"/>
  <c r="Q491" i="5"/>
  <c r="P491" i="5"/>
  <c r="O491" i="5"/>
  <c r="Q490" i="5"/>
  <c r="P490" i="5"/>
  <c r="O490" i="5"/>
  <c r="Q489" i="5"/>
  <c r="P489" i="5"/>
  <c r="O489" i="5"/>
  <c r="Q488" i="5"/>
  <c r="P488" i="5"/>
  <c r="O488" i="5"/>
  <c r="Q487" i="5"/>
  <c r="P487" i="5"/>
  <c r="O487" i="5"/>
  <c r="Q486" i="5"/>
  <c r="P486" i="5"/>
  <c r="O486" i="5"/>
  <c r="Q485" i="5"/>
  <c r="P485" i="5"/>
  <c r="O485" i="5"/>
  <c r="Q484" i="5"/>
  <c r="P484" i="5"/>
  <c r="O484" i="5"/>
  <c r="Q483" i="5"/>
  <c r="P483" i="5"/>
  <c r="O483" i="5"/>
  <c r="Q482" i="5"/>
  <c r="P482" i="5"/>
  <c r="O482" i="5"/>
  <c r="Q481" i="5"/>
  <c r="P481" i="5"/>
  <c r="O481" i="5"/>
  <c r="Q480" i="5"/>
  <c r="P480" i="5"/>
  <c r="O480" i="5"/>
  <c r="Q479" i="5"/>
  <c r="P479" i="5"/>
  <c r="O479" i="5"/>
  <c r="Q478" i="5"/>
  <c r="P478" i="5"/>
  <c r="O478" i="5"/>
  <c r="Q477" i="5"/>
  <c r="P477" i="5"/>
  <c r="O477" i="5"/>
  <c r="Q476" i="5"/>
  <c r="P476" i="5"/>
  <c r="O476" i="5"/>
  <c r="Q475" i="5"/>
  <c r="P475" i="5"/>
  <c r="O475" i="5"/>
  <c r="Q474" i="5"/>
  <c r="P474" i="5"/>
  <c r="O474" i="5"/>
  <c r="Q473" i="5"/>
  <c r="P473" i="5"/>
  <c r="O473" i="5"/>
  <c r="Q472" i="5"/>
  <c r="P472" i="5"/>
  <c r="O472" i="5"/>
  <c r="Q471" i="5"/>
  <c r="P471" i="5"/>
  <c r="O471" i="5"/>
  <c r="Q470" i="5"/>
  <c r="P470" i="5"/>
  <c r="O470" i="5"/>
  <c r="Q469" i="5"/>
  <c r="P469" i="5"/>
  <c r="O469" i="5"/>
  <c r="Q468" i="5"/>
  <c r="P468" i="5"/>
  <c r="O468" i="5"/>
  <c r="Q467" i="5"/>
  <c r="P467" i="5"/>
  <c r="O467" i="5"/>
  <c r="Q466" i="5"/>
  <c r="P466" i="5"/>
  <c r="O466" i="5"/>
  <c r="Q465" i="5"/>
  <c r="P465" i="5"/>
  <c r="O465" i="5"/>
  <c r="Q464" i="5"/>
  <c r="P464" i="5"/>
  <c r="O464" i="5"/>
  <c r="Q463" i="5"/>
  <c r="P463" i="5"/>
  <c r="O463" i="5"/>
  <c r="Q462" i="5"/>
  <c r="P462" i="5"/>
  <c r="O462" i="5"/>
  <c r="Q461" i="5"/>
  <c r="P461" i="5"/>
  <c r="O461" i="5"/>
  <c r="Q460" i="5"/>
  <c r="P460" i="5"/>
  <c r="O460" i="5"/>
  <c r="Q459" i="5"/>
  <c r="P459" i="5"/>
  <c r="O459" i="5"/>
  <c r="Q458" i="5"/>
  <c r="P458" i="5"/>
  <c r="O458" i="5"/>
  <c r="Q457" i="5"/>
  <c r="P457" i="5"/>
  <c r="O457" i="5"/>
  <c r="Q456" i="5"/>
  <c r="P456" i="5"/>
  <c r="O456" i="5"/>
  <c r="Q455" i="5"/>
  <c r="P455" i="5"/>
  <c r="O455" i="5"/>
  <c r="Q454" i="5"/>
  <c r="P454" i="5"/>
  <c r="O454" i="5"/>
  <c r="Q453" i="5"/>
  <c r="P453" i="5"/>
  <c r="O453" i="5"/>
  <c r="Q452" i="5"/>
  <c r="P452" i="5"/>
  <c r="O452" i="5"/>
  <c r="Q451" i="5"/>
  <c r="P451" i="5"/>
  <c r="O451" i="5"/>
  <c r="Q450" i="5"/>
  <c r="P450" i="5"/>
  <c r="O450" i="5"/>
  <c r="Q449" i="5"/>
  <c r="P449" i="5"/>
  <c r="O449" i="5"/>
  <c r="Q448" i="5"/>
  <c r="P448" i="5"/>
  <c r="O448" i="5"/>
  <c r="Q447" i="5"/>
  <c r="P447" i="5"/>
  <c r="O447" i="5"/>
  <c r="Q446" i="5"/>
  <c r="P446" i="5"/>
  <c r="O446" i="5"/>
  <c r="Q445" i="5"/>
  <c r="P445" i="5"/>
  <c r="O445" i="5"/>
  <c r="Q444" i="5"/>
  <c r="P444" i="5"/>
  <c r="O444" i="5"/>
  <c r="Q443" i="5"/>
  <c r="P443" i="5"/>
  <c r="O443" i="5"/>
  <c r="Q442" i="5"/>
  <c r="P442" i="5"/>
  <c r="O442" i="5"/>
  <c r="Q441" i="5"/>
  <c r="P441" i="5"/>
  <c r="O441" i="5"/>
  <c r="Q440" i="5"/>
  <c r="P440" i="5"/>
  <c r="O440" i="5"/>
  <c r="Q439" i="5"/>
  <c r="P439" i="5"/>
  <c r="O439" i="5"/>
  <c r="Q438" i="5"/>
  <c r="P438" i="5"/>
  <c r="O438" i="5"/>
  <c r="Q437" i="5"/>
  <c r="P437" i="5"/>
  <c r="O437" i="5"/>
  <c r="Q436" i="5"/>
  <c r="P436" i="5"/>
  <c r="O436" i="5"/>
  <c r="Q435" i="5"/>
  <c r="P435" i="5"/>
  <c r="O435" i="5"/>
  <c r="Q434" i="5"/>
  <c r="P434" i="5"/>
  <c r="O434" i="5"/>
  <c r="Q433" i="5"/>
  <c r="P433" i="5"/>
  <c r="O433" i="5"/>
  <c r="Q432" i="5"/>
  <c r="P432" i="5"/>
  <c r="O432" i="5"/>
  <c r="Q431" i="5"/>
  <c r="P431" i="5"/>
  <c r="O431" i="5"/>
  <c r="Q430" i="5"/>
  <c r="P430" i="5"/>
  <c r="O430" i="5"/>
  <c r="Q429" i="5"/>
  <c r="P429" i="5"/>
  <c r="O429" i="5"/>
  <c r="Q428" i="5"/>
  <c r="P428" i="5"/>
  <c r="O428" i="5"/>
  <c r="Q427" i="5"/>
  <c r="P427" i="5"/>
  <c r="O427" i="5"/>
  <c r="Q426" i="5"/>
  <c r="P426" i="5"/>
  <c r="O426" i="5"/>
  <c r="Q425" i="5"/>
  <c r="P425" i="5"/>
  <c r="O425" i="5"/>
  <c r="Q424" i="5"/>
  <c r="P424" i="5"/>
  <c r="O424" i="5"/>
  <c r="Q423" i="5"/>
  <c r="P423" i="5"/>
  <c r="O423" i="5"/>
  <c r="Q422" i="5"/>
  <c r="P422" i="5"/>
  <c r="O422" i="5"/>
  <c r="Q421" i="5"/>
  <c r="P421" i="5"/>
  <c r="O421" i="5"/>
  <c r="Q420" i="5"/>
  <c r="P420" i="5"/>
  <c r="O420" i="5"/>
  <c r="Q419" i="5"/>
  <c r="P419" i="5"/>
  <c r="O419" i="5"/>
  <c r="Q418" i="5"/>
  <c r="P418" i="5"/>
  <c r="O418" i="5"/>
  <c r="Q417" i="5"/>
  <c r="P417" i="5"/>
  <c r="O417" i="5"/>
  <c r="Q416" i="5"/>
  <c r="P416" i="5"/>
  <c r="O416" i="5"/>
  <c r="Q415" i="5"/>
  <c r="P415" i="5"/>
  <c r="O415" i="5"/>
  <c r="Q414" i="5"/>
  <c r="P414" i="5"/>
  <c r="O414" i="5"/>
  <c r="Q413" i="5"/>
  <c r="P413" i="5"/>
  <c r="O413" i="5"/>
  <c r="Q412" i="5"/>
  <c r="P412" i="5"/>
  <c r="O412" i="5"/>
  <c r="Q411" i="5"/>
  <c r="P411" i="5"/>
  <c r="O411" i="5"/>
  <c r="Q410" i="5"/>
  <c r="P410" i="5"/>
  <c r="O410" i="5"/>
  <c r="Q409" i="5"/>
  <c r="P409" i="5"/>
  <c r="O409" i="5"/>
  <c r="Q408" i="5"/>
  <c r="P408" i="5"/>
  <c r="O408" i="5"/>
  <c r="Q407" i="5"/>
  <c r="P407" i="5"/>
  <c r="O407" i="5"/>
  <c r="Q406" i="5"/>
  <c r="P406" i="5"/>
  <c r="O406" i="5"/>
  <c r="Q405" i="5"/>
  <c r="P405" i="5"/>
  <c r="O405" i="5"/>
  <c r="Q404" i="5"/>
  <c r="P404" i="5"/>
  <c r="O404" i="5"/>
  <c r="Q403" i="5"/>
  <c r="P403" i="5"/>
  <c r="O403" i="5"/>
  <c r="Q402" i="5"/>
  <c r="P402" i="5"/>
  <c r="O402" i="5"/>
  <c r="Q401" i="5"/>
  <c r="P401" i="5"/>
  <c r="O401" i="5"/>
  <c r="Q400" i="5"/>
  <c r="P400" i="5"/>
  <c r="O400" i="5"/>
  <c r="Q399" i="5"/>
  <c r="P399" i="5"/>
  <c r="O399" i="5"/>
  <c r="Q398" i="5"/>
  <c r="P398" i="5"/>
  <c r="O398" i="5"/>
  <c r="Q397" i="5"/>
  <c r="P397" i="5"/>
  <c r="O397" i="5"/>
  <c r="Q396" i="5"/>
  <c r="P396" i="5"/>
  <c r="O396" i="5"/>
  <c r="Q395" i="5"/>
  <c r="P395" i="5"/>
  <c r="O395" i="5"/>
  <c r="Q394" i="5"/>
  <c r="P394" i="5"/>
  <c r="O394" i="5"/>
  <c r="Q393" i="5"/>
  <c r="P393" i="5"/>
  <c r="O393" i="5"/>
  <c r="Q392" i="5"/>
  <c r="P392" i="5"/>
  <c r="O392" i="5"/>
  <c r="Q391" i="5"/>
  <c r="P391" i="5"/>
  <c r="O391" i="5"/>
  <c r="Q390" i="5"/>
  <c r="P390" i="5"/>
  <c r="O390" i="5"/>
  <c r="Q389" i="5"/>
  <c r="P389" i="5"/>
  <c r="O389" i="5"/>
  <c r="Q388" i="5"/>
  <c r="P388" i="5"/>
  <c r="O388" i="5"/>
  <c r="Q387" i="5"/>
  <c r="P387" i="5"/>
  <c r="O387" i="5"/>
  <c r="Q386" i="5"/>
  <c r="P386" i="5"/>
  <c r="O386" i="5"/>
  <c r="Q385" i="5"/>
  <c r="P385" i="5"/>
  <c r="O385" i="5"/>
  <c r="Q384" i="5"/>
  <c r="P384" i="5"/>
  <c r="O384" i="5"/>
  <c r="Q383" i="5"/>
  <c r="P383" i="5"/>
  <c r="O383" i="5"/>
  <c r="Q382" i="5"/>
  <c r="P382" i="5"/>
  <c r="O382" i="5"/>
  <c r="Q381" i="5"/>
  <c r="P381" i="5"/>
  <c r="O381" i="5"/>
  <c r="Q380" i="5"/>
  <c r="P380" i="5"/>
  <c r="O380" i="5"/>
  <c r="Q379" i="5"/>
  <c r="P379" i="5"/>
  <c r="O379" i="5"/>
  <c r="Q378" i="5"/>
  <c r="P378" i="5"/>
  <c r="O378" i="5"/>
  <c r="Q377" i="5"/>
  <c r="P377" i="5"/>
  <c r="O377" i="5"/>
  <c r="Q376" i="5"/>
  <c r="P376" i="5"/>
  <c r="O376" i="5"/>
  <c r="Q375" i="5"/>
  <c r="P375" i="5"/>
  <c r="O375" i="5"/>
  <c r="Q374" i="5"/>
  <c r="P374" i="5"/>
  <c r="O374" i="5"/>
  <c r="Q373" i="5"/>
  <c r="P373" i="5"/>
  <c r="O373" i="5"/>
  <c r="Q372" i="5"/>
  <c r="P372" i="5"/>
  <c r="O372" i="5"/>
  <c r="Q371" i="5"/>
  <c r="P371" i="5"/>
  <c r="O371" i="5"/>
  <c r="Q370" i="5"/>
  <c r="P370" i="5"/>
  <c r="O370" i="5"/>
  <c r="Q369" i="5"/>
  <c r="P369" i="5"/>
  <c r="O369" i="5"/>
  <c r="Q368" i="5"/>
  <c r="P368" i="5"/>
  <c r="O368" i="5"/>
  <c r="Q367" i="5"/>
  <c r="P367" i="5"/>
  <c r="O367" i="5"/>
  <c r="Q366" i="5"/>
  <c r="P366" i="5"/>
  <c r="O366" i="5"/>
  <c r="Q365" i="5"/>
  <c r="P365" i="5"/>
  <c r="O365" i="5"/>
  <c r="Q364" i="5"/>
  <c r="P364" i="5"/>
  <c r="O364" i="5"/>
  <c r="Q363" i="5"/>
  <c r="P363" i="5"/>
  <c r="O363" i="5"/>
  <c r="Q362" i="5"/>
  <c r="P362" i="5"/>
  <c r="O362" i="5"/>
  <c r="Q361" i="5"/>
  <c r="P361" i="5"/>
  <c r="O361" i="5"/>
  <c r="Q360" i="5"/>
  <c r="P360" i="5"/>
  <c r="O360" i="5"/>
  <c r="Q359" i="5"/>
  <c r="P359" i="5"/>
  <c r="O359" i="5"/>
  <c r="Q358" i="5"/>
  <c r="P358" i="5"/>
  <c r="O358" i="5"/>
  <c r="Q357" i="5"/>
  <c r="P357" i="5"/>
  <c r="O357" i="5"/>
  <c r="Q356" i="5"/>
  <c r="P356" i="5"/>
  <c r="O356" i="5"/>
  <c r="Q355" i="5"/>
  <c r="P355" i="5"/>
  <c r="O355" i="5"/>
  <c r="Q354" i="5"/>
  <c r="P354" i="5"/>
  <c r="O354" i="5"/>
  <c r="Q353" i="5"/>
  <c r="P353" i="5"/>
  <c r="O353" i="5"/>
  <c r="Q352" i="5"/>
  <c r="P352" i="5"/>
  <c r="O352" i="5"/>
  <c r="Q351" i="5"/>
  <c r="P351" i="5"/>
  <c r="O351" i="5"/>
  <c r="Q350" i="5"/>
  <c r="P350" i="5"/>
  <c r="O350" i="5"/>
  <c r="Q349" i="5"/>
  <c r="P349" i="5"/>
  <c r="O349" i="5"/>
  <c r="Q348" i="5"/>
  <c r="P348" i="5"/>
  <c r="O348" i="5"/>
  <c r="Q347" i="5"/>
  <c r="P347" i="5"/>
  <c r="O347" i="5"/>
  <c r="Q346" i="5"/>
  <c r="P346" i="5"/>
  <c r="O346" i="5"/>
  <c r="Q345" i="5"/>
  <c r="P345" i="5"/>
  <c r="O345" i="5"/>
  <c r="Q344" i="5"/>
  <c r="P344" i="5"/>
  <c r="O344" i="5"/>
  <c r="Q343" i="5"/>
  <c r="P343" i="5"/>
  <c r="O343" i="5"/>
  <c r="Q342" i="5"/>
  <c r="P342" i="5"/>
  <c r="O342" i="5"/>
  <c r="Q341" i="5"/>
  <c r="P341" i="5"/>
  <c r="O341" i="5"/>
  <c r="Q340" i="5"/>
  <c r="P340" i="5"/>
  <c r="O340" i="5"/>
  <c r="Q339" i="5"/>
  <c r="P339" i="5"/>
  <c r="O339" i="5"/>
  <c r="Q338" i="5"/>
  <c r="P338" i="5"/>
  <c r="O338" i="5"/>
  <c r="Q337" i="5"/>
  <c r="P337" i="5"/>
  <c r="O337" i="5"/>
  <c r="Q336" i="5"/>
  <c r="P336" i="5"/>
  <c r="O336" i="5"/>
  <c r="Q335" i="5"/>
  <c r="P335" i="5"/>
  <c r="O335" i="5"/>
  <c r="Q334" i="5"/>
  <c r="P334" i="5"/>
  <c r="O334" i="5"/>
  <c r="Q333" i="5"/>
  <c r="P333" i="5"/>
  <c r="O333" i="5"/>
  <c r="Q332" i="5"/>
  <c r="P332" i="5"/>
  <c r="O332" i="5"/>
  <c r="Q331" i="5"/>
  <c r="P331" i="5"/>
  <c r="O331" i="5"/>
  <c r="Q330" i="5"/>
  <c r="P330" i="5"/>
  <c r="O330" i="5"/>
  <c r="Q329" i="5"/>
  <c r="P329" i="5"/>
  <c r="O329" i="5"/>
  <c r="Q328" i="5"/>
  <c r="P328" i="5"/>
  <c r="O328" i="5"/>
  <c r="Q327" i="5"/>
  <c r="P327" i="5"/>
  <c r="O327" i="5"/>
  <c r="Q326" i="5"/>
  <c r="P326" i="5"/>
  <c r="O326" i="5"/>
  <c r="Q325" i="5"/>
  <c r="P325" i="5"/>
  <c r="O325" i="5"/>
  <c r="Q324" i="5"/>
  <c r="P324" i="5"/>
  <c r="O324" i="5"/>
  <c r="Q323" i="5"/>
  <c r="P323" i="5"/>
  <c r="O323" i="5"/>
  <c r="Q322" i="5"/>
  <c r="P322" i="5"/>
  <c r="O322" i="5"/>
  <c r="Q321" i="5"/>
  <c r="P321" i="5"/>
  <c r="O321" i="5"/>
  <c r="Q320" i="5"/>
  <c r="P320" i="5"/>
  <c r="O320" i="5"/>
  <c r="Q319" i="5"/>
  <c r="P319" i="5"/>
  <c r="O319" i="5"/>
  <c r="Q318" i="5"/>
  <c r="P318" i="5"/>
  <c r="O318" i="5"/>
  <c r="Q317" i="5"/>
  <c r="P317" i="5"/>
  <c r="O317" i="5"/>
  <c r="Q316" i="5"/>
  <c r="P316" i="5"/>
  <c r="O316" i="5"/>
  <c r="Q315" i="5"/>
  <c r="P315" i="5"/>
  <c r="O315" i="5"/>
  <c r="Q314" i="5"/>
  <c r="P314" i="5"/>
  <c r="O314" i="5"/>
  <c r="Q313" i="5"/>
  <c r="P313" i="5"/>
  <c r="O313" i="5"/>
  <c r="Q312" i="5"/>
  <c r="P312" i="5"/>
  <c r="O312" i="5"/>
  <c r="Q311" i="5"/>
  <c r="P311" i="5"/>
  <c r="O311" i="5"/>
  <c r="Q310" i="5"/>
  <c r="P310" i="5"/>
  <c r="O310" i="5"/>
  <c r="Q309" i="5"/>
  <c r="P309" i="5"/>
  <c r="O309" i="5"/>
  <c r="Q308" i="5"/>
  <c r="P308" i="5"/>
  <c r="O308" i="5"/>
  <c r="Q307" i="5"/>
  <c r="P307" i="5"/>
  <c r="O307" i="5"/>
  <c r="Q306" i="5"/>
  <c r="P306" i="5"/>
  <c r="O306" i="5"/>
  <c r="Q305" i="5"/>
  <c r="P305" i="5"/>
  <c r="O305" i="5"/>
  <c r="Q304" i="5"/>
  <c r="P304" i="5"/>
  <c r="O304" i="5"/>
  <c r="Q303" i="5"/>
  <c r="P303" i="5"/>
  <c r="O303" i="5"/>
  <c r="Q302" i="5"/>
  <c r="P302" i="5"/>
  <c r="O302" i="5"/>
  <c r="Q301" i="5"/>
  <c r="P301" i="5"/>
  <c r="O301" i="5"/>
  <c r="Q300" i="5"/>
  <c r="P300" i="5"/>
  <c r="O300" i="5"/>
  <c r="Q299" i="5"/>
  <c r="P299" i="5"/>
  <c r="O299" i="5"/>
  <c r="Q298" i="5"/>
  <c r="P298" i="5"/>
  <c r="O298" i="5"/>
  <c r="Q297" i="5"/>
  <c r="P297" i="5"/>
  <c r="O297" i="5"/>
  <c r="Q296" i="5"/>
  <c r="P296" i="5"/>
  <c r="O296" i="5"/>
  <c r="Q295" i="5"/>
  <c r="P295" i="5"/>
  <c r="O295" i="5"/>
  <c r="Q294" i="5"/>
  <c r="P294" i="5"/>
  <c r="O294" i="5"/>
  <c r="Q293" i="5"/>
  <c r="P293" i="5"/>
  <c r="O293" i="5"/>
  <c r="Q292" i="5"/>
  <c r="P292" i="5"/>
  <c r="O292" i="5"/>
  <c r="Q291" i="5"/>
  <c r="P291" i="5"/>
  <c r="O291" i="5"/>
  <c r="Q290" i="5"/>
  <c r="P290" i="5"/>
  <c r="O290" i="5"/>
  <c r="Q289" i="5"/>
  <c r="P289" i="5"/>
  <c r="O289" i="5"/>
  <c r="Q288" i="5"/>
  <c r="P288" i="5"/>
  <c r="O288" i="5"/>
  <c r="Q287" i="5"/>
  <c r="P287" i="5"/>
  <c r="O287" i="5"/>
  <c r="Q286" i="5"/>
  <c r="P286" i="5"/>
  <c r="O286" i="5"/>
  <c r="Q285" i="5"/>
  <c r="P285" i="5"/>
  <c r="O285" i="5"/>
  <c r="Q284" i="5"/>
  <c r="P284" i="5"/>
  <c r="O284" i="5"/>
  <c r="Q283" i="5"/>
  <c r="P283" i="5"/>
  <c r="O283" i="5"/>
  <c r="Q282" i="5"/>
  <c r="P282" i="5"/>
  <c r="O282" i="5"/>
  <c r="Q281" i="5"/>
  <c r="P281" i="5"/>
  <c r="O281" i="5"/>
  <c r="Q280" i="5"/>
  <c r="P280" i="5"/>
  <c r="O280" i="5"/>
  <c r="Q279" i="5"/>
  <c r="P279" i="5"/>
  <c r="O279" i="5"/>
  <c r="Q278" i="5"/>
  <c r="P278" i="5"/>
  <c r="O278" i="5"/>
  <c r="Q277" i="5"/>
  <c r="P277" i="5"/>
  <c r="O277" i="5"/>
  <c r="Q276" i="5"/>
  <c r="P276" i="5"/>
  <c r="O276" i="5"/>
  <c r="Q275" i="5"/>
  <c r="P275" i="5"/>
  <c r="O275" i="5"/>
  <c r="Q274" i="5"/>
  <c r="P274" i="5"/>
  <c r="O274" i="5"/>
  <c r="Q273" i="5"/>
  <c r="P273" i="5"/>
  <c r="O273" i="5"/>
  <c r="Q272" i="5"/>
  <c r="P272" i="5"/>
  <c r="O272" i="5"/>
  <c r="Q271" i="5"/>
  <c r="P271" i="5"/>
  <c r="O271" i="5"/>
  <c r="Q270" i="5"/>
  <c r="P270" i="5"/>
  <c r="O270" i="5"/>
  <c r="Q269" i="5"/>
  <c r="P269" i="5"/>
  <c r="O269" i="5"/>
  <c r="Q268" i="5"/>
  <c r="P268" i="5"/>
  <c r="O268" i="5"/>
  <c r="Q267" i="5"/>
  <c r="P267" i="5"/>
  <c r="O267" i="5"/>
  <c r="Q266" i="5"/>
  <c r="P266" i="5"/>
  <c r="O266" i="5"/>
  <c r="Q265" i="5"/>
  <c r="P265" i="5"/>
  <c r="O265" i="5"/>
  <c r="Q264" i="5"/>
  <c r="P264" i="5"/>
  <c r="O264" i="5"/>
  <c r="Q263" i="5"/>
  <c r="P263" i="5"/>
  <c r="O263" i="5"/>
  <c r="Q262" i="5"/>
  <c r="P262" i="5"/>
  <c r="O262" i="5"/>
  <c r="Q261" i="5"/>
  <c r="P261" i="5"/>
  <c r="O261" i="5"/>
  <c r="Q260" i="5"/>
  <c r="P260" i="5"/>
  <c r="O260" i="5"/>
  <c r="Q259" i="5"/>
  <c r="P259" i="5"/>
  <c r="O259" i="5"/>
  <c r="Q258" i="5"/>
  <c r="P258" i="5"/>
  <c r="O258" i="5"/>
  <c r="Q257" i="5"/>
  <c r="P257" i="5"/>
  <c r="O257" i="5"/>
  <c r="Q256" i="5"/>
  <c r="P256" i="5"/>
  <c r="O256" i="5"/>
  <c r="Q255" i="5"/>
  <c r="P255" i="5"/>
  <c r="O255" i="5"/>
  <c r="Q254" i="5"/>
  <c r="P254" i="5"/>
  <c r="O254" i="5"/>
  <c r="Q253" i="5"/>
  <c r="P253" i="5"/>
  <c r="O253" i="5"/>
  <c r="Q252" i="5"/>
  <c r="P252" i="5"/>
  <c r="O252" i="5"/>
  <c r="Q251" i="5"/>
  <c r="P251" i="5"/>
  <c r="O251" i="5"/>
  <c r="Q250" i="5"/>
  <c r="P250" i="5"/>
  <c r="O250" i="5"/>
  <c r="Q249" i="5"/>
  <c r="P249" i="5"/>
  <c r="O249" i="5"/>
  <c r="Q248" i="5"/>
  <c r="P248" i="5"/>
  <c r="O248" i="5"/>
  <c r="Q247" i="5"/>
  <c r="P247" i="5"/>
  <c r="O247" i="5"/>
  <c r="Q246" i="5"/>
  <c r="P246" i="5"/>
  <c r="O246" i="5"/>
  <c r="Q245" i="5"/>
  <c r="P245" i="5"/>
  <c r="O245" i="5"/>
  <c r="Q244" i="5"/>
  <c r="P244" i="5"/>
  <c r="O244" i="5"/>
  <c r="Q243" i="5"/>
  <c r="P243" i="5"/>
  <c r="O243" i="5"/>
  <c r="Q242" i="5"/>
  <c r="P242" i="5"/>
  <c r="O242" i="5"/>
  <c r="Q241" i="5"/>
  <c r="P241" i="5"/>
  <c r="O241" i="5"/>
  <c r="Q240" i="5"/>
  <c r="P240" i="5"/>
  <c r="O240" i="5"/>
  <c r="Q239" i="5"/>
  <c r="P239" i="5"/>
  <c r="O239" i="5"/>
  <c r="Q238" i="5"/>
  <c r="P238" i="5"/>
  <c r="O238" i="5"/>
  <c r="Q237" i="5"/>
  <c r="P237" i="5"/>
  <c r="O237" i="5"/>
  <c r="Q236" i="5"/>
  <c r="P236" i="5"/>
  <c r="O236" i="5"/>
  <c r="Q235" i="5"/>
  <c r="P235" i="5"/>
  <c r="O235" i="5"/>
  <c r="Q234" i="5"/>
  <c r="P234" i="5"/>
  <c r="O234" i="5"/>
  <c r="Q233" i="5"/>
  <c r="P233" i="5"/>
  <c r="O233" i="5"/>
  <c r="Q232" i="5"/>
  <c r="P232" i="5"/>
  <c r="O232" i="5"/>
  <c r="Q231" i="5"/>
  <c r="P231" i="5"/>
  <c r="O231" i="5"/>
  <c r="Q230" i="5"/>
  <c r="P230" i="5"/>
  <c r="O230" i="5"/>
  <c r="Q229" i="5"/>
  <c r="P229" i="5"/>
  <c r="O229" i="5"/>
  <c r="Q228" i="5"/>
  <c r="P228" i="5"/>
  <c r="O228" i="5"/>
  <c r="Q227" i="5"/>
  <c r="P227" i="5"/>
  <c r="O227" i="5"/>
  <c r="Q226" i="5"/>
  <c r="P226" i="5"/>
  <c r="O226" i="5"/>
  <c r="Q225" i="5"/>
  <c r="P225" i="5"/>
  <c r="O225" i="5"/>
  <c r="Q224" i="5"/>
  <c r="P224" i="5"/>
  <c r="O224" i="5"/>
  <c r="Q223" i="5"/>
  <c r="P223" i="5"/>
  <c r="O223" i="5"/>
  <c r="Q222" i="5"/>
  <c r="P222" i="5"/>
  <c r="O222" i="5"/>
  <c r="Q221" i="5"/>
  <c r="P221" i="5"/>
  <c r="O221" i="5"/>
  <c r="Q220" i="5"/>
  <c r="P220" i="5"/>
  <c r="O220" i="5"/>
  <c r="Q219" i="5"/>
  <c r="P219" i="5"/>
  <c r="O219" i="5"/>
  <c r="Q218" i="5"/>
  <c r="P218" i="5"/>
  <c r="O218" i="5"/>
  <c r="Q217" i="5"/>
  <c r="P217" i="5"/>
  <c r="O217" i="5"/>
  <c r="Q216" i="5"/>
  <c r="P216" i="5"/>
  <c r="O216" i="5"/>
  <c r="Q215" i="5"/>
  <c r="P215" i="5"/>
  <c r="O215" i="5"/>
  <c r="Q214" i="5"/>
  <c r="P214" i="5"/>
  <c r="O214" i="5"/>
  <c r="Q213" i="5"/>
  <c r="P213" i="5"/>
  <c r="O213" i="5"/>
  <c r="Q212" i="5"/>
  <c r="P212" i="5"/>
  <c r="O212" i="5"/>
  <c r="Q211" i="5"/>
  <c r="P211" i="5"/>
  <c r="O211" i="5"/>
  <c r="Q210" i="5"/>
  <c r="P210" i="5"/>
  <c r="O210" i="5"/>
  <c r="Q209" i="5"/>
  <c r="P209" i="5"/>
  <c r="O209" i="5"/>
  <c r="Q208" i="5"/>
  <c r="P208" i="5"/>
  <c r="O208" i="5"/>
  <c r="Q207" i="5"/>
  <c r="P207" i="5"/>
  <c r="O207" i="5"/>
  <c r="Q206" i="5"/>
  <c r="P206" i="5"/>
  <c r="O206" i="5"/>
  <c r="Q205" i="5"/>
  <c r="P205" i="5"/>
  <c r="O205" i="5"/>
  <c r="Q204" i="5"/>
  <c r="P204" i="5"/>
  <c r="O204" i="5"/>
  <c r="Q203" i="5"/>
  <c r="P203" i="5"/>
  <c r="O203" i="5"/>
  <c r="Q202" i="5"/>
  <c r="P202" i="5"/>
  <c r="O202" i="5"/>
  <c r="Q201" i="5"/>
  <c r="P201" i="5"/>
  <c r="O201" i="5"/>
  <c r="Q200" i="5"/>
  <c r="P200" i="5"/>
  <c r="O200" i="5"/>
  <c r="Q199" i="5"/>
  <c r="P199" i="5"/>
  <c r="O199" i="5"/>
  <c r="Q198" i="5"/>
  <c r="P198" i="5"/>
  <c r="O198" i="5"/>
  <c r="Q197" i="5"/>
  <c r="P197" i="5"/>
  <c r="O197" i="5"/>
  <c r="Q196" i="5"/>
  <c r="P196" i="5"/>
  <c r="O196" i="5"/>
  <c r="Q195" i="5"/>
  <c r="P195" i="5"/>
  <c r="O195" i="5"/>
  <c r="Q194" i="5"/>
  <c r="P194" i="5"/>
  <c r="O194" i="5"/>
  <c r="Q193" i="5"/>
  <c r="P193" i="5"/>
  <c r="O193" i="5"/>
  <c r="Q192" i="5"/>
  <c r="P192" i="5"/>
  <c r="O192" i="5"/>
  <c r="Q191" i="5"/>
  <c r="P191" i="5"/>
  <c r="O191" i="5"/>
  <c r="Q190" i="5"/>
  <c r="P190" i="5"/>
  <c r="O190" i="5"/>
  <c r="Q189" i="5"/>
  <c r="P189" i="5"/>
  <c r="O189" i="5"/>
  <c r="Q188" i="5"/>
  <c r="P188" i="5"/>
  <c r="O188" i="5"/>
  <c r="Q187" i="5"/>
  <c r="P187" i="5"/>
  <c r="O187" i="5"/>
  <c r="Q186" i="5"/>
  <c r="P186" i="5"/>
  <c r="O186" i="5"/>
  <c r="Q185" i="5"/>
  <c r="P185" i="5"/>
  <c r="O185" i="5"/>
  <c r="Q184" i="5"/>
  <c r="P184" i="5"/>
  <c r="O184" i="5"/>
  <c r="Q183" i="5"/>
  <c r="P183" i="5"/>
  <c r="O183" i="5"/>
  <c r="Q182" i="5"/>
  <c r="P182" i="5"/>
  <c r="O182" i="5"/>
  <c r="Q181" i="5"/>
  <c r="P181" i="5"/>
  <c r="O181" i="5"/>
  <c r="Q180" i="5"/>
  <c r="P180" i="5"/>
  <c r="O180" i="5"/>
  <c r="Q179" i="5"/>
  <c r="P179" i="5"/>
  <c r="O179" i="5"/>
  <c r="Q178" i="5"/>
  <c r="P178" i="5"/>
  <c r="O178" i="5"/>
  <c r="Q177" i="5"/>
  <c r="P177" i="5"/>
  <c r="O177" i="5"/>
  <c r="Q176" i="5"/>
  <c r="P176" i="5"/>
  <c r="O176" i="5"/>
  <c r="Q175" i="5"/>
  <c r="P175" i="5"/>
  <c r="O175" i="5"/>
  <c r="Q174" i="5"/>
  <c r="P174" i="5"/>
  <c r="O174" i="5"/>
  <c r="Q173" i="5"/>
  <c r="P173" i="5"/>
  <c r="O173" i="5"/>
  <c r="Q172" i="5"/>
  <c r="P172" i="5"/>
  <c r="O172" i="5"/>
  <c r="Q171" i="5"/>
  <c r="P171" i="5"/>
  <c r="O171" i="5"/>
  <c r="Q170" i="5"/>
  <c r="P170" i="5"/>
  <c r="O170" i="5"/>
  <c r="Q169" i="5"/>
  <c r="P169" i="5"/>
  <c r="O169" i="5"/>
  <c r="Q168" i="5"/>
  <c r="P168" i="5"/>
  <c r="O168" i="5"/>
  <c r="Q167" i="5"/>
  <c r="P167" i="5"/>
  <c r="O167" i="5"/>
  <c r="Q166" i="5"/>
  <c r="P166" i="5"/>
  <c r="O166" i="5"/>
  <c r="Q165" i="5"/>
  <c r="P165" i="5"/>
  <c r="O165" i="5"/>
  <c r="Q164" i="5"/>
  <c r="P164" i="5"/>
  <c r="O164" i="5"/>
  <c r="Q163" i="5"/>
  <c r="P163" i="5"/>
  <c r="O163" i="5"/>
  <c r="Q162" i="5"/>
  <c r="P162" i="5"/>
  <c r="O162" i="5"/>
  <c r="Q161" i="5"/>
  <c r="P161" i="5"/>
  <c r="O161" i="5"/>
  <c r="Q160" i="5"/>
  <c r="P160" i="5"/>
  <c r="O160" i="5"/>
  <c r="Q159" i="5"/>
  <c r="P159" i="5"/>
  <c r="O159" i="5"/>
  <c r="Q158" i="5"/>
  <c r="P158" i="5"/>
  <c r="O158" i="5"/>
  <c r="Q157" i="5"/>
  <c r="P157" i="5"/>
  <c r="O157" i="5"/>
  <c r="Q156" i="5"/>
  <c r="P156" i="5"/>
  <c r="O156" i="5"/>
  <c r="Q155" i="5"/>
  <c r="P155" i="5"/>
  <c r="O155" i="5"/>
  <c r="Q154" i="5"/>
  <c r="P154" i="5"/>
  <c r="O154" i="5"/>
  <c r="Q153" i="5"/>
  <c r="P153" i="5"/>
  <c r="O153" i="5"/>
  <c r="Q152" i="5"/>
  <c r="P152" i="5"/>
  <c r="O152" i="5"/>
  <c r="Q151" i="5"/>
  <c r="P151" i="5"/>
  <c r="O151" i="5"/>
  <c r="Q150" i="5"/>
  <c r="P150" i="5"/>
  <c r="O150" i="5"/>
  <c r="Q149" i="5"/>
  <c r="P149" i="5"/>
  <c r="O149" i="5"/>
  <c r="Q148" i="5"/>
  <c r="P148" i="5"/>
  <c r="O148" i="5"/>
  <c r="Q147" i="5"/>
  <c r="P147" i="5"/>
  <c r="O147" i="5"/>
  <c r="Q146" i="5"/>
  <c r="P146" i="5"/>
  <c r="O146" i="5"/>
  <c r="Q145" i="5"/>
  <c r="P145" i="5"/>
  <c r="O145" i="5"/>
  <c r="Q144" i="5"/>
  <c r="P144" i="5"/>
  <c r="O144" i="5"/>
  <c r="Q143" i="5"/>
  <c r="P143" i="5"/>
  <c r="O143" i="5"/>
  <c r="Q142" i="5"/>
  <c r="P142" i="5"/>
  <c r="O142" i="5"/>
  <c r="Q141" i="5"/>
  <c r="P141" i="5"/>
  <c r="O141" i="5"/>
  <c r="Q140" i="5"/>
  <c r="P140" i="5"/>
  <c r="O140" i="5"/>
  <c r="Q139" i="5"/>
  <c r="P139" i="5"/>
  <c r="O139" i="5"/>
  <c r="Q138" i="5"/>
  <c r="P138" i="5"/>
  <c r="O138" i="5"/>
  <c r="Q137" i="5"/>
  <c r="P137" i="5"/>
  <c r="O137" i="5"/>
  <c r="Q136" i="5"/>
  <c r="P136" i="5"/>
  <c r="O136" i="5"/>
  <c r="Q135" i="5"/>
  <c r="P135" i="5"/>
  <c r="O135" i="5"/>
  <c r="Q134" i="5"/>
  <c r="P134" i="5"/>
  <c r="O134" i="5"/>
  <c r="Q133" i="5"/>
  <c r="P133" i="5"/>
  <c r="O133" i="5"/>
  <c r="Q132" i="5"/>
  <c r="P132" i="5"/>
  <c r="O132" i="5"/>
  <c r="Q131" i="5"/>
  <c r="P131" i="5"/>
  <c r="O131" i="5"/>
  <c r="Q130" i="5"/>
  <c r="P130" i="5"/>
  <c r="O130" i="5"/>
  <c r="Q129" i="5"/>
  <c r="P129" i="5"/>
  <c r="O129" i="5"/>
  <c r="Q128" i="5"/>
  <c r="P128" i="5"/>
  <c r="O128" i="5"/>
  <c r="Q127" i="5"/>
  <c r="P127" i="5"/>
  <c r="O127" i="5"/>
  <c r="Q126" i="5"/>
  <c r="P126" i="5"/>
  <c r="O126" i="5"/>
  <c r="Q125" i="5"/>
  <c r="P125" i="5"/>
  <c r="O125" i="5"/>
  <c r="Q124" i="5"/>
  <c r="P124" i="5"/>
  <c r="O124" i="5"/>
  <c r="Q123" i="5"/>
  <c r="P123" i="5"/>
  <c r="O123" i="5"/>
  <c r="Q122" i="5"/>
  <c r="P122" i="5"/>
  <c r="O122" i="5"/>
  <c r="Q121" i="5"/>
  <c r="P121" i="5"/>
  <c r="O121" i="5"/>
  <c r="Q120" i="5"/>
  <c r="P120" i="5"/>
  <c r="O120" i="5"/>
  <c r="Q119" i="5"/>
  <c r="P119" i="5"/>
  <c r="O119" i="5"/>
  <c r="Q118" i="5"/>
  <c r="P118" i="5"/>
  <c r="O118" i="5"/>
  <c r="Q117" i="5"/>
  <c r="P117" i="5"/>
  <c r="O117" i="5"/>
  <c r="Q116" i="5"/>
  <c r="P116" i="5"/>
  <c r="O116" i="5"/>
  <c r="Q115" i="5"/>
  <c r="P115" i="5"/>
  <c r="O115" i="5"/>
  <c r="Q114" i="5"/>
  <c r="P114" i="5"/>
  <c r="O114" i="5"/>
  <c r="Q113" i="5"/>
  <c r="P113" i="5"/>
  <c r="O113" i="5"/>
  <c r="Q112" i="5"/>
  <c r="P112" i="5"/>
  <c r="O112" i="5"/>
  <c r="Q111" i="5"/>
  <c r="P111" i="5"/>
  <c r="O111" i="5"/>
  <c r="Q110" i="5"/>
  <c r="P110" i="5"/>
  <c r="O110" i="5"/>
  <c r="Q109" i="5"/>
  <c r="P109" i="5"/>
  <c r="O109" i="5"/>
  <c r="Q108" i="5"/>
  <c r="P108" i="5"/>
  <c r="O108" i="5"/>
  <c r="Q107" i="5"/>
  <c r="P107" i="5"/>
  <c r="O107" i="5"/>
  <c r="Q106" i="5"/>
  <c r="P106" i="5"/>
  <c r="O106" i="5"/>
  <c r="Q105" i="5"/>
  <c r="P105" i="5"/>
  <c r="O105" i="5"/>
  <c r="Q104" i="5"/>
  <c r="P104" i="5"/>
  <c r="O104" i="5"/>
  <c r="Q103" i="5"/>
  <c r="P103" i="5"/>
  <c r="O103" i="5"/>
  <c r="Q102" i="5"/>
  <c r="P102" i="5"/>
  <c r="O102" i="5"/>
  <c r="Q101" i="5"/>
  <c r="P101" i="5"/>
  <c r="O101" i="5"/>
  <c r="Q100" i="5"/>
  <c r="P100" i="5"/>
  <c r="O100" i="5"/>
  <c r="Q99" i="5"/>
  <c r="P99" i="5"/>
  <c r="O99" i="5"/>
  <c r="Q98" i="5"/>
  <c r="P98" i="5"/>
  <c r="O98" i="5"/>
  <c r="Q97" i="5"/>
  <c r="P97" i="5"/>
  <c r="O97" i="5"/>
  <c r="Q96" i="5"/>
  <c r="P96" i="5"/>
  <c r="O96" i="5"/>
  <c r="Q95" i="5"/>
  <c r="P95" i="5"/>
  <c r="O95" i="5"/>
  <c r="Q94" i="5"/>
  <c r="P94" i="5"/>
  <c r="O94" i="5"/>
  <c r="Q93" i="5"/>
  <c r="P93" i="5"/>
  <c r="O93" i="5"/>
  <c r="Q92" i="5"/>
  <c r="P92" i="5"/>
  <c r="O92" i="5"/>
  <c r="Q91" i="5"/>
  <c r="P91" i="5"/>
  <c r="O91" i="5"/>
  <c r="Q90" i="5"/>
  <c r="P90" i="5"/>
  <c r="O90" i="5"/>
  <c r="Q89" i="5"/>
  <c r="P89" i="5"/>
  <c r="O89" i="5"/>
  <c r="Q88" i="5"/>
  <c r="P88" i="5"/>
  <c r="O88" i="5"/>
  <c r="Q87" i="5"/>
  <c r="P87" i="5"/>
  <c r="O87" i="5"/>
  <c r="Q86" i="5"/>
  <c r="P86" i="5"/>
  <c r="O86" i="5"/>
  <c r="Q85" i="5"/>
  <c r="P85" i="5"/>
  <c r="O85" i="5"/>
  <c r="Q84" i="5"/>
  <c r="P84" i="5"/>
  <c r="O84" i="5"/>
  <c r="Q83" i="5"/>
  <c r="P83" i="5"/>
  <c r="O83" i="5"/>
  <c r="Q82" i="5"/>
  <c r="P82" i="5"/>
  <c r="O82" i="5"/>
  <c r="Q81" i="5"/>
  <c r="P81" i="5"/>
  <c r="O81" i="5"/>
  <c r="Q80" i="5"/>
  <c r="P80" i="5"/>
  <c r="O80" i="5"/>
  <c r="Q79" i="5"/>
  <c r="P79" i="5"/>
  <c r="O79" i="5"/>
  <c r="Q78" i="5"/>
  <c r="P78" i="5"/>
  <c r="O78" i="5"/>
  <c r="Q77" i="5"/>
  <c r="P77" i="5"/>
  <c r="O77" i="5"/>
  <c r="Q76" i="5"/>
  <c r="P76" i="5"/>
  <c r="O76" i="5"/>
  <c r="Q75" i="5"/>
  <c r="P75" i="5"/>
  <c r="O75" i="5"/>
  <c r="Q74" i="5"/>
  <c r="P74" i="5"/>
  <c r="O74" i="5"/>
  <c r="Q73" i="5"/>
  <c r="P73" i="5"/>
  <c r="O73" i="5"/>
  <c r="Q72" i="5"/>
  <c r="P72" i="5"/>
  <c r="O72" i="5"/>
  <c r="Q71" i="5"/>
  <c r="P71" i="5"/>
  <c r="O71" i="5"/>
  <c r="Q70" i="5"/>
  <c r="P70" i="5"/>
  <c r="O70" i="5"/>
  <c r="Q69" i="5"/>
  <c r="P69" i="5"/>
  <c r="O69" i="5"/>
  <c r="Q68" i="5"/>
  <c r="P68" i="5"/>
  <c r="O68" i="5"/>
  <c r="Q67" i="5"/>
  <c r="P67" i="5"/>
  <c r="O67" i="5"/>
  <c r="Q66" i="5"/>
  <c r="P66" i="5"/>
  <c r="O66" i="5"/>
  <c r="Q65" i="5"/>
  <c r="P65" i="5"/>
  <c r="O65" i="5"/>
  <c r="Q64" i="5"/>
  <c r="P64" i="5"/>
  <c r="O64" i="5"/>
  <c r="Q63" i="5"/>
  <c r="P63" i="5"/>
  <c r="O63" i="5"/>
  <c r="Q62" i="5"/>
  <c r="P62" i="5"/>
  <c r="O62" i="5"/>
  <c r="Q61" i="5"/>
  <c r="P61" i="5"/>
  <c r="O61" i="5"/>
  <c r="Q60" i="5"/>
  <c r="P60" i="5"/>
  <c r="O60" i="5"/>
  <c r="Q59" i="5"/>
  <c r="P59" i="5"/>
  <c r="O59" i="5"/>
  <c r="Q58" i="5"/>
  <c r="P58" i="5"/>
  <c r="O58" i="5"/>
  <c r="Q57" i="5"/>
  <c r="P57" i="5"/>
  <c r="O57" i="5"/>
  <c r="Q56" i="5"/>
  <c r="P56" i="5"/>
  <c r="O56" i="5"/>
  <c r="Q55" i="5"/>
  <c r="P55" i="5"/>
  <c r="O55" i="5"/>
  <c r="Q54" i="5"/>
  <c r="P54" i="5"/>
  <c r="O54" i="5"/>
  <c r="Q53" i="5"/>
  <c r="P53" i="5"/>
  <c r="O53" i="5"/>
  <c r="Q52" i="5"/>
  <c r="P52" i="5"/>
  <c r="O52" i="5"/>
  <c r="Q51" i="5"/>
  <c r="P51" i="5"/>
  <c r="O51" i="5"/>
  <c r="Q50" i="5"/>
  <c r="P50" i="5"/>
  <c r="O50" i="5"/>
  <c r="Q49" i="5"/>
  <c r="P49" i="5"/>
  <c r="O49" i="5"/>
  <c r="Q48" i="5"/>
  <c r="P48" i="5"/>
  <c r="O48" i="5"/>
  <c r="Q47" i="5"/>
  <c r="P47" i="5"/>
  <c r="O47" i="5"/>
  <c r="Q46" i="5"/>
  <c r="P46" i="5"/>
  <c r="O46" i="5"/>
  <c r="Q45" i="5"/>
  <c r="P45" i="5"/>
  <c r="O45" i="5"/>
  <c r="Q44" i="5"/>
  <c r="P44" i="5"/>
  <c r="O44" i="5"/>
  <c r="Q43" i="5"/>
  <c r="P43" i="5"/>
  <c r="O43" i="5"/>
  <c r="Q42" i="5"/>
  <c r="P42" i="5"/>
  <c r="O42" i="5"/>
  <c r="Q41" i="5"/>
  <c r="P41" i="5"/>
  <c r="O41" i="5"/>
  <c r="Q40" i="5"/>
  <c r="P40" i="5"/>
  <c r="O40" i="5"/>
  <c r="Q39" i="5"/>
  <c r="P39" i="5"/>
  <c r="O39" i="5"/>
  <c r="Q38" i="5"/>
  <c r="P38" i="5"/>
  <c r="O38" i="5"/>
  <c r="Q37" i="5"/>
  <c r="P37" i="5"/>
  <c r="O37" i="5"/>
  <c r="Q36" i="5"/>
  <c r="P36" i="5"/>
  <c r="O36" i="5"/>
  <c r="Q35" i="5"/>
  <c r="P35" i="5"/>
  <c r="O35" i="5"/>
  <c r="Q34" i="5"/>
  <c r="P34" i="5"/>
  <c r="O34" i="5"/>
  <c r="Q33" i="5"/>
  <c r="P33" i="5"/>
  <c r="O33" i="5"/>
  <c r="Q32" i="5"/>
  <c r="P32" i="5"/>
  <c r="O32" i="5"/>
  <c r="Q31" i="5"/>
  <c r="P31" i="5"/>
  <c r="O31" i="5"/>
  <c r="Q30" i="5"/>
  <c r="P30" i="5"/>
  <c r="O30" i="5"/>
  <c r="Q29" i="5"/>
  <c r="P29" i="5"/>
  <c r="O29" i="5"/>
  <c r="Q28" i="5"/>
  <c r="P28" i="5"/>
  <c r="O28" i="5"/>
  <c r="Q27" i="5"/>
  <c r="P27" i="5"/>
  <c r="O27" i="5"/>
  <c r="Q26" i="5"/>
  <c r="P26" i="5"/>
  <c r="O26" i="5"/>
  <c r="Q25" i="5"/>
  <c r="P25" i="5"/>
  <c r="O25" i="5"/>
  <c r="Q24" i="5"/>
  <c r="P24" i="5"/>
  <c r="O24" i="5"/>
  <c r="Q23" i="5"/>
  <c r="P23" i="5"/>
  <c r="O23" i="5"/>
  <c r="Q22" i="5"/>
  <c r="P22" i="5"/>
  <c r="O22" i="5"/>
  <c r="Q21" i="5"/>
  <c r="P21" i="5"/>
  <c r="O21" i="5"/>
  <c r="Q20" i="5"/>
  <c r="P20" i="5"/>
  <c r="O20" i="5"/>
  <c r="Q19" i="5"/>
  <c r="P19" i="5"/>
  <c r="O19" i="5"/>
  <c r="Q18" i="5"/>
  <c r="P18" i="5"/>
  <c r="O18" i="5"/>
  <c r="Q17" i="5"/>
  <c r="P17" i="5"/>
  <c r="O17" i="5"/>
  <c r="Q16" i="5"/>
  <c r="P16" i="5"/>
  <c r="O16" i="5"/>
  <c r="Q15" i="5"/>
  <c r="P15" i="5"/>
  <c r="O15" i="5"/>
  <c r="Q14" i="5"/>
  <c r="P14" i="5"/>
  <c r="O14" i="5"/>
  <c r="Q13" i="5"/>
  <c r="P13" i="5"/>
  <c r="O13" i="5"/>
  <c r="Q12" i="5"/>
  <c r="P12" i="5"/>
  <c r="O12" i="5"/>
  <c r="Q11" i="5"/>
  <c r="P11" i="5"/>
  <c r="O11" i="5"/>
  <c r="Q10" i="5"/>
  <c r="P10" i="5"/>
  <c r="O10" i="5"/>
  <c r="Q9" i="5"/>
  <c r="P9" i="5"/>
  <c r="O9" i="5"/>
  <c r="Q8" i="5"/>
  <c r="P8" i="5"/>
  <c r="O8" i="5"/>
  <c r="Q7" i="5"/>
  <c r="P7" i="5"/>
  <c r="O7" i="5"/>
  <c r="Q6" i="5"/>
  <c r="P6" i="5"/>
  <c r="O6" i="5"/>
  <c r="Q5" i="5"/>
  <c r="P5" i="5"/>
  <c r="O5" i="5"/>
  <c r="Q4" i="5"/>
  <c r="P4" i="5"/>
  <c r="O4" i="5"/>
  <c r="I77" i="3"/>
  <c r="C144" i="2" s="1"/>
  <c r="U144" i="2" s="1"/>
  <c r="L44" i="2"/>
  <c r="P699" i="1"/>
  <c r="J699" i="1"/>
  <c r="H80" i="3" s="1"/>
  <c r="Q696" i="1"/>
  <c r="I696" i="1"/>
  <c r="J696" i="1" s="1"/>
  <c r="G696" i="1"/>
  <c r="H696" i="1" s="1"/>
  <c r="Q695" i="1"/>
  <c r="J695" i="1"/>
  <c r="I695" i="1"/>
  <c r="H695" i="1"/>
  <c r="G695" i="1"/>
  <c r="Q694" i="1"/>
  <c r="I694" i="1"/>
  <c r="J694" i="1" s="1"/>
  <c r="G694" i="1"/>
  <c r="H694" i="1" s="1"/>
  <c r="Q693" i="1"/>
  <c r="J693" i="1"/>
  <c r="J692" i="1" s="1"/>
  <c r="I693" i="1"/>
  <c r="H693" i="1"/>
  <c r="G693" i="1"/>
  <c r="Q692" i="1"/>
  <c r="H692" i="1"/>
  <c r="Q691" i="1"/>
  <c r="J691" i="1"/>
  <c r="I691" i="1"/>
  <c r="H691" i="1"/>
  <c r="G691" i="1"/>
  <c r="Q690" i="1"/>
  <c r="I690" i="1"/>
  <c r="J690" i="1" s="1"/>
  <c r="G690" i="1"/>
  <c r="H690" i="1" s="1"/>
  <c r="Q689" i="1"/>
  <c r="J689" i="1"/>
  <c r="I689" i="1"/>
  <c r="H689" i="1"/>
  <c r="G689" i="1"/>
  <c r="Q688" i="1"/>
  <c r="I688" i="1"/>
  <c r="J688" i="1" s="1"/>
  <c r="J687" i="1" s="1"/>
  <c r="G688" i="1"/>
  <c r="H688" i="1" s="1"/>
  <c r="Q687" i="1"/>
  <c r="H687" i="1"/>
  <c r="Q686" i="1"/>
  <c r="H686" i="1"/>
  <c r="Q685" i="1"/>
  <c r="J685" i="1"/>
  <c r="I685" i="1"/>
  <c r="H685" i="1"/>
  <c r="G685" i="1"/>
  <c r="Q684" i="1"/>
  <c r="I684" i="1"/>
  <c r="J684" i="1" s="1"/>
  <c r="G684" i="1"/>
  <c r="H684" i="1" s="1"/>
  <c r="Q683" i="1"/>
  <c r="J683" i="1"/>
  <c r="I683" i="1"/>
  <c r="H683" i="1"/>
  <c r="G683" i="1"/>
  <c r="Q682" i="1"/>
  <c r="I682" i="1"/>
  <c r="J682" i="1" s="1"/>
  <c r="G682" i="1"/>
  <c r="H682" i="1" s="1"/>
  <c r="Q681" i="1"/>
  <c r="J681" i="1"/>
  <c r="I681" i="1"/>
  <c r="H681" i="1"/>
  <c r="G681" i="1"/>
  <c r="Q680" i="1"/>
  <c r="I680" i="1"/>
  <c r="J680" i="1" s="1"/>
  <c r="G680" i="1"/>
  <c r="H680" i="1" s="1"/>
  <c r="Q679" i="1"/>
  <c r="J679" i="1"/>
  <c r="J678" i="1" s="1"/>
  <c r="I74" i="3" s="1"/>
  <c r="C138" i="2" s="1"/>
  <c r="S138" i="2" s="1"/>
  <c r="I679" i="1"/>
  <c r="H679" i="1"/>
  <c r="G679" i="1"/>
  <c r="Q678" i="1"/>
  <c r="H678" i="1"/>
  <c r="Q677" i="1"/>
  <c r="J677" i="1"/>
  <c r="I677" i="1"/>
  <c r="H677" i="1"/>
  <c r="G677" i="1"/>
  <c r="Q676" i="1"/>
  <c r="I676" i="1"/>
  <c r="J676" i="1" s="1"/>
  <c r="G676" i="1"/>
  <c r="H676" i="1" s="1"/>
  <c r="Q675" i="1"/>
  <c r="J675" i="1"/>
  <c r="I675" i="1"/>
  <c r="H675" i="1"/>
  <c r="G675" i="1"/>
  <c r="Q674" i="1"/>
  <c r="I674" i="1"/>
  <c r="J674" i="1" s="1"/>
  <c r="J673" i="1" s="1"/>
  <c r="I73" i="3" s="1"/>
  <c r="C136" i="2" s="1"/>
  <c r="S136" i="2" s="1"/>
  <c r="G674" i="1"/>
  <c r="H674" i="1" s="1"/>
  <c r="Q673" i="1"/>
  <c r="H673" i="1"/>
  <c r="Q672" i="1"/>
  <c r="I672" i="1"/>
  <c r="J672" i="1" s="1"/>
  <c r="G672" i="1"/>
  <c r="H672" i="1" s="1"/>
  <c r="Q671" i="1"/>
  <c r="J671" i="1"/>
  <c r="I671" i="1"/>
  <c r="H671" i="1"/>
  <c r="G671" i="1"/>
  <c r="Q670" i="1"/>
  <c r="I670" i="1"/>
  <c r="J670" i="1" s="1"/>
  <c r="J669" i="1" s="1"/>
  <c r="I72" i="3" s="1"/>
  <c r="C134" i="2" s="1"/>
  <c r="S134" i="2" s="1"/>
  <c r="G670" i="1"/>
  <c r="H670" i="1" s="1"/>
  <c r="Q669" i="1"/>
  <c r="H669" i="1"/>
  <c r="Q668" i="1"/>
  <c r="I668" i="1"/>
  <c r="J668" i="1" s="1"/>
  <c r="G668" i="1"/>
  <c r="H668" i="1" s="1"/>
  <c r="Q667" i="1"/>
  <c r="J667" i="1"/>
  <c r="I667" i="1"/>
  <c r="H667" i="1"/>
  <c r="G667" i="1"/>
  <c r="Q666" i="1"/>
  <c r="I666" i="1"/>
  <c r="J666" i="1" s="1"/>
  <c r="G666" i="1"/>
  <c r="H666" i="1" s="1"/>
  <c r="Q665" i="1"/>
  <c r="J665" i="1"/>
  <c r="I665" i="1"/>
  <c r="H665" i="1"/>
  <c r="G665" i="1"/>
  <c r="Q664" i="1"/>
  <c r="I664" i="1"/>
  <c r="J664" i="1" s="1"/>
  <c r="G664" i="1"/>
  <c r="H664" i="1" s="1"/>
  <c r="Q663" i="1"/>
  <c r="J663" i="1"/>
  <c r="I663" i="1"/>
  <c r="H663" i="1"/>
  <c r="G663" i="1"/>
  <c r="Q662" i="1"/>
  <c r="I662" i="1"/>
  <c r="J662" i="1" s="1"/>
  <c r="G662" i="1"/>
  <c r="H662" i="1" s="1"/>
  <c r="Q661" i="1"/>
  <c r="J661" i="1"/>
  <c r="I661" i="1"/>
  <c r="H661" i="1"/>
  <c r="G661" i="1"/>
  <c r="Q660" i="1"/>
  <c r="I660" i="1"/>
  <c r="J660" i="1" s="1"/>
  <c r="G660" i="1"/>
  <c r="H660" i="1" s="1"/>
  <c r="Q659" i="1"/>
  <c r="J659" i="1"/>
  <c r="I659" i="1"/>
  <c r="H659" i="1"/>
  <c r="G659" i="1"/>
  <c r="Q658" i="1"/>
  <c r="I658" i="1"/>
  <c r="J658" i="1" s="1"/>
  <c r="G658" i="1"/>
  <c r="H658" i="1" s="1"/>
  <c r="Q657" i="1"/>
  <c r="J657" i="1"/>
  <c r="I657" i="1"/>
  <c r="H657" i="1"/>
  <c r="G657" i="1"/>
  <c r="Q656" i="1"/>
  <c r="I656" i="1"/>
  <c r="J656" i="1" s="1"/>
  <c r="G656" i="1"/>
  <c r="H656" i="1" s="1"/>
  <c r="Q655" i="1"/>
  <c r="J655" i="1"/>
  <c r="I655" i="1"/>
  <c r="H655" i="1"/>
  <c r="G655" i="1"/>
  <c r="Q654" i="1"/>
  <c r="I654" i="1"/>
  <c r="J654" i="1" s="1"/>
  <c r="G654" i="1"/>
  <c r="H654" i="1" s="1"/>
  <c r="Q653" i="1"/>
  <c r="J653" i="1"/>
  <c r="I653" i="1"/>
  <c r="H653" i="1"/>
  <c r="G653" i="1"/>
  <c r="Q652" i="1"/>
  <c r="I652" i="1"/>
  <c r="J652" i="1" s="1"/>
  <c r="G652" i="1"/>
  <c r="H652" i="1" s="1"/>
  <c r="Q651" i="1"/>
  <c r="J651" i="1"/>
  <c r="I651" i="1"/>
  <c r="H651" i="1"/>
  <c r="G651" i="1"/>
  <c r="Q650" i="1"/>
  <c r="I650" i="1"/>
  <c r="J650" i="1" s="1"/>
  <c r="G650" i="1"/>
  <c r="H650" i="1" s="1"/>
  <c r="Q649" i="1"/>
  <c r="J649" i="1"/>
  <c r="I649" i="1"/>
  <c r="H649" i="1"/>
  <c r="G649" i="1"/>
  <c r="Q648" i="1"/>
  <c r="I648" i="1"/>
  <c r="J648" i="1" s="1"/>
  <c r="G648" i="1"/>
  <c r="H648" i="1" s="1"/>
  <c r="Q647" i="1"/>
  <c r="J647" i="1"/>
  <c r="I647" i="1"/>
  <c r="H647" i="1"/>
  <c r="G647" i="1"/>
  <c r="Q646" i="1"/>
  <c r="I646" i="1"/>
  <c r="J646" i="1" s="1"/>
  <c r="J645" i="1" s="1"/>
  <c r="G646" i="1"/>
  <c r="H646" i="1" s="1"/>
  <c r="Q645" i="1"/>
  <c r="H645" i="1"/>
  <c r="Q644" i="1"/>
  <c r="H644" i="1"/>
  <c r="Q643" i="1"/>
  <c r="J643" i="1"/>
  <c r="I643" i="1"/>
  <c r="H643" i="1"/>
  <c r="G643" i="1"/>
  <c r="Q642" i="1"/>
  <c r="I642" i="1"/>
  <c r="J642" i="1" s="1"/>
  <c r="G642" i="1"/>
  <c r="H642" i="1" s="1"/>
  <c r="Q641" i="1"/>
  <c r="J641" i="1"/>
  <c r="I641" i="1"/>
  <c r="H641" i="1"/>
  <c r="G641" i="1"/>
  <c r="Q640" i="1"/>
  <c r="I640" i="1"/>
  <c r="J640" i="1" s="1"/>
  <c r="G640" i="1"/>
  <c r="H640" i="1" s="1"/>
  <c r="Q639" i="1"/>
  <c r="J639" i="1"/>
  <c r="J638" i="1" s="1"/>
  <c r="I69" i="3" s="1"/>
  <c r="C128" i="2" s="1"/>
  <c r="R128" i="2" s="1"/>
  <c r="I639" i="1"/>
  <c r="H639" i="1"/>
  <c r="G639" i="1"/>
  <c r="Q638" i="1"/>
  <c r="H638" i="1"/>
  <c r="Q637" i="1"/>
  <c r="J637" i="1"/>
  <c r="I637" i="1"/>
  <c r="H637" i="1"/>
  <c r="G637" i="1"/>
  <c r="Q636" i="1"/>
  <c r="I636" i="1"/>
  <c r="J636" i="1" s="1"/>
  <c r="G636" i="1"/>
  <c r="H636" i="1" s="1"/>
  <c r="Q635" i="1"/>
  <c r="J635" i="1"/>
  <c r="I635" i="1"/>
  <c r="H635" i="1"/>
  <c r="G635" i="1"/>
  <c r="Q634" i="1"/>
  <c r="I634" i="1"/>
  <c r="J634" i="1" s="1"/>
  <c r="G634" i="1"/>
  <c r="H634" i="1" s="1"/>
  <c r="Q633" i="1"/>
  <c r="J633" i="1"/>
  <c r="I633" i="1"/>
  <c r="H633" i="1"/>
  <c r="G633" i="1"/>
  <c r="Q632" i="1"/>
  <c r="I632" i="1"/>
  <c r="J632" i="1" s="1"/>
  <c r="G632" i="1"/>
  <c r="H632" i="1" s="1"/>
  <c r="Q631" i="1"/>
  <c r="J631" i="1"/>
  <c r="I631" i="1"/>
  <c r="H631" i="1"/>
  <c r="G631" i="1"/>
  <c r="Q630" i="1"/>
  <c r="H630" i="1"/>
  <c r="Q629" i="1"/>
  <c r="H629" i="1"/>
  <c r="Q628" i="1"/>
  <c r="I628" i="1"/>
  <c r="J628" i="1" s="1"/>
  <c r="G628" i="1"/>
  <c r="H628" i="1" s="1"/>
  <c r="Q627" i="1"/>
  <c r="J627" i="1"/>
  <c r="I627" i="1"/>
  <c r="H627" i="1"/>
  <c r="G627" i="1"/>
  <c r="Q626" i="1"/>
  <c r="I626" i="1"/>
  <c r="J626" i="1" s="1"/>
  <c r="G626" i="1"/>
  <c r="H626" i="1" s="1"/>
  <c r="Q625" i="1"/>
  <c r="J625" i="1"/>
  <c r="I625" i="1"/>
  <c r="H625" i="1"/>
  <c r="G625" i="1"/>
  <c r="Q624" i="1"/>
  <c r="I624" i="1"/>
  <c r="J624" i="1" s="1"/>
  <c r="G624" i="1"/>
  <c r="H624" i="1" s="1"/>
  <c r="Q623" i="1"/>
  <c r="J623" i="1"/>
  <c r="I623" i="1"/>
  <c r="H623" i="1"/>
  <c r="G623" i="1"/>
  <c r="Q622" i="1"/>
  <c r="I622" i="1"/>
  <c r="J622" i="1" s="1"/>
  <c r="G622" i="1"/>
  <c r="H622" i="1" s="1"/>
  <c r="Q621" i="1"/>
  <c r="J621" i="1"/>
  <c r="I621" i="1"/>
  <c r="H621" i="1"/>
  <c r="G621" i="1"/>
  <c r="Q620" i="1"/>
  <c r="I620" i="1"/>
  <c r="J620" i="1" s="1"/>
  <c r="G620" i="1"/>
  <c r="H620" i="1" s="1"/>
  <c r="Q619" i="1"/>
  <c r="J619" i="1"/>
  <c r="I619" i="1"/>
  <c r="H619" i="1"/>
  <c r="G619" i="1"/>
  <c r="Q618" i="1"/>
  <c r="I618" i="1"/>
  <c r="J618" i="1" s="1"/>
  <c r="G618" i="1"/>
  <c r="H618" i="1" s="1"/>
  <c r="Q617" i="1"/>
  <c r="J617" i="1"/>
  <c r="J616" i="1" s="1"/>
  <c r="I66" i="3" s="1"/>
  <c r="C122" i="2" s="1"/>
  <c r="R122" i="2" s="1"/>
  <c r="I617" i="1"/>
  <c r="H617" i="1"/>
  <c r="G617" i="1"/>
  <c r="Q616" i="1"/>
  <c r="H616" i="1"/>
  <c r="Q615" i="1"/>
  <c r="J615" i="1"/>
  <c r="I615" i="1"/>
  <c r="H615" i="1"/>
  <c r="G615" i="1"/>
  <c r="Q614" i="1"/>
  <c r="I614" i="1"/>
  <c r="J614" i="1" s="1"/>
  <c r="G614" i="1"/>
  <c r="H614" i="1" s="1"/>
  <c r="Q613" i="1"/>
  <c r="J613" i="1"/>
  <c r="I613" i="1"/>
  <c r="H613" i="1"/>
  <c r="G613" i="1"/>
  <c r="Q612" i="1"/>
  <c r="I612" i="1"/>
  <c r="J612" i="1" s="1"/>
  <c r="G612" i="1"/>
  <c r="H612" i="1" s="1"/>
  <c r="Q611" i="1"/>
  <c r="J611" i="1"/>
  <c r="I611" i="1"/>
  <c r="H611" i="1"/>
  <c r="G611" i="1"/>
  <c r="Q610" i="1"/>
  <c r="I610" i="1"/>
  <c r="J610" i="1" s="1"/>
  <c r="G610" i="1"/>
  <c r="H610" i="1" s="1"/>
  <c r="Q609" i="1"/>
  <c r="J609" i="1"/>
  <c r="I609" i="1"/>
  <c r="H609" i="1"/>
  <c r="G609" i="1"/>
  <c r="Q608" i="1"/>
  <c r="I608" i="1"/>
  <c r="J608" i="1" s="1"/>
  <c r="G608" i="1"/>
  <c r="H608" i="1" s="1"/>
  <c r="Q607" i="1"/>
  <c r="J607" i="1"/>
  <c r="I607" i="1"/>
  <c r="H607" i="1"/>
  <c r="G607" i="1"/>
  <c r="Q606" i="1"/>
  <c r="I606" i="1"/>
  <c r="J606" i="1" s="1"/>
  <c r="G606" i="1"/>
  <c r="H606" i="1" s="1"/>
  <c r="Q605" i="1"/>
  <c r="J605" i="1"/>
  <c r="I605" i="1"/>
  <c r="H605" i="1"/>
  <c r="G605" i="1"/>
  <c r="Q604" i="1"/>
  <c r="I604" i="1"/>
  <c r="J604" i="1" s="1"/>
  <c r="G604" i="1"/>
  <c r="H604" i="1" s="1"/>
  <c r="Q603" i="1"/>
  <c r="J603" i="1"/>
  <c r="I603" i="1"/>
  <c r="H603" i="1"/>
  <c r="G603" i="1"/>
  <c r="Q602" i="1"/>
  <c r="I602" i="1"/>
  <c r="J602" i="1" s="1"/>
  <c r="G602" i="1"/>
  <c r="H602" i="1" s="1"/>
  <c r="Q601" i="1"/>
  <c r="J601" i="1"/>
  <c r="I601" i="1"/>
  <c r="H601" i="1"/>
  <c r="G601" i="1"/>
  <c r="Q600" i="1"/>
  <c r="I600" i="1"/>
  <c r="J600" i="1" s="1"/>
  <c r="G600" i="1"/>
  <c r="H600" i="1" s="1"/>
  <c r="Q599" i="1"/>
  <c r="J599" i="1"/>
  <c r="I599" i="1"/>
  <c r="H599" i="1"/>
  <c r="G599" i="1"/>
  <c r="Q598" i="1"/>
  <c r="I598" i="1"/>
  <c r="J598" i="1" s="1"/>
  <c r="G598" i="1"/>
  <c r="H598" i="1" s="1"/>
  <c r="Q597" i="1"/>
  <c r="J597" i="1"/>
  <c r="I597" i="1"/>
  <c r="H597" i="1"/>
  <c r="G597" i="1"/>
  <c r="Q596" i="1"/>
  <c r="I596" i="1"/>
  <c r="J596" i="1" s="1"/>
  <c r="J595" i="1" s="1"/>
  <c r="I65" i="3" s="1"/>
  <c r="C120" i="2" s="1"/>
  <c r="R120" i="2" s="1"/>
  <c r="G596" i="1"/>
  <c r="H596" i="1" s="1"/>
  <c r="Q595" i="1"/>
  <c r="H595" i="1"/>
  <c r="Q594" i="1"/>
  <c r="I594" i="1"/>
  <c r="J594" i="1" s="1"/>
  <c r="G594" i="1"/>
  <c r="H594" i="1" s="1"/>
  <c r="Q593" i="1"/>
  <c r="J593" i="1"/>
  <c r="I593" i="1"/>
  <c r="H593" i="1"/>
  <c r="G593" i="1"/>
  <c r="Q592" i="1"/>
  <c r="I592" i="1"/>
  <c r="J592" i="1" s="1"/>
  <c r="G592" i="1"/>
  <c r="H592" i="1" s="1"/>
  <c r="Q591" i="1"/>
  <c r="J591" i="1"/>
  <c r="I591" i="1"/>
  <c r="H591" i="1"/>
  <c r="G591" i="1"/>
  <c r="Q590" i="1"/>
  <c r="I590" i="1"/>
  <c r="J590" i="1" s="1"/>
  <c r="G590" i="1"/>
  <c r="H590" i="1" s="1"/>
  <c r="Q589" i="1"/>
  <c r="J589" i="1"/>
  <c r="I589" i="1"/>
  <c r="H589" i="1"/>
  <c r="G589" i="1"/>
  <c r="Q588" i="1"/>
  <c r="I588" i="1"/>
  <c r="J588" i="1" s="1"/>
  <c r="G588" i="1"/>
  <c r="H588" i="1" s="1"/>
  <c r="Q587" i="1"/>
  <c r="J587" i="1"/>
  <c r="I587" i="1"/>
  <c r="H587" i="1"/>
  <c r="G587" i="1"/>
  <c r="Q586" i="1"/>
  <c r="I586" i="1"/>
  <c r="J586" i="1" s="1"/>
  <c r="G586" i="1"/>
  <c r="H586" i="1" s="1"/>
  <c r="Q585" i="1"/>
  <c r="J585" i="1"/>
  <c r="I585" i="1"/>
  <c r="H585" i="1"/>
  <c r="G585" i="1"/>
  <c r="Q584" i="1"/>
  <c r="I584" i="1"/>
  <c r="J584" i="1" s="1"/>
  <c r="G584" i="1"/>
  <c r="H584" i="1" s="1"/>
  <c r="Q583" i="1"/>
  <c r="J583" i="1"/>
  <c r="I583" i="1"/>
  <c r="H583" i="1"/>
  <c r="G583" i="1"/>
  <c r="Q582" i="1"/>
  <c r="I582" i="1"/>
  <c r="J582" i="1" s="1"/>
  <c r="J581" i="1" s="1"/>
  <c r="I64" i="3" s="1"/>
  <c r="C118" i="2" s="1"/>
  <c r="Q118" i="2" s="1"/>
  <c r="G582" i="1"/>
  <c r="H582" i="1" s="1"/>
  <c r="Q581" i="1"/>
  <c r="H581" i="1"/>
  <c r="Q580" i="1"/>
  <c r="I580" i="1"/>
  <c r="J580" i="1" s="1"/>
  <c r="G580" i="1"/>
  <c r="H580" i="1" s="1"/>
  <c r="Q579" i="1"/>
  <c r="J579" i="1"/>
  <c r="I579" i="1"/>
  <c r="H579" i="1"/>
  <c r="G579" i="1"/>
  <c r="Q578" i="1"/>
  <c r="I578" i="1"/>
  <c r="J578" i="1" s="1"/>
  <c r="G578" i="1"/>
  <c r="H578" i="1" s="1"/>
  <c r="Q577" i="1"/>
  <c r="J577" i="1"/>
  <c r="I577" i="1"/>
  <c r="H577" i="1"/>
  <c r="G577" i="1"/>
  <c r="Q576" i="1"/>
  <c r="I576" i="1"/>
  <c r="J576" i="1" s="1"/>
  <c r="G576" i="1"/>
  <c r="H576" i="1" s="1"/>
  <c r="Q575" i="1"/>
  <c r="J575" i="1"/>
  <c r="I575" i="1"/>
  <c r="H575" i="1"/>
  <c r="G575" i="1"/>
  <c r="Q574" i="1"/>
  <c r="I574" i="1"/>
  <c r="J574" i="1" s="1"/>
  <c r="G574" i="1"/>
  <c r="H574" i="1" s="1"/>
  <c r="Q573" i="1"/>
  <c r="J573" i="1"/>
  <c r="I573" i="1"/>
  <c r="H573" i="1"/>
  <c r="G573" i="1"/>
  <c r="Q572" i="1"/>
  <c r="I572" i="1"/>
  <c r="J572" i="1" s="1"/>
  <c r="G572" i="1"/>
  <c r="H572" i="1" s="1"/>
  <c r="Q571" i="1"/>
  <c r="J571" i="1"/>
  <c r="I571" i="1"/>
  <c r="H571" i="1"/>
  <c r="G571" i="1"/>
  <c r="Q570" i="1"/>
  <c r="I570" i="1"/>
  <c r="J570" i="1" s="1"/>
  <c r="G570" i="1"/>
  <c r="H570" i="1" s="1"/>
  <c r="Q569" i="1"/>
  <c r="J569" i="1"/>
  <c r="I569" i="1"/>
  <c r="H569" i="1"/>
  <c r="G569" i="1"/>
  <c r="Q568" i="1"/>
  <c r="I568" i="1"/>
  <c r="J568" i="1" s="1"/>
  <c r="G568" i="1"/>
  <c r="H568" i="1" s="1"/>
  <c r="Q567" i="1"/>
  <c r="J567" i="1"/>
  <c r="I567" i="1"/>
  <c r="H567" i="1"/>
  <c r="G567" i="1"/>
  <c r="Q566" i="1"/>
  <c r="I566" i="1"/>
  <c r="J566" i="1" s="1"/>
  <c r="G566" i="1"/>
  <c r="H566" i="1" s="1"/>
  <c r="Q565" i="1"/>
  <c r="J565" i="1"/>
  <c r="I565" i="1"/>
  <c r="H565" i="1"/>
  <c r="G565" i="1"/>
  <c r="Q564" i="1"/>
  <c r="I564" i="1"/>
  <c r="J564" i="1" s="1"/>
  <c r="G564" i="1"/>
  <c r="H564" i="1" s="1"/>
  <c r="Q563" i="1"/>
  <c r="J563" i="1"/>
  <c r="I563" i="1"/>
  <c r="H563" i="1"/>
  <c r="G563" i="1"/>
  <c r="Q562" i="1"/>
  <c r="I562" i="1"/>
  <c r="J562" i="1" s="1"/>
  <c r="J561" i="1" s="1"/>
  <c r="I63" i="3" s="1"/>
  <c r="C116" i="2" s="1"/>
  <c r="R116" i="2" s="1"/>
  <c r="G562" i="1"/>
  <c r="H562" i="1" s="1"/>
  <c r="Q561" i="1"/>
  <c r="H561" i="1"/>
  <c r="Q560" i="1"/>
  <c r="I560" i="1"/>
  <c r="J560" i="1" s="1"/>
  <c r="G560" i="1"/>
  <c r="H560" i="1" s="1"/>
  <c r="Q559" i="1"/>
  <c r="J559" i="1"/>
  <c r="I559" i="1"/>
  <c r="H559" i="1"/>
  <c r="G559" i="1"/>
  <c r="Q558" i="1"/>
  <c r="I558" i="1"/>
  <c r="J558" i="1" s="1"/>
  <c r="G558" i="1"/>
  <c r="H558" i="1" s="1"/>
  <c r="Q557" i="1"/>
  <c r="J557" i="1"/>
  <c r="I557" i="1"/>
  <c r="H557" i="1"/>
  <c r="G557" i="1"/>
  <c r="Q556" i="1"/>
  <c r="I556" i="1"/>
  <c r="J556" i="1" s="1"/>
  <c r="G556" i="1"/>
  <c r="H556" i="1" s="1"/>
  <c r="Q555" i="1"/>
  <c r="J555" i="1"/>
  <c r="I555" i="1"/>
  <c r="H555" i="1"/>
  <c r="G555" i="1"/>
  <c r="Q554" i="1"/>
  <c r="I554" i="1"/>
  <c r="J554" i="1" s="1"/>
  <c r="G554" i="1"/>
  <c r="H554" i="1" s="1"/>
  <c r="Q553" i="1"/>
  <c r="J553" i="1"/>
  <c r="I553" i="1"/>
  <c r="H553" i="1"/>
  <c r="G553" i="1"/>
  <c r="Q552" i="1"/>
  <c r="I552" i="1"/>
  <c r="J552" i="1" s="1"/>
  <c r="G552" i="1"/>
  <c r="H552" i="1" s="1"/>
  <c r="Q551" i="1"/>
  <c r="J551" i="1"/>
  <c r="I551" i="1"/>
  <c r="H551" i="1"/>
  <c r="G551" i="1"/>
  <c r="Q550" i="1"/>
  <c r="I550" i="1"/>
  <c r="J550" i="1" s="1"/>
  <c r="G550" i="1"/>
  <c r="H550" i="1" s="1"/>
  <c r="Q549" i="1"/>
  <c r="J549" i="1"/>
  <c r="I549" i="1"/>
  <c r="H549" i="1"/>
  <c r="G549" i="1"/>
  <c r="Q548" i="1"/>
  <c r="I548" i="1"/>
  <c r="J548" i="1" s="1"/>
  <c r="G548" i="1"/>
  <c r="H548" i="1" s="1"/>
  <c r="Q547" i="1"/>
  <c r="J547" i="1"/>
  <c r="I547" i="1"/>
  <c r="H547" i="1"/>
  <c r="G547" i="1"/>
  <c r="Q546" i="1"/>
  <c r="H546" i="1"/>
  <c r="Q545" i="1"/>
  <c r="J545" i="1"/>
  <c r="I545" i="1"/>
  <c r="H545" i="1"/>
  <c r="G545" i="1"/>
  <c r="Q544" i="1"/>
  <c r="I544" i="1"/>
  <c r="J544" i="1" s="1"/>
  <c r="G544" i="1"/>
  <c r="H544" i="1" s="1"/>
  <c r="Q543" i="1"/>
  <c r="J543" i="1"/>
  <c r="I543" i="1"/>
  <c r="H543" i="1"/>
  <c r="G543" i="1"/>
  <c r="Q542" i="1"/>
  <c r="I542" i="1"/>
  <c r="J542" i="1" s="1"/>
  <c r="G542" i="1"/>
  <c r="H542" i="1" s="1"/>
  <c r="Q541" i="1"/>
  <c r="J541" i="1"/>
  <c r="I541" i="1"/>
  <c r="H541" i="1"/>
  <c r="G541" i="1"/>
  <c r="Q540" i="1"/>
  <c r="I540" i="1"/>
  <c r="J540" i="1" s="1"/>
  <c r="G540" i="1"/>
  <c r="H540" i="1" s="1"/>
  <c r="Q539" i="1"/>
  <c r="J539" i="1"/>
  <c r="I539" i="1"/>
  <c r="H539" i="1"/>
  <c r="G539" i="1"/>
  <c r="Q538" i="1"/>
  <c r="I538" i="1"/>
  <c r="J538" i="1" s="1"/>
  <c r="G538" i="1"/>
  <c r="H538" i="1" s="1"/>
  <c r="Q537" i="1"/>
  <c r="J537" i="1"/>
  <c r="I537" i="1"/>
  <c r="H537" i="1"/>
  <c r="G537" i="1"/>
  <c r="Q536" i="1"/>
  <c r="I536" i="1"/>
  <c r="J536" i="1" s="1"/>
  <c r="G536" i="1"/>
  <c r="H536" i="1" s="1"/>
  <c r="Q535" i="1"/>
  <c r="J535" i="1"/>
  <c r="I535" i="1"/>
  <c r="H535" i="1"/>
  <c r="G535" i="1"/>
  <c r="Q534" i="1"/>
  <c r="I534" i="1"/>
  <c r="J534" i="1" s="1"/>
  <c r="G534" i="1"/>
  <c r="H534" i="1" s="1"/>
  <c r="Q533" i="1"/>
  <c r="J533" i="1"/>
  <c r="I533" i="1"/>
  <c r="H533" i="1"/>
  <c r="G533" i="1"/>
  <c r="Q532" i="1"/>
  <c r="I532" i="1"/>
  <c r="J532" i="1" s="1"/>
  <c r="G532" i="1"/>
  <c r="H532" i="1" s="1"/>
  <c r="Q531" i="1"/>
  <c r="J531" i="1"/>
  <c r="I531" i="1"/>
  <c r="H531" i="1"/>
  <c r="G531" i="1"/>
  <c r="Q530" i="1"/>
  <c r="I530" i="1"/>
  <c r="J530" i="1" s="1"/>
  <c r="G530" i="1"/>
  <c r="H530" i="1" s="1"/>
  <c r="Q529" i="1"/>
  <c r="J529" i="1"/>
  <c r="I529" i="1"/>
  <c r="H529" i="1"/>
  <c r="G529" i="1"/>
  <c r="Q528" i="1"/>
  <c r="I528" i="1"/>
  <c r="J528" i="1" s="1"/>
  <c r="G528" i="1"/>
  <c r="H528" i="1" s="1"/>
  <c r="Q527" i="1"/>
  <c r="J527" i="1"/>
  <c r="I527" i="1"/>
  <c r="H527" i="1"/>
  <c r="G527" i="1"/>
  <c r="Q526" i="1"/>
  <c r="I526" i="1"/>
  <c r="J526" i="1" s="1"/>
  <c r="G526" i="1"/>
  <c r="H526" i="1" s="1"/>
  <c r="Q525" i="1"/>
  <c r="J525" i="1"/>
  <c r="I525" i="1"/>
  <c r="H525" i="1"/>
  <c r="G525" i="1"/>
  <c r="Q524" i="1"/>
  <c r="I524" i="1"/>
  <c r="J524" i="1" s="1"/>
  <c r="G524" i="1"/>
  <c r="H524" i="1" s="1"/>
  <c r="Q523" i="1"/>
  <c r="J523" i="1"/>
  <c r="I523" i="1"/>
  <c r="H523" i="1"/>
  <c r="G523" i="1"/>
  <c r="Q522" i="1"/>
  <c r="I522" i="1"/>
  <c r="J522" i="1" s="1"/>
  <c r="G522" i="1"/>
  <c r="H522" i="1" s="1"/>
  <c r="Q521" i="1"/>
  <c r="J521" i="1"/>
  <c r="I521" i="1"/>
  <c r="H521" i="1"/>
  <c r="G521" i="1"/>
  <c r="Q520" i="1"/>
  <c r="I520" i="1"/>
  <c r="J520" i="1" s="1"/>
  <c r="G520" i="1"/>
  <c r="H520" i="1" s="1"/>
  <c r="Q519" i="1"/>
  <c r="J519" i="1"/>
  <c r="I519" i="1"/>
  <c r="H519" i="1"/>
  <c r="G519" i="1"/>
  <c r="Q518" i="1"/>
  <c r="I518" i="1"/>
  <c r="J518" i="1" s="1"/>
  <c r="G518" i="1"/>
  <c r="H518" i="1" s="1"/>
  <c r="Q517" i="1"/>
  <c r="J517" i="1"/>
  <c r="I517" i="1"/>
  <c r="H517" i="1"/>
  <c r="G517" i="1"/>
  <c r="Q516" i="1"/>
  <c r="I516" i="1"/>
  <c r="J516" i="1" s="1"/>
  <c r="G516" i="1"/>
  <c r="H516" i="1" s="1"/>
  <c r="Q515" i="1"/>
  <c r="J515" i="1"/>
  <c r="I515" i="1"/>
  <c r="H515" i="1"/>
  <c r="G515" i="1"/>
  <c r="Q514" i="1"/>
  <c r="I514" i="1"/>
  <c r="J514" i="1" s="1"/>
  <c r="G514" i="1"/>
  <c r="H514" i="1" s="1"/>
  <c r="Q513" i="1"/>
  <c r="J513" i="1"/>
  <c r="I513" i="1"/>
  <c r="H513" i="1"/>
  <c r="G513" i="1"/>
  <c r="Q512" i="1"/>
  <c r="I512" i="1"/>
  <c r="J512" i="1" s="1"/>
  <c r="G512" i="1"/>
  <c r="H512" i="1" s="1"/>
  <c r="Q511" i="1"/>
  <c r="J511" i="1"/>
  <c r="J510" i="1" s="1"/>
  <c r="I61" i="3" s="1"/>
  <c r="C112" i="2" s="1"/>
  <c r="P112" i="2" s="1"/>
  <c r="I511" i="1"/>
  <c r="H511" i="1"/>
  <c r="G511" i="1"/>
  <c r="Q510" i="1"/>
  <c r="H510" i="1"/>
  <c r="Q509" i="1"/>
  <c r="J509" i="1"/>
  <c r="J508" i="1" s="1"/>
  <c r="I60" i="3" s="1"/>
  <c r="C110" i="2" s="1"/>
  <c r="O110" i="2" s="1"/>
  <c r="I509" i="1"/>
  <c r="H509" i="1"/>
  <c r="G509" i="1"/>
  <c r="Q508" i="1"/>
  <c r="H508" i="1"/>
  <c r="Q507" i="1"/>
  <c r="J507" i="1"/>
  <c r="I507" i="1"/>
  <c r="H507" i="1"/>
  <c r="G507" i="1"/>
  <c r="Q506" i="1"/>
  <c r="I506" i="1"/>
  <c r="J506" i="1" s="1"/>
  <c r="G506" i="1"/>
  <c r="H506" i="1" s="1"/>
  <c r="Q505" i="1"/>
  <c r="J505" i="1"/>
  <c r="I505" i="1"/>
  <c r="H505" i="1"/>
  <c r="G505" i="1"/>
  <c r="Q504" i="1"/>
  <c r="I504" i="1"/>
  <c r="J504" i="1" s="1"/>
  <c r="G504" i="1"/>
  <c r="H504" i="1" s="1"/>
  <c r="Q503" i="1"/>
  <c r="J503" i="1"/>
  <c r="I503" i="1"/>
  <c r="H503" i="1"/>
  <c r="G503" i="1"/>
  <c r="Q502" i="1"/>
  <c r="I502" i="1"/>
  <c r="J502" i="1" s="1"/>
  <c r="G502" i="1"/>
  <c r="H502" i="1" s="1"/>
  <c r="Q501" i="1"/>
  <c r="J501" i="1"/>
  <c r="I501" i="1"/>
  <c r="H501" i="1"/>
  <c r="G501" i="1"/>
  <c r="Q500" i="1"/>
  <c r="I500" i="1"/>
  <c r="J500" i="1" s="1"/>
  <c r="G500" i="1"/>
  <c r="H500" i="1" s="1"/>
  <c r="Q499" i="1"/>
  <c r="J499" i="1"/>
  <c r="I59" i="3" s="1"/>
  <c r="C108" i="2" s="1"/>
  <c r="U108" i="2" s="1"/>
  <c r="H499" i="1"/>
  <c r="Q498" i="1"/>
  <c r="I498" i="1"/>
  <c r="J498" i="1" s="1"/>
  <c r="G498" i="1"/>
  <c r="H498" i="1" s="1"/>
  <c r="Q497" i="1"/>
  <c r="J497" i="1"/>
  <c r="I497" i="1"/>
  <c r="H497" i="1"/>
  <c r="G497" i="1"/>
  <c r="Q496" i="1"/>
  <c r="I496" i="1"/>
  <c r="J496" i="1" s="1"/>
  <c r="G496" i="1"/>
  <c r="H496" i="1" s="1"/>
  <c r="Q495" i="1"/>
  <c r="J495" i="1"/>
  <c r="I495" i="1"/>
  <c r="H495" i="1"/>
  <c r="G495" i="1"/>
  <c r="Q494" i="1"/>
  <c r="I494" i="1"/>
  <c r="J494" i="1" s="1"/>
  <c r="G494" i="1"/>
  <c r="H494" i="1" s="1"/>
  <c r="Q493" i="1"/>
  <c r="J493" i="1"/>
  <c r="I493" i="1"/>
  <c r="H493" i="1"/>
  <c r="G493" i="1"/>
  <c r="Q492" i="1"/>
  <c r="I492" i="1"/>
  <c r="J492" i="1" s="1"/>
  <c r="G492" i="1"/>
  <c r="H492" i="1" s="1"/>
  <c r="Q491" i="1"/>
  <c r="J491" i="1"/>
  <c r="J490" i="1" s="1"/>
  <c r="I58" i="3" s="1"/>
  <c r="C106" i="2" s="1"/>
  <c r="T106" i="2" s="1"/>
  <c r="I491" i="1"/>
  <c r="H491" i="1"/>
  <c r="G491" i="1"/>
  <c r="Q490" i="1"/>
  <c r="H490" i="1"/>
  <c r="Q489" i="1"/>
  <c r="J489" i="1"/>
  <c r="I489" i="1"/>
  <c r="H489" i="1"/>
  <c r="G489" i="1"/>
  <c r="Q488" i="1"/>
  <c r="I488" i="1"/>
  <c r="J488" i="1" s="1"/>
  <c r="G488" i="1"/>
  <c r="H488" i="1" s="1"/>
  <c r="Q487" i="1"/>
  <c r="J487" i="1"/>
  <c r="I487" i="1"/>
  <c r="H487" i="1"/>
  <c r="G487" i="1"/>
  <c r="Q486" i="1"/>
  <c r="I486" i="1"/>
  <c r="J486" i="1" s="1"/>
  <c r="G486" i="1"/>
  <c r="H486" i="1" s="1"/>
  <c r="Q485" i="1"/>
  <c r="J485" i="1"/>
  <c r="I485" i="1"/>
  <c r="H485" i="1"/>
  <c r="G485" i="1"/>
  <c r="Q484" i="1"/>
  <c r="I484" i="1"/>
  <c r="J484" i="1" s="1"/>
  <c r="G484" i="1"/>
  <c r="H484" i="1" s="1"/>
  <c r="Q483" i="1"/>
  <c r="J483" i="1"/>
  <c r="I483" i="1"/>
  <c r="H483" i="1"/>
  <c r="G483" i="1"/>
  <c r="Q482" i="1"/>
  <c r="I482" i="1"/>
  <c r="J482" i="1" s="1"/>
  <c r="G482" i="1"/>
  <c r="H482" i="1" s="1"/>
  <c r="Q481" i="1"/>
  <c r="J481" i="1"/>
  <c r="I481" i="1"/>
  <c r="H481" i="1"/>
  <c r="G481" i="1"/>
  <c r="Q480" i="1"/>
  <c r="I480" i="1"/>
  <c r="J480" i="1" s="1"/>
  <c r="G480" i="1"/>
  <c r="H480" i="1" s="1"/>
  <c r="Q479" i="1"/>
  <c r="J479" i="1"/>
  <c r="I479" i="1"/>
  <c r="H479" i="1"/>
  <c r="G479" i="1"/>
  <c r="Q478" i="1"/>
  <c r="I478" i="1"/>
  <c r="J478" i="1" s="1"/>
  <c r="G478" i="1"/>
  <c r="H478" i="1" s="1"/>
  <c r="Q477" i="1"/>
  <c r="J477" i="1"/>
  <c r="I477" i="1"/>
  <c r="H477" i="1"/>
  <c r="G477" i="1"/>
  <c r="Q476" i="1"/>
  <c r="I476" i="1"/>
  <c r="J476" i="1" s="1"/>
  <c r="G476" i="1"/>
  <c r="H476" i="1" s="1"/>
  <c r="Q475" i="1"/>
  <c r="J475" i="1"/>
  <c r="I475" i="1"/>
  <c r="H475" i="1"/>
  <c r="G475" i="1"/>
  <c r="Q474" i="1"/>
  <c r="I474" i="1"/>
  <c r="J474" i="1" s="1"/>
  <c r="G474" i="1"/>
  <c r="H474" i="1" s="1"/>
  <c r="Q473" i="1"/>
  <c r="J473" i="1"/>
  <c r="I473" i="1"/>
  <c r="H473" i="1"/>
  <c r="G473" i="1"/>
  <c r="Q472" i="1"/>
  <c r="I472" i="1"/>
  <c r="J472" i="1" s="1"/>
  <c r="G472" i="1"/>
  <c r="H472" i="1" s="1"/>
  <c r="Q471" i="1"/>
  <c r="J471" i="1"/>
  <c r="I471" i="1"/>
  <c r="H471" i="1"/>
  <c r="G471" i="1"/>
  <c r="Q470" i="1"/>
  <c r="I470" i="1"/>
  <c r="J470" i="1" s="1"/>
  <c r="G470" i="1"/>
  <c r="H470" i="1" s="1"/>
  <c r="Q469" i="1"/>
  <c r="J469" i="1"/>
  <c r="I469" i="1"/>
  <c r="H469" i="1"/>
  <c r="G469" i="1"/>
  <c r="Q468" i="1"/>
  <c r="H468" i="1"/>
  <c r="Q467" i="1"/>
  <c r="H467" i="1"/>
  <c r="Q466" i="1"/>
  <c r="I466" i="1"/>
  <c r="J466" i="1" s="1"/>
  <c r="G466" i="1"/>
  <c r="H466" i="1" s="1"/>
  <c r="Q465" i="1"/>
  <c r="J465" i="1"/>
  <c r="I465" i="1"/>
  <c r="H465" i="1"/>
  <c r="G465" i="1"/>
  <c r="Q464" i="1"/>
  <c r="I464" i="1"/>
  <c r="J464" i="1" s="1"/>
  <c r="G464" i="1"/>
  <c r="H464" i="1" s="1"/>
  <c r="Q463" i="1"/>
  <c r="J463" i="1"/>
  <c r="I463" i="1"/>
  <c r="H463" i="1"/>
  <c r="G463" i="1"/>
  <c r="Q462" i="1"/>
  <c r="I462" i="1"/>
  <c r="J462" i="1" s="1"/>
  <c r="G462" i="1"/>
  <c r="H462" i="1" s="1"/>
  <c r="Q461" i="1"/>
  <c r="J461" i="1"/>
  <c r="I461" i="1"/>
  <c r="H461" i="1"/>
  <c r="G461" i="1"/>
  <c r="Q460" i="1"/>
  <c r="I460" i="1"/>
  <c r="J460" i="1" s="1"/>
  <c r="G460" i="1"/>
  <c r="H460" i="1" s="1"/>
  <c r="Q459" i="1"/>
  <c r="J459" i="1"/>
  <c r="I459" i="1"/>
  <c r="H459" i="1"/>
  <c r="G459" i="1"/>
  <c r="Q458" i="1"/>
  <c r="I458" i="1"/>
  <c r="J458" i="1" s="1"/>
  <c r="G458" i="1"/>
  <c r="H458" i="1" s="1"/>
  <c r="Q457" i="1"/>
  <c r="J457" i="1"/>
  <c r="I457" i="1"/>
  <c r="H457" i="1"/>
  <c r="G457" i="1"/>
  <c r="Q456" i="1"/>
  <c r="I456" i="1"/>
  <c r="J456" i="1" s="1"/>
  <c r="G456" i="1"/>
  <c r="H456" i="1" s="1"/>
  <c r="Q455" i="1"/>
  <c r="J455" i="1"/>
  <c r="I455" i="1"/>
  <c r="H455" i="1"/>
  <c r="G455" i="1"/>
  <c r="Q454" i="1"/>
  <c r="I454" i="1"/>
  <c r="J454" i="1" s="1"/>
  <c r="G454" i="1"/>
  <c r="H454" i="1" s="1"/>
  <c r="Q453" i="1"/>
  <c r="J453" i="1"/>
  <c r="I453" i="1"/>
  <c r="H453" i="1"/>
  <c r="G453" i="1"/>
  <c r="Q452" i="1"/>
  <c r="I452" i="1"/>
  <c r="J452" i="1" s="1"/>
  <c r="G452" i="1"/>
  <c r="H452" i="1" s="1"/>
  <c r="Q451" i="1"/>
  <c r="J451" i="1"/>
  <c r="I451" i="1"/>
  <c r="H451" i="1"/>
  <c r="G451" i="1"/>
  <c r="Q450" i="1"/>
  <c r="I450" i="1"/>
  <c r="J450" i="1" s="1"/>
  <c r="G450" i="1"/>
  <c r="H450" i="1" s="1"/>
  <c r="Q449" i="1"/>
  <c r="J449" i="1"/>
  <c r="I55" i="3" s="1"/>
  <c r="C100" i="2" s="1"/>
  <c r="T100" i="2" s="1"/>
  <c r="H449" i="1"/>
  <c r="Q448" i="1"/>
  <c r="I448" i="1"/>
  <c r="J448" i="1" s="1"/>
  <c r="G448" i="1"/>
  <c r="H448" i="1" s="1"/>
  <c r="Q447" i="1"/>
  <c r="J447" i="1"/>
  <c r="I447" i="1"/>
  <c r="H447" i="1"/>
  <c r="G447" i="1"/>
  <c r="Q446" i="1"/>
  <c r="I446" i="1"/>
  <c r="J446" i="1" s="1"/>
  <c r="G446" i="1"/>
  <c r="H446" i="1" s="1"/>
  <c r="Q445" i="1"/>
  <c r="J445" i="1"/>
  <c r="J444" i="1" s="1"/>
  <c r="I54" i="3" s="1"/>
  <c r="C98" i="2" s="1"/>
  <c r="R98" i="2" s="1"/>
  <c r="I445" i="1"/>
  <c r="H445" i="1"/>
  <c r="G445" i="1"/>
  <c r="Q444" i="1"/>
  <c r="H444" i="1"/>
  <c r="Q443" i="1"/>
  <c r="J443" i="1"/>
  <c r="I443" i="1"/>
  <c r="H443" i="1"/>
  <c r="G443" i="1"/>
  <c r="Q442" i="1"/>
  <c r="I442" i="1"/>
  <c r="J442" i="1" s="1"/>
  <c r="G442" i="1"/>
  <c r="H442" i="1" s="1"/>
  <c r="Q441" i="1"/>
  <c r="J441" i="1"/>
  <c r="I441" i="1"/>
  <c r="H441" i="1"/>
  <c r="G441" i="1"/>
  <c r="Q440" i="1"/>
  <c r="I440" i="1"/>
  <c r="J440" i="1" s="1"/>
  <c r="G440" i="1"/>
  <c r="H440" i="1" s="1"/>
  <c r="Q439" i="1"/>
  <c r="J439" i="1"/>
  <c r="I439" i="1"/>
  <c r="H439" i="1"/>
  <c r="G439" i="1"/>
  <c r="Q438" i="1"/>
  <c r="I438" i="1"/>
  <c r="J438" i="1" s="1"/>
  <c r="G438" i="1"/>
  <c r="H438" i="1" s="1"/>
  <c r="Q437" i="1"/>
  <c r="J437" i="1"/>
  <c r="I437" i="1"/>
  <c r="H437" i="1"/>
  <c r="G437" i="1"/>
  <c r="Q436" i="1"/>
  <c r="I436" i="1"/>
  <c r="J436" i="1" s="1"/>
  <c r="G436" i="1"/>
  <c r="H436" i="1" s="1"/>
  <c r="Q435" i="1"/>
  <c r="J435" i="1"/>
  <c r="I435" i="1"/>
  <c r="H435" i="1"/>
  <c r="G435" i="1"/>
  <c r="Q434" i="1"/>
  <c r="I434" i="1"/>
  <c r="J434" i="1" s="1"/>
  <c r="G434" i="1"/>
  <c r="H434" i="1" s="1"/>
  <c r="Q433" i="1"/>
  <c r="J433" i="1"/>
  <c r="I433" i="1"/>
  <c r="H433" i="1"/>
  <c r="G433" i="1"/>
  <c r="Q432" i="1"/>
  <c r="H432" i="1"/>
  <c r="Q431" i="1"/>
  <c r="J431" i="1"/>
  <c r="I431" i="1"/>
  <c r="H431" i="1"/>
  <c r="G431" i="1"/>
  <c r="Q430" i="1"/>
  <c r="I430" i="1"/>
  <c r="J430" i="1" s="1"/>
  <c r="G430" i="1"/>
  <c r="H430" i="1" s="1"/>
  <c r="Q429" i="1"/>
  <c r="J429" i="1"/>
  <c r="I429" i="1"/>
  <c r="H429" i="1"/>
  <c r="G429" i="1"/>
  <c r="Q428" i="1"/>
  <c r="I428" i="1"/>
  <c r="J428" i="1" s="1"/>
  <c r="G428" i="1"/>
  <c r="H428" i="1" s="1"/>
  <c r="Q427" i="1"/>
  <c r="J427" i="1"/>
  <c r="I427" i="1"/>
  <c r="H427" i="1"/>
  <c r="G427" i="1"/>
  <c r="Q426" i="1"/>
  <c r="I426" i="1"/>
  <c r="J426" i="1" s="1"/>
  <c r="G426" i="1"/>
  <c r="H426" i="1" s="1"/>
  <c r="Q425" i="1"/>
  <c r="J425" i="1"/>
  <c r="I425" i="1"/>
  <c r="H425" i="1"/>
  <c r="G425" i="1"/>
  <c r="Q424" i="1"/>
  <c r="I424" i="1"/>
  <c r="J424" i="1" s="1"/>
  <c r="G424" i="1"/>
  <c r="H424" i="1" s="1"/>
  <c r="Q423" i="1"/>
  <c r="J423" i="1"/>
  <c r="I423" i="1"/>
  <c r="H423" i="1"/>
  <c r="G423" i="1"/>
  <c r="Q422" i="1"/>
  <c r="I422" i="1"/>
  <c r="J422" i="1" s="1"/>
  <c r="G422" i="1"/>
  <c r="H422" i="1" s="1"/>
  <c r="Q421" i="1"/>
  <c r="J421" i="1"/>
  <c r="I421" i="1"/>
  <c r="H421" i="1"/>
  <c r="G421" i="1"/>
  <c r="Q420" i="1"/>
  <c r="I420" i="1"/>
  <c r="J420" i="1" s="1"/>
  <c r="G420" i="1"/>
  <c r="H420" i="1" s="1"/>
  <c r="Q419" i="1"/>
  <c r="J419" i="1"/>
  <c r="I419" i="1"/>
  <c r="H419" i="1"/>
  <c r="G419" i="1"/>
  <c r="Q418" i="1"/>
  <c r="I418" i="1"/>
  <c r="J418" i="1" s="1"/>
  <c r="G418" i="1"/>
  <c r="H418" i="1" s="1"/>
  <c r="Q417" i="1"/>
  <c r="J417" i="1"/>
  <c r="I417" i="1"/>
  <c r="H417" i="1"/>
  <c r="G417" i="1"/>
  <c r="Q416" i="1"/>
  <c r="I416" i="1"/>
  <c r="J416" i="1" s="1"/>
  <c r="G416" i="1"/>
  <c r="H416" i="1" s="1"/>
  <c r="Q415" i="1"/>
  <c r="J415" i="1"/>
  <c r="I415" i="1"/>
  <c r="H415" i="1"/>
  <c r="G415" i="1"/>
  <c r="Q414" i="1"/>
  <c r="I414" i="1"/>
  <c r="J414" i="1" s="1"/>
  <c r="G414" i="1"/>
  <c r="H414" i="1" s="1"/>
  <c r="Q413" i="1"/>
  <c r="J413" i="1"/>
  <c r="I413" i="1"/>
  <c r="H413" i="1"/>
  <c r="G413" i="1"/>
  <c r="Q412" i="1"/>
  <c r="I412" i="1"/>
  <c r="J412" i="1" s="1"/>
  <c r="G412" i="1"/>
  <c r="H412" i="1" s="1"/>
  <c r="Q411" i="1"/>
  <c r="J411" i="1"/>
  <c r="I411" i="1"/>
  <c r="H411" i="1"/>
  <c r="G411" i="1"/>
  <c r="Q410" i="1"/>
  <c r="I410" i="1"/>
  <c r="J410" i="1" s="1"/>
  <c r="G410" i="1"/>
  <c r="H410" i="1" s="1"/>
  <c r="Q409" i="1"/>
  <c r="J409" i="1"/>
  <c r="I409" i="1"/>
  <c r="H409" i="1"/>
  <c r="G409" i="1"/>
  <c r="Q408" i="1"/>
  <c r="I408" i="1"/>
  <c r="J408" i="1" s="1"/>
  <c r="G408" i="1"/>
  <c r="H408" i="1" s="1"/>
  <c r="Q407" i="1"/>
  <c r="J407" i="1"/>
  <c r="J406" i="1" s="1"/>
  <c r="I52" i="3" s="1"/>
  <c r="C94" i="2" s="1"/>
  <c r="R94" i="2" s="1"/>
  <c r="I407" i="1"/>
  <c r="H407" i="1"/>
  <c r="G407" i="1"/>
  <c r="Q406" i="1"/>
  <c r="H406" i="1"/>
  <c r="Q405" i="1"/>
  <c r="J405" i="1"/>
  <c r="I405" i="1"/>
  <c r="H405" i="1"/>
  <c r="G405" i="1"/>
  <c r="Q404" i="1"/>
  <c r="I404" i="1"/>
  <c r="J404" i="1" s="1"/>
  <c r="G404" i="1"/>
  <c r="H404" i="1" s="1"/>
  <c r="Q403" i="1"/>
  <c r="J403" i="1"/>
  <c r="I403" i="1"/>
  <c r="H403" i="1"/>
  <c r="G403" i="1"/>
  <c r="Q402" i="1"/>
  <c r="I402" i="1"/>
  <c r="J402" i="1" s="1"/>
  <c r="G402" i="1"/>
  <c r="H402" i="1" s="1"/>
  <c r="Q401" i="1"/>
  <c r="J401" i="1"/>
  <c r="I401" i="1"/>
  <c r="H401" i="1"/>
  <c r="G401" i="1"/>
  <c r="Q400" i="1"/>
  <c r="I400" i="1"/>
  <c r="J400" i="1" s="1"/>
  <c r="G400" i="1"/>
  <c r="H400" i="1" s="1"/>
  <c r="Q399" i="1"/>
  <c r="J399" i="1"/>
  <c r="I399" i="1"/>
  <c r="H399" i="1"/>
  <c r="G399" i="1"/>
  <c r="Q398" i="1"/>
  <c r="I398" i="1"/>
  <c r="J398" i="1" s="1"/>
  <c r="G398" i="1"/>
  <c r="H398" i="1" s="1"/>
  <c r="Q397" i="1"/>
  <c r="J397" i="1"/>
  <c r="I397" i="1"/>
  <c r="H397" i="1"/>
  <c r="G397" i="1"/>
  <c r="Q396" i="1"/>
  <c r="I396" i="1"/>
  <c r="J396" i="1" s="1"/>
  <c r="G396" i="1"/>
  <c r="H396" i="1" s="1"/>
  <c r="Q395" i="1"/>
  <c r="J395" i="1"/>
  <c r="I395" i="1"/>
  <c r="H395" i="1"/>
  <c r="G395" i="1"/>
  <c r="Q394" i="1"/>
  <c r="I394" i="1"/>
  <c r="J394" i="1" s="1"/>
  <c r="G394" i="1"/>
  <c r="H394" i="1" s="1"/>
  <c r="Q393" i="1"/>
  <c r="J393" i="1"/>
  <c r="I393" i="1"/>
  <c r="H393" i="1"/>
  <c r="G393" i="1"/>
  <c r="Q392" i="1"/>
  <c r="I392" i="1"/>
  <c r="J392" i="1" s="1"/>
  <c r="G392" i="1"/>
  <c r="H392" i="1" s="1"/>
  <c r="Q391" i="1"/>
  <c r="J391" i="1"/>
  <c r="I391" i="1"/>
  <c r="H391" i="1"/>
  <c r="G391" i="1"/>
  <c r="Q390" i="1"/>
  <c r="H390" i="1"/>
  <c r="Q389" i="1"/>
  <c r="J389" i="1"/>
  <c r="I389" i="1"/>
  <c r="H389" i="1"/>
  <c r="G389" i="1"/>
  <c r="Q388" i="1"/>
  <c r="I388" i="1"/>
  <c r="J388" i="1" s="1"/>
  <c r="G388" i="1"/>
  <c r="H388" i="1" s="1"/>
  <c r="Q387" i="1"/>
  <c r="J387" i="1"/>
  <c r="I387" i="1"/>
  <c r="H387" i="1"/>
  <c r="G387" i="1"/>
  <c r="Q386" i="1"/>
  <c r="I386" i="1"/>
  <c r="J386" i="1" s="1"/>
  <c r="G386" i="1"/>
  <c r="H386" i="1" s="1"/>
  <c r="Q385" i="1"/>
  <c r="J385" i="1"/>
  <c r="I385" i="1"/>
  <c r="H385" i="1"/>
  <c r="G385" i="1"/>
  <c r="Q384" i="1"/>
  <c r="I384" i="1"/>
  <c r="J384" i="1" s="1"/>
  <c r="G384" i="1"/>
  <c r="H384" i="1" s="1"/>
  <c r="Q383" i="1"/>
  <c r="J383" i="1"/>
  <c r="I383" i="1"/>
  <c r="H383" i="1"/>
  <c r="G383" i="1"/>
  <c r="Q382" i="1"/>
  <c r="I382" i="1"/>
  <c r="J382" i="1" s="1"/>
  <c r="G382" i="1"/>
  <c r="H382" i="1" s="1"/>
  <c r="Q381" i="1"/>
  <c r="J381" i="1"/>
  <c r="I381" i="1"/>
  <c r="H381" i="1"/>
  <c r="G381" i="1"/>
  <c r="Q380" i="1"/>
  <c r="I380" i="1"/>
  <c r="J380" i="1" s="1"/>
  <c r="G380" i="1"/>
  <c r="H380" i="1" s="1"/>
  <c r="Q379" i="1"/>
  <c r="J379" i="1"/>
  <c r="I379" i="1"/>
  <c r="H379" i="1"/>
  <c r="G379" i="1"/>
  <c r="Q378" i="1"/>
  <c r="I378" i="1"/>
  <c r="J378" i="1" s="1"/>
  <c r="G378" i="1"/>
  <c r="H378" i="1" s="1"/>
  <c r="Q377" i="1"/>
  <c r="J377" i="1"/>
  <c r="I377" i="1"/>
  <c r="H377" i="1"/>
  <c r="G377" i="1"/>
  <c r="Q376" i="1"/>
  <c r="I376" i="1"/>
  <c r="J376" i="1" s="1"/>
  <c r="G376" i="1"/>
  <c r="H376" i="1" s="1"/>
  <c r="Q375" i="1"/>
  <c r="J375" i="1"/>
  <c r="I375" i="1"/>
  <c r="H375" i="1"/>
  <c r="G375" i="1"/>
  <c r="Q374" i="1"/>
  <c r="I374" i="1"/>
  <c r="J374" i="1" s="1"/>
  <c r="G374" i="1"/>
  <c r="H374" i="1" s="1"/>
  <c r="Q373" i="1"/>
  <c r="J373" i="1"/>
  <c r="I373" i="1"/>
  <c r="H373" i="1"/>
  <c r="G373" i="1"/>
  <c r="Q372" i="1"/>
  <c r="I372" i="1"/>
  <c r="J372" i="1" s="1"/>
  <c r="G372" i="1"/>
  <c r="H372" i="1" s="1"/>
  <c r="Q371" i="1"/>
  <c r="J371" i="1"/>
  <c r="I371" i="1"/>
  <c r="H371" i="1"/>
  <c r="G371" i="1"/>
  <c r="Q370" i="1"/>
  <c r="I370" i="1"/>
  <c r="J370" i="1" s="1"/>
  <c r="G370" i="1"/>
  <c r="H370" i="1" s="1"/>
  <c r="Q369" i="1"/>
  <c r="J369" i="1"/>
  <c r="I369" i="1"/>
  <c r="H369" i="1"/>
  <c r="G369" i="1"/>
  <c r="Q368" i="1"/>
  <c r="I368" i="1"/>
  <c r="J368" i="1" s="1"/>
  <c r="G368" i="1"/>
  <c r="H368" i="1" s="1"/>
  <c r="Q367" i="1"/>
  <c r="J367" i="1"/>
  <c r="I367" i="1"/>
  <c r="H367" i="1"/>
  <c r="G367" i="1"/>
  <c r="Q366" i="1"/>
  <c r="I366" i="1"/>
  <c r="J366" i="1" s="1"/>
  <c r="G366" i="1"/>
  <c r="H366" i="1" s="1"/>
  <c r="Q365" i="1"/>
  <c r="J365" i="1"/>
  <c r="I365" i="1"/>
  <c r="H365" i="1"/>
  <c r="G365" i="1"/>
  <c r="Q364" i="1"/>
  <c r="I364" i="1"/>
  <c r="J364" i="1" s="1"/>
  <c r="G364" i="1"/>
  <c r="H364" i="1" s="1"/>
  <c r="Q363" i="1"/>
  <c r="J363" i="1"/>
  <c r="I363" i="1"/>
  <c r="H363" i="1"/>
  <c r="G363" i="1"/>
  <c r="Q362" i="1"/>
  <c r="I362" i="1"/>
  <c r="J362" i="1" s="1"/>
  <c r="G362" i="1"/>
  <c r="H362" i="1" s="1"/>
  <c r="Q361" i="1"/>
  <c r="J361" i="1"/>
  <c r="I361" i="1"/>
  <c r="H361" i="1"/>
  <c r="G361" i="1"/>
  <c r="Q360" i="1"/>
  <c r="I360" i="1"/>
  <c r="J360" i="1" s="1"/>
  <c r="G360" i="1"/>
  <c r="H360" i="1" s="1"/>
  <c r="Q359" i="1"/>
  <c r="J359" i="1"/>
  <c r="I359" i="1"/>
  <c r="H359" i="1"/>
  <c r="G359" i="1"/>
  <c r="Q358" i="1"/>
  <c r="I358" i="1"/>
  <c r="J358" i="1" s="1"/>
  <c r="G358" i="1"/>
  <c r="H358" i="1" s="1"/>
  <c r="Q357" i="1"/>
  <c r="J357" i="1"/>
  <c r="I357" i="1"/>
  <c r="H357" i="1"/>
  <c r="G357" i="1"/>
  <c r="Q356" i="1"/>
  <c r="I356" i="1"/>
  <c r="J356" i="1" s="1"/>
  <c r="G356" i="1"/>
  <c r="H356" i="1" s="1"/>
  <c r="Q355" i="1"/>
  <c r="J355" i="1"/>
  <c r="J354" i="1" s="1"/>
  <c r="I50" i="3" s="1"/>
  <c r="C90" i="2" s="1"/>
  <c r="Q90" i="2" s="1"/>
  <c r="I355" i="1"/>
  <c r="H355" i="1"/>
  <c r="G355" i="1"/>
  <c r="Q354" i="1"/>
  <c r="H354" i="1"/>
  <c r="Q353" i="1"/>
  <c r="J353" i="1"/>
  <c r="I353" i="1"/>
  <c r="H353" i="1"/>
  <c r="G353" i="1"/>
  <c r="Q352" i="1"/>
  <c r="I352" i="1"/>
  <c r="J352" i="1" s="1"/>
  <c r="G352" i="1"/>
  <c r="H352" i="1" s="1"/>
  <c r="Q351" i="1"/>
  <c r="J351" i="1"/>
  <c r="I351" i="1"/>
  <c r="H351" i="1"/>
  <c r="G351" i="1"/>
  <c r="Q350" i="1"/>
  <c r="I350" i="1"/>
  <c r="J350" i="1" s="1"/>
  <c r="G350" i="1"/>
  <c r="H350" i="1" s="1"/>
  <c r="Q349" i="1"/>
  <c r="J349" i="1"/>
  <c r="I349" i="1"/>
  <c r="H349" i="1"/>
  <c r="G349" i="1"/>
  <c r="Q348" i="1"/>
  <c r="I348" i="1"/>
  <c r="J348" i="1" s="1"/>
  <c r="G348" i="1"/>
  <c r="H348" i="1" s="1"/>
  <c r="Q347" i="1"/>
  <c r="J347" i="1"/>
  <c r="I347" i="1"/>
  <c r="H347" i="1"/>
  <c r="G347" i="1"/>
  <c r="Q346" i="1"/>
  <c r="I346" i="1"/>
  <c r="J346" i="1" s="1"/>
  <c r="G346" i="1"/>
  <c r="H346" i="1" s="1"/>
  <c r="Q345" i="1"/>
  <c r="J345" i="1"/>
  <c r="I345" i="1"/>
  <c r="H345" i="1"/>
  <c r="G345" i="1"/>
  <c r="Q344" i="1"/>
  <c r="I344" i="1"/>
  <c r="J344" i="1" s="1"/>
  <c r="G344" i="1"/>
  <c r="H344" i="1" s="1"/>
  <c r="Q343" i="1"/>
  <c r="J343" i="1"/>
  <c r="I343" i="1"/>
  <c r="H343" i="1"/>
  <c r="G343" i="1"/>
  <c r="Q342" i="1"/>
  <c r="I342" i="1"/>
  <c r="J342" i="1" s="1"/>
  <c r="G342" i="1"/>
  <c r="H342" i="1" s="1"/>
  <c r="Q341" i="1"/>
  <c r="J341" i="1"/>
  <c r="I341" i="1"/>
  <c r="H341" i="1"/>
  <c r="G341" i="1"/>
  <c r="Q340" i="1"/>
  <c r="I340" i="1"/>
  <c r="J340" i="1" s="1"/>
  <c r="G340" i="1"/>
  <c r="H340" i="1" s="1"/>
  <c r="Q339" i="1"/>
  <c r="J339" i="1"/>
  <c r="I339" i="1"/>
  <c r="H339" i="1"/>
  <c r="G339" i="1"/>
  <c r="Q338" i="1"/>
  <c r="I338" i="1"/>
  <c r="J338" i="1" s="1"/>
  <c r="G338" i="1"/>
  <c r="H338" i="1" s="1"/>
  <c r="Q337" i="1"/>
  <c r="J337" i="1"/>
  <c r="I337" i="1"/>
  <c r="H337" i="1"/>
  <c r="G337" i="1"/>
  <c r="Q336" i="1"/>
  <c r="I336" i="1"/>
  <c r="J336" i="1" s="1"/>
  <c r="G336" i="1"/>
  <c r="H336" i="1" s="1"/>
  <c r="Q335" i="1"/>
  <c r="J335" i="1"/>
  <c r="I335" i="1"/>
  <c r="H335" i="1"/>
  <c r="G335" i="1"/>
  <c r="Q334" i="1"/>
  <c r="I334" i="1"/>
  <c r="J334" i="1" s="1"/>
  <c r="G334" i="1"/>
  <c r="H334" i="1" s="1"/>
  <c r="Q333" i="1"/>
  <c r="J333" i="1"/>
  <c r="I333" i="1"/>
  <c r="H333" i="1"/>
  <c r="G333" i="1"/>
  <c r="Q332" i="1"/>
  <c r="I332" i="1"/>
  <c r="J332" i="1" s="1"/>
  <c r="G332" i="1"/>
  <c r="H332" i="1" s="1"/>
  <c r="Q331" i="1"/>
  <c r="J331" i="1"/>
  <c r="I331" i="1"/>
  <c r="H331" i="1"/>
  <c r="G331" i="1"/>
  <c r="Q330" i="1"/>
  <c r="I330" i="1"/>
  <c r="J330" i="1" s="1"/>
  <c r="J329" i="1" s="1"/>
  <c r="I49" i="3" s="1"/>
  <c r="C88" i="2" s="1"/>
  <c r="P88" i="2" s="1"/>
  <c r="G330" i="1"/>
  <c r="H330" i="1" s="1"/>
  <c r="Q329" i="1"/>
  <c r="H329" i="1"/>
  <c r="Q328" i="1"/>
  <c r="I328" i="1"/>
  <c r="J328" i="1" s="1"/>
  <c r="G328" i="1"/>
  <c r="H328" i="1" s="1"/>
  <c r="Q327" i="1"/>
  <c r="J327" i="1"/>
  <c r="I327" i="1"/>
  <c r="H327" i="1"/>
  <c r="G327" i="1"/>
  <c r="Q326" i="1"/>
  <c r="I326" i="1"/>
  <c r="J326" i="1" s="1"/>
  <c r="G326" i="1"/>
  <c r="H326" i="1" s="1"/>
  <c r="Q325" i="1"/>
  <c r="J325" i="1"/>
  <c r="I325" i="1"/>
  <c r="H325" i="1"/>
  <c r="G325" i="1"/>
  <c r="Q324" i="1"/>
  <c r="I324" i="1"/>
  <c r="J324" i="1" s="1"/>
  <c r="G324" i="1"/>
  <c r="H324" i="1" s="1"/>
  <c r="Q323" i="1"/>
  <c r="J323" i="1"/>
  <c r="I323" i="1"/>
  <c r="H323" i="1"/>
  <c r="G323" i="1"/>
  <c r="Q322" i="1"/>
  <c r="I322" i="1"/>
  <c r="J322" i="1" s="1"/>
  <c r="G322" i="1"/>
  <c r="H322" i="1" s="1"/>
  <c r="Q321" i="1"/>
  <c r="J321" i="1"/>
  <c r="I321" i="1"/>
  <c r="H321" i="1"/>
  <c r="G321" i="1"/>
  <c r="Q320" i="1"/>
  <c r="I320" i="1"/>
  <c r="J320" i="1" s="1"/>
  <c r="G320" i="1"/>
  <c r="H320" i="1" s="1"/>
  <c r="Q319" i="1"/>
  <c r="J319" i="1"/>
  <c r="I319" i="1"/>
  <c r="H319" i="1"/>
  <c r="G319" i="1"/>
  <c r="Q318" i="1"/>
  <c r="I318" i="1"/>
  <c r="J318" i="1" s="1"/>
  <c r="G318" i="1"/>
  <c r="H318" i="1" s="1"/>
  <c r="Q317" i="1"/>
  <c r="J317" i="1"/>
  <c r="I317" i="1"/>
  <c r="H317" i="1"/>
  <c r="G317" i="1"/>
  <c r="Q316" i="1"/>
  <c r="I316" i="1"/>
  <c r="J316" i="1" s="1"/>
  <c r="G316" i="1"/>
  <c r="H316" i="1" s="1"/>
  <c r="Q315" i="1"/>
  <c r="J315" i="1"/>
  <c r="I315" i="1"/>
  <c r="H315" i="1"/>
  <c r="G315" i="1"/>
  <c r="Q314" i="1"/>
  <c r="I314" i="1"/>
  <c r="J314" i="1" s="1"/>
  <c r="G314" i="1"/>
  <c r="H314" i="1" s="1"/>
  <c r="Q313" i="1"/>
  <c r="J313" i="1"/>
  <c r="I313" i="1"/>
  <c r="H313" i="1"/>
  <c r="G313" i="1"/>
  <c r="Q312" i="1"/>
  <c r="I312" i="1"/>
  <c r="J312" i="1" s="1"/>
  <c r="G312" i="1"/>
  <c r="H312" i="1" s="1"/>
  <c r="Q311" i="1"/>
  <c r="J311" i="1"/>
  <c r="I311" i="1"/>
  <c r="H311" i="1"/>
  <c r="G311" i="1"/>
  <c r="Q310" i="1"/>
  <c r="I310" i="1"/>
  <c r="J310" i="1" s="1"/>
  <c r="G310" i="1"/>
  <c r="H310" i="1" s="1"/>
  <c r="Q309" i="1"/>
  <c r="J309" i="1"/>
  <c r="I309" i="1"/>
  <c r="H309" i="1"/>
  <c r="G309" i="1"/>
  <c r="Q308" i="1"/>
  <c r="I308" i="1"/>
  <c r="J308" i="1" s="1"/>
  <c r="G308" i="1"/>
  <c r="H308" i="1" s="1"/>
  <c r="Q307" i="1"/>
  <c r="J307" i="1"/>
  <c r="I307" i="1"/>
  <c r="H307" i="1"/>
  <c r="G307" i="1"/>
  <c r="Q306" i="1"/>
  <c r="I306" i="1"/>
  <c r="J306" i="1" s="1"/>
  <c r="G306" i="1"/>
  <c r="H306" i="1" s="1"/>
  <c r="Q305" i="1"/>
  <c r="J305" i="1"/>
  <c r="I305" i="1"/>
  <c r="H305" i="1"/>
  <c r="G305" i="1"/>
  <c r="Q304" i="1"/>
  <c r="I304" i="1"/>
  <c r="J304" i="1" s="1"/>
  <c r="G304" i="1"/>
  <c r="H304" i="1" s="1"/>
  <c r="Q303" i="1"/>
  <c r="J303" i="1"/>
  <c r="I303" i="1"/>
  <c r="H303" i="1"/>
  <c r="G303" i="1"/>
  <c r="Q302" i="1"/>
  <c r="I302" i="1"/>
  <c r="J302" i="1" s="1"/>
  <c r="G302" i="1"/>
  <c r="H302" i="1" s="1"/>
  <c r="Q301" i="1"/>
  <c r="J301" i="1"/>
  <c r="I301" i="1"/>
  <c r="H301" i="1"/>
  <c r="G301" i="1"/>
  <c r="Q300" i="1"/>
  <c r="I300" i="1"/>
  <c r="J300" i="1" s="1"/>
  <c r="G300" i="1"/>
  <c r="H300" i="1" s="1"/>
  <c r="Q299" i="1"/>
  <c r="J299" i="1"/>
  <c r="I299" i="1"/>
  <c r="H299" i="1"/>
  <c r="G299" i="1"/>
  <c r="Q298" i="1"/>
  <c r="I298" i="1"/>
  <c r="J298" i="1" s="1"/>
  <c r="G298" i="1"/>
  <c r="H298" i="1" s="1"/>
  <c r="Q297" i="1"/>
  <c r="J297" i="1"/>
  <c r="I297" i="1"/>
  <c r="H297" i="1"/>
  <c r="G297" i="1"/>
  <c r="Q296" i="1"/>
  <c r="I296" i="1"/>
  <c r="J296" i="1" s="1"/>
  <c r="G296" i="1"/>
  <c r="H296" i="1" s="1"/>
  <c r="Q295" i="1"/>
  <c r="J295" i="1"/>
  <c r="I295" i="1"/>
  <c r="H295" i="1"/>
  <c r="G295" i="1"/>
  <c r="Q294" i="1"/>
  <c r="H294" i="1"/>
  <c r="Q293" i="1"/>
  <c r="J293" i="1"/>
  <c r="I293" i="1"/>
  <c r="H293" i="1"/>
  <c r="G293" i="1"/>
  <c r="Q292" i="1"/>
  <c r="I292" i="1"/>
  <c r="J292" i="1" s="1"/>
  <c r="G292" i="1"/>
  <c r="H292" i="1" s="1"/>
  <c r="Q291" i="1"/>
  <c r="J291" i="1"/>
  <c r="I291" i="1"/>
  <c r="H291" i="1"/>
  <c r="G291" i="1"/>
  <c r="Q290" i="1"/>
  <c r="I290" i="1"/>
  <c r="J290" i="1" s="1"/>
  <c r="G290" i="1"/>
  <c r="H290" i="1" s="1"/>
  <c r="Q289" i="1"/>
  <c r="J289" i="1"/>
  <c r="I289" i="1"/>
  <c r="H289" i="1"/>
  <c r="G289" i="1"/>
  <c r="Q288" i="1"/>
  <c r="I288" i="1"/>
  <c r="J288" i="1" s="1"/>
  <c r="G288" i="1"/>
  <c r="H288" i="1" s="1"/>
  <c r="Q287" i="1"/>
  <c r="J287" i="1"/>
  <c r="I287" i="1"/>
  <c r="H287" i="1"/>
  <c r="G287" i="1"/>
  <c r="Q286" i="1"/>
  <c r="I286" i="1"/>
  <c r="J286" i="1" s="1"/>
  <c r="G286" i="1"/>
  <c r="H286" i="1" s="1"/>
  <c r="Q285" i="1"/>
  <c r="J285" i="1"/>
  <c r="I285" i="1"/>
  <c r="H285" i="1"/>
  <c r="G285" i="1"/>
  <c r="Q284" i="1"/>
  <c r="I284" i="1"/>
  <c r="J284" i="1" s="1"/>
  <c r="G284" i="1"/>
  <c r="H284" i="1" s="1"/>
  <c r="Q283" i="1"/>
  <c r="J283" i="1"/>
  <c r="I283" i="1"/>
  <c r="H283" i="1"/>
  <c r="G283" i="1"/>
  <c r="Q282" i="1"/>
  <c r="I282" i="1"/>
  <c r="J282" i="1" s="1"/>
  <c r="G282" i="1"/>
  <c r="H282" i="1" s="1"/>
  <c r="Q281" i="1"/>
  <c r="J281" i="1"/>
  <c r="I281" i="1"/>
  <c r="H281" i="1"/>
  <c r="G281" i="1"/>
  <c r="Q280" i="1"/>
  <c r="I280" i="1"/>
  <c r="J280" i="1" s="1"/>
  <c r="G280" i="1"/>
  <c r="H280" i="1" s="1"/>
  <c r="Q279" i="1"/>
  <c r="J279" i="1"/>
  <c r="I279" i="1"/>
  <c r="H279" i="1"/>
  <c r="G279" i="1"/>
  <c r="Q278" i="1"/>
  <c r="I278" i="1"/>
  <c r="J278" i="1" s="1"/>
  <c r="G278" i="1"/>
  <c r="H278" i="1" s="1"/>
  <c r="Q277" i="1"/>
  <c r="J277" i="1"/>
  <c r="I277" i="1"/>
  <c r="H277" i="1"/>
  <c r="G277" i="1"/>
  <c r="Q276" i="1"/>
  <c r="I276" i="1"/>
  <c r="J276" i="1" s="1"/>
  <c r="G276" i="1"/>
  <c r="H276" i="1" s="1"/>
  <c r="Q275" i="1"/>
  <c r="J275" i="1"/>
  <c r="I275" i="1"/>
  <c r="H275" i="1"/>
  <c r="G275" i="1"/>
  <c r="Q274" i="1"/>
  <c r="I274" i="1"/>
  <c r="J274" i="1" s="1"/>
  <c r="G274" i="1"/>
  <c r="H274" i="1" s="1"/>
  <c r="Q273" i="1"/>
  <c r="J273" i="1"/>
  <c r="I273" i="1"/>
  <c r="H273" i="1"/>
  <c r="G273" i="1"/>
  <c r="Q272" i="1"/>
  <c r="I272" i="1"/>
  <c r="J272" i="1" s="1"/>
  <c r="G272" i="1"/>
  <c r="H272" i="1" s="1"/>
  <c r="Q271" i="1"/>
  <c r="J271" i="1"/>
  <c r="I271" i="1"/>
  <c r="H271" i="1"/>
  <c r="G271" i="1"/>
  <c r="Q270" i="1"/>
  <c r="I270" i="1"/>
  <c r="J270" i="1" s="1"/>
  <c r="G270" i="1"/>
  <c r="H270" i="1" s="1"/>
  <c r="Q269" i="1"/>
  <c r="J269" i="1"/>
  <c r="I269" i="1"/>
  <c r="H269" i="1"/>
  <c r="G269" i="1"/>
  <c r="Q268" i="1"/>
  <c r="I268" i="1"/>
  <c r="J268" i="1" s="1"/>
  <c r="G268" i="1"/>
  <c r="H268" i="1" s="1"/>
  <c r="Q267" i="1"/>
  <c r="J267" i="1"/>
  <c r="I267" i="1"/>
  <c r="H267" i="1"/>
  <c r="G267" i="1"/>
  <c r="Q266" i="1"/>
  <c r="I266" i="1"/>
  <c r="J266" i="1" s="1"/>
  <c r="G266" i="1"/>
  <c r="H266" i="1" s="1"/>
  <c r="Q265" i="1"/>
  <c r="J265" i="1"/>
  <c r="I265" i="1"/>
  <c r="H265" i="1"/>
  <c r="G265" i="1"/>
  <c r="Q264" i="1"/>
  <c r="I264" i="1"/>
  <c r="J264" i="1" s="1"/>
  <c r="G264" i="1"/>
  <c r="H264" i="1" s="1"/>
  <c r="Q263" i="1"/>
  <c r="J263" i="1"/>
  <c r="I263" i="1"/>
  <c r="H263" i="1"/>
  <c r="G263" i="1"/>
  <c r="Q262" i="1"/>
  <c r="I262" i="1"/>
  <c r="J262" i="1" s="1"/>
  <c r="G262" i="1"/>
  <c r="H262" i="1" s="1"/>
  <c r="Q261" i="1"/>
  <c r="J261" i="1"/>
  <c r="I261" i="1"/>
  <c r="H261" i="1"/>
  <c r="G261" i="1"/>
  <c r="Q260" i="1"/>
  <c r="I260" i="1"/>
  <c r="J260" i="1" s="1"/>
  <c r="G260" i="1"/>
  <c r="H260" i="1" s="1"/>
  <c r="Q259" i="1"/>
  <c r="J259" i="1"/>
  <c r="I259" i="1"/>
  <c r="H259" i="1"/>
  <c r="G259" i="1"/>
  <c r="Q258" i="1"/>
  <c r="I258" i="1"/>
  <c r="J258" i="1" s="1"/>
  <c r="G258" i="1"/>
  <c r="H258" i="1" s="1"/>
  <c r="Q257" i="1"/>
  <c r="J257" i="1"/>
  <c r="I257" i="1"/>
  <c r="H257" i="1"/>
  <c r="G257" i="1"/>
  <c r="Q256" i="1"/>
  <c r="I256" i="1"/>
  <c r="J256" i="1" s="1"/>
  <c r="G256" i="1"/>
  <c r="H256" i="1" s="1"/>
  <c r="Q255" i="1"/>
  <c r="J255" i="1"/>
  <c r="J254" i="1" s="1"/>
  <c r="I47" i="3" s="1"/>
  <c r="C84" i="2" s="1"/>
  <c r="L84" i="2" s="1"/>
  <c r="I255" i="1"/>
  <c r="H255" i="1"/>
  <c r="G255" i="1"/>
  <c r="Q254" i="1"/>
  <c r="H254" i="1"/>
  <c r="Q253" i="1"/>
  <c r="H253" i="1"/>
  <c r="Q252" i="1"/>
  <c r="I252" i="1"/>
  <c r="J252" i="1" s="1"/>
  <c r="J251" i="1" s="1"/>
  <c r="I45" i="3" s="1"/>
  <c r="C80" i="2" s="1"/>
  <c r="U80" i="2" s="1"/>
  <c r="G252" i="1"/>
  <c r="H252" i="1" s="1"/>
  <c r="Q251" i="1"/>
  <c r="H251" i="1"/>
  <c r="Q250" i="1"/>
  <c r="I250" i="1"/>
  <c r="J250" i="1" s="1"/>
  <c r="G250" i="1"/>
  <c r="H250" i="1" s="1"/>
  <c r="Q249" i="1"/>
  <c r="J249" i="1"/>
  <c r="I249" i="1"/>
  <c r="H249" i="1"/>
  <c r="G249" i="1"/>
  <c r="Q248" i="1"/>
  <c r="I248" i="1"/>
  <c r="J248" i="1" s="1"/>
  <c r="G248" i="1"/>
  <c r="H248" i="1" s="1"/>
  <c r="Q247" i="1"/>
  <c r="J247" i="1"/>
  <c r="I247" i="1"/>
  <c r="H247" i="1"/>
  <c r="G247" i="1"/>
  <c r="Q246" i="1"/>
  <c r="H246" i="1"/>
  <c r="Q245" i="1"/>
  <c r="J245" i="1"/>
  <c r="I245" i="1"/>
  <c r="H245" i="1"/>
  <c r="G245" i="1"/>
  <c r="Q244" i="1"/>
  <c r="I244" i="1"/>
  <c r="J244" i="1" s="1"/>
  <c r="G244" i="1"/>
  <c r="H244" i="1" s="1"/>
  <c r="Q243" i="1"/>
  <c r="J243" i="1"/>
  <c r="I243" i="1"/>
  <c r="H243" i="1"/>
  <c r="G243" i="1"/>
  <c r="Q242" i="1"/>
  <c r="I242" i="1"/>
  <c r="J242" i="1" s="1"/>
  <c r="G242" i="1"/>
  <c r="H242" i="1" s="1"/>
  <c r="Q241" i="1"/>
  <c r="J241" i="1"/>
  <c r="I241" i="1"/>
  <c r="H241" i="1"/>
  <c r="G241" i="1"/>
  <c r="Q240" i="1"/>
  <c r="I240" i="1"/>
  <c r="J240" i="1" s="1"/>
  <c r="G240" i="1"/>
  <c r="H240" i="1" s="1"/>
  <c r="Q239" i="1"/>
  <c r="J239" i="1"/>
  <c r="I239" i="1"/>
  <c r="H239" i="1"/>
  <c r="G239" i="1"/>
  <c r="Q238" i="1"/>
  <c r="I238" i="1"/>
  <c r="J238" i="1" s="1"/>
  <c r="G238" i="1"/>
  <c r="H238" i="1" s="1"/>
  <c r="Q237" i="1"/>
  <c r="J237" i="1"/>
  <c r="I237" i="1"/>
  <c r="H237" i="1"/>
  <c r="G237" i="1"/>
  <c r="Q236" i="1"/>
  <c r="I236" i="1"/>
  <c r="J236" i="1" s="1"/>
  <c r="G236" i="1"/>
  <c r="H236" i="1" s="1"/>
  <c r="Q235" i="1"/>
  <c r="J235" i="1"/>
  <c r="I235" i="1"/>
  <c r="H235" i="1"/>
  <c r="G235" i="1"/>
  <c r="Q234" i="1"/>
  <c r="I234" i="1"/>
  <c r="J234" i="1" s="1"/>
  <c r="G234" i="1"/>
  <c r="H234" i="1" s="1"/>
  <c r="Q233" i="1"/>
  <c r="J233" i="1"/>
  <c r="I43" i="3" s="1"/>
  <c r="C76" i="2" s="1"/>
  <c r="R76" i="2" s="1"/>
  <c r="H233" i="1"/>
  <c r="Q232" i="1"/>
  <c r="I232" i="1"/>
  <c r="J232" i="1" s="1"/>
  <c r="G232" i="1"/>
  <c r="H232" i="1" s="1"/>
  <c r="Q231" i="1"/>
  <c r="J231" i="1"/>
  <c r="I231" i="1"/>
  <c r="H231" i="1"/>
  <c r="G231" i="1"/>
  <c r="Q230" i="1"/>
  <c r="I230" i="1"/>
  <c r="J230" i="1" s="1"/>
  <c r="G230" i="1"/>
  <c r="H230" i="1" s="1"/>
  <c r="Q229" i="1"/>
  <c r="J229" i="1"/>
  <c r="I229" i="1"/>
  <c r="H229" i="1"/>
  <c r="G229" i="1"/>
  <c r="Q228" i="1"/>
  <c r="I228" i="1"/>
  <c r="J228" i="1" s="1"/>
  <c r="G228" i="1"/>
  <c r="H228" i="1" s="1"/>
  <c r="Q227" i="1"/>
  <c r="J227" i="1"/>
  <c r="I227" i="1"/>
  <c r="H227" i="1"/>
  <c r="G227" i="1"/>
  <c r="Q226" i="1"/>
  <c r="I226" i="1"/>
  <c r="J226" i="1" s="1"/>
  <c r="G226" i="1"/>
  <c r="H226" i="1" s="1"/>
  <c r="Q225" i="1"/>
  <c r="J225" i="1"/>
  <c r="I225" i="1"/>
  <c r="H225" i="1"/>
  <c r="G225" i="1"/>
  <c r="Q224" i="1"/>
  <c r="I224" i="1"/>
  <c r="J224" i="1" s="1"/>
  <c r="G224" i="1"/>
  <c r="H224" i="1" s="1"/>
  <c r="Q223" i="1"/>
  <c r="J223" i="1"/>
  <c r="J222" i="1" s="1"/>
  <c r="I42" i="3" s="1"/>
  <c r="C74" i="2" s="1"/>
  <c r="Q74" i="2" s="1"/>
  <c r="I223" i="1"/>
  <c r="H223" i="1"/>
  <c r="G223" i="1"/>
  <c r="Q222" i="1"/>
  <c r="H222" i="1"/>
  <c r="Q221" i="1"/>
  <c r="J221" i="1"/>
  <c r="I221" i="1"/>
  <c r="H221" i="1"/>
  <c r="G221" i="1"/>
  <c r="Q220" i="1"/>
  <c r="I220" i="1"/>
  <c r="J220" i="1" s="1"/>
  <c r="G220" i="1"/>
  <c r="H220" i="1" s="1"/>
  <c r="Q219" i="1"/>
  <c r="J219" i="1"/>
  <c r="I219" i="1"/>
  <c r="H219" i="1"/>
  <c r="G219" i="1"/>
  <c r="Q218" i="1"/>
  <c r="I218" i="1"/>
  <c r="J218" i="1" s="1"/>
  <c r="G218" i="1"/>
  <c r="H218" i="1" s="1"/>
  <c r="Q217" i="1"/>
  <c r="J217" i="1"/>
  <c r="I217" i="1"/>
  <c r="H217" i="1"/>
  <c r="G217" i="1"/>
  <c r="Q216" i="1"/>
  <c r="I216" i="1"/>
  <c r="J216" i="1" s="1"/>
  <c r="G216" i="1"/>
  <c r="H216" i="1" s="1"/>
  <c r="Q215" i="1"/>
  <c r="J215" i="1"/>
  <c r="I215" i="1"/>
  <c r="H215" i="1"/>
  <c r="G215" i="1"/>
  <c r="Q214" i="1"/>
  <c r="I214" i="1"/>
  <c r="J214" i="1" s="1"/>
  <c r="G214" i="1"/>
  <c r="H214" i="1" s="1"/>
  <c r="Q213" i="1"/>
  <c r="J213" i="1"/>
  <c r="I213" i="1"/>
  <c r="H213" i="1"/>
  <c r="G213" i="1"/>
  <c r="Q212" i="1"/>
  <c r="I212" i="1"/>
  <c r="J212" i="1" s="1"/>
  <c r="G212" i="1"/>
  <c r="H212" i="1" s="1"/>
  <c r="Q211" i="1"/>
  <c r="J211" i="1"/>
  <c r="I211" i="1"/>
  <c r="H211" i="1"/>
  <c r="G211" i="1"/>
  <c r="Q210" i="1"/>
  <c r="I210" i="1"/>
  <c r="J210" i="1" s="1"/>
  <c r="J209" i="1" s="1"/>
  <c r="G210" i="1"/>
  <c r="H210" i="1" s="1"/>
  <c r="Q209" i="1"/>
  <c r="H209" i="1"/>
  <c r="Q208" i="1"/>
  <c r="H208" i="1"/>
  <c r="Q207" i="1"/>
  <c r="J207" i="1"/>
  <c r="I207" i="1"/>
  <c r="H207" i="1"/>
  <c r="G207" i="1"/>
  <c r="Q206" i="1"/>
  <c r="I206" i="1"/>
  <c r="J206" i="1" s="1"/>
  <c r="G206" i="1"/>
  <c r="H206" i="1" s="1"/>
  <c r="Q205" i="1"/>
  <c r="J205" i="1"/>
  <c r="J204" i="1" s="1"/>
  <c r="I39" i="3" s="1"/>
  <c r="C68" i="2" s="1"/>
  <c r="Q68" i="2" s="1"/>
  <c r="I205" i="1"/>
  <c r="H205" i="1"/>
  <c r="G205" i="1"/>
  <c r="Q204" i="1"/>
  <c r="H204" i="1"/>
  <c r="Q203" i="1"/>
  <c r="J203" i="1"/>
  <c r="I203" i="1"/>
  <c r="H203" i="1"/>
  <c r="G203" i="1"/>
  <c r="Q202" i="1"/>
  <c r="I202" i="1"/>
  <c r="J202" i="1" s="1"/>
  <c r="J201" i="1" s="1"/>
  <c r="I38" i="3" s="1"/>
  <c r="C66" i="2" s="1"/>
  <c r="S66" i="2" s="1"/>
  <c r="G202" i="1"/>
  <c r="H202" i="1" s="1"/>
  <c r="Q201" i="1"/>
  <c r="H201" i="1"/>
  <c r="Q200" i="1"/>
  <c r="I200" i="1"/>
  <c r="J200" i="1" s="1"/>
  <c r="G200" i="1"/>
  <c r="H200" i="1" s="1"/>
  <c r="Q199" i="1"/>
  <c r="J199" i="1"/>
  <c r="I199" i="1"/>
  <c r="H199" i="1"/>
  <c r="G199" i="1"/>
  <c r="Q198" i="1"/>
  <c r="I198" i="1"/>
  <c r="J198" i="1" s="1"/>
  <c r="G198" i="1"/>
  <c r="H198" i="1" s="1"/>
  <c r="Q197" i="1"/>
  <c r="J197" i="1"/>
  <c r="I197" i="1"/>
  <c r="H197" i="1"/>
  <c r="G197" i="1"/>
  <c r="Q196" i="1"/>
  <c r="H196" i="1"/>
  <c r="Q195" i="1"/>
  <c r="J195" i="1"/>
  <c r="I195" i="1"/>
  <c r="H195" i="1"/>
  <c r="G195" i="1"/>
  <c r="Q194" i="1"/>
  <c r="I194" i="1"/>
  <c r="J194" i="1" s="1"/>
  <c r="G194" i="1"/>
  <c r="H194" i="1" s="1"/>
  <c r="Q193" i="1"/>
  <c r="J193" i="1"/>
  <c r="J192" i="1" s="1"/>
  <c r="I36" i="3" s="1"/>
  <c r="C62" i="2" s="1"/>
  <c r="R62" i="2" s="1"/>
  <c r="I193" i="1"/>
  <c r="H193" i="1"/>
  <c r="G193" i="1"/>
  <c r="Q192" i="1"/>
  <c r="H192" i="1"/>
  <c r="Q191" i="1"/>
  <c r="H191" i="1"/>
  <c r="Q190" i="1"/>
  <c r="I190" i="1"/>
  <c r="J190" i="1" s="1"/>
  <c r="G190" i="1"/>
  <c r="H190" i="1" s="1"/>
  <c r="Q189" i="1"/>
  <c r="J189" i="1"/>
  <c r="I189" i="1"/>
  <c r="H189" i="1"/>
  <c r="G189" i="1"/>
  <c r="Q188" i="1"/>
  <c r="I188" i="1"/>
  <c r="J188" i="1" s="1"/>
  <c r="G188" i="1"/>
  <c r="H188" i="1" s="1"/>
  <c r="Q187" i="1"/>
  <c r="J187" i="1"/>
  <c r="I187" i="1"/>
  <c r="H187" i="1"/>
  <c r="G187" i="1"/>
  <c r="Q186" i="1"/>
  <c r="H186" i="1"/>
  <c r="Q185" i="1"/>
  <c r="J185" i="1"/>
  <c r="I185" i="1"/>
  <c r="H185" i="1"/>
  <c r="G185" i="1"/>
  <c r="Q184" i="1"/>
  <c r="I184" i="1"/>
  <c r="J184" i="1" s="1"/>
  <c r="G184" i="1"/>
  <c r="H184" i="1" s="1"/>
  <c r="Q183" i="1"/>
  <c r="J183" i="1"/>
  <c r="I183" i="1"/>
  <c r="H183" i="1"/>
  <c r="G183" i="1"/>
  <c r="Q182" i="1"/>
  <c r="I182" i="1"/>
  <c r="J182" i="1" s="1"/>
  <c r="G182" i="1"/>
  <c r="H182" i="1" s="1"/>
  <c r="Q181" i="1"/>
  <c r="J181" i="1"/>
  <c r="J180" i="1" s="1"/>
  <c r="I33" i="3" s="1"/>
  <c r="C56" i="2" s="1"/>
  <c r="S56" i="2" s="1"/>
  <c r="I181" i="1"/>
  <c r="H181" i="1"/>
  <c r="G181" i="1"/>
  <c r="Q180" i="1"/>
  <c r="H180" i="1"/>
  <c r="Q179" i="1"/>
  <c r="J179" i="1"/>
  <c r="I179" i="1"/>
  <c r="H179" i="1"/>
  <c r="G179" i="1"/>
  <c r="Q178" i="1"/>
  <c r="I178" i="1"/>
  <c r="J178" i="1" s="1"/>
  <c r="G178" i="1"/>
  <c r="H178" i="1" s="1"/>
  <c r="Q177" i="1"/>
  <c r="J177" i="1"/>
  <c r="I177" i="1"/>
  <c r="H177" i="1"/>
  <c r="G177" i="1"/>
  <c r="Q176" i="1"/>
  <c r="I176" i="1"/>
  <c r="J176" i="1" s="1"/>
  <c r="G176" i="1"/>
  <c r="H176" i="1" s="1"/>
  <c r="Q175" i="1"/>
  <c r="J175" i="1"/>
  <c r="I175" i="1"/>
  <c r="H175" i="1"/>
  <c r="G175" i="1"/>
  <c r="Q174" i="1"/>
  <c r="I174" i="1"/>
  <c r="J174" i="1" s="1"/>
  <c r="G174" i="1"/>
  <c r="H174" i="1" s="1"/>
  <c r="Q173" i="1"/>
  <c r="J173" i="1"/>
  <c r="I173" i="1"/>
  <c r="H173" i="1"/>
  <c r="G173" i="1"/>
  <c r="Q172" i="1"/>
  <c r="I172" i="1"/>
  <c r="J172" i="1" s="1"/>
  <c r="G172" i="1"/>
  <c r="H172" i="1" s="1"/>
  <c r="Q171" i="1"/>
  <c r="J171" i="1"/>
  <c r="I171" i="1"/>
  <c r="H171" i="1"/>
  <c r="G171" i="1"/>
  <c r="Q170" i="1"/>
  <c r="I170" i="1"/>
  <c r="J170" i="1" s="1"/>
  <c r="G170" i="1"/>
  <c r="H170" i="1" s="1"/>
  <c r="Q169" i="1"/>
  <c r="J169" i="1"/>
  <c r="I169" i="1"/>
  <c r="H169" i="1"/>
  <c r="G169" i="1"/>
  <c r="Q168" i="1"/>
  <c r="I168" i="1"/>
  <c r="J168" i="1" s="1"/>
  <c r="J167" i="1" s="1"/>
  <c r="I32" i="3" s="1"/>
  <c r="C54" i="2" s="1"/>
  <c r="P54" i="2" s="1"/>
  <c r="G168" i="1"/>
  <c r="H168" i="1" s="1"/>
  <c r="Q167" i="1"/>
  <c r="H167" i="1"/>
  <c r="Q166" i="1"/>
  <c r="I166" i="1"/>
  <c r="J166" i="1" s="1"/>
  <c r="G166" i="1"/>
  <c r="H166" i="1" s="1"/>
  <c r="Q165" i="1"/>
  <c r="J165" i="1"/>
  <c r="I165" i="1"/>
  <c r="H165" i="1"/>
  <c r="G165" i="1"/>
  <c r="Q164" i="1"/>
  <c r="I164" i="1"/>
  <c r="J164" i="1" s="1"/>
  <c r="J163" i="1" s="1"/>
  <c r="I31" i="3" s="1"/>
  <c r="C52" i="2" s="1"/>
  <c r="P52" i="2" s="1"/>
  <c r="G164" i="1"/>
  <c r="H164" i="1" s="1"/>
  <c r="Q163" i="1"/>
  <c r="H163" i="1"/>
  <c r="Q162" i="1"/>
  <c r="I162" i="1"/>
  <c r="J162" i="1" s="1"/>
  <c r="G162" i="1"/>
  <c r="H162" i="1" s="1"/>
  <c r="Q161" i="1"/>
  <c r="J161" i="1"/>
  <c r="I161" i="1"/>
  <c r="H161" i="1"/>
  <c r="G161" i="1"/>
  <c r="Q160" i="1"/>
  <c r="I160" i="1"/>
  <c r="J160" i="1" s="1"/>
  <c r="J159" i="1" s="1"/>
  <c r="I30" i="3" s="1"/>
  <c r="C50" i="2" s="1"/>
  <c r="O50" i="2" s="1"/>
  <c r="G160" i="1"/>
  <c r="H160" i="1" s="1"/>
  <c r="Q159" i="1"/>
  <c r="H159" i="1"/>
  <c r="Q158" i="1"/>
  <c r="I158" i="1"/>
  <c r="J158" i="1" s="1"/>
  <c r="G158" i="1"/>
  <c r="H158" i="1" s="1"/>
  <c r="Q157" i="1"/>
  <c r="J157" i="1"/>
  <c r="I157" i="1"/>
  <c r="H157" i="1"/>
  <c r="G157" i="1"/>
  <c r="Q156" i="1"/>
  <c r="I156" i="1"/>
  <c r="J156" i="1" s="1"/>
  <c r="G156" i="1"/>
  <c r="H156" i="1" s="1"/>
  <c r="Q155" i="1"/>
  <c r="J155" i="1"/>
  <c r="I155" i="1"/>
  <c r="H155" i="1"/>
  <c r="G155" i="1"/>
  <c r="Q154" i="1"/>
  <c r="I154" i="1"/>
  <c r="J154" i="1" s="1"/>
  <c r="G154" i="1"/>
  <c r="H154" i="1" s="1"/>
  <c r="Q153" i="1"/>
  <c r="J153" i="1"/>
  <c r="I153" i="1"/>
  <c r="H153" i="1"/>
  <c r="G153" i="1"/>
  <c r="Q152" i="1"/>
  <c r="I152" i="1"/>
  <c r="J152" i="1" s="1"/>
  <c r="J151" i="1" s="1"/>
  <c r="I29" i="3" s="1"/>
  <c r="C48" i="2" s="1"/>
  <c r="M48" i="2" s="1"/>
  <c r="G152" i="1"/>
  <c r="H152" i="1" s="1"/>
  <c r="Q151" i="1"/>
  <c r="H151" i="1"/>
  <c r="Q150" i="1"/>
  <c r="I150" i="1"/>
  <c r="J150" i="1" s="1"/>
  <c r="G150" i="1"/>
  <c r="H150" i="1" s="1"/>
  <c r="Q149" i="1"/>
  <c r="J149" i="1"/>
  <c r="I149" i="1"/>
  <c r="H149" i="1"/>
  <c r="G149" i="1"/>
  <c r="Q148" i="1"/>
  <c r="I148" i="1"/>
  <c r="J148" i="1" s="1"/>
  <c r="G148" i="1"/>
  <c r="H148" i="1" s="1"/>
  <c r="Q147" i="1"/>
  <c r="J147" i="1"/>
  <c r="I147" i="1"/>
  <c r="H147" i="1"/>
  <c r="G147" i="1"/>
  <c r="Q146" i="1"/>
  <c r="I146" i="1"/>
  <c r="J146" i="1" s="1"/>
  <c r="G146" i="1"/>
  <c r="H146" i="1" s="1"/>
  <c r="Q145" i="1"/>
  <c r="J145" i="1"/>
  <c r="I145" i="1"/>
  <c r="H145" i="1"/>
  <c r="G145" i="1"/>
  <c r="Q144" i="1"/>
  <c r="H144" i="1"/>
  <c r="Q143" i="1"/>
  <c r="J143" i="1"/>
  <c r="I143" i="1"/>
  <c r="H143" i="1"/>
  <c r="G143" i="1"/>
  <c r="Q142" i="1"/>
  <c r="I142" i="1"/>
  <c r="J142" i="1" s="1"/>
  <c r="G142" i="1"/>
  <c r="H142" i="1" s="1"/>
  <c r="Q141" i="1"/>
  <c r="J141" i="1"/>
  <c r="I141" i="1"/>
  <c r="H141" i="1"/>
  <c r="G141" i="1"/>
  <c r="Q140" i="1"/>
  <c r="I140" i="1"/>
  <c r="J140" i="1" s="1"/>
  <c r="G140" i="1"/>
  <c r="H140" i="1" s="1"/>
  <c r="Q139" i="1"/>
  <c r="J139" i="1"/>
  <c r="I139" i="1"/>
  <c r="H139" i="1"/>
  <c r="G139" i="1"/>
  <c r="Q138" i="1"/>
  <c r="I138" i="1"/>
  <c r="J138" i="1" s="1"/>
  <c r="G138" i="1"/>
  <c r="H138" i="1" s="1"/>
  <c r="Q137" i="1"/>
  <c r="J137" i="1"/>
  <c r="J136" i="1" s="1"/>
  <c r="I27" i="3" s="1"/>
  <c r="C44" i="2" s="1"/>
  <c r="I137" i="1"/>
  <c r="H137" i="1"/>
  <c r="G137" i="1"/>
  <c r="Q136" i="1"/>
  <c r="H136" i="1"/>
  <c r="Q135" i="1"/>
  <c r="H135" i="1"/>
  <c r="Q134" i="1"/>
  <c r="I134" i="1"/>
  <c r="J134" i="1" s="1"/>
  <c r="G134" i="1"/>
  <c r="H134" i="1" s="1"/>
  <c r="Q133" i="1"/>
  <c r="J133" i="1"/>
  <c r="I133" i="1"/>
  <c r="H133" i="1"/>
  <c r="G133" i="1"/>
  <c r="Q132" i="1"/>
  <c r="I132" i="1"/>
  <c r="J132" i="1" s="1"/>
  <c r="G132" i="1"/>
  <c r="H132" i="1" s="1"/>
  <c r="Q131" i="1"/>
  <c r="J131" i="1"/>
  <c r="I131" i="1"/>
  <c r="H131" i="1"/>
  <c r="G131" i="1"/>
  <c r="Q130" i="1"/>
  <c r="I130" i="1"/>
  <c r="J130" i="1" s="1"/>
  <c r="G130" i="1"/>
  <c r="H130" i="1" s="1"/>
  <c r="Q129" i="1"/>
  <c r="J129" i="1"/>
  <c r="I129" i="1"/>
  <c r="H129" i="1"/>
  <c r="G129" i="1"/>
  <c r="Q128" i="1"/>
  <c r="I128" i="1"/>
  <c r="J128" i="1" s="1"/>
  <c r="G128" i="1"/>
  <c r="H128" i="1" s="1"/>
  <c r="Q127" i="1"/>
  <c r="J127" i="1"/>
  <c r="I127" i="1"/>
  <c r="H127" i="1"/>
  <c r="G127" i="1"/>
  <c r="Q126" i="1"/>
  <c r="I126" i="1"/>
  <c r="J126" i="1" s="1"/>
  <c r="G126" i="1"/>
  <c r="H126" i="1" s="1"/>
  <c r="Q125" i="1"/>
  <c r="J125" i="1"/>
  <c r="I125" i="1"/>
  <c r="H125" i="1"/>
  <c r="G125" i="1"/>
  <c r="Q124" i="1"/>
  <c r="I124" i="1"/>
  <c r="J124" i="1" s="1"/>
  <c r="J123" i="1" s="1"/>
  <c r="I25" i="3" s="1"/>
  <c r="C40" i="2" s="1"/>
  <c r="L40" i="2" s="1"/>
  <c r="G124" i="1"/>
  <c r="H124" i="1" s="1"/>
  <c r="Q123" i="1"/>
  <c r="H123" i="1"/>
  <c r="Q122" i="1"/>
  <c r="I122" i="1"/>
  <c r="J122" i="1" s="1"/>
  <c r="G122" i="1"/>
  <c r="H122" i="1" s="1"/>
  <c r="Q121" i="1"/>
  <c r="J121" i="1"/>
  <c r="I121" i="1"/>
  <c r="H121" i="1"/>
  <c r="G121" i="1"/>
  <c r="Q120" i="1"/>
  <c r="I120" i="1"/>
  <c r="J120" i="1" s="1"/>
  <c r="G120" i="1"/>
  <c r="H120" i="1" s="1"/>
  <c r="Q119" i="1"/>
  <c r="J119" i="1"/>
  <c r="I119" i="1"/>
  <c r="H119" i="1"/>
  <c r="G119" i="1"/>
  <c r="Q118" i="1"/>
  <c r="I118" i="1"/>
  <c r="J118" i="1" s="1"/>
  <c r="G118" i="1"/>
  <c r="H118" i="1" s="1"/>
  <c r="Q117" i="1"/>
  <c r="J117" i="1"/>
  <c r="I117" i="1"/>
  <c r="H117" i="1"/>
  <c r="G117" i="1"/>
  <c r="Q116" i="1"/>
  <c r="I116" i="1"/>
  <c r="J116" i="1" s="1"/>
  <c r="G116" i="1"/>
  <c r="H116" i="1" s="1"/>
  <c r="Q115" i="1"/>
  <c r="J115" i="1"/>
  <c r="I115" i="1"/>
  <c r="H115" i="1"/>
  <c r="G115" i="1"/>
  <c r="Q114" i="1"/>
  <c r="I114" i="1"/>
  <c r="J114" i="1" s="1"/>
  <c r="G114" i="1"/>
  <c r="H114" i="1" s="1"/>
  <c r="Q113" i="1"/>
  <c r="J113" i="1"/>
  <c r="I113" i="1"/>
  <c r="H113" i="1"/>
  <c r="G113" i="1"/>
  <c r="Q112" i="1"/>
  <c r="I112" i="1"/>
  <c r="J112" i="1" s="1"/>
  <c r="G112" i="1"/>
  <c r="H112" i="1" s="1"/>
  <c r="Q111" i="1"/>
  <c r="J111" i="1"/>
  <c r="I111" i="1"/>
  <c r="H111" i="1"/>
  <c r="G111" i="1"/>
  <c r="Q110" i="1"/>
  <c r="I110" i="1"/>
  <c r="J110" i="1" s="1"/>
  <c r="G110" i="1"/>
  <c r="H110" i="1" s="1"/>
  <c r="Q109" i="1"/>
  <c r="J109" i="1"/>
  <c r="I109" i="1"/>
  <c r="H109" i="1"/>
  <c r="G109" i="1"/>
  <c r="Q108" i="1"/>
  <c r="H108" i="1"/>
  <c r="Q107" i="1"/>
  <c r="J107" i="1"/>
  <c r="I107" i="1"/>
  <c r="H107" i="1"/>
  <c r="G107" i="1"/>
  <c r="Q106" i="1"/>
  <c r="I106" i="1"/>
  <c r="J106" i="1" s="1"/>
  <c r="G106" i="1"/>
  <c r="H106" i="1" s="1"/>
  <c r="Q105" i="1"/>
  <c r="J105" i="1"/>
  <c r="I105" i="1"/>
  <c r="H105" i="1"/>
  <c r="G105" i="1"/>
  <c r="Q104" i="1"/>
  <c r="I104" i="1"/>
  <c r="J104" i="1" s="1"/>
  <c r="G104" i="1"/>
  <c r="H104" i="1" s="1"/>
  <c r="Q103" i="1"/>
  <c r="J103" i="1"/>
  <c r="J101" i="1" s="1"/>
  <c r="I23" i="3" s="1"/>
  <c r="C36" i="2" s="1"/>
  <c r="L36" i="2" s="1"/>
  <c r="I103" i="1"/>
  <c r="H103" i="1"/>
  <c r="G103" i="1"/>
  <c r="Q102" i="1"/>
  <c r="I102" i="1"/>
  <c r="J102" i="1" s="1"/>
  <c r="H102" i="1"/>
  <c r="G102" i="1"/>
  <c r="Q101" i="1"/>
  <c r="H101" i="1"/>
  <c r="Q100" i="1"/>
  <c r="I100" i="1"/>
  <c r="J100" i="1" s="1"/>
  <c r="G100" i="1"/>
  <c r="H100" i="1" s="1"/>
  <c r="Q99" i="1"/>
  <c r="J99" i="1"/>
  <c r="I99" i="1"/>
  <c r="H99" i="1"/>
  <c r="G99" i="1"/>
  <c r="Q98" i="1"/>
  <c r="I98" i="1"/>
  <c r="J98" i="1" s="1"/>
  <c r="G98" i="1"/>
  <c r="H98" i="1" s="1"/>
  <c r="Q97" i="1"/>
  <c r="J97" i="1"/>
  <c r="I97" i="1"/>
  <c r="G97" i="1"/>
  <c r="H97" i="1" s="1"/>
  <c r="Q96" i="1"/>
  <c r="I96" i="1"/>
  <c r="J96" i="1" s="1"/>
  <c r="G96" i="1"/>
  <c r="H96" i="1" s="1"/>
  <c r="Q95" i="1"/>
  <c r="J95" i="1"/>
  <c r="I95" i="1"/>
  <c r="H95" i="1"/>
  <c r="G95" i="1"/>
  <c r="Q94" i="1"/>
  <c r="I94" i="1"/>
  <c r="J94" i="1" s="1"/>
  <c r="G94" i="1"/>
  <c r="H94" i="1" s="1"/>
  <c r="Q93" i="1"/>
  <c r="J93" i="1"/>
  <c r="I93" i="1"/>
  <c r="G93" i="1"/>
  <c r="H93" i="1" s="1"/>
  <c r="Q92" i="1"/>
  <c r="I92" i="1"/>
  <c r="J92" i="1" s="1"/>
  <c r="G92" i="1"/>
  <c r="H92" i="1" s="1"/>
  <c r="Q91" i="1"/>
  <c r="J91" i="1"/>
  <c r="I91" i="1"/>
  <c r="H91" i="1"/>
  <c r="G91" i="1"/>
  <c r="Q90" i="1"/>
  <c r="I90" i="1"/>
  <c r="J90" i="1" s="1"/>
  <c r="G90" i="1"/>
  <c r="H90" i="1" s="1"/>
  <c r="Q89" i="1"/>
  <c r="J89" i="1"/>
  <c r="I89" i="1"/>
  <c r="G89" i="1"/>
  <c r="H89" i="1" s="1"/>
  <c r="Q88" i="1"/>
  <c r="I88" i="1"/>
  <c r="J88" i="1" s="1"/>
  <c r="G88" i="1"/>
  <c r="H88" i="1" s="1"/>
  <c r="Q87" i="1"/>
  <c r="J87" i="1"/>
  <c r="I87" i="1"/>
  <c r="H87" i="1"/>
  <c r="G87" i="1"/>
  <c r="Q86" i="1"/>
  <c r="I86" i="1"/>
  <c r="J86" i="1" s="1"/>
  <c r="G86" i="1"/>
  <c r="H86" i="1" s="1"/>
  <c r="Q85" i="1"/>
  <c r="H85" i="1"/>
  <c r="Q84" i="1"/>
  <c r="J84" i="1"/>
  <c r="I84" i="1"/>
  <c r="H84" i="1"/>
  <c r="G84" i="1"/>
  <c r="Q83" i="1"/>
  <c r="I83" i="1"/>
  <c r="J83" i="1" s="1"/>
  <c r="G83" i="1"/>
  <c r="H83" i="1" s="1"/>
  <c r="Q82" i="1"/>
  <c r="J82" i="1"/>
  <c r="I82" i="1"/>
  <c r="H82" i="1"/>
  <c r="G82" i="1"/>
  <c r="Q81" i="1"/>
  <c r="I81" i="1"/>
  <c r="J81" i="1" s="1"/>
  <c r="G81" i="1"/>
  <c r="H81" i="1" s="1"/>
  <c r="Q80" i="1"/>
  <c r="J80" i="1"/>
  <c r="I80" i="1"/>
  <c r="H80" i="1"/>
  <c r="G80" i="1"/>
  <c r="Q79" i="1"/>
  <c r="I79" i="1"/>
  <c r="J79" i="1" s="1"/>
  <c r="J78" i="1" s="1"/>
  <c r="I21" i="3" s="1"/>
  <c r="C32" i="2" s="1"/>
  <c r="J32" i="2" s="1"/>
  <c r="G79" i="1"/>
  <c r="H79" i="1" s="1"/>
  <c r="Q78" i="1"/>
  <c r="H78" i="1"/>
  <c r="Q77" i="1"/>
  <c r="I77" i="1"/>
  <c r="J77" i="1" s="1"/>
  <c r="G77" i="1"/>
  <c r="H77" i="1" s="1"/>
  <c r="Q76" i="1"/>
  <c r="J76" i="1"/>
  <c r="I76" i="1"/>
  <c r="H76" i="1"/>
  <c r="G76" i="1"/>
  <c r="Q75" i="1"/>
  <c r="I75" i="1"/>
  <c r="J75" i="1" s="1"/>
  <c r="G75" i="1"/>
  <c r="H75" i="1" s="1"/>
  <c r="Q74" i="1"/>
  <c r="J74" i="1"/>
  <c r="I74" i="1"/>
  <c r="H74" i="1"/>
  <c r="G74" i="1"/>
  <c r="Q73" i="1"/>
  <c r="I73" i="1"/>
  <c r="J73" i="1" s="1"/>
  <c r="G73" i="1"/>
  <c r="H73" i="1" s="1"/>
  <c r="Q72" i="1"/>
  <c r="J72" i="1"/>
  <c r="I72" i="1"/>
  <c r="H72" i="1"/>
  <c r="G72" i="1"/>
  <c r="Q71" i="1"/>
  <c r="I71" i="1"/>
  <c r="J71" i="1" s="1"/>
  <c r="G71" i="1"/>
  <c r="H71" i="1" s="1"/>
  <c r="Q70" i="1"/>
  <c r="J70" i="1"/>
  <c r="I70" i="1"/>
  <c r="H70" i="1"/>
  <c r="G70" i="1"/>
  <c r="Q69" i="1"/>
  <c r="I69" i="1"/>
  <c r="J69" i="1" s="1"/>
  <c r="G69" i="1"/>
  <c r="H69" i="1" s="1"/>
  <c r="Q68" i="1"/>
  <c r="J68" i="1"/>
  <c r="I68" i="1"/>
  <c r="H68" i="1"/>
  <c r="G68" i="1"/>
  <c r="Q67" i="1"/>
  <c r="I67" i="1"/>
  <c r="J67" i="1" s="1"/>
  <c r="G67" i="1"/>
  <c r="H67" i="1" s="1"/>
  <c r="Q66" i="1"/>
  <c r="J66" i="1"/>
  <c r="I66" i="1"/>
  <c r="H66" i="1"/>
  <c r="G66" i="1"/>
  <c r="Q65" i="1"/>
  <c r="I65" i="1"/>
  <c r="J65" i="1" s="1"/>
  <c r="J64" i="1" s="1"/>
  <c r="G65" i="1"/>
  <c r="H65" i="1" s="1"/>
  <c r="Q64" i="1"/>
  <c r="H64" i="1"/>
  <c r="Q63" i="1"/>
  <c r="H63" i="1"/>
  <c r="Q62" i="1"/>
  <c r="J62" i="1"/>
  <c r="I62" i="1"/>
  <c r="H62" i="1"/>
  <c r="G62" i="1"/>
  <c r="Q61" i="1"/>
  <c r="I61" i="1"/>
  <c r="J61" i="1" s="1"/>
  <c r="J60" i="1" s="1"/>
  <c r="I18" i="3" s="1"/>
  <c r="C26" i="2" s="1"/>
  <c r="H26" i="2" s="1"/>
  <c r="G61" i="1"/>
  <c r="H61" i="1" s="1"/>
  <c r="Q60" i="1"/>
  <c r="H60" i="1"/>
  <c r="Q59" i="1"/>
  <c r="I59" i="1"/>
  <c r="J59" i="1" s="1"/>
  <c r="G59" i="1"/>
  <c r="H59" i="1" s="1"/>
  <c r="Q58" i="1"/>
  <c r="J58" i="1"/>
  <c r="J57" i="1" s="1"/>
  <c r="I58" i="1"/>
  <c r="H58" i="1"/>
  <c r="G58" i="1"/>
  <c r="Q57" i="1"/>
  <c r="H57" i="1"/>
  <c r="Q56" i="1"/>
  <c r="H56" i="1"/>
  <c r="Q55" i="1"/>
  <c r="I55" i="1"/>
  <c r="J55" i="1" s="1"/>
  <c r="G55" i="1"/>
  <c r="H55" i="1" s="1"/>
  <c r="Q54" i="1"/>
  <c r="J54" i="1"/>
  <c r="I54" i="1"/>
  <c r="H54" i="1"/>
  <c r="G54" i="1"/>
  <c r="Q53" i="1"/>
  <c r="I53" i="1"/>
  <c r="J53" i="1" s="1"/>
  <c r="G53" i="1"/>
  <c r="H53" i="1" s="1"/>
  <c r="Q52" i="1"/>
  <c r="J52" i="1"/>
  <c r="I52" i="1"/>
  <c r="H52" i="1"/>
  <c r="G52" i="1"/>
  <c r="Q51" i="1"/>
  <c r="I51" i="1"/>
  <c r="J51" i="1" s="1"/>
  <c r="G51" i="1"/>
  <c r="H51" i="1" s="1"/>
  <c r="Q50" i="1"/>
  <c r="J50" i="1"/>
  <c r="I50" i="1"/>
  <c r="H50" i="1"/>
  <c r="G50" i="1"/>
  <c r="Q49" i="1"/>
  <c r="I49" i="1"/>
  <c r="J49" i="1" s="1"/>
  <c r="G49" i="1"/>
  <c r="H49" i="1" s="1"/>
  <c r="Q48" i="1"/>
  <c r="J48" i="1"/>
  <c r="I48" i="1"/>
  <c r="H48" i="1"/>
  <c r="G48" i="1"/>
  <c r="Q47" i="1"/>
  <c r="H47" i="1"/>
  <c r="Q46" i="1"/>
  <c r="J46" i="1"/>
  <c r="I46" i="1"/>
  <c r="H46" i="1"/>
  <c r="G46" i="1"/>
  <c r="Q45" i="1"/>
  <c r="I45" i="1"/>
  <c r="J45" i="1" s="1"/>
  <c r="G45" i="1"/>
  <c r="H45" i="1" s="1"/>
  <c r="Q44" i="1"/>
  <c r="J44" i="1"/>
  <c r="I44" i="1"/>
  <c r="H44" i="1"/>
  <c r="G44" i="1"/>
  <c r="Q43" i="1"/>
  <c r="I43" i="1"/>
  <c r="J43" i="1" s="1"/>
  <c r="G43" i="1"/>
  <c r="H43" i="1" s="1"/>
  <c r="Q42" i="1"/>
  <c r="J42" i="1"/>
  <c r="I42" i="1"/>
  <c r="H42" i="1"/>
  <c r="G42" i="1"/>
  <c r="Q41" i="1"/>
  <c r="H41" i="1"/>
  <c r="Q40" i="1"/>
  <c r="J40" i="1"/>
  <c r="I40" i="1"/>
  <c r="H40" i="1"/>
  <c r="G40" i="1"/>
  <c r="Q39" i="1"/>
  <c r="I39" i="1"/>
  <c r="J39" i="1" s="1"/>
  <c r="G39" i="1"/>
  <c r="H39" i="1" s="1"/>
  <c r="Q38" i="1"/>
  <c r="J38" i="1"/>
  <c r="J37" i="1" s="1"/>
  <c r="I38" i="1"/>
  <c r="H38" i="1"/>
  <c r="G38" i="1"/>
  <c r="Q37" i="1"/>
  <c r="H37" i="1"/>
  <c r="Q36" i="1"/>
  <c r="H36" i="1"/>
  <c r="Q35" i="1"/>
  <c r="I35" i="1"/>
  <c r="J35" i="1" s="1"/>
  <c r="G35" i="1"/>
  <c r="H35" i="1" s="1"/>
  <c r="Q34" i="1"/>
  <c r="J34" i="1"/>
  <c r="I34" i="1"/>
  <c r="H34" i="1"/>
  <c r="G34" i="1"/>
  <c r="Q33" i="1"/>
  <c r="I33" i="1"/>
  <c r="J33" i="1" s="1"/>
  <c r="G33" i="1"/>
  <c r="H33" i="1" s="1"/>
  <c r="Q32" i="1"/>
  <c r="J32" i="1"/>
  <c r="J31" i="1" s="1"/>
  <c r="I11" i="3" s="1"/>
  <c r="I32" i="1"/>
  <c r="H32" i="1"/>
  <c r="G32" i="1"/>
  <c r="Q31" i="1"/>
  <c r="H31" i="1"/>
  <c r="Q30" i="1"/>
  <c r="J30" i="1"/>
  <c r="I30" i="1"/>
  <c r="H30" i="1"/>
  <c r="G30" i="1"/>
  <c r="Q29" i="1"/>
  <c r="I29" i="1"/>
  <c r="J29" i="1" s="1"/>
  <c r="G29" i="1"/>
  <c r="H29" i="1" s="1"/>
  <c r="Q28" i="1"/>
  <c r="J28" i="1"/>
  <c r="I28" i="1"/>
  <c r="H28" i="1"/>
  <c r="G28" i="1"/>
  <c r="Q27" i="1"/>
  <c r="I27" i="1"/>
  <c r="J27" i="1" s="1"/>
  <c r="G27" i="1"/>
  <c r="H27" i="1" s="1"/>
  <c r="Q26" i="1"/>
  <c r="J26" i="1"/>
  <c r="I26" i="1"/>
  <c r="H26" i="1"/>
  <c r="G26" i="1"/>
  <c r="Q25" i="1"/>
  <c r="I25" i="1"/>
  <c r="J25" i="1" s="1"/>
  <c r="J24" i="1" s="1"/>
  <c r="I10" i="3" s="1"/>
  <c r="G25" i="1"/>
  <c r="H25" i="1" s="1"/>
  <c r="Q24" i="1"/>
  <c r="H24" i="1"/>
  <c r="Q23" i="1"/>
  <c r="I23" i="1"/>
  <c r="J23" i="1" s="1"/>
  <c r="G23" i="1"/>
  <c r="H23" i="1" s="1"/>
  <c r="Q22" i="1"/>
  <c r="J22" i="1"/>
  <c r="I22" i="1"/>
  <c r="H22" i="1"/>
  <c r="G22" i="1"/>
  <c r="Q21" i="1"/>
  <c r="I21" i="1"/>
  <c r="J21" i="1" s="1"/>
  <c r="G21" i="1"/>
  <c r="H21" i="1" s="1"/>
  <c r="Q20" i="1"/>
  <c r="J20" i="1"/>
  <c r="I20" i="1"/>
  <c r="H20" i="1"/>
  <c r="G20" i="1"/>
  <c r="Q19" i="1"/>
  <c r="I19" i="1"/>
  <c r="J19" i="1" s="1"/>
  <c r="G19" i="1"/>
  <c r="H19" i="1" s="1"/>
  <c r="Q18" i="1"/>
  <c r="J18" i="1"/>
  <c r="J17" i="1" s="1"/>
  <c r="I18" i="1"/>
  <c r="H18" i="1"/>
  <c r="G18" i="1"/>
  <c r="Q17" i="1"/>
  <c r="H17" i="1"/>
  <c r="Q16" i="1"/>
  <c r="H16" i="1"/>
  <c r="Q15" i="1"/>
  <c r="J15" i="1"/>
  <c r="I15" i="1"/>
  <c r="H15" i="1"/>
  <c r="G15" i="1"/>
  <c r="Q14" i="1"/>
  <c r="I14" i="1"/>
  <c r="J14" i="1" s="1"/>
  <c r="G14" i="1"/>
  <c r="H14" i="1" s="1"/>
  <c r="Q13" i="1"/>
  <c r="I13" i="1"/>
  <c r="J13" i="1" s="1"/>
  <c r="G13" i="1"/>
  <c r="H13" i="1" s="1"/>
  <c r="Q12" i="1"/>
  <c r="J12" i="1"/>
  <c r="I12" i="1"/>
  <c r="H12" i="1"/>
  <c r="G12" i="1"/>
  <c r="Q11" i="1"/>
  <c r="I11" i="1"/>
  <c r="J11" i="1" s="1"/>
  <c r="G11" i="1"/>
  <c r="H11" i="1" s="1"/>
  <c r="Q10" i="1"/>
  <c r="J10" i="1"/>
  <c r="J9" i="1" s="1"/>
  <c r="I7" i="3" s="1"/>
  <c r="C10" i="2" s="1"/>
  <c r="G10" i="2" s="1"/>
  <c r="I10" i="1"/>
  <c r="H10" i="1"/>
  <c r="G10" i="1"/>
  <c r="Q9" i="1"/>
  <c r="H9" i="1"/>
  <c r="Q8" i="1"/>
  <c r="J8" i="1"/>
  <c r="I8" i="1"/>
  <c r="H8" i="1"/>
  <c r="G8" i="1"/>
  <c r="Q7" i="1"/>
  <c r="I7" i="1"/>
  <c r="J7" i="1" s="1"/>
  <c r="J6" i="1" s="1"/>
  <c r="G7" i="1"/>
  <c r="H7" i="1" s="1"/>
  <c r="N79" i="11" l="1"/>
  <c r="N93" i="11"/>
  <c r="N98" i="11"/>
  <c r="N108" i="11"/>
  <c r="P108" i="11" s="1"/>
  <c r="N117" i="11"/>
  <c r="P117" i="11" s="1"/>
  <c r="N127" i="11"/>
  <c r="N167" i="11"/>
  <c r="N172" i="11"/>
  <c r="N177" i="11"/>
  <c r="P177" i="11" s="1"/>
  <c r="N182" i="11"/>
  <c r="N187" i="11"/>
  <c r="N206" i="11"/>
  <c r="N13" i="11"/>
  <c r="N18" i="11"/>
  <c r="N23" i="11"/>
  <c r="N55" i="11"/>
  <c r="N112" i="11"/>
  <c r="N368" i="11"/>
  <c r="N70" i="11"/>
  <c r="N88" i="11"/>
  <c r="P88" i="11" s="1"/>
  <c r="N329" i="11"/>
  <c r="P329" i="11" s="1"/>
  <c r="N334" i="11"/>
  <c r="N339" i="11"/>
  <c r="N383" i="11"/>
  <c r="N357" i="11"/>
  <c r="I6" i="3"/>
  <c r="C8" i="2" s="1"/>
  <c r="F8" i="2" s="1"/>
  <c r="J5" i="1"/>
  <c r="I5" i="3" s="1"/>
  <c r="C6" i="2" s="1"/>
  <c r="I9" i="3"/>
  <c r="J16" i="1"/>
  <c r="I8" i="3" s="1"/>
  <c r="C12" i="2" s="1"/>
  <c r="I13" i="3"/>
  <c r="C16" i="2" s="1"/>
  <c r="L16" i="2" s="1"/>
  <c r="I41" i="3"/>
  <c r="C72" i="2" s="1"/>
  <c r="Q72" i="2" s="1"/>
  <c r="J85" i="1"/>
  <c r="I22" i="3" s="1"/>
  <c r="C34" i="2" s="1"/>
  <c r="K34" i="2" s="1"/>
  <c r="I71" i="3"/>
  <c r="C132" i="2" s="1"/>
  <c r="R132" i="2" s="1"/>
  <c r="J644" i="1"/>
  <c r="I70" i="3" s="1"/>
  <c r="C130" i="2" s="1"/>
  <c r="J47" i="1"/>
  <c r="I15" i="3" s="1"/>
  <c r="C20" i="2" s="1"/>
  <c r="G20" i="2" s="1"/>
  <c r="I17" i="3"/>
  <c r="C24" i="2" s="1"/>
  <c r="H24" i="2" s="1"/>
  <c r="J56" i="1"/>
  <c r="I16" i="3" s="1"/>
  <c r="C22" i="2" s="1"/>
  <c r="H22" i="2" s="1"/>
  <c r="I20" i="3"/>
  <c r="C30" i="2" s="1"/>
  <c r="I30" i="2" s="1"/>
  <c r="I76" i="3"/>
  <c r="C142" i="2" s="1"/>
  <c r="U142" i="2" s="1"/>
  <c r="J686" i="1"/>
  <c r="J698" i="1"/>
  <c r="J41" i="1"/>
  <c r="I14" i="3" s="1"/>
  <c r="C18" i="2" s="1"/>
  <c r="G18" i="2" s="1"/>
  <c r="S75" i="7"/>
  <c r="U75" i="7"/>
  <c r="Q70" i="11"/>
  <c r="P70" i="11"/>
  <c r="P447" i="11"/>
  <c r="Q447" i="11" s="1"/>
  <c r="S26" i="7"/>
  <c r="U26" i="7"/>
  <c r="U82" i="7"/>
  <c r="S82" i="7"/>
  <c r="S139" i="7"/>
  <c r="U139" i="7"/>
  <c r="S157" i="7"/>
  <c r="U157" i="7"/>
  <c r="U210" i="7"/>
  <c r="S210" i="7"/>
  <c r="S226" i="7"/>
  <c r="U226" i="7"/>
  <c r="S305" i="7"/>
  <c r="U305" i="7"/>
  <c r="S337" i="7"/>
  <c r="U337" i="7"/>
  <c r="S369" i="7"/>
  <c r="U369" i="7"/>
  <c r="S401" i="7"/>
  <c r="U401" i="7"/>
  <c r="S433" i="7"/>
  <c r="U433" i="7"/>
  <c r="S465" i="7"/>
  <c r="U465" i="7"/>
  <c r="S10" i="7"/>
  <c r="U10" i="7"/>
  <c r="S42" i="7"/>
  <c r="U42" i="7"/>
  <c r="U146" i="7"/>
  <c r="S146" i="7"/>
  <c r="S203" i="7"/>
  <c r="U203" i="7"/>
  <c r="S229" i="7"/>
  <c r="U229" i="7"/>
  <c r="S289" i="7"/>
  <c r="U289" i="7"/>
  <c r="S321" i="7"/>
  <c r="U321" i="7"/>
  <c r="S353" i="7"/>
  <c r="U353" i="7"/>
  <c r="Q383" i="11"/>
  <c r="P383" i="11"/>
  <c r="Q607" i="11"/>
  <c r="P607" i="11"/>
  <c r="J108" i="1"/>
  <c r="I24" i="3" s="1"/>
  <c r="C38" i="2" s="1"/>
  <c r="L38" i="2" s="1"/>
  <c r="J186" i="1"/>
  <c r="I34" i="3" s="1"/>
  <c r="C58" i="2" s="1"/>
  <c r="O58" i="2" s="1"/>
  <c r="J196" i="1"/>
  <c r="I37" i="3" s="1"/>
  <c r="C64" i="2" s="1"/>
  <c r="P64" i="2" s="1"/>
  <c r="J294" i="1"/>
  <c r="I48" i="3" s="1"/>
  <c r="C86" i="2" s="1"/>
  <c r="P86" i="2" s="1"/>
  <c r="J390" i="1"/>
  <c r="I51" i="3" s="1"/>
  <c r="C92" i="2" s="1"/>
  <c r="Q92" i="2" s="1"/>
  <c r="J468" i="1"/>
  <c r="J630" i="1"/>
  <c r="S34" i="7"/>
  <c r="U34" i="7"/>
  <c r="S61" i="7"/>
  <c r="U61" i="7"/>
  <c r="U114" i="7"/>
  <c r="S114" i="7"/>
  <c r="S171" i="7"/>
  <c r="U171" i="7"/>
  <c r="S189" i="7"/>
  <c r="U189" i="7"/>
  <c r="S258" i="7"/>
  <c r="U258" i="7"/>
  <c r="S93" i="7"/>
  <c r="U93" i="7"/>
  <c r="S385" i="7"/>
  <c r="U385" i="7"/>
  <c r="S417" i="7"/>
  <c r="U417" i="7"/>
  <c r="S449" i="7"/>
  <c r="U449" i="7"/>
  <c r="P527" i="11"/>
  <c r="Q527" i="11" s="1"/>
  <c r="J144" i="1"/>
  <c r="I28" i="3" s="1"/>
  <c r="C46" i="2" s="1"/>
  <c r="N46" i="2" s="1"/>
  <c r="J191" i="1"/>
  <c r="I35" i="3" s="1"/>
  <c r="C60" i="2" s="1"/>
  <c r="J246" i="1"/>
  <c r="I44" i="3" s="1"/>
  <c r="C78" i="2" s="1"/>
  <c r="S78" i="2" s="1"/>
  <c r="J432" i="1"/>
  <c r="I53" i="3" s="1"/>
  <c r="C96" i="2" s="1"/>
  <c r="S96" i="2" s="1"/>
  <c r="J546" i="1"/>
  <c r="I62" i="3" s="1"/>
  <c r="C114" i="2" s="1"/>
  <c r="Q114" i="2" s="1"/>
  <c r="S18" i="7"/>
  <c r="U18" i="7"/>
  <c r="U50" i="7"/>
  <c r="S50" i="7"/>
  <c r="S107" i="7"/>
  <c r="U107" i="7"/>
  <c r="S125" i="7"/>
  <c r="U125" i="7"/>
  <c r="U178" i="7"/>
  <c r="S178" i="7"/>
  <c r="S261" i="7"/>
  <c r="U261" i="7"/>
  <c r="U66" i="7"/>
  <c r="S66" i="7"/>
  <c r="S91" i="7"/>
  <c r="U91" i="7"/>
  <c r="U130" i="7"/>
  <c r="S130" i="7"/>
  <c r="S155" i="7"/>
  <c r="U155" i="7"/>
  <c r="U194" i="7"/>
  <c r="S194" i="7"/>
  <c r="S242" i="7"/>
  <c r="U242" i="7"/>
  <c r="S59" i="7"/>
  <c r="U59" i="7"/>
  <c r="U98" i="7"/>
  <c r="S98" i="7"/>
  <c r="S123" i="7"/>
  <c r="U123" i="7"/>
  <c r="U162" i="7"/>
  <c r="S162" i="7"/>
  <c r="S187" i="7"/>
  <c r="U187" i="7"/>
  <c r="S274" i="7"/>
  <c r="U274" i="7"/>
  <c r="U4" i="7"/>
  <c r="U8" i="7"/>
  <c r="U12" i="7"/>
  <c r="U16" i="7"/>
  <c r="U20" i="7"/>
  <c r="U24" i="7"/>
  <c r="U28" i="7"/>
  <c r="U32" i="7"/>
  <c r="U36" i="7"/>
  <c r="U40" i="7"/>
  <c r="U44" i="7"/>
  <c r="U48" i="7"/>
  <c r="U53" i="7"/>
  <c r="U69" i="7"/>
  <c r="U85" i="7"/>
  <c r="U101" i="7"/>
  <c r="U117" i="7"/>
  <c r="U133" i="7"/>
  <c r="U149" i="7"/>
  <c r="U165" i="7"/>
  <c r="U181" i="7"/>
  <c r="U197" i="7"/>
  <c r="U213" i="7"/>
  <c r="U221" i="7"/>
  <c r="U237" i="7"/>
  <c r="U253" i="7"/>
  <c r="U269" i="7"/>
  <c r="S480" i="7"/>
  <c r="U480" i="7"/>
  <c r="S496" i="7"/>
  <c r="U496" i="7"/>
  <c r="S512" i="7"/>
  <c r="U512" i="7"/>
  <c r="S528" i="7"/>
  <c r="U528" i="7"/>
  <c r="S544" i="7"/>
  <c r="U544" i="7"/>
  <c r="S560" i="7"/>
  <c r="U560" i="7"/>
  <c r="S576" i="7"/>
  <c r="U576" i="7"/>
  <c r="S592" i="7"/>
  <c r="U592" i="7"/>
  <c r="S608" i="7"/>
  <c r="U608" i="7"/>
  <c r="U51" i="7"/>
  <c r="U67" i="7"/>
  <c r="U83" i="7"/>
  <c r="U99" i="7"/>
  <c r="U115" i="7"/>
  <c r="U131" i="7"/>
  <c r="U147" i="7"/>
  <c r="U163" i="7"/>
  <c r="U179" i="7"/>
  <c r="U195" i="7"/>
  <c r="U211" i="7"/>
  <c r="U230" i="7"/>
  <c r="U246" i="7"/>
  <c r="U262" i="7"/>
  <c r="U278" i="7"/>
  <c r="U281" i="7"/>
  <c r="U297" i="7"/>
  <c r="U313" i="7"/>
  <c r="U329" i="7"/>
  <c r="U345" i="7"/>
  <c r="U361" i="7"/>
  <c r="U377" i="7"/>
  <c r="U393" i="7"/>
  <c r="U409" i="7"/>
  <c r="U425" i="7"/>
  <c r="U441" i="7"/>
  <c r="U457" i="7"/>
  <c r="U473" i="7"/>
  <c r="S488" i="7"/>
  <c r="U488" i="7"/>
  <c r="S504" i="7"/>
  <c r="U504" i="7"/>
  <c r="S520" i="7"/>
  <c r="U520" i="7"/>
  <c r="S536" i="7"/>
  <c r="U536" i="7"/>
  <c r="S552" i="7"/>
  <c r="U552" i="7"/>
  <c r="S568" i="7"/>
  <c r="U568" i="7"/>
  <c r="S584" i="7"/>
  <c r="U584" i="7"/>
  <c r="S600" i="7"/>
  <c r="U600" i="7"/>
  <c r="S616" i="7"/>
  <c r="U616" i="7"/>
  <c r="U219" i="7"/>
  <c r="U223" i="7"/>
  <c r="U227" i="7"/>
  <c r="U231" i="7"/>
  <c r="U235" i="7"/>
  <c r="U239" i="7"/>
  <c r="U243" i="7"/>
  <c r="U247" i="7"/>
  <c r="U251" i="7"/>
  <c r="U255" i="7"/>
  <c r="U259" i="7"/>
  <c r="U263" i="7"/>
  <c r="U267" i="7"/>
  <c r="U271" i="7"/>
  <c r="U275" i="7"/>
  <c r="U279" i="7"/>
  <c r="U283" i="7"/>
  <c r="U287" i="7"/>
  <c r="U291" i="7"/>
  <c r="U295" i="7"/>
  <c r="U299" i="7"/>
  <c r="U303" i="7"/>
  <c r="U307" i="7"/>
  <c r="U311" i="7"/>
  <c r="U315" i="7"/>
  <c r="U319" i="7"/>
  <c r="U323" i="7"/>
  <c r="U327" i="7"/>
  <c r="U331" i="7"/>
  <c r="U335" i="7"/>
  <c r="U339" i="7"/>
  <c r="U343" i="7"/>
  <c r="U347" i="7"/>
  <c r="U351" i="7"/>
  <c r="U355" i="7"/>
  <c r="U359" i="7"/>
  <c r="U363" i="7"/>
  <c r="U367" i="7"/>
  <c r="U371" i="7"/>
  <c r="U375" i="7"/>
  <c r="U379" i="7"/>
  <c r="U383" i="7"/>
  <c r="U387" i="7"/>
  <c r="U391" i="7"/>
  <c r="U395" i="7"/>
  <c r="U399" i="7"/>
  <c r="U403" i="7"/>
  <c r="U407" i="7"/>
  <c r="U411" i="7"/>
  <c r="U415" i="7"/>
  <c r="U419" i="7"/>
  <c r="U423" i="7"/>
  <c r="U427" i="7"/>
  <c r="U431" i="7"/>
  <c r="U435" i="7"/>
  <c r="U439" i="7"/>
  <c r="U443" i="7"/>
  <c r="U447" i="7"/>
  <c r="U451" i="7"/>
  <c r="U455" i="7"/>
  <c r="U459" i="7"/>
  <c r="U463" i="7"/>
  <c r="U467" i="7"/>
  <c r="U471" i="7"/>
  <c r="U475" i="7"/>
  <c r="P98" i="11"/>
  <c r="Q98" i="11" s="1"/>
  <c r="P127" i="11"/>
  <c r="Q127" i="11" s="1"/>
  <c r="P18" i="11"/>
  <c r="Q18" i="11" s="1"/>
  <c r="S479" i="7"/>
  <c r="U484" i="7"/>
  <c r="U492" i="7"/>
  <c r="U500" i="7"/>
  <c r="U508" i="7"/>
  <c r="U516" i="7"/>
  <c r="U524" i="7"/>
  <c r="U532" i="7"/>
  <c r="U540" i="7"/>
  <c r="U548" i="7"/>
  <c r="U556" i="7"/>
  <c r="U564" i="7"/>
  <c r="U572" i="7"/>
  <c r="U580" i="7"/>
  <c r="U588" i="7"/>
  <c r="U596" i="7"/>
  <c r="U604" i="7"/>
  <c r="U612" i="7"/>
  <c r="P46" i="11"/>
  <c r="Q46" i="11" s="1"/>
  <c r="P211" i="11"/>
  <c r="Q211" i="11" s="1"/>
  <c r="P295" i="11"/>
  <c r="Q295" i="11" s="1"/>
  <c r="U620" i="7"/>
  <c r="P23" i="11"/>
  <c r="Q23" i="11" s="1"/>
  <c r="P55" i="11"/>
  <c r="Q55" i="11" s="1"/>
  <c r="P93" i="11"/>
  <c r="Q93" i="11" s="1"/>
  <c r="Q108" i="11"/>
  <c r="P167" i="11"/>
  <c r="Q167" i="11" s="1"/>
  <c r="P172" i="11"/>
  <c r="Q172" i="11" s="1"/>
  <c r="P255" i="11"/>
  <c r="Q255" i="11" s="1"/>
  <c r="P260" i="11"/>
  <c r="Q260" i="11" s="1"/>
  <c r="P315" i="11"/>
  <c r="Q315" i="11" s="1"/>
  <c r="P324" i="11"/>
  <c r="Q324" i="11" s="1"/>
  <c r="P339" i="11"/>
  <c r="Q339" i="11" s="1"/>
  <c r="P368" i="11"/>
  <c r="Q368" i="11" s="1"/>
  <c r="P427" i="11"/>
  <c r="Q427" i="11" s="1"/>
  <c r="P487" i="11"/>
  <c r="Q487" i="11" s="1"/>
  <c r="P492" i="11"/>
  <c r="Q492" i="11" s="1"/>
  <c r="P547" i="11"/>
  <c r="Q547" i="11" s="1"/>
  <c r="Q557" i="11"/>
  <c r="P622" i="11"/>
  <c r="Q622" i="11" s="1"/>
  <c r="P13" i="11"/>
  <c r="Q13" i="11" s="1"/>
  <c r="Q36" i="11"/>
  <c r="N51" i="11"/>
  <c r="P79" i="11"/>
  <c r="Q79" i="11" s="1"/>
  <c r="Q117" i="11"/>
  <c r="P187" i="11"/>
  <c r="Q187" i="11" s="1"/>
  <c r="P275" i="11"/>
  <c r="Q275" i="11" s="1"/>
  <c r="P507" i="11"/>
  <c r="Q507" i="11" s="1"/>
  <c r="P567" i="11"/>
  <c r="Q567" i="11" s="1"/>
  <c r="P572" i="11"/>
  <c r="Q572" i="11" s="1"/>
  <c r="P627" i="11"/>
  <c r="Q627" i="11" s="1"/>
  <c r="Q637" i="11"/>
  <c r="P41" i="11"/>
  <c r="Q41" i="11" s="1"/>
  <c r="N60" i="11"/>
  <c r="N75" i="11"/>
  <c r="P146" i="11"/>
  <c r="Q146" i="11" s="1"/>
  <c r="P206" i="11"/>
  <c r="Q206" i="11" s="1"/>
  <c r="P226" i="11"/>
  <c r="Q226" i="11" s="1"/>
  <c r="P357" i="11"/>
  <c r="Q357" i="11" s="1"/>
  <c r="Q397" i="11"/>
  <c r="P462" i="11"/>
  <c r="Q462" i="11" s="1"/>
  <c r="P587" i="11"/>
  <c r="Q587" i="11" s="1"/>
  <c r="N8" i="11"/>
  <c r="P27" i="11"/>
  <c r="Q27" i="11" s="1"/>
  <c r="P31" i="11"/>
  <c r="Q31" i="11" s="1"/>
  <c r="N65" i="11"/>
  <c r="N84" i="11"/>
  <c r="Q88" i="11"/>
  <c r="N103" i="11"/>
  <c r="P151" i="11"/>
  <c r="Q151" i="11" s="1"/>
  <c r="P162" i="11"/>
  <c r="Q162" i="11" s="1"/>
  <c r="P231" i="11"/>
  <c r="Q231" i="11" s="1"/>
  <c r="Q241" i="11"/>
  <c r="P310" i="11"/>
  <c r="Q310" i="11" s="1"/>
  <c r="Q329" i="11"/>
  <c r="P407" i="11"/>
  <c r="Q407" i="11" s="1"/>
  <c r="Q412" i="11"/>
  <c r="P412" i="11"/>
  <c r="P467" i="11"/>
  <c r="Q467" i="11" s="1"/>
  <c r="Q477" i="11"/>
  <c r="P542" i="11"/>
  <c r="Q542" i="11" s="1"/>
  <c r="Q177" i="11"/>
  <c r="N192" i="11"/>
  <c r="P246" i="11"/>
  <c r="Q246" i="11" s="1"/>
  <c r="Q265" i="11"/>
  <c r="N280" i="11"/>
  <c r="P334" i="11"/>
  <c r="Q334" i="11" s="1"/>
  <c r="N348" i="11"/>
  <c r="P387" i="11"/>
  <c r="Q387" i="11" s="1"/>
  <c r="P402" i="11"/>
  <c r="Q402" i="11" s="1"/>
  <c r="Q417" i="11"/>
  <c r="N432" i="11"/>
  <c r="P482" i="11"/>
  <c r="Q482" i="11" s="1"/>
  <c r="Q497" i="11"/>
  <c r="N512" i="11"/>
  <c r="P562" i="11"/>
  <c r="Q562" i="11" s="1"/>
  <c r="Q577" i="11"/>
  <c r="N592" i="11"/>
  <c r="P642" i="11"/>
  <c r="Q642" i="11" s="1"/>
  <c r="N132" i="11"/>
  <c r="P182" i="11"/>
  <c r="Q182" i="11" s="1"/>
  <c r="N197" i="11"/>
  <c r="N216" i="11"/>
  <c r="Q250" i="11"/>
  <c r="P270" i="11"/>
  <c r="Q270" i="11" s="1"/>
  <c r="N285" i="11"/>
  <c r="N300" i="11"/>
  <c r="N353" i="11"/>
  <c r="N373" i="11"/>
  <c r="Q422" i="11"/>
  <c r="P422" i="11"/>
  <c r="N437" i="11"/>
  <c r="N452" i="11"/>
  <c r="Q502" i="11"/>
  <c r="P502" i="11"/>
  <c r="N517" i="11"/>
  <c r="N532" i="11"/>
  <c r="P582" i="11"/>
  <c r="Q582" i="11" s="1"/>
  <c r="N597" i="11"/>
  <c r="N612" i="11"/>
  <c r="P647" i="11"/>
  <c r="Q647" i="11" s="1"/>
  <c r="N122" i="11"/>
  <c r="N136" i="11"/>
  <c r="N141" i="11"/>
  <c r="N156" i="11"/>
  <c r="N202" i="11"/>
  <c r="N221" i="11"/>
  <c r="N236" i="11"/>
  <c r="N290" i="11"/>
  <c r="N305" i="11"/>
  <c r="N320" i="11"/>
  <c r="P343" i="11"/>
  <c r="Q343" i="11" s="1"/>
  <c r="N362" i="11"/>
  <c r="N378" i="11"/>
  <c r="N392" i="11"/>
  <c r="N442" i="11"/>
  <c r="N457" i="11"/>
  <c r="N472" i="11"/>
  <c r="N522" i="11"/>
  <c r="N537" i="11"/>
  <c r="N552" i="11"/>
  <c r="N602" i="11"/>
  <c r="N617" i="11"/>
  <c r="N632" i="11"/>
  <c r="P112" i="11" l="1"/>
  <c r="Q112" i="11"/>
  <c r="U542" i="11"/>
  <c r="R542" i="11"/>
  <c r="G112" i="12" s="1"/>
  <c r="H112" i="12" s="1"/>
  <c r="I112" i="12" s="1"/>
  <c r="R315" i="11"/>
  <c r="G66" i="12" s="1"/>
  <c r="H66" i="12" s="1"/>
  <c r="I66" i="12" s="1"/>
  <c r="U315" i="11"/>
  <c r="R295" i="11"/>
  <c r="G62" i="12" s="1"/>
  <c r="H62" i="12" s="1"/>
  <c r="I62" i="12" s="1"/>
  <c r="U295" i="11"/>
  <c r="R647" i="11"/>
  <c r="G133" i="12" s="1"/>
  <c r="H133" i="12" s="1"/>
  <c r="I133" i="12" s="1"/>
  <c r="U647" i="11"/>
  <c r="U270" i="11"/>
  <c r="R270" i="11"/>
  <c r="G57" i="12" s="1"/>
  <c r="H57" i="12" s="1"/>
  <c r="I57" i="12" s="1"/>
  <c r="U402" i="11"/>
  <c r="R402" i="11"/>
  <c r="G84" i="12" s="1"/>
  <c r="H84" i="12" s="1"/>
  <c r="I84" i="12" s="1"/>
  <c r="U246" i="11"/>
  <c r="R246" i="11"/>
  <c r="G52" i="12" s="1"/>
  <c r="H52" i="12" s="1"/>
  <c r="I52" i="12" s="1"/>
  <c r="R407" i="11"/>
  <c r="G85" i="12" s="1"/>
  <c r="H85" i="12" s="1"/>
  <c r="I85" i="12" s="1"/>
  <c r="U407" i="11"/>
  <c r="U357" i="11"/>
  <c r="R357" i="11"/>
  <c r="G75" i="12" s="1"/>
  <c r="H75" i="12" s="1"/>
  <c r="I75" i="12" s="1"/>
  <c r="R627" i="11"/>
  <c r="G129" i="12" s="1"/>
  <c r="H129" i="12" s="1"/>
  <c r="I129" i="12" s="1"/>
  <c r="U627" i="11"/>
  <c r="R507" i="11"/>
  <c r="G105" i="12" s="1"/>
  <c r="H105" i="12" s="1"/>
  <c r="I105" i="12" s="1"/>
  <c r="U507" i="11"/>
  <c r="R547" i="11"/>
  <c r="G113" i="12" s="1"/>
  <c r="H113" i="12" s="1"/>
  <c r="I113" i="12" s="1"/>
  <c r="U547" i="11"/>
  <c r="U368" i="11"/>
  <c r="R368" i="11"/>
  <c r="G77" i="12" s="1"/>
  <c r="H77" i="12" s="1"/>
  <c r="I77" i="12" s="1"/>
  <c r="U260" i="11"/>
  <c r="R260" i="11"/>
  <c r="G55" i="12" s="1"/>
  <c r="H55" i="12" s="1"/>
  <c r="I55" i="12" s="1"/>
  <c r="U55" i="11"/>
  <c r="R55" i="11"/>
  <c r="G13" i="12" s="1"/>
  <c r="H13" i="12" s="1"/>
  <c r="I13" i="12" s="1"/>
  <c r="U582" i="11"/>
  <c r="R582" i="11"/>
  <c r="G120" i="12" s="1"/>
  <c r="H120" i="12" s="1"/>
  <c r="I120" i="12" s="1"/>
  <c r="R567" i="11"/>
  <c r="G117" i="12" s="1"/>
  <c r="H117" i="12" s="1"/>
  <c r="I117" i="12" s="1"/>
  <c r="U567" i="11"/>
  <c r="R167" i="11"/>
  <c r="G36" i="12" s="1"/>
  <c r="H36" i="12" s="1"/>
  <c r="I36" i="12" s="1"/>
  <c r="U167" i="11"/>
  <c r="R127" i="11"/>
  <c r="G28" i="12" s="1"/>
  <c r="H28" i="12" s="1"/>
  <c r="I28" i="12" s="1"/>
  <c r="U127" i="11"/>
  <c r="U482" i="11"/>
  <c r="R482" i="11"/>
  <c r="G100" i="12" s="1"/>
  <c r="H100" i="12" s="1"/>
  <c r="I100" i="12" s="1"/>
  <c r="R467" i="11"/>
  <c r="G97" i="12" s="1"/>
  <c r="H97" i="12" s="1"/>
  <c r="I97" i="12" s="1"/>
  <c r="U467" i="11"/>
  <c r="U31" i="11"/>
  <c r="R31" i="11"/>
  <c r="G8" i="12" s="1"/>
  <c r="H8" i="12" s="1"/>
  <c r="I8" i="12" s="1"/>
  <c r="R587" i="11"/>
  <c r="G121" i="12" s="1"/>
  <c r="H121" i="12" s="1"/>
  <c r="I121" i="12" s="1"/>
  <c r="U587" i="11"/>
  <c r="U226" i="11"/>
  <c r="R226" i="11"/>
  <c r="G48" i="12" s="1"/>
  <c r="H48" i="12" s="1"/>
  <c r="I48" i="12" s="1"/>
  <c r="R275" i="11"/>
  <c r="G58" i="12" s="1"/>
  <c r="H58" i="12" s="1"/>
  <c r="I58" i="12" s="1"/>
  <c r="U275" i="11"/>
  <c r="U492" i="11"/>
  <c r="R492" i="11"/>
  <c r="G102" i="12" s="1"/>
  <c r="H102" i="12" s="1"/>
  <c r="I102" i="12" s="1"/>
  <c r="R339" i="11"/>
  <c r="G71" i="12" s="1"/>
  <c r="H71" i="12" s="1"/>
  <c r="I71" i="12" s="1"/>
  <c r="U339" i="11"/>
  <c r="R255" i="11"/>
  <c r="G54" i="12" s="1"/>
  <c r="H54" i="12" s="1"/>
  <c r="I54" i="12" s="1"/>
  <c r="U255" i="11"/>
  <c r="U23" i="11"/>
  <c r="R23" i="11"/>
  <c r="G6" i="12" s="1"/>
  <c r="H6" i="12" s="1"/>
  <c r="I6" i="12" s="1"/>
  <c r="U642" i="11"/>
  <c r="R642" i="11"/>
  <c r="G132" i="12" s="1"/>
  <c r="H132" i="12" s="1"/>
  <c r="I132" i="12" s="1"/>
  <c r="U146" i="11"/>
  <c r="R146" i="11"/>
  <c r="G32" i="12" s="1"/>
  <c r="H32" i="12" s="1"/>
  <c r="I32" i="12" s="1"/>
  <c r="R427" i="11"/>
  <c r="G89" i="12" s="1"/>
  <c r="H89" i="12" s="1"/>
  <c r="I89" i="12" s="1"/>
  <c r="U427" i="11"/>
  <c r="U93" i="11"/>
  <c r="R93" i="11"/>
  <c r="G21" i="12" s="1"/>
  <c r="H21" i="12" s="1"/>
  <c r="I21" i="12" s="1"/>
  <c r="U562" i="11"/>
  <c r="R562" i="11"/>
  <c r="G116" i="12" s="1"/>
  <c r="H116" i="12" s="1"/>
  <c r="I116" i="12" s="1"/>
  <c r="U310" i="11"/>
  <c r="R310" i="11"/>
  <c r="G65" i="12" s="1"/>
  <c r="H65" i="12" s="1"/>
  <c r="I65" i="12" s="1"/>
  <c r="U162" i="11"/>
  <c r="R162" i="11"/>
  <c r="G35" i="12" s="1"/>
  <c r="H35" i="12" s="1"/>
  <c r="I35" i="12" s="1"/>
  <c r="U462" i="11"/>
  <c r="R462" i="11"/>
  <c r="G96" i="12" s="1"/>
  <c r="H96" i="12" s="1"/>
  <c r="I96" i="12" s="1"/>
  <c r="U206" i="11"/>
  <c r="R206" i="11"/>
  <c r="G44" i="12" s="1"/>
  <c r="H44" i="12" s="1"/>
  <c r="I44" i="12" s="1"/>
  <c r="U41" i="11"/>
  <c r="R41" i="11"/>
  <c r="G10" i="12" s="1"/>
  <c r="H10" i="12" s="1"/>
  <c r="I10" i="12" s="1"/>
  <c r="R187" i="11"/>
  <c r="G40" i="12" s="1"/>
  <c r="H40" i="12" s="1"/>
  <c r="I40" i="12" s="1"/>
  <c r="U187" i="11"/>
  <c r="U622" i="11"/>
  <c r="R622" i="11"/>
  <c r="G128" i="12" s="1"/>
  <c r="H128" i="12" s="1"/>
  <c r="I128" i="12" s="1"/>
  <c r="R487" i="11"/>
  <c r="G101" i="12" s="1"/>
  <c r="H101" i="12" s="1"/>
  <c r="I101" i="12" s="1"/>
  <c r="U487" i="11"/>
  <c r="U324" i="11"/>
  <c r="R324" i="11"/>
  <c r="G68" i="12" s="1"/>
  <c r="H68" i="12" s="1"/>
  <c r="I68" i="12" s="1"/>
  <c r="U172" i="11"/>
  <c r="R172" i="11"/>
  <c r="G37" i="12" s="1"/>
  <c r="H37" i="12" s="1"/>
  <c r="I37" i="12" s="1"/>
  <c r="R46" i="11"/>
  <c r="G11" i="12" s="1"/>
  <c r="H11" i="12" s="1"/>
  <c r="I11" i="12" s="1"/>
  <c r="U46" i="11"/>
  <c r="P617" i="11"/>
  <c r="Q617" i="11"/>
  <c r="P522" i="11"/>
  <c r="Q522" i="11" s="1"/>
  <c r="P392" i="11"/>
  <c r="Q392" i="11" s="1"/>
  <c r="R343" i="11"/>
  <c r="G72" i="12" s="1"/>
  <c r="H72" i="12" s="1"/>
  <c r="I72" i="12" s="1"/>
  <c r="U343" i="11"/>
  <c r="P236" i="11"/>
  <c r="Q236" i="11" s="1"/>
  <c r="P141" i="11"/>
  <c r="Q141" i="11" s="1"/>
  <c r="U502" i="11"/>
  <c r="R502" i="11"/>
  <c r="G104" i="12" s="1"/>
  <c r="H104" i="12" s="1"/>
  <c r="I104" i="12" s="1"/>
  <c r="U422" i="11"/>
  <c r="R422" i="11"/>
  <c r="G88" i="12" s="1"/>
  <c r="H88" i="12" s="1"/>
  <c r="I88" i="12" s="1"/>
  <c r="P285" i="11"/>
  <c r="Q285" i="11" s="1"/>
  <c r="P216" i="11"/>
  <c r="Q216" i="11" s="1"/>
  <c r="P132" i="11"/>
  <c r="Q132" i="11" s="1"/>
  <c r="U577" i="11"/>
  <c r="R577" i="11"/>
  <c r="G119" i="12" s="1"/>
  <c r="H119" i="12" s="1"/>
  <c r="I119" i="12" s="1"/>
  <c r="U497" i="11"/>
  <c r="R497" i="11"/>
  <c r="G103" i="12" s="1"/>
  <c r="H103" i="12" s="1"/>
  <c r="I103" i="12" s="1"/>
  <c r="U417" i="11"/>
  <c r="R417" i="11"/>
  <c r="G87" i="12" s="1"/>
  <c r="H87" i="12" s="1"/>
  <c r="I87" i="12" s="1"/>
  <c r="R387" i="11"/>
  <c r="G81" i="12" s="1"/>
  <c r="H81" i="12" s="1"/>
  <c r="I81" i="12" s="1"/>
  <c r="U387" i="11"/>
  <c r="P280" i="11"/>
  <c r="Q280" i="11" s="1"/>
  <c r="P192" i="11"/>
  <c r="Q192" i="11" s="1"/>
  <c r="U477" i="11"/>
  <c r="R477" i="11"/>
  <c r="G99" i="12" s="1"/>
  <c r="H99" i="12" s="1"/>
  <c r="I99" i="12" s="1"/>
  <c r="U412" i="11"/>
  <c r="R412" i="11"/>
  <c r="G86" i="12" s="1"/>
  <c r="H86" i="12" s="1"/>
  <c r="I86" i="12" s="1"/>
  <c r="R231" i="11"/>
  <c r="G49" i="12" s="1"/>
  <c r="H49" i="12" s="1"/>
  <c r="I49" i="12" s="1"/>
  <c r="U231" i="11"/>
  <c r="R151" i="11"/>
  <c r="G33" i="12" s="1"/>
  <c r="H33" i="12" s="1"/>
  <c r="I33" i="12" s="1"/>
  <c r="U151" i="11"/>
  <c r="P65" i="11"/>
  <c r="Q65" i="11" s="1"/>
  <c r="U27" i="11"/>
  <c r="R27" i="11"/>
  <c r="G7" i="12" s="1"/>
  <c r="H7" i="12" s="1"/>
  <c r="I7" i="12" s="1"/>
  <c r="P60" i="11"/>
  <c r="Q60" i="11"/>
  <c r="U117" i="11"/>
  <c r="R117" i="11"/>
  <c r="G26" i="12" s="1"/>
  <c r="H26" i="12" s="1"/>
  <c r="I26" i="12" s="1"/>
  <c r="U36" i="11"/>
  <c r="R36" i="11"/>
  <c r="G9" i="12" s="1"/>
  <c r="H9" i="12" s="1"/>
  <c r="I9" i="12" s="1"/>
  <c r="U108" i="11"/>
  <c r="R108" i="11"/>
  <c r="G24" i="12" s="1"/>
  <c r="H24" i="12" s="1"/>
  <c r="I24" i="12" s="1"/>
  <c r="J253" i="1"/>
  <c r="I46" i="3" s="1"/>
  <c r="C82" i="2" s="1"/>
  <c r="J135" i="1"/>
  <c r="I26" i="3" s="1"/>
  <c r="C42" i="2" s="1"/>
  <c r="J63" i="1"/>
  <c r="I19" i="3" s="1"/>
  <c r="C28" i="2" s="1"/>
  <c r="J208" i="1"/>
  <c r="I40" i="3" s="1"/>
  <c r="C70" i="2" s="1"/>
  <c r="S12" i="2"/>
  <c r="O12" i="2"/>
  <c r="K12" i="2"/>
  <c r="G12" i="2"/>
  <c r="U12" i="2"/>
  <c r="Q12" i="2"/>
  <c r="M12" i="2"/>
  <c r="I12" i="2"/>
  <c r="P12" i="2"/>
  <c r="H12" i="2"/>
  <c r="T12" i="2"/>
  <c r="L12" i="2"/>
  <c r="R12" i="2"/>
  <c r="J12" i="2"/>
  <c r="N12" i="2"/>
  <c r="Q602" i="11"/>
  <c r="P602" i="11"/>
  <c r="Q472" i="11"/>
  <c r="P472" i="11"/>
  <c r="Q378" i="11"/>
  <c r="P378" i="11"/>
  <c r="Q320" i="11"/>
  <c r="P320" i="11"/>
  <c r="P221" i="11"/>
  <c r="Q221" i="11" s="1"/>
  <c r="P136" i="11"/>
  <c r="Q136" i="11" s="1"/>
  <c r="P612" i="11"/>
  <c r="Q612" i="11" s="1"/>
  <c r="P532" i="11"/>
  <c r="Q532" i="11" s="1"/>
  <c r="P452" i="11"/>
  <c r="Q452" i="11" s="1"/>
  <c r="P373" i="11"/>
  <c r="Q373" i="11" s="1"/>
  <c r="P197" i="11"/>
  <c r="Q197" i="11" s="1"/>
  <c r="P348" i="11"/>
  <c r="Q348" i="11" s="1"/>
  <c r="U265" i="11"/>
  <c r="R265" i="11"/>
  <c r="G56" i="12" s="1"/>
  <c r="H56" i="12" s="1"/>
  <c r="I56" i="12" s="1"/>
  <c r="U177" i="11"/>
  <c r="R177" i="11"/>
  <c r="G38" i="12" s="1"/>
  <c r="H38" i="12" s="1"/>
  <c r="I38" i="12" s="1"/>
  <c r="P103" i="11"/>
  <c r="Q103" i="11" s="1"/>
  <c r="P8" i="11"/>
  <c r="Q8" i="11" s="1"/>
  <c r="U557" i="11"/>
  <c r="R557" i="11"/>
  <c r="G115" i="12" s="1"/>
  <c r="H115" i="12" s="1"/>
  <c r="I115" i="12" s="1"/>
  <c r="R18" i="11"/>
  <c r="G5" i="12" s="1"/>
  <c r="H5" i="12" s="1"/>
  <c r="I5" i="12" s="1"/>
  <c r="U18" i="11"/>
  <c r="R98" i="11"/>
  <c r="G22" i="12" s="1"/>
  <c r="H22" i="12" s="1"/>
  <c r="I22" i="12" s="1"/>
  <c r="U98" i="11"/>
  <c r="R527" i="11"/>
  <c r="G109" i="12" s="1"/>
  <c r="H109" i="12" s="1"/>
  <c r="I109" i="12" s="1"/>
  <c r="U527" i="11"/>
  <c r="R383" i="11"/>
  <c r="G80" i="12" s="1"/>
  <c r="H80" i="12" s="1"/>
  <c r="I80" i="12" s="1"/>
  <c r="U383" i="11"/>
  <c r="R70" i="11"/>
  <c r="G16" i="12" s="1"/>
  <c r="H16" i="12" s="1"/>
  <c r="I16" i="12" s="1"/>
  <c r="U70" i="11"/>
  <c r="H79" i="3"/>
  <c r="H81" i="3" s="1"/>
  <c r="J702" i="1"/>
  <c r="J705" i="1" s="1"/>
  <c r="N703" i="1"/>
  <c r="P698" i="1"/>
  <c r="F702" i="1"/>
  <c r="F703" i="1" s="1"/>
  <c r="R130" i="2"/>
  <c r="S130" i="2"/>
  <c r="P552" i="11"/>
  <c r="Q552" i="11" s="1"/>
  <c r="P457" i="11"/>
  <c r="Q457" i="11" s="1"/>
  <c r="P362" i="11"/>
  <c r="Q362" i="11" s="1"/>
  <c r="P305" i="11"/>
  <c r="Q305" i="11"/>
  <c r="P202" i="11"/>
  <c r="Q202" i="11" s="1"/>
  <c r="P122" i="11"/>
  <c r="Q122" i="11" s="1"/>
  <c r="P597" i="11"/>
  <c r="Q597" i="11"/>
  <c r="P517" i="11"/>
  <c r="Q517" i="11"/>
  <c r="P437" i="11"/>
  <c r="Q437" i="11"/>
  <c r="P353" i="11"/>
  <c r="Q353" i="11"/>
  <c r="U241" i="11"/>
  <c r="R241" i="11"/>
  <c r="G51" i="12" s="1"/>
  <c r="H51" i="12" s="1"/>
  <c r="I51" i="12" s="1"/>
  <c r="U88" i="11"/>
  <c r="R88" i="11"/>
  <c r="G20" i="12" s="1"/>
  <c r="H20" i="12" s="1"/>
  <c r="I20" i="12" s="1"/>
  <c r="U397" i="11"/>
  <c r="R397" i="11"/>
  <c r="G83" i="12" s="1"/>
  <c r="H83" i="12" s="1"/>
  <c r="I83" i="12" s="1"/>
  <c r="U79" i="11"/>
  <c r="R79" i="11"/>
  <c r="G18" i="12" s="1"/>
  <c r="H18" i="12" s="1"/>
  <c r="I18" i="12" s="1"/>
  <c r="U13" i="11"/>
  <c r="R13" i="11"/>
  <c r="G4" i="12" s="1"/>
  <c r="H4" i="12" s="1"/>
  <c r="I4" i="12" s="1"/>
  <c r="Q60" i="2"/>
  <c r="S60" i="2"/>
  <c r="R60" i="2"/>
  <c r="P60" i="2"/>
  <c r="I68" i="3"/>
  <c r="C126" i="2" s="1"/>
  <c r="R126" i="2" s="1"/>
  <c r="J629" i="1"/>
  <c r="I67" i="3" s="1"/>
  <c r="C124" i="2" s="1"/>
  <c r="R124" i="2" s="1"/>
  <c r="I75" i="3"/>
  <c r="C140" i="2" s="1"/>
  <c r="U140" i="2" s="1"/>
  <c r="G6" i="2"/>
  <c r="F6" i="2"/>
  <c r="Q632" i="11"/>
  <c r="P632" i="11"/>
  <c r="P537" i="11"/>
  <c r="Q537" i="11" s="1"/>
  <c r="P442" i="11"/>
  <c r="Q442" i="11" s="1"/>
  <c r="P290" i="11"/>
  <c r="Q290" i="11" s="1"/>
  <c r="P156" i="11"/>
  <c r="Q156" i="11" s="1"/>
  <c r="P300" i="11"/>
  <c r="Q300" i="11" s="1"/>
  <c r="U250" i="11"/>
  <c r="R250" i="11"/>
  <c r="G53" i="12" s="1"/>
  <c r="H53" i="12" s="1"/>
  <c r="I53" i="12" s="1"/>
  <c r="U182" i="11"/>
  <c r="R182" i="11"/>
  <c r="G39" i="12" s="1"/>
  <c r="H39" i="12" s="1"/>
  <c r="I39" i="12" s="1"/>
  <c r="P592" i="11"/>
  <c r="Q592" i="11" s="1"/>
  <c r="P512" i="11"/>
  <c r="Q512" i="11" s="1"/>
  <c r="P432" i="11"/>
  <c r="Q432" i="11" s="1"/>
  <c r="U334" i="11"/>
  <c r="R334" i="11"/>
  <c r="G70" i="12" s="1"/>
  <c r="H70" i="12" s="1"/>
  <c r="I70" i="12" s="1"/>
  <c r="U329" i="11"/>
  <c r="R329" i="11"/>
  <c r="G69" i="12" s="1"/>
  <c r="H69" i="12" s="1"/>
  <c r="I69" i="12" s="1"/>
  <c r="P84" i="11"/>
  <c r="Q84" i="11" s="1"/>
  <c r="Q75" i="11"/>
  <c r="P75" i="11"/>
  <c r="U637" i="11"/>
  <c r="R637" i="11"/>
  <c r="G131" i="12" s="1"/>
  <c r="H131" i="12" s="1"/>
  <c r="I131" i="12" s="1"/>
  <c r="U572" i="11"/>
  <c r="R572" i="11"/>
  <c r="G118" i="12" s="1"/>
  <c r="H118" i="12" s="1"/>
  <c r="I118" i="12" s="1"/>
  <c r="Q51" i="11"/>
  <c r="P51" i="11"/>
  <c r="R211" i="11"/>
  <c r="G45" i="12" s="1"/>
  <c r="H45" i="12" s="1"/>
  <c r="I45" i="12" s="1"/>
  <c r="U211" i="11"/>
  <c r="I57" i="3"/>
  <c r="C104" i="2" s="1"/>
  <c r="S104" i="2" s="1"/>
  <c r="J467" i="1"/>
  <c r="I56" i="3" s="1"/>
  <c r="C102" i="2" s="1"/>
  <c r="R607" i="11"/>
  <c r="G125" i="12" s="1"/>
  <c r="H125" i="12" s="1"/>
  <c r="I125" i="12" s="1"/>
  <c r="U607" i="11"/>
  <c r="R447" i="11"/>
  <c r="G93" i="12" s="1"/>
  <c r="H93" i="12" s="1"/>
  <c r="I93" i="12" s="1"/>
  <c r="U447" i="11"/>
  <c r="J36" i="1"/>
  <c r="I12" i="3" s="1"/>
  <c r="C14" i="2" s="1"/>
  <c r="U112" i="11" l="1"/>
  <c r="R112" i="11"/>
  <c r="G25" i="12" s="1"/>
  <c r="H25" i="12" s="1"/>
  <c r="I25" i="12" s="1"/>
  <c r="U537" i="11"/>
  <c r="R537" i="11"/>
  <c r="G111" i="12" s="1"/>
  <c r="H111" i="12" s="1"/>
  <c r="I111" i="12" s="1"/>
  <c r="U221" i="11"/>
  <c r="R221" i="11"/>
  <c r="G47" i="12" s="1"/>
  <c r="H47" i="12" s="1"/>
  <c r="I47" i="12" s="1"/>
  <c r="U280" i="11"/>
  <c r="R280" i="11"/>
  <c r="G59" i="12" s="1"/>
  <c r="H59" i="12" s="1"/>
  <c r="I59" i="12" s="1"/>
  <c r="U8" i="11"/>
  <c r="R8" i="11"/>
  <c r="G3" i="12" s="1"/>
  <c r="H3" i="12" s="1"/>
  <c r="I3" i="12" s="1"/>
  <c r="U132" i="11"/>
  <c r="R132" i="11"/>
  <c r="G29" i="12" s="1"/>
  <c r="H29" i="12" s="1"/>
  <c r="I29" i="12" s="1"/>
  <c r="U84" i="11"/>
  <c r="R84" i="11"/>
  <c r="G19" i="12" s="1"/>
  <c r="H19" i="12" s="1"/>
  <c r="I19" i="12" s="1"/>
  <c r="U552" i="11"/>
  <c r="R552" i="11"/>
  <c r="G114" i="12" s="1"/>
  <c r="H114" i="12" s="1"/>
  <c r="I114" i="12" s="1"/>
  <c r="U122" i="11"/>
  <c r="R122" i="11"/>
  <c r="G27" i="12" s="1"/>
  <c r="H27" i="12" s="1"/>
  <c r="I27" i="12" s="1"/>
  <c r="U362" i="11"/>
  <c r="R362" i="11"/>
  <c r="G76" i="12" s="1"/>
  <c r="H76" i="12" s="1"/>
  <c r="I76" i="12" s="1"/>
  <c r="U197" i="11"/>
  <c r="R197" i="11"/>
  <c r="G42" i="12" s="1"/>
  <c r="H42" i="12" s="1"/>
  <c r="I42" i="12" s="1"/>
  <c r="U65" i="11"/>
  <c r="R65" i="11"/>
  <c r="G15" i="12" s="1"/>
  <c r="H15" i="12" s="1"/>
  <c r="I15" i="12" s="1"/>
  <c r="U216" i="11"/>
  <c r="R216" i="11"/>
  <c r="G46" i="12" s="1"/>
  <c r="H46" i="12" s="1"/>
  <c r="I46" i="12" s="1"/>
  <c r="U392" i="11"/>
  <c r="R392" i="11"/>
  <c r="G82" i="12" s="1"/>
  <c r="H82" i="12" s="1"/>
  <c r="I82" i="12" s="1"/>
  <c r="U202" i="11"/>
  <c r="R202" i="11"/>
  <c r="G43" i="12" s="1"/>
  <c r="H43" i="12" s="1"/>
  <c r="I43" i="12" s="1"/>
  <c r="U373" i="11"/>
  <c r="R373" i="11"/>
  <c r="G78" i="12" s="1"/>
  <c r="H78" i="12" s="1"/>
  <c r="I78" i="12" s="1"/>
  <c r="U192" i="11"/>
  <c r="R192" i="11"/>
  <c r="G41" i="12" s="1"/>
  <c r="H41" i="12" s="1"/>
  <c r="I41" i="12" s="1"/>
  <c r="U236" i="11"/>
  <c r="R236" i="11"/>
  <c r="G50" i="12" s="1"/>
  <c r="H50" i="12" s="1"/>
  <c r="I50" i="12" s="1"/>
  <c r="U522" i="11"/>
  <c r="R522" i="11"/>
  <c r="G108" i="12" s="1"/>
  <c r="H108" i="12" s="1"/>
  <c r="I108" i="12" s="1"/>
  <c r="U432" i="11"/>
  <c r="R432" i="11"/>
  <c r="G90" i="12" s="1"/>
  <c r="H90" i="12" s="1"/>
  <c r="I90" i="12" s="1"/>
  <c r="U442" i="11"/>
  <c r="R442" i="11"/>
  <c r="G92" i="12" s="1"/>
  <c r="H92" i="12" s="1"/>
  <c r="I92" i="12" s="1"/>
  <c r="U437" i="11"/>
  <c r="R437" i="11"/>
  <c r="G91" i="12" s="1"/>
  <c r="H91" i="12" s="1"/>
  <c r="I91" i="12" s="1"/>
  <c r="U597" i="11"/>
  <c r="R597" i="11"/>
  <c r="G123" i="12" s="1"/>
  <c r="H123" i="12" s="1"/>
  <c r="I123" i="12" s="1"/>
  <c r="U103" i="11"/>
  <c r="R103" i="11"/>
  <c r="G23" i="12" s="1"/>
  <c r="H23" i="12" s="1"/>
  <c r="I23" i="12" s="1"/>
  <c r="U452" i="11"/>
  <c r="R452" i="11"/>
  <c r="G94" i="12" s="1"/>
  <c r="H94" i="12" s="1"/>
  <c r="I94" i="12" s="1"/>
  <c r="U612" i="11"/>
  <c r="R612" i="11"/>
  <c r="G126" i="12" s="1"/>
  <c r="H126" i="12" s="1"/>
  <c r="I126" i="12" s="1"/>
  <c r="U378" i="11"/>
  <c r="R378" i="11"/>
  <c r="G79" i="12" s="1"/>
  <c r="H79" i="12" s="1"/>
  <c r="I79" i="12" s="1"/>
  <c r="U602" i="11"/>
  <c r="R602" i="11"/>
  <c r="G124" i="12" s="1"/>
  <c r="H124" i="12" s="1"/>
  <c r="I124" i="12" s="1"/>
  <c r="Q70" i="2"/>
  <c r="S70" i="2"/>
  <c r="R70" i="2"/>
  <c r="U70" i="2"/>
  <c r="U285" i="11"/>
  <c r="R285" i="11"/>
  <c r="G60" i="12" s="1"/>
  <c r="H60" i="12" s="1"/>
  <c r="I60" i="12" s="1"/>
  <c r="U617" i="11"/>
  <c r="R617" i="11"/>
  <c r="G127" i="12" s="1"/>
  <c r="H127" i="12" s="1"/>
  <c r="I127" i="12" s="1"/>
  <c r="G14" i="2"/>
  <c r="L14" i="2"/>
  <c r="U592" i="11"/>
  <c r="R592" i="11"/>
  <c r="G122" i="12" s="1"/>
  <c r="H122" i="12" s="1"/>
  <c r="I122" i="12" s="1"/>
  <c r="J700" i="1"/>
  <c r="S102" i="2"/>
  <c r="O102" i="2"/>
  <c r="U102" i="2"/>
  <c r="Q102" i="2"/>
  <c r="T102" i="2"/>
  <c r="P102" i="2"/>
  <c r="R102" i="2"/>
  <c r="J28" i="2"/>
  <c r="L28" i="2"/>
  <c r="K28" i="2"/>
  <c r="I28" i="2"/>
  <c r="U51" i="11"/>
  <c r="R51" i="11"/>
  <c r="G12" i="12" s="1"/>
  <c r="H12" i="12" s="1"/>
  <c r="I12" i="12" s="1"/>
  <c r="U300" i="11"/>
  <c r="R300" i="11"/>
  <c r="G63" i="12" s="1"/>
  <c r="H63" i="12" s="1"/>
  <c r="I63" i="12" s="1"/>
  <c r="U353" i="11"/>
  <c r="R353" i="11"/>
  <c r="G74" i="12" s="1"/>
  <c r="H74" i="12" s="1"/>
  <c r="I74" i="12" s="1"/>
  <c r="U517" i="11"/>
  <c r="R517" i="11"/>
  <c r="G107" i="12" s="1"/>
  <c r="H107" i="12" s="1"/>
  <c r="I107" i="12" s="1"/>
  <c r="U305" i="11"/>
  <c r="R305" i="11"/>
  <c r="G64" i="12" s="1"/>
  <c r="H64" i="12" s="1"/>
  <c r="I64" i="12" s="1"/>
  <c r="U457" i="11"/>
  <c r="R457" i="11"/>
  <c r="G95" i="12" s="1"/>
  <c r="H95" i="12" s="1"/>
  <c r="I95" i="12" s="1"/>
  <c r="U348" i="11"/>
  <c r="R348" i="11"/>
  <c r="G73" i="12" s="1"/>
  <c r="H73" i="12" s="1"/>
  <c r="I73" i="12" s="1"/>
  <c r="U532" i="11"/>
  <c r="R532" i="11"/>
  <c r="G110" i="12" s="1"/>
  <c r="H110" i="12" s="1"/>
  <c r="I110" i="12" s="1"/>
  <c r="U136" i="11"/>
  <c r="R136" i="11"/>
  <c r="G30" i="12" s="1"/>
  <c r="H30" i="12" s="1"/>
  <c r="I30" i="12" s="1"/>
  <c r="U320" i="11"/>
  <c r="R320" i="11"/>
  <c r="G67" i="12" s="1"/>
  <c r="H67" i="12" s="1"/>
  <c r="I67" i="12" s="1"/>
  <c r="U472" i="11"/>
  <c r="R472" i="11"/>
  <c r="G98" i="12" s="1"/>
  <c r="H98" i="12" s="1"/>
  <c r="I98" i="12" s="1"/>
  <c r="P42" i="2"/>
  <c r="L42" i="2"/>
  <c r="N42" i="2"/>
  <c r="M42" i="2"/>
  <c r="S42" i="2"/>
  <c r="O42" i="2"/>
  <c r="U60" i="11"/>
  <c r="R60" i="11"/>
  <c r="G14" i="12" s="1"/>
  <c r="H14" i="12" s="1"/>
  <c r="I14" i="12" s="1"/>
  <c r="U141" i="11"/>
  <c r="R141" i="11"/>
  <c r="G31" i="12" s="1"/>
  <c r="H31" i="12" s="1"/>
  <c r="I31" i="12" s="1"/>
  <c r="U75" i="11"/>
  <c r="R75" i="11"/>
  <c r="G17" i="12" s="1"/>
  <c r="H17" i="12" s="1"/>
  <c r="I17" i="12" s="1"/>
  <c r="U156" i="11"/>
  <c r="R156" i="11"/>
  <c r="G34" i="12" s="1"/>
  <c r="H34" i="12" s="1"/>
  <c r="I34" i="12" s="1"/>
  <c r="U632" i="11"/>
  <c r="R632" i="11"/>
  <c r="G130" i="12" s="1"/>
  <c r="H130" i="12" s="1"/>
  <c r="I130" i="12" s="1"/>
  <c r="U512" i="11"/>
  <c r="R512" i="11"/>
  <c r="G106" i="12" s="1"/>
  <c r="H106" i="12" s="1"/>
  <c r="I106" i="12" s="1"/>
  <c r="U290" i="11"/>
  <c r="R290" i="11"/>
  <c r="G61" i="12" s="1"/>
  <c r="H61" i="12" s="1"/>
  <c r="I61" i="12" s="1"/>
  <c r="C145" i="2"/>
  <c r="T82" i="2"/>
  <c r="P82" i="2"/>
  <c r="R82" i="2"/>
  <c r="Q82" i="2"/>
  <c r="L82" i="2"/>
  <c r="S82" i="2"/>
  <c r="U149" i="2" l="1"/>
  <c r="T13" i="1"/>
  <c r="S147" i="2"/>
  <c r="O147" i="2"/>
  <c r="K147" i="2"/>
  <c r="G147" i="2"/>
  <c r="U147" i="2"/>
  <c r="Q147" i="2"/>
  <c r="M147" i="2"/>
  <c r="I147" i="2"/>
  <c r="T147" i="2"/>
  <c r="P147" i="2"/>
  <c r="L147" i="2"/>
  <c r="H147" i="2"/>
  <c r="R147" i="2"/>
  <c r="J147" i="2"/>
  <c r="F147" i="2"/>
  <c r="F149" i="2" s="1"/>
  <c r="G149" i="2" s="1"/>
  <c r="H149" i="2" s="1"/>
  <c r="I149" i="2" s="1"/>
  <c r="N147" i="2"/>
  <c r="T6" i="1" l="1"/>
  <c r="T15" i="1"/>
  <c r="J149" i="2"/>
  <c r="K149" i="2" s="1"/>
  <c r="L149" i="2" s="1"/>
  <c r="M149" i="2" s="1"/>
  <c r="N149" i="2" s="1"/>
  <c r="O149" i="2" s="1"/>
  <c r="P149" i="2" s="1"/>
  <c r="Q149" i="2" s="1"/>
  <c r="R149" i="2" s="1"/>
  <c r="S149" i="2" s="1"/>
  <c r="T149" i="2" s="1"/>
</calcChain>
</file>

<file path=xl/sharedStrings.xml><?xml version="1.0" encoding="utf-8"?>
<sst xmlns="http://schemas.openxmlformats.org/spreadsheetml/2006/main" count="78813" uniqueCount="6397">
  <si>
    <t>Obra</t>
  </si>
  <si>
    <t>Bancos</t>
  </si>
  <si>
    <t>B.D.I.</t>
  </si>
  <si>
    <t>Encargos Sociais</t>
  </si>
  <si>
    <t>PROJETO EXECUTIVO E CONSTRUÇÃO DA NOVA SEDE DA DPRJ EM MACAÉ</t>
  </si>
  <si>
    <r>
      <rPr>
        <b/>
        <sz val="12"/>
        <rFont val="Arial"/>
        <family val="2"/>
      </rPr>
      <t>SINAPI - 12/2025 - Rio de
Janeiro
SBC - 12/2025 - Rio de
Janeiro
ORSE - 12/2025 - Sergipe CPOS/CDHU - 09/2025 -
São Paulo
FDE - 10/2025 - São Paulo EMOP - 12/2025 - Rio de
Janeiro
SCO - 12/2025 - Rio de
Janeiro</t>
    </r>
  </si>
  <si>
    <t>Não Desonerado: embutido nos preços unitário dos insumos de mão de obra, de acordo com as bases.</t>
  </si>
  <si>
    <t>Orçamento Sintético</t>
  </si>
  <si>
    <t>Item</t>
  </si>
  <si>
    <t>Código</t>
  </si>
  <si>
    <t>Banco</t>
  </si>
  <si>
    <t>Descrição</t>
  </si>
  <si>
    <t>Und</t>
  </si>
  <si>
    <t>Quant.</t>
  </si>
  <si>
    <t>Valor Unit</t>
  </si>
  <si>
    <r>
      <rPr>
        <b/>
        <sz val="12"/>
        <rFont val="Arial"/>
        <family val="2"/>
      </rPr>
      <t>Valor Unit
com BDI</t>
    </r>
  </si>
  <si>
    <t xml:space="preserve">Total </t>
  </si>
  <si>
    <t>Peso (%)</t>
  </si>
  <si>
    <t>SERVICOS DE ESCRITORIO: PROJETO EXECUTIVO</t>
  </si>
  <si>
    <t>PERCENTUAL</t>
  </si>
  <si>
    <t>1.1</t>
  </si>
  <si>
    <t>PROJETO EXECUTIVO ARQUITETURA E ESTRUTURAL</t>
  </si>
  <si>
    <t>1.1.1</t>
  </si>
  <si>
    <r>
      <rPr>
        <sz val="12"/>
        <rFont val="Arial"/>
        <family val="2"/>
      </rPr>
      <t>01.050.0356
0</t>
    </r>
  </si>
  <si>
    <t>EMOP</t>
  </si>
  <si>
    <r>
      <rPr>
        <sz val="8"/>
        <rFont val="Arial"/>
        <family val="2"/>
      </rPr>
      <t>PROJETO EXECUTIVO DE ARQUITETURA,CONSIDERANDO O PROJETO BASI CO EXISTENTE,PARA PREDIOS ESCOLARES E/OU ADMINISTRATIVOS ATE 500M2,APRESENTADO NOS PADROES DA CONTRATANTE,INCLUSIVE AS L EGALIZACOES PERTINENTES,COORDENACAO E COMPATIBILIZACAO COM O S PROJETOS COMPLEMENTARES 9% - DESPESAS ADMINISTRATIVAS E DE
MATERIAIS</t>
    </r>
  </si>
  <si>
    <t>m²</t>
  </si>
  <si>
    <t>1.1.2</t>
  </si>
  <si>
    <r>
      <rPr>
        <sz val="12"/>
        <rFont val="Arial"/>
        <family val="2"/>
      </rPr>
      <t>01.050.0552
0</t>
    </r>
  </si>
  <si>
    <t>PROJETO EXECUTIVO ESTRUTURAL PARA PREDIOS ESCOLARES E/OU ADM INISTRATIVOS ATE 500M2,CONSIDERANDO O PROJETO BASICO EXISTEN TE,APRESENTADO NOS PADROES DA CONTRATANTE,CONSTANDO DE PLANT AS DE FORMA,ARMACAO E DETALHES 9% - DESPESAS ADMINISTRATIVAS E DE MATERIAIS</t>
  </si>
  <si>
    <t>1.2</t>
  </si>
  <si>
    <t>PROJETOS EXECUTIVOS COMPLEMENTARES</t>
  </si>
  <si>
    <t>1.2.1</t>
  </si>
  <si>
    <r>
      <rPr>
        <sz val="12"/>
        <rFont val="Arial"/>
        <family val="2"/>
      </rPr>
      <t>01.050.0478
0</t>
    </r>
  </si>
  <si>
    <t>PROJETO EXECUTIVO DE INSTALACAO HIDRAULICA,CONSIDERANDO O PR OJETO BASICO EXISTENTE,PARA PREDIOS ESCOLARES E/OU ADMINISTR ATIVOS ATE 500M2,APRESENTADO NOS PADROES DA CONTRATANTE,INCL USIVE AS LEGALIZACOES PERTINENTES 9% - DESPESAS ADMINISTRATIVAS E DE MATERIAIS</t>
  </si>
  <si>
    <t>TOTAL DO EDITAL</t>
  </si>
  <si>
    <t>1.2.2</t>
  </si>
  <si>
    <r>
      <rPr>
        <sz val="12"/>
        <rFont val="Arial"/>
        <family val="2"/>
      </rPr>
      <t>01.050.0452
0</t>
    </r>
  </si>
  <si>
    <r>
      <rPr>
        <sz val="8"/>
        <rFont val="Arial"/>
        <family val="2"/>
      </rPr>
      <t>PROJETO EXECUTIVO DE INSTALACAO DE ESGOTO SANITARIO E AGUAS PLUVIAIS,CONSIDERANDO O PROJETO BASICO EXISTENTE,PARA PREDIO S ESCOLARES E/OU ADMINISTRATIVOS ATE 500M2,APRESENTADO NOS P ADROES DA CONTRATANTE,INCLUSIVE AS LEGALIZACOES PERTINENTES 9% - DESPESAS ADMINISTRATIVAS E DE
MATERIAIS</t>
    </r>
  </si>
  <si>
    <t>1.2.3</t>
  </si>
  <si>
    <r>
      <rPr>
        <sz val="12"/>
        <rFont val="Arial"/>
        <family val="2"/>
      </rPr>
      <t>01.050.0515
0</t>
    </r>
  </si>
  <si>
    <t>PROJETO EXECUTIVO DE INSTALACAO ELETRICA,CONSIDERANDO O PROJ ETO BASICO EXISTENTE,PARA PREDIOS ESCOLARES E/OU ADMINISTRAT IVOS ATE 500M2,APRESENTADO NOS PADROES DA CONTRATANTE,INCLUS IVE AS LEGALIZACOES PERTINENTES 9% - DESPESAS ADMINISTRATIVAS E DE MATERIAIS</t>
  </si>
  <si>
    <t>1.2.4</t>
  </si>
  <si>
    <r>
      <rPr>
        <sz val="12"/>
        <rFont val="Arial"/>
        <family val="2"/>
      </rPr>
      <t>01.050.0376
0</t>
    </r>
  </si>
  <si>
    <t>PROJETO EXECUTIVO DE INSTALACAO DE INCENDIO E SPDA,CONSIDERA NDO PROJETO BASICO EXISTENTE,PARA PREDIOS ESCOLARES E/OU ADM INISTRATIVOS ATE 500M2,APRESENTADO NOS PADROES DA CONTRATANT E,INCLUSIVE AS LEGALIZACOES PERTINENTES 9% - DESPESAS ADMINISTRATIVAS E DE MATERIAIS</t>
  </si>
  <si>
    <t>TOTAL ABADE</t>
  </si>
  <si>
    <t>1.2.5</t>
  </si>
  <si>
    <r>
      <rPr>
        <sz val="12"/>
        <rFont val="Arial"/>
        <family val="2"/>
      </rPr>
      <t>01.050.0530
0</t>
    </r>
  </si>
  <si>
    <r>
      <rPr>
        <sz val="8"/>
        <rFont val="Arial"/>
        <family val="2"/>
      </rPr>
      <t>PROJETO EXECUTIVO DE SISTEMA DE AR CONDICIONADO,CONSIDERANDO O PROJETO BASICO EXISTENTE,APRESENTADO NOS PADROES DA CONTRA TANTE,PARA PREDIOS COM AREA ATE 500M2 9% - DESPESAS ADMINISTRATIVAS E DE
MATERIAIS</t>
    </r>
  </si>
  <si>
    <t>1.2.6</t>
  </si>
  <si>
    <r>
      <rPr>
        <sz val="12"/>
        <rFont val="Arial"/>
        <family val="2"/>
      </rPr>
      <t>01.050.0433
0</t>
    </r>
  </si>
  <si>
    <t>PROJETO EXECUTIVO DE INSTALACAO DE TELEMATICA,CONSIDERANDO O PROJETO BASICO EXISTENTE,PARA PREDIOS ESCOLARES E/OU ADMINI STRATIVOS ACIMA DE 500M2,APRESENTADO NOS PADROES DA CONTRATA NTE,INCLUSIVE AS LEGALIZACOES PERTINENTES 9% - DESPESAS ADMINISTRATIVAS E DE MATERIAIS</t>
  </si>
  <si>
    <t>ADMINISTRAÇÃO, CANTEIRO E EQUIPAMENTOS DE OBRA</t>
  </si>
  <si>
    <t>2.1</t>
  </si>
  <si>
    <t>ADMINISTRAÇÃO LOCAL</t>
  </si>
  <si>
    <t>2.1.1</t>
  </si>
  <si>
    <t>SINAPI</t>
  </si>
  <si>
    <t>ENCARREGADO GERAL DE OBRAS COM ENCARGOS COMPLEMENTARES</t>
  </si>
  <si>
    <t>MES</t>
  </si>
  <si>
    <t>2.1.2</t>
  </si>
  <si>
    <t>ENGENHEIRO CIVIL DE OBRA JUNIOR COM ENCARGOS COMPLEMENTARES</t>
  </si>
  <si>
    <t>H</t>
  </si>
  <si>
    <t>2.1.3</t>
  </si>
  <si>
    <r>
      <rPr>
        <sz val="8"/>
        <rFont val="Arial"/>
        <family val="2"/>
      </rPr>
      <t>AUXILIAR TÉCNICO / ASSISTENTE DE ENGENHARIA COM ENCARGOS
COMPLEMENTARES</t>
    </r>
  </si>
  <si>
    <t>2.1.4</t>
  </si>
  <si>
    <r>
      <rPr>
        <sz val="8"/>
        <rFont val="Arial"/>
        <family val="2"/>
      </rPr>
      <t>TÉCNICO EM SEGURANÇA DO TRABALHO COM ENCARGOS
COMPLEMENTARES</t>
    </r>
  </si>
  <si>
    <t>2.1.5</t>
  </si>
  <si>
    <r>
      <rPr>
        <sz val="12"/>
        <rFont val="Arial"/>
        <family val="2"/>
      </rPr>
      <t>05.105.0204
0</t>
    </r>
  </si>
  <si>
    <t>SERVICO DE VIGILANCIA COM VIGIA DE OBRA,PARA 1 POSTO,CONSIDE RANDO APENAS O CUSTO APOS A JORNADA NORMAL DE TRABALHO. O CUSTO INCLUI VIGILANCIA AOS SABADOS,DOMINGOS E FERIADOS</t>
  </si>
  <si>
    <t>2.1.6</t>
  </si>
  <si>
    <r>
      <rPr>
        <sz val="12"/>
        <rFont val="Arial"/>
        <family val="2"/>
      </rPr>
      <t>05.100.0900
0</t>
    </r>
  </si>
  <si>
    <r>
      <rPr>
        <sz val="8"/>
        <rFont val="Arial"/>
        <family val="2"/>
      </rPr>
      <t>UNIDADE REF.P/COMPL.ADM LOCAL,CONSID:CONSUMO AGUA,TEL.ENERGI A ELETR.MAT.LIMPEZA ESCRITORIO,COMPUTADORES LICENCA OBRA,MOV EIS UTENSILIOS,AR COND.BEBEDOURO,ART,RRT,FOTOGRAFIAS,UNIFORM ES,DARIAS,EXAMES ADMISSIONAIS,PERIODICOS E DEMISSIONAIS,CURS OS CAPACITACAO/TREINAMENTO ITENS COMPLEMENTEM DESP.NECESS.EX CL.DESP.C/CAFE MANHA,REFEICAO,CESTA BASICA E
VALE TRANSPORTE</t>
    </r>
  </si>
  <si>
    <t>UR</t>
  </si>
  <si>
    <t>2.2</t>
  </si>
  <si>
    <t>CANTEIRO DE OBRA</t>
  </si>
  <si>
    <t>2.2.1</t>
  </si>
  <si>
    <r>
      <rPr>
        <sz val="12"/>
        <rFont val="Arial"/>
        <family val="2"/>
      </rPr>
      <t>02.002.0012
0</t>
    </r>
  </si>
  <si>
    <t>TAPUME DE VEDACAO OU PROTECAO,EXECUTADO COM TELHAS TRAPEZOID AIS DE ACO GALVANIZADO,ESPESSURA DE 0,5MM,ESTAS COM 2 VEZES DE UTILIZACAO,INCLUSIVE ENGRADAMENTO DE MADEIRA,UTILIZADO 2 VEZES,EXCLUSIVE PINTURA 3% - DESGASTE DE FERRAMENTAS E EPI</t>
  </si>
  <si>
    <t>2.2.2</t>
  </si>
  <si>
    <r>
      <rPr>
        <sz val="12"/>
        <rFont val="Arial"/>
        <family val="2"/>
      </rPr>
      <t>02.004.0005
0</t>
    </r>
  </si>
  <si>
    <t>BARRACAO DE OBRA COM DIVISAO INTERNA PARA ESCRITORIO E DEPOS ITO DE MATERIAIS,PISO DE TABUAS DE MADEIRA DE 3ª SOBRE ESTAQ UEAMENTO DE PECAS DE MADEIRA DE 3ª,3"X3",PAREDES DE TABUAS D E MADEIRA DE 3ª E COBERTURA DE TELHAS DE FIBROCIMENTO DE 6MM ,INCLUSIVE INSTALACAO ELETRICA,EXCLUSIVE PINTURA,SENDO REAPR OVEITADO 2 VEZES 3%-DESGASTE DE FERRAMENTAS E EPI 1%-GRAMPO E ROSETA DE MADEIRA</t>
  </si>
  <si>
    <t>2.2.3</t>
  </si>
  <si>
    <r>
      <rPr>
        <sz val="12"/>
        <rFont val="Arial"/>
        <family val="2"/>
      </rPr>
      <t>02.004.0013
0</t>
    </r>
  </si>
  <si>
    <r>
      <rPr>
        <sz val="8"/>
        <rFont val="Arial"/>
        <family val="2"/>
      </rPr>
      <t>SANITARIO COM VASO E CHUVEIRO PARA PESSOAL DE OBRA,COLETIVO DE 2 UNIDADES E 4,00M2 EXECUTADO COM TABUAS DE MADEIRA DE 3ª
,E TELHAS ONDULADAS DE 6MM DE FIBROCIMENTO,INCLUSIVE INSTALA COES,APARELHOS,ESQUADRIAS E FERRAGENS CONSIDERANDO REAPROVEI TAMENTO DAS INSTALACOES E APARELHOS 2 VEZES 3% - DESGASTE DE FERRAMENTAS E EPI 10% - GRAMPO E ROSETA DE MADEIRA</t>
    </r>
  </si>
  <si>
    <t>UN</t>
  </si>
  <si>
    <t>2.2.4</t>
  </si>
  <si>
    <t>FORNECIMENTO E INSTALAÇÃO DE PLACA DE OBRA COM CHAPA GALVANIZADA E ESTRUTURA DE MADEIRA. AF_03/2022_PS</t>
  </si>
  <si>
    <t>2.2.5</t>
  </si>
  <si>
    <r>
      <rPr>
        <sz val="12"/>
        <rFont val="Arial"/>
        <family val="2"/>
      </rPr>
      <t>02.015.0001
0</t>
    </r>
  </si>
  <si>
    <t>INSTALACAO E LIGACAO PROVISORIA PARA ABASTECIMENTO DE AGUA E ESGOTAMENTO SANITARIO EM CANTEIRO DE OBRAS,INCLUSIVE ESCAVA CAO,EXCLUSIVE REPOSICAO DA PAVIMENTACAO DO LOGRADOURO PUBLIC O 3% - DESGASTE DE FERRAMENTAS E EPI</t>
  </si>
  <si>
    <t>2.2.6</t>
  </si>
  <si>
    <r>
      <rPr>
        <sz val="12"/>
        <rFont val="Arial"/>
        <family val="2"/>
      </rPr>
      <t>02.016.0001
0</t>
    </r>
  </si>
  <si>
    <t>INSTALACAO E LIGACAO PROVISORIA DE ALIMENTACAO DE ENERGIA EL ETRICA,EM BAIXA TENSAO,PARA CANTEIRO DE OBRAS,M3-CHAVE 100A, CARGA 3KW,20CV,EXCLUSIVE O FORNECIMENTO DO MEDIDOR 3% - DESGASTE DE FERRAMENTAS E EPI</t>
  </si>
  <si>
    <t>2.3</t>
  </si>
  <si>
    <t>ANDAIMES</t>
  </si>
  <si>
    <t>2.3.1</t>
  </si>
  <si>
    <t>MONTAGEM E DESMONTAGEM DE ANDAIME MODULAR FACHADEIRO, COM PISO METÁLICO, PARA EDIFÍCIOS COM MULTIPLOS PAVIMENTOS (EXCLUSIVE ANDAIME E LIMPEZA). AF_03/2024</t>
  </si>
  <si>
    <t>2.3.2</t>
  </si>
  <si>
    <t>MONTAGEM E DESMONTAGEM DE ANDAIME TUBULAR TIPO "TORRE" (EXCLUSIVE ANDAIME E LIMPEZA). AF_03/2024</t>
  </si>
  <si>
    <t>M</t>
  </si>
  <si>
    <t>2.3.3</t>
  </si>
  <si>
    <t>LOCACAO DE ANDAIME METALICO TIPO FACHADEIRO, PECAS COM APROXIMADAMENTE 1,20 M DE LARGURA E 2,0 M DE ALTURA, INCLUINDO DIAGONAIS EM X, BARRAS DE LIGACAO, SAPATAS E DEMAIS ITENS NECESSARIOS A MONTAGEM (NAO INCLUI INSTALACAO)</t>
  </si>
  <si>
    <t>M2XMES</t>
  </si>
  <si>
    <t>2.3.4</t>
  </si>
  <si>
    <r>
      <rPr>
        <sz val="8"/>
        <rFont val="Arial"/>
        <family val="2"/>
      </rPr>
      <t>LOCACAO DE ANDAIME METALICO TUBULAR DE ENCAIXE, TIPO DE TORRE, CADA PAINEL COM LARGURA DE 1 ATE 1,5 M E ALTURA DE *1,00* M, INCLUINDO DIAGONAL, BARRAS DE LIGACAO, SAPATAS OU RODIZIOS E DEMAIS ITENS NECESSARIOS A MONTAGEM (NAO INCLUI
INSTALACAO)</t>
    </r>
  </si>
  <si>
    <t>MXMES</t>
  </si>
  <si>
    <t>SERVICOS DE ESCRITORIO, LABORATORIO E CAMPO</t>
  </si>
  <si>
    <t>3.1</t>
  </si>
  <si>
    <t>ENSAIOS E CONTROLES</t>
  </si>
  <si>
    <t>3.1.1</t>
  </si>
  <si>
    <r>
      <rPr>
        <sz val="12"/>
        <rFont val="Arial"/>
        <family val="2"/>
      </rPr>
      <t>01.003.0001
0</t>
    </r>
  </si>
  <si>
    <t>SONDAGEM A PERCUSSAO,EM TERRENO COMUM,COM ENSAIO DE PENETRAC AO,DIAMETRO 3",INCLUSIVE DESLOCAMENTO DENTRO DO CANTEIRO E I NSTALACAO DA SONDA EM CADA FURO</t>
  </si>
  <si>
    <t>3.1.2</t>
  </si>
  <si>
    <r>
      <rPr>
        <sz val="12"/>
        <rFont val="Arial"/>
        <family val="2"/>
      </rPr>
      <t>01.016.0210
0</t>
    </r>
  </si>
  <si>
    <t>LEVANTAMENTO TOPOGRAFICO PLANIALTIMETRICO E CADASTRAL,COM CU RVAS DE NIVEL A CADA 1,00M,CONSIDERANDO TERRENO DE OROGRAFIA NAO ACIDENTADA,VEGETACAO RALA E EDIFICACAO MEDIA.CUSTO PARA AREA ATE 5000M2 (ESCALA 1:250/500)</t>
  </si>
  <si>
    <t>3.1.3</t>
  </si>
  <si>
    <r>
      <rPr>
        <sz val="12"/>
        <rFont val="Arial"/>
        <family val="2"/>
      </rPr>
      <t>01.001.0151
0</t>
    </r>
  </si>
  <si>
    <t>CONTROLE TECNOLOGICO DE OBRAS EM CONCRETO ARMADO CONSIDERAND O APENAS O CONTROLE DO CONCRETO E CONSTANDO DE COLETA,MOLDAG EM E CAPEAMENTO DE CORPOS DE PROVA,TRANSPORTE ATE 100KM,ENSA IOS DE RESISTENCIA A COMPRESSAO AOS 3, 7 E 28 DIAS E "SLUMP TEST",MEDIDO POR M3 DE CONCRETO COLOCADO NAS FORMAS</t>
  </si>
  <si>
    <t>m³</t>
  </si>
  <si>
    <t>3.2</t>
  </si>
  <si>
    <t>SERVIÇOS PRELIMINARES</t>
  </si>
  <si>
    <t>3.2.1</t>
  </si>
  <si>
    <r>
      <rPr>
        <sz val="12"/>
        <rFont val="Arial"/>
        <family val="2"/>
      </rPr>
      <t>01.006.0004
0</t>
    </r>
  </si>
  <si>
    <r>
      <rPr>
        <sz val="8"/>
        <rFont val="Arial"/>
        <family val="2"/>
      </rPr>
      <t>DESMATAMENTO E LIMPEZA DE TERRENOS COM TRATOR DE ESTEIRAS
CO M POTENCIA EM TORNO DE 200CV 3% - DESGASTE DE FERRAMENTAS E EPI</t>
    </r>
  </si>
  <si>
    <t>3.2.2</t>
  </si>
  <si>
    <r>
      <rPr>
        <sz val="12"/>
        <rFont val="Arial"/>
        <family val="2"/>
      </rPr>
      <t>01.006.0010
0</t>
    </r>
  </si>
  <si>
    <r>
      <rPr>
        <sz val="8"/>
        <rFont val="Arial"/>
        <family val="2"/>
      </rPr>
      <t>REGULARIZACAO DE TERRENO COM TRATOR EM TORNO DE 80CV,COMPREE NDENDO ACERTO,RASPAGEM EVENTUALMENTE ATE
0,30M DE PROFUNDIDA DE E AFASTAMENTO LATERAL DO MATERIAL EXCEDENTE 3% - DESGASTE DE FERRAMENTAS E EPI</t>
    </r>
  </si>
  <si>
    <t>3.2.3</t>
  </si>
  <si>
    <r>
      <rPr>
        <sz val="12"/>
        <rFont val="Arial"/>
        <family val="2"/>
      </rPr>
      <t>01.018.0002
0</t>
    </r>
  </si>
  <si>
    <t>LOCACAO DE OBRA COM APARELHO TOPOGRAFICO SOBRE CERCA DE MARC ACAO,INCLUSIVE CONSTRUCAO DESTA E SUA PRE-LOCACAO E O FORNEC IMENTO DO MATERIAL E TENDO POR MEDICAO O PERIMETRO A CONSTRU IR 3% - DESGASTE DE FERRAMENTAS E EPI</t>
  </si>
  <si>
    <t>3.2.4</t>
  </si>
  <si>
    <r>
      <rPr>
        <sz val="12"/>
        <rFont val="Arial"/>
        <family val="2"/>
      </rPr>
      <t>22.030.0065
0</t>
    </r>
  </si>
  <si>
    <t>REMOCAO DE ESPECIES VEGETAIS,PORTE GRANDE (ACIMA DE 6M DE AL TURA),INCLUSIVE CARGA,DESCARGA E TRANSPORTE DO MATERIAL ATE 30KM 3%-DESGASTE DE FERRAMENTAS E EPI</t>
  </si>
  <si>
    <t>3.2.5</t>
  </si>
  <si>
    <r>
      <rPr>
        <sz val="12"/>
        <rFont val="Arial"/>
        <family val="2"/>
      </rPr>
      <t>22.030.0050
0</t>
    </r>
  </si>
  <si>
    <t>REMOCAO DE ESPECIES VEGETAIS,PORTE MUDA (ATE 2M DE ALTURA), INCLUSIVE CARGA,DESCARGA E TRANSPORTE DO MATERIAL ATE 30KM 3%-DESGASTE DE FERRAMENTAS E EPI</t>
  </si>
  <si>
    <t>3.3</t>
  </si>
  <si>
    <t>MOVIMENTO DE TERRA</t>
  </si>
  <si>
    <t>3.3.1</t>
  </si>
  <si>
    <t>ESCAVAÇÃO MANUAL PARA BLOCO DE COROAMENTO OU SAPATA (SEM ESCAVAÇÃO PARA COLOCAÇÃO DE FÔRMAS). AF_01/2024</t>
  </si>
  <si>
    <t>3.3.2</t>
  </si>
  <si>
    <t>PREPARO DE FUNDO DE VALA COM LARGURA MENOR QUE 1,5 M (ACERTO DO SOLO NATURAL). AF_08/2020</t>
  </si>
  <si>
    <t>3.3.3</t>
  </si>
  <si>
    <t>ESCAVAÇÃO MANUAL DE VALA. AF_09/2024</t>
  </si>
  <si>
    <t>3.3.4</t>
  </si>
  <si>
    <r>
      <rPr>
        <sz val="8"/>
        <rFont val="Arial"/>
        <family val="2"/>
      </rPr>
      <t>REATERRO MANUAL DE VALAS, COM COMPACTADOR DE SOLOS DE
PERCUSSÃO. AF_08/2023</t>
    </r>
  </si>
  <si>
    <t>3.3.5</t>
  </si>
  <si>
    <t>ESCAVAÇÃO MECANIZADA DE VALA COM PROF. MAIOR QUE 1,5 M ATÉ 3,0 M (MÉDIA MONTANTE E JUSANTE/UMA COMPOSIÇÃO POR TRECHO),COM ESCAVADEIRA (1,2 M3),LARG. DE 1,5 M A 2,5 M, EM SOLO DE 1A CATEGORIA, LOCAIS COM BAIXO NÍVEL DE INTERFERÊNCIA. AF_09/2024</t>
  </si>
  <si>
    <t>3.3.6</t>
  </si>
  <si>
    <t>PREPARO DE FUNDO DE VALA COM LARGURA MAIOR OU IGUAL A 1,5 M E MENOR QUE 2,5 M, COM CAMADA DE BRITA, LANÇAMENTO  MECANIZADO. AF_08/2020</t>
  </si>
  <si>
    <t>3.3.7</t>
  </si>
  <si>
    <t>ATERRO MANUAL DE VALAS COM SOLO ARGILO-ARENOSO. AF_08/2023</t>
  </si>
  <si>
    <t>3.3.8</t>
  </si>
  <si>
    <r>
      <rPr>
        <sz val="8"/>
        <rFont val="Arial"/>
        <family val="2"/>
      </rPr>
      <t>ESCORAMENTO DE VALA, TIPO CONTÍNUO, COM PROFUNDIDADE DE 1,5 A 3,0 M, LARGURA MAIOR OU IGUAL A 1,5 M E MENOR QUE 2,5 M.
AF_08/2020</t>
    </r>
  </si>
  <si>
    <t>FUNDAÇÕES</t>
  </si>
  <si>
    <t>4.1</t>
  </si>
  <si>
    <t>MOBILIZAÇÃO E PERFURAÇÃO</t>
  </si>
  <si>
    <t>4.1.1</t>
  </si>
  <si>
    <r>
      <rPr>
        <sz val="12"/>
        <rFont val="Arial"/>
        <family val="2"/>
      </rPr>
      <t>01.009.0050
0</t>
    </r>
  </si>
  <si>
    <t>MOBILIZACAO E DESMOBILIZACAO DE EQUIPAMENTO E EQUIPE DE SOND AGEM E PERFURACAO ROTATIVA,COM TRANSPORTE ATE 50KM 34% - DESGASTE DE FERRAMENTAS E EPI (3%) E ASSISTENCIA TECNI CA (30%)</t>
  </si>
  <si>
    <t>4.1.2</t>
  </si>
  <si>
    <t>11.046.0180</t>
  </si>
  <si>
    <t>BOMBEAMENTO PARA CONCRETO DE ALTO DESEMPENHO</t>
  </si>
  <si>
    <t>4.2</t>
  </si>
  <si>
    <t>ESTACAS</t>
  </si>
  <si>
    <t>4.2.1</t>
  </si>
  <si>
    <t>ESTACA HÉLICE CONTÍNUA, DIÂMETRO DE 50 CM, INCLUSO CONCRETO FCK=30MPA E ARMADURA MÍNIMA (EXCLUSIVE BOMBEAMENTO, MOBILIZAÇÃO E DESMOBILIZAÇÃO). AF_12/2019</t>
  </si>
  <si>
    <t>4.2.2</t>
  </si>
  <si>
    <r>
      <rPr>
        <sz val="8"/>
        <rFont val="Arial"/>
        <family val="2"/>
      </rPr>
      <t>ARRASAMENTO MECANICO DE ESTACA DE CONCRETO ARMADO,
DIAMETROS DE 41 CM A 60 CM. AF_05/2021</t>
    </r>
  </si>
  <si>
    <t>SUPERESTRUTURA</t>
  </si>
  <si>
    <t>5.1</t>
  </si>
  <si>
    <t>BLOCOS DE COROAMENTO E BALDRAMES</t>
  </si>
  <si>
    <t>5.1.1</t>
  </si>
  <si>
    <r>
      <rPr>
        <sz val="8"/>
        <rFont val="Arial"/>
        <family val="2"/>
      </rPr>
      <t>CONCRETO MAGRO PARA LASTRO, TRAÇO 1:4,5:4,5 (EM MASSA SECA DE CIMENTO/ AREIA MÉDIA/ SEIXO ROLADO) - PREPARO MECÂNICO COM
BETONEIRA 400 L. AF_05/2021</t>
    </r>
  </si>
  <si>
    <t>5.1.2</t>
  </si>
  <si>
    <t>FABRICAÇÃO, MONTAGEM E DESMONTAGEM DE FÔRMA PARA BLOCO DE COROAMENTO, EM CHAPA DE MADEIRA COMPENSADA RESINADA, E=17 MM, 4 UTILIZAÇÕES. AF_01/2024</t>
  </si>
  <si>
    <t>5.1.3</t>
  </si>
  <si>
    <t>FABRICAÇÃO, MONTAGEM E DESMONTAGEM DE FÔRMA PARA VIGA BALDRAME, EM MADEIRA SERRADA, E=25 MM, 4 UTILIZAÇÕES. AF_01/2024</t>
  </si>
  <si>
    <t>5.1.4</t>
  </si>
  <si>
    <t>ARMAÇÃO DE BLOCO UTILIZANDO AÇO CA-50 DE 8 MM - MONTAGEM. AF_01/2024</t>
  </si>
  <si>
    <t>KG</t>
  </si>
  <si>
    <t>5.1.5</t>
  </si>
  <si>
    <r>
      <rPr>
        <sz val="8"/>
        <rFont val="Arial"/>
        <family val="2"/>
      </rPr>
      <t>ARMAÇÃO DE BLOCO UTILIZANDO AÇO CA-50 DE 10 MM - MONTAGEM.
AF_01/2024</t>
    </r>
  </si>
  <si>
    <t>5.1.6</t>
  </si>
  <si>
    <t>ARMAÇÃO DE BLOCO, SAPATA ISOLADA, VIGA BALDRAME E SAPATA CORRIDA UTILIZANDO AÇO CA-50 DE 12,5 MM - MONTAGEM. AF_01/2024</t>
  </si>
  <si>
    <t>5.1.7</t>
  </si>
  <si>
    <t>ARMAÇÃO DE SAPATA ISOLADA, VIGA BALDRAME E SAPATA CORRIDA UTILIZANDO AÇO CA-60 DE 5 MM - MONTAGEM. AF_01/2024</t>
  </si>
  <si>
    <t>5.1.8</t>
  </si>
  <si>
    <t>ARMAÇÃO DE SAPATA ISOLADA, VIGA BALDRAME E SAPATA CORRIDA UTILIZANDO AÇO CA-50 DE 8 MM - MONTAGEM. AF_01/2024</t>
  </si>
  <si>
    <t>5.1.9</t>
  </si>
  <si>
    <t>ARMAÇÃO DE SAPATA ISOLADA, VIGA BALDRAME E SAPATA CORRIDA UTILIZANDO AÇO CA-50 DE 10 MM - MONTAGEM. AF_01/2024</t>
  </si>
  <si>
    <t>CONCRETAGEM DE BLOCO DE COROAMENTO OU VIGA BALDRAME, FCK 30 MPA, COM USO DE BOMBA - LANÇAMENTO, ADENSAMENTO E ACABAMENTO. AF_01/2024</t>
  </si>
  <si>
    <t>IMPERMEABILIZAÇÃO DE SUPERFÍCIE COM EMULSÃO ASFÁLTICA, 2 DEMÃOS. AF_09/2023</t>
  </si>
  <si>
    <r>
      <rPr>
        <sz val="12"/>
        <rFont val="Arial"/>
        <family val="2"/>
      </rPr>
      <t>11.015.0010
0</t>
    </r>
  </si>
  <si>
    <t>ADITIVO EM PO HIDROFUGANTE E IMPERMEABILIZANTE,DESENVOLVIDO COM NANOTECNOLOGIA,PARA ADICAO EM CONCRETOS E ARGAMASSAS</t>
  </si>
  <si>
    <t>5.2</t>
  </si>
  <si>
    <t>PILARES</t>
  </si>
  <si>
    <t>5.2.1</t>
  </si>
  <si>
    <t>MONTAGEM E DESMONTAGEM DE FÔRMA DE PILARES RETANGULARES E ESTRUTURAS SIMILARES, PÉ-DIREITO SIMPLES, EM CHAPA DE MADEIRA COMPENSADA RESINADA, 4 UTILIZAÇÕES. AF_09/2020</t>
  </si>
  <si>
    <t>5.2.2</t>
  </si>
  <si>
    <t>ARMAÇÃO DE PILAR OU VIGA DE ESTRUTURA CONVENCIONAL DE CONCRETO ARMADO UTILIZANDO AÇO CA-60 DE 5,0 MM - MONTAGEM. AF_06/2022</t>
  </si>
  <si>
    <t>5.2.3</t>
  </si>
  <si>
    <t>ARMAÇÃO DE PILAR OU VIGA DE ESTRUTURA CONVENCIONAL DE CONCRETO ARMADO UTILIZANDO AÇO CA-50 DE 6,3 MM - MONTAGEM. AF_06/2022</t>
  </si>
  <si>
    <t>5.2.4</t>
  </si>
  <si>
    <t>ARMAÇÃO DE PILAR OU VIGA DE ESTRUTURA CONVENCIONAL DE CONCRETO ARMADO UTILIZANDO AÇO CA-50 DE 10,0 MM - MONTAGEM. AF_06/2022</t>
  </si>
  <si>
    <t>5.2.5</t>
  </si>
  <si>
    <t>ARMAÇÃO DE PILAR OU VIGA DE ESTRUTURA CONVENCIONAL DE CONCRETO ARMADO UTILIZANDO AÇO CA-50 DE 12,5 MM - MONTAGEM. AF_06/2022</t>
  </si>
  <si>
    <t>5.2.6</t>
  </si>
  <si>
    <t>COMP. MACAÉ 5</t>
  </si>
  <si>
    <t>Próprio</t>
  </si>
  <si>
    <t>CONCRETAGEM DE PILARES, FCK = 30 MPA, COM USO DE BOMBA - LANÇAMENTO, ADENSAMENTO E ACABAMENTO</t>
  </si>
  <si>
    <t>5.3</t>
  </si>
  <si>
    <t>VIGAMENTO E LAJES</t>
  </si>
  <si>
    <t>5.3.1</t>
  </si>
  <si>
    <t>MONTAGEM E DESMONTAGEM DE FÔRMA DE VIGA, ESCORAMENTO COM GARFO DE MADEIRA, PÉ-DIREITO DUPLO, EM CHAPA DE MADEIRA PLASTIFICADA, 14 UTILIZAÇÕES. AF_09/2020</t>
  </si>
  <si>
    <t>5.3.2</t>
  </si>
  <si>
    <t>MONTAGEM E DESMONTAGEM DE FÔRMA DE LAJE MACIÇA, PÉ-DIREITO SIMPLES, EM CHAPA DE MADEIRA COMPENSADA RESINADA, 2 UTILIZAÇÕES. AF_09/2020</t>
  </si>
  <si>
    <t>5.3.3</t>
  </si>
  <si>
    <t>ESCORAMENTO DE FÔRMAS DE LAJE EM MADEIRA NÃO APARELHADA, PÉ-DIREITO SIMPLES, INCLUSO TRAVAMENTO, 4 UTILIZAÇÕES. AF_09/2020</t>
  </si>
  <si>
    <t>5.3.4</t>
  </si>
  <si>
    <r>
      <rPr>
        <sz val="8"/>
        <rFont val="Arial"/>
        <family val="2"/>
      </rPr>
      <t>ARMAÇÃO DE PILAR OU VIGA DE ESTRUTURA CONVENCIONAL DE CONCRETO ARMADO UTILIZANDO AÇO CA-60 DE 5,0 MM - MONTAGEM.
AF_06/2022</t>
    </r>
  </si>
  <si>
    <t>5.3.5</t>
  </si>
  <si>
    <r>
      <rPr>
        <sz val="8"/>
        <rFont val="Arial"/>
        <family val="2"/>
      </rPr>
      <t>ARMAÇÃO DE PILAR OU VIGA DE ESTRUTURA CONVENCIONAL DE CONCRETO ARMADO UTILIZANDO AÇO CA-50 DE 6,3 MM - MONTAGEM.
AF_06/2022</t>
    </r>
  </si>
  <si>
    <t>5.3.6</t>
  </si>
  <si>
    <r>
      <rPr>
        <sz val="8"/>
        <rFont val="Arial"/>
        <family val="2"/>
      </rPr>
      <t>ARMAÇÃO DE PILAR OU VIGA DE ESTRUTURA CONVENCIONAL DE
CONCRETO ARMADO UTILIZANDO AÇO CA-50 DE 8,0 MM - MONTAGEM. AF_06/2022</t>
    </r>
  </si>
  <si>
    <t>5.3.7</t>
  </si>
  <si>
    <r>
      <rPr>
        <sz val="8"/>
        <rFont val="Arial"/>
        <family val="2"/>
      </rPr>
      <t>ARMAÇÃO DE PILAR OU VIGA DE ESTRUTURA CONVENCIONAL DE CONCRETO ARMADO UTILIZANDO AÇO CA-50 DE 10,0 MM - MONTAGEM.
AF_06/2022</t>
    </r>
  </si>
  <si>
    <t>5.3.8</t>
  </si>
  <si>
    <r>
      <rPr>
        <sz val="8"/>
        <rFont val="Arial"/>
        <family val="2"/>
      </rPr>
      <t>ARMAÇÃO DE PILAR OU VIGA DE ESTRUTURA CONVENCIONAL DE
CONCRETO ARMADO UTILIZANDO AÇO CA-50 DE 12,5 MM - MONTAGEM. AF_06/2022</t>
    </r>
  </si>
  <si>
    <t>5.3.9</t>
  </si>
  <si>
    <r>
      <rPr>
        <sz val="8"/>
        <rFont val="Arial"/>
        <family val="2"/>
      </rPr>
      <t>ARMAÇÃO DE PILAR OU VIGA DE ESTRUTURA DE CONCRETO ARMADO EMBUTIDA EM ALVENARIA DE VEDAÇÃO UTILIZANDO AÇO CA-50 DE 16,0
MM - MONTAGEM. AF_06/2022</t>
    </r>
  </si>
  <si>
    <t>ARMAÇÃO DE LAJE DE ESTRUTURA CONVENCIONAL DE CONCRETO ARMADO UTILIZANDO AÇO CA-60 DE 5,0 MM - MONTAGEM. AF_06/2022</t>
  </si>
  <si>
    <t>ARMAÇÃO DE LAJE DE ESTRUTURA CONVENCIONAL DE CONCRETO ARMADO UTILIZANDO AÇO CA-50 DE 6,3 MM - MONTAGEM. AF_06/2022</t>
  </si>
  <si>
    <t>ARMAÇÃO DE LAJE DE ESTRUTURA CONVENCIONAL DE CONCRETO ARMADO UTILIZANDO AÇO CA-50 DE 8,0 MM - MONTAGEM. AF_06/2022</t>
  </si>
  <si>
    <t>ARMAÇÃO DE LAJE DE ESTRUTURA CONVENCIONAL DE CONCRETO ARMADO UTILIZANDO AÇO CA-50 DE 10,0 MM - MONTAGEM. AF_06/2022</t>
  </si>
  <si>
    <t>ARMAÇÃO DE LAJE DE ESTRUTURA CONVENCIONAL DE CONCRETO ARMADO UTILIZANDO AÇO CA-50 DE 12,5 MM - MONTAGEM. AF_06/2022</t>
  </si>
  <si>
    <t>COMP. MACAÉ 4</t>
  </si>
  <si>
    <r>
      <rPr>
        <sz val="8"/>
        <rFont val="Arial"/>
        <family val="2"/>
      </rPr>
      <t>CONCRETAGEM DE VIGAS E LAJES, FCK=30 MPA, PARA LAJES MACIÇAS
OU NERVURADAS COM USO DE BOMBA - LANÇAMENTO, ADENSAMENTO E ACABAMENTO</t>
    </r>
  </si>
  <si>
    <t>5.4</t>
  </si>
  <si>
    <t>ESCADAS E RAMPAS</t>
  </si>
  <si>
    <t>5.4.1</t>
  </si>
  <si>
    <t>EXECUÇÃO DE LAJE SOBRE SOLO, ESPESSURA DE 10 CM, FCK = 30 MPA, COM USO DE FORMAS EM MADEIRA SERRADA. AF_09/2021</t>
  </si>
  <si>
    <t>5.4.2</t>
  </si>
  <si>
    <t>FABRICAÇÃO DE FÔRMA PARA ESCADAS, COM 1 LANCE E LAJE PLANA, EM CHAPA DE MADEIRA COMPENSADA RESINADA, E= 17 MM. AF_11/2020</t>
  </si>
  <si>
    <t>5.4.3</t>
  </si>
  <si>
    <r>
      <rPr>
        <sz val="8"/>
        <rFont val="Arial"/>
        <family val="2"/>
      </rPr>
      <t>ARMAÇÃO DE ESCADA, DE UMA ESTRUTURA CONVENCIONAL DE
CONCRETO ARMADO UTILIZANDO AÇO CA-60 DE 5,0 MM - MONTAGEM. AF_11/2020</t>
    </r>
  </si>
  <si>
    <t>5.4.4</t>
  </si>
  <si>
    <r>
      <rPr>
        <sz val="8"/>
        <rFont val="Arial"/>
        <family val="2"/>
      </rPr>
      <t>ARMAÇÃO DE ESCADA, DE UMA ESTRUTURA CONVENCIONAL DE CONCRETO ARMADO UTILIZANDO AÇO CA-50 DE 6,3 MM - MONTAGEM.
AF_11/2020</t>
    </r>
  </si>
  <si>
    <t>5.4.5</t>
  </si>
  <si>
    <r>
      <rPr>
        <sz val="8"/>
        <rFont val="Arial"/>
        <family val="2"/>
      </rPr>
      <t>ARMAÇÃO DE ESCADA, DE UMA ESTRUTURA CONVENCIONAL DE
CONCRETO ARMADO UTILIZANDO AÇO CA-50 DE 8,0 MM - MONTAGEM. AF_11/2020</t>
    </r>
  </si>
  <si>
    <t>5.4.6</t>
  </si>
  <si>
    <t>CONCRETAGEM DE ESCADAS, FCK=25 MPA, COM USO DE BOMBA - LANÇAMENTO, ADENSAMENTO E ACABAMENTO. AF_02/2022_PS</t>
  </si>
  <si>
    <t>5.5</t>
  </si>
  <si>
    <t>CASA DE MÁQUINAS E RESERVATÓRIOS</t>
  </si>
  <si>
    <t>5.5.1</t>
  </si>
  <si>
    <r>
      <rPr>
        <sz val="8"/>
        <rFont val="Arial"/>
        <family val="2"/>
      </rPr>
      <t>MONTAGEM E DESMONTAGEM DE FÔRMA DE LAJE MACIÇA, PÉ-DIREITO
SIMPLES, EM CHAPA DE MADEIRA COMPENSADA RESINADA, 2 UTILIZAÇÕES. AF_09/2020</t>
    </r>
  </si>
  <si>
    <t>5.5.2</t>
  </si>
  <si>
    <r>
      <rPr>
        <sz val="12"/>
        <rFont val="Arial"/>
        <family val="2"/>
      </rPr>
      <t>11.004.0020
1</t>
    </r>
  </si>
  <si>
    <r>
      <rPr>
        <sz val="8"/>
        <rFont val="Arial"/>
        <family val="2"/>
      </rPr>
      <t>FORMAS DE MADEIRA DE 3ª PARA MOLDAGEM DE PECAS DE CONCRETO A RMADO COM PARAMENTOS PLANOS,EM LAJES,VIGAS,PAREDES,ETC,SERVI NDO A MADEIRA 3 VEZES,INCLUSIVE DESMOLDAGEM,EXCLUSIVE ESCORA MENTO. 3%-DESGASTE DE
FERRAMENTAS E EPI</t>
    </r>
  </si>
  <si>
    <t>5.5.3</t>
  </si>
  <si>
    <r>
      <rPr>
        <sz val="8"/>
        <rFont val="Arial"/>
        <family val="2"/>
      </rPr>
      <t>ESCORAMENTO DE FÔRMAS DE LAJE EM MADEIRA NÃO APARELHADA, PÉ-DIREITO SIMPLES, INCLUSO TRAVAMENTO, 4 UTILIZAÇÕES.
AF_09/2020</t>
    </r>
  </si>
  <si>
    <t>5.5.4</t>
  </si>
  <si>
    <t>5.5.5</t>
  </si>
  <si>
    <t>5.5.6</t>
  </si>
  <si>
    <t>5.5.7</t>
  </si>
  <si>
    <t>5.5.8</t>
  </si>
  <si>
    <t>ARMAÇÃO DO SISTEMA DE PAREDES DE CONCRETO, EXECUTADA COMO REFORÇO, VERGALHÃO DE 5,0 MM DE DIÂMETRO. AF_12/2024</t>
  </si>
  <si>
    <t>5.5.9</t>
  </si>
  <si>
    <t>ARMAÇÃO DO SISTEMA DE PAREDES DE CONCRETO, EXECUTADA COMO REFORÇO, VERGALHÃO DE 8,0 MM DE DIÂMETRO. AF_12/2024</t>
  </si>
  <si>
    <t>ARMAÇÃO DO SISTEMA DE PAREDES DE CONCRETO, EXECUTADA COMO REFORÇO, VERGALHÃO DE 10,0 MM DE DIÂMETRO. AF_12/2024</t>
  </si>
  <si>
    <t>ARMAÇÃO DO SISTEMA DE PAREDES DE CONCRETO, EXECUTADA COMO REFORÇO, VERGALHÃO DE 12,5 MM DE DIÂMETRO. AF_12/2024</t>
  </si>
  <si>
    <t>CONCRETAGEM DE VIGAS E LAJES, FCK=30 MPA, PARA LAJES MACIÇAS OU NERVURADAS COM USO DE BOMBA - LANÇAMENTO, ADENSAMENTO E ACABAMENTO</t>
  </si>
  <si>
    <t>COMP. MACAÉ 6</t>
  </si>
  <si>
    <t>CONCRETAGEM DE RESERVATÓRIOS, FCK=30 MPA, COM USO DE BOMBA - LANÇAMENTO, ADENSAMENTO E ACABAMENTO</t>
  </si>
  <si>
    <t>5.6</t>
  </si>
  <si>
    <t>MUROS</t>
  </si>
  <si>
    <t>5.6.1</t>
  </si>
  <si>
    <t>FABRICAÇÃO, MONTAGEM E DESMONTAGEM DE FÔRMA PARA SAPATA CORRIDA, EM MADEIRA SERRADA, E=25 MM, 4 UTILIZAÇÕES. AF_01/2024</t>
  </si>
  <si>
    <t>5.6.2</t>
  </si>
  <si>
    <t>5.6.3</t>
  </si>
  <si>
    <t>5.6.4</t>
  </si>
  <si>
    <t>5.6.5</t>
  </si>
  <si>
    <r>
      <rPr>
        <sz val="8"/>
        <rFont val="Arial"/>
        <family val="2"/>
      </rPr>
      <t>ARMAÇÃO DE PILAR OU VIGA DE ESTRUTURA CONVENCIONAL DE
CONCRETO ARMADO UTILIZANDO AÇO CA-60 DE 5,0 MM - MONTAGEM. AF_06/2022</t>
    </r>
  </si>
  <si>
    <t>5.6.6</t>
  </si>
  <si>
    <t>5.6.7</t>
  </si>
  <si>
    <t>5.6.8</t>
  </si>
  <si>
    <t>CONCRETAGEM DE SAPATA CORRIDA, FCK 30 MPA, COM USO DE BOMBA - LANÇAMENTO, ADENSAMENTO E ACABAMENTO. AF_01/2024</t>
  </si>
  <si>
    <t>5.6.9</t>
  </si>
  <si>
    <t>FECHAMENTO, REVESTIMENTOS E PAVIMENTOS</t>
  </si>
  <si>
    <t>6.1</t>
  </si>
  <si>
    <t>ALVENARIAS</t>
  </si>
  <si>
    <t>6.1.1</t>
  </si>
  <si>
    <t>ALVENARIA DE VEDAÇÃO DE BLOCOS CERÂMICOS FURADOS NA VERTICAL DE 9X19X39 CM (ESPESSURA 9 CM) E ARGAMASSA DE ASSENTAMENTO COM PREPARO EM BETONEIRA. AF_12/2021</t>
  </si>
  <si>
    <t>6.1.2</t>
  </si>
  <si>
    <t>ALVENARIA DE VEDAÇÃO DE BLOCOS CERÂMICOS FURADOS NA HORIZONTAL DE 19X19X39 CM (ESPESSURA 19 CM) E ARGAMASSA DE ASSENTAMENTO COM PREPARO MANUAL. AF_12/2021</t>
  </si>
  <si>
    <t>6.1.3</t>
  </si>
  <si>
    <t>ALVENARIA DE VEDAÇÃO DE BLOCOS VAZADOS DE CONCRETO DE 14X19X39 CM (ESPESSURA 14 CM) E ARGAMASSA DE ASSENTAMENTO COM PREPARO EM BETONEIRA. AF_12/2021</t>
  </si>
  <si>
    <t>6.1.4</t>
  </si>
  <si>
    <r>
      <rPr>
        <sz val="8"/>
        <rFont val="Arial"/>
        <family val="2"/>
      </rPr>
      <t>FIXAÇÃO (ENCUNHAMENTO) DE ALVENARIA DE VEDAÇÃO COM ESPUMA
DE POLIURETANO EXPANSIVA. AF_03/2024</t>
    </r>
  </si>
  <si>
    <t>6.1.5</t>
  </si>
  <si>
    <t>VERGA MOLDADA IN LOCO EM CONCRETO, ESPESSURA DE *20* CM. AF_03/2024</t>
  </si>
  <si>
    <t>6.1.6</t>
  </si>
  <si>
    <r>
      <rPr>
        <sz val="8"/>
        <rFont val="Arial"/>
        <family val="2"/>
      </rPr>
      <t>CONTRAVERGA MOLDADA IN LOCO EM CONCRETO, ESPESSURA DE *20*
CM. AF_03/2024</t>
    </r>
  </si>
  <si>
    <t>6.1.7</t>
  </si>
  <si>
    <r>
      <rPr>
        <sz val="8"/>
        <rFont val="Arial"/>
        <family val="2"/>
      </rPr>
      <t>TRATAMENTO DE JUNTA DE DILATAÇÃO, COM TARUGO DE POLIETILENO
E SELANTE PU, INCLUSO PREENCHIMENTO COM ESPUMA EXPANSIVA PU. AF_09/2023</t>
    </r>
  </si>
  <si>
    <t>6.2</t>
  </si>
  <si>
    <t>DIVISÓRIAS E FECHAMENTOS INTERNOS</t>
  </si>
  <si>
    <t>6.2.1</t>
  </si>
  <si>
    <t>PAREDE COM SISTEMA EM CHAPAS DE GESSO PARA DRYWALL, USO INTERNO, COM DUAS FACES SIMPLES E ESTRUTURA METÁLICA COM GUIAS SIMPLES PARA PAREDES COM ÁREA LÍQUIDA MAIOR OU IGUAL A 6 M2, COM VÃOS. AF_07/2023_PS</t>
  </si>
  <si>
    <t>6.2.2</t>
  </si>
  <si>
    <t>COMP. MACAÉ 18</t>
  </si>
  <si>
    <t>PAREDE COM SISTEMA EM CHAPAS DE GESSO PARA DRYWALL, RESISTENTE À UMIDADE, COM DUAS FACES SIMPLES E ESTRUTURA METÁLICA COM GUIAS SIMPLES, SEM VÃOS, INCLUSIVE REFORÇOS PARA INSTALAÇÃO DE APARELHOS E EQUIPAMENTOS</t>
  </si>
  <si>
    <t>6.2.3</t>
  </si>
  <si>
    <r>
      <rPr>
        <sz val="12"/>
        <rFont val="Arial"/>
        <family val="2"/>
      </rPr>
      <t>13.157.0010
0</t>
    </r>
  </si>
  <si>
    <t>REVESTIMENTO DE PAREDES OU TETOS COM TECIDO ISOLANTE ACUSTIC O,EM MANTA DE LA DE VIDRO REVESTIDA COM FOLHA DE ALUMINIO 3%-DESGASTE DE FERRAMENTAS E EPI</t>
  </si>
  <si>
    <t>6.2.4</t>
  </si>
  <si>
    <t>14.30.843</t>
  </si>
  <si>
    <t>CPOS/CDHU</t>
  </si>
  <si>
    <t>DIVISÓRIA TIPO PISO/TETO EM VIDRO TEMPERADO DUPLO E MICRO PERSIANAS, COM COLUNA ESTRUTURAL EM ALUMÍNIO EXTRUDADO</t>
  </si>
  <si>
    <t>6.2.5</t>
  </si>
  <si>
    <t>DIVISORIA SANITÁRIA, EM GRANITO CINZA POLIDO, ESP = 3CM, ASSENTADO COM ARGAMASSA COLANTE AC III-E. AF_10/2025</t>
  </si>
  <si>
    <t>6.2.6</t>
  </si>
  <si>
    <t>COMP. MACAÉ 26</t>
  </si>
  <si>
    <t>DIVISORIA - PAINEL MDF, LINHA 90 MM - INCLUSIVE FERRAGENS EM PERFIS DE ALUMÍNIO EXTRUDADO E CALHA EMBUTIDA PARA TOMADA ELÉTRICA (4PONTOS) E REDE (2 PONTOS)</t>
  </si>
  <si>
    <t>6.3</t>
  </si>
  <si>
    <t>REVESTIMENTO DE ALVENARIA</t>
  </si>
  <si>
    <t>6.3.1</t>
  </si>
  <si>
    <r>
      <rPr>
        <sz val="8"/>
        <rFont val="Arial"/>
        <family val="2"/>
      </rPr>
      <t>CHAPISCO APLICADO EM ALVENARIA (COM PRESENÇA DE VÃOS) E ESTRUTURAS DE CONCRETO DE FACHADA, COM COLHER DE PEDREIRO. ARGAMASSA TRAÇO 1:3 COM PREPARO EM BETONEIRA
400L. AF_10/2022</t>
    </r>
  </si>
  <si>
    <t>6.3.2</t>
  </si>
  <si>
    <t>EMBOÇO OU MASSA ÚNICA EM ARGAMASSA TRAÇO 1:2:8, PREPARO MECÂNICA COM BETONEIRA 400 L, APLICADA MANUALMENTE EM PANOS DE FACHADA COM PRESENÇA DE VÃOS, ESPESSURA DE 25 MM, ACESSO POR ANDAIME. AF_08/2022</t>
  </si>
  <si>
    <t>6.3.3</t>
  </si>
  <si>
    <t>EMBOÇO, EM ARGAMASSA TRAÇO 1:2:8, PREPARO MECÂNICO, APLICADO MANUALMENTE EM PAREDES INTERNAS DE AMBIENTES COM ÁREA MAIOR QUE 10M², E = 17,5MM, COM TALISCAS. AF_03/2024</t>
  </si>
  <si>
    <t>6.3.4</t>
  </si>
  <si>
    <t>REVESTIMENTO CERÂMICO PARA PAREDES INTERNAS COM PLACAS TIPO ESMALTADA DE DIMENSÕES 33X45 CM APLICADAS NA ALTURA INTEIRA DAS PAREDES. AF_02/2023_PE</t>
  </si>
  <si>
    <t>6.3.5</t>
  </si>
  <si>
    <t>SBC</t>
  </si>
  <si>
    <t>EMBOCO TEXTURA RISCADO PREMIUN GRAFFIATO TERRACOTA HYDRONORT</t>
  </si>
  <si>
    <t>6.3.6</t>
  </si>
  <si>
    <t>PINTURA HIDROFUGANTE COM SILICONE, APLICAÇÃO MANUAL, 2 DEMÃOS. AF_05/2021</t>
  </si>
  <si>
    <t>6.3.7</t>
  </si>
  <si>
    <t>32.07.250</t>
  </si>
  <si>
    <r>
      <rPr>
        <sz val="8"/>
        <rFont val="Arial"/>
        <family val="2"/>
      </rPr>
      <t>PERFIL DE ACABAMENTO COM BORRACHA TERMOPLÁSTICA
VULCANIZADA CONTÍNUA FLEXÍVEL, PARA JUNTA DE DILATAÇÃO DE EMBUTIR - PAREDE-PAREDE OU FORRO-FORRO</t>
    </r>
  </si>
  <si>
    <t>m</t>
  </si>
  <si>
    <t>6.4</t>
  </si>
  <si>
    <t>REVESTIMENTO CERAMICO E GRANITO DE FACHADA</t>
  </si>
  <si>
    <t>6.4.1</t>
  </si>
  <si>
    <t>COMP. MACAÉ 20</t>
  </si>
  <si>
    <r>
      <rPr>
        <sz val="8"/>
        <rFont val="Arial"/>
        <family val="2"/>
      </rPr>
      <t>REVESTIMENTO DE FACHADA EXTERNA, COM PEDRA DO PEDRA
GRANITO BRANCO SIENA, ACABAMENTO LEVIGADO, FIXADO COM ARGAMASSA</t>
    </r>
  </si>
  <si>
    <t>6.4.2</t>
  </si>
  <si>
    <t>COMP. MACAÉ 17</t>
  </si>
  <si>
    <t>REVESTIMENTO PORCELANATO, PARA PAREDES EXTERNAS DE FACHADA, PLACAS DE 60 X 120 CM, ALINHADAS A PRUMO</t>
  </si>
  <si>
    <t>6.4.3</t>
  </si>
  <si>
    <r>
      <rPr>
        <sz val="12"/>
        <rFont val="Arial"/>
        <family val="2"/>
      </rPr>
      <t>COMP.
MACAÉ 29</t>
    </r>
  </si>
  <si>
    <r>
      <rPr>
        <sz val="8"/>
        <rFont val="Arial"/>
        <family val="2"/>
      </rPr>
      <t>REVESTIMENTO EXTERNO, COM PEDRA DO PEDRA GRANITO,
ACABAMENTO LEVIGADO, FIXADO COM ARGAMASSA</t>
    </r>
  </si>
  <si>
    <t>6.5</t>
  </si>
  <si>
    <t>REVESTIMENTO DE TETO</t>
  </si>
  <si>
    <t>6.5.1</t>
  </si>
  <si>
    <t>FORRO DE FIBRA MINERAL EM PLACAS DE 1250 X 625 MM, E = 15 MM, BORDA RETA, COM PINTURA ANTIMOFO, APOIADO EM PERFIL DE ACO GALVANIZADO COM 24 MM DE BASE - INSTALADO</t>
  </si>
  <si>
    <t>6.5.2</t>
  </si>
  <si>
    <t>FORRO EM DRYWALL, PARA AMBIENTES COMERCIAIS, INCLUSIVE ESTRUTURA BIRECIONAL DE FIXAÇÃO. AF_08/2023_PS</t>
  </si>
  <si>
    <t>6.5.3</t>
  </si>
  <si>
    <r>
      <rPr>
        <sz val="8"/>
        <rFont val="Arial"/>
        <family val="2"/>
      </rPr>
      <t>ACABAMENTOS PARA FORRO (SANCA DE GESSO, MONTADA NA OBRA).
AF_08/2023_PS</t>
    </r>
  </si>
  <si>
    <t>6.6</t>
  </si>
  <si>
    <t>REVESTIMENTO DE PISO</t>
  </si>
  <si>
    <t>6.6.1</t>
  </si>
  <si>
    <t>CONTRAPISO EM ARGAMASSA TRAÇO 1:4 (CIMENTO E AREIA), PREPARO MECÂNICO COM BETONEIRA 400 L, APLICADO EM ÁREAS SECAS SOBRE LAJE, ADERIDO, ACABAMENTO NÃO REFORÇADO, ESPESSURA 3CM. AF_07/2021</t>
  </si>
  <si>
    <t>6.6.2</t>
  </si>
  <si>
    <r>
      <rPr>
        <sz val="8"/>
        <rFont val="Arial"/>
        <family val="2"/>
      </rPr>
      <t>CONTRAPISO EM ARGAMASSA TRAÇO 1:4 (CIMENTO E AREIA), PREPARO MECÂNICO COM BETONEIRA 400 L, APLICADO EM ÁREAS MOLHADAS SOBRE LAJE, ADERIDO, ACABAMENTO NÃO REFORÇADO, ESPESSURA
3CM. AF_07/2021</t>
    </r>
  </si>
  <si>
    <t>6.6.3</t>
  </si>
  <si>
    <t>COMP. MACAÉ 25</t>
  </si>
  <si>
    <t>CONTRAPISO EM ARGAMASSA, TRAÇO 1:4, PREENCHIMENTO COM EPS - ESPESSURA 30CM - REFORÇADO COM TELA METÁLICA</t>
  </si>
  <si>
    <t>M²</t>
  </si>
  <si>
    <t>6.6.4</t>
  </si>
  <si>
    <r>
      <rPr>
        <sz val="12"/>
        <rFont val="Arial"/>
        <family val="2"/>
      </rPr>
      <t>13.331.0020
0</t>
    </r>
  </si>
  <si>
    <t>REVESTIMENTO DE PISO CERAMICO EM PORCELANATO,ACABAMENTO DA B ORDA RETIFICADO,NO FORMATO (90X90)CM,PARA USO EM AREAS COMER CIAIS COM TRAFEGO INTENSO,CONFORME ABNT NBR ISO 13006,ASSENT E EM SUPERFICIE NIVELADA COM ARGAMASSA COLANTE E REJUNTAMENT O PRONTO GOS SOCIAIS COMERCIAIS TRAFEGO INTENSO,(90X90)CM,ABNT NBR ISO 13006</t>
  </si>
  <si>
    <t>6.6.5</t>
  </si>
  <si>
    <r>
      <rPr>
        <sz val="8"/>
        <rFont val="Arial"/>
        <family val="2"/>
      </rPr>
      <t>PISO VINÍLICO SEMI-FLEXÍVEL EM PLACAS, PADRÃO LISO, ESPESSURA
3,2 MM, FIXADO COM COLA. AF_09/2020</t>
    </r>
  </si>
  <si>
    <t>6.6.6</t>
  </si>
  <si>
    <r>
      <rPr>
        <sz val="8"/>
        <rFont val="Arial"/>
        <family val="2"/>
      </rPr>
      <t>PISO EM GRANITO APLICADO EM CALÇADAS OU PISOS EXTERNOS.
AF_05/2020</t>
    </r>
  </si>
  <si>
    <t>6.6.7</t>
  </si>
  <si>
    <t>PISO PODOTÁTIL DE ALERTA OU DIRECIONAL, DE CONCRETO, ASSENTADO SOBRE ARGAMASSA. AF_03/2024</t>
  </si>
  <si>
    <t>6.6.8</t>
  </si>
  <si>
    <t>PISO TATIL DIRECIONAL ACO INOX PARAFUSADO (COM RANHURAS)</t>
  </si>
  <si>
    <t>6.6.9</t>
  </si>
  <si>
    <t>32.07.230</t>
  </si>
  <si>
    <r>
      <rPr>
        <sz val="8"/>
        <rFont val="Arial"/>
        <family val="2"/>
      </rPr>
      <t>PERFIL DE ACABAMENTO COM BORRACHA TERMOPLÁSTICA
VULCANIZADA CONTÍNUA FLEXÍVEL, PARA JUNTA DE DILATAÇÃO DE EMBUTIR - PISO-PISO</t>
    </r>
  </si>
  <si>
    <t>21.10.050</t>
  </si>
  <si>
    <t>RODAPÉ DE POLIESTIRENO, ESPESSURA DE 7 CM</t>
  </si>
  <si>
    <t>SOLEIRA EM GRANITO, LARGURA 15 CM, ESPESSURA 2,0 CM. AF_09/2020</t>
  </si>
  <si>
    <t>RODAPE 7,5cm VINILICO CURVO FADEMAC</t>
  </si>
  <si>
    <t>6.7</t>
  </si>
  <si>
    <t>BASES E PAVIMENTOS</t>
  </si>
  <si>
    <t>6.7.1</t>
  </si>
  <si>
    <r>
      <rPr>
        <sz val="8"/>
        <rFont val="Arial"/>
        <family val="2"/>
      </rPr>
      <t>EXECUÇÃO DE PAVIMENTO EM PISO INTERTRAVADO, COM BLOCO RETANGULAR COR NATURAL DE 20 X 10 CM, ESPESSURA 8 CM.
AF_10/2022</t>
    </r>
  </si>
  <si>
    <t>6.7.2</t>
  </si>
  <si>
    <r>
      <rPr>
        <sz val="8"/>
        <rFont val="Arial"/>
        <family val="2"/>
      </rPr>
      <t>EXECUÇÃO DE PAVIMENTO DE CONCRETO ARMADO (PCA), FCK = 30
MPA, ESPESSURA DE 15,0 CM. AF_04/2022</t>
    </r>
  </si>
  <si>
    <t>6.7.3</t>
  </si>
  <si>
    <t>EXECUÇÃO DE PASSEIO (CALÇADA) OU PISO DE CONCRETO COM CONCRETO MOLDADO IN LOCO, FEITO EM OBRA, ACABAMENTO CONVENCIONAL, ESPESSURA 6 CM, ARMADO. AF_08/2022</t>
  </si>
  <si>
    <t>6.7.4</t>
  </si>
  <si>
    <t>ASSENTAMENTO DE GUIA (MEIO-FIO) EM TRECHO RETO, CONFECCIONADA EM CONCRETO PRÉ-FABRICADO, DIMENSÕES 39X6,5X6,5X19 CM (COMPRIMENTO X BASE INFERIOR X BASE SUPERIOR X ALTURA), PARA DELIMITAÇÃO DE JARDINS, PRAÇAS OU PASSEIOS. AF_01/2024</t>
  </si>
  <si>
    <t>6.7.5</t>
  </si>
  <si>
    <t>PISOGRAMA CONCREGRAMA/PISOGRAMA 60x45x9cm</t>
  </si>
  <si>
    <t>6.8</t>
  </si>
  <si>
    <t>PEITORIS E CHAPINS</t>
  </si>
  <si>
    <t>6.8.1</t>
  </si>
  <si>
    <t>PEITORIL LINEAR EM GRANITO OU MÁRMORE, L = 15CM, ASSENTADO COM ARGAMASSA 1:6 COM ADITIVO. AF_11/2020</t>
  </si>
  <si>
    <t>6.8.2</t>
  </si>
  <si>
    <t>CHAPIM SOBRE MUROS LINEARES, EM GRANITO OU MÁRMORE, L = 25 CM, ASSENTADO COM ARGAMASSA 1:6 COM ADITIVO. AF_11/2020</t>
  </si>
  <si>
    <t>6.8.3</t>
  </si>
  <si>
    <r>
      <rPr>
        <sz val="12"/>
        <rFont val="Arial"/>
        <family val="2"/>
      </rPr>
      <t>11.013.0006
0</t>
    </r>
  </si>
  <si>
    <t>CHAPIM DE CONCRETO ARMADO,APARENTE,COM ACABAMENTO DESEMPENAD O,MEDINDO (22X10)CM,CONFORME PROJETO TIPO Nº 6062/EMOP,FUNDI DO NO LOCAL 3%-DESGASTE DE FERRAMENTAS E EPI</t>
  </si>
  <si>
    <t>6.8.4</t>
  </si>
  <si>
    <t>PEÇA RETANGULAR PRÉ-MOLDADA, VOLUME DE CONCRETO ACIMA DE 100 LITROS, TAXA DE AÇO APROXIMADA DE 30KG/M³. AF_03/2024</t>
  </si>
  <si>
    <t>PINTURA</t>
  </si>
  <si>
    <t>7.1</t>
  </si>
  <si>
    <t>PINTURA DE PAREDE</t>
  </si>
  <si>
    <t>7.1.1</t>
  </si>
  <si>
    <r>
      <rPr>
        <sz val="8"/>
        <rFont val="Arial"/>
        <family val="2"/>
      </rPr>
      <t>FUNDO SELADOR ACRÍLICO, APLICAÇÃO MANUAL EM PAREDE, UMA
DEMÃO. AF_04/2023</t>
    </r>
  </si>
  <si>
    <t>7.1.2</t>
  </si>
  <si>
    <t>EMASSAMENTO COM MASSA LÁTEX, APLICAÇÃO EM PAREDE, DUAS DEMÃOS, LIXAMENTO MANUAL. AF_04/2023</t>
  </si>
  <si>
    <t>7.1.3</t>
  </si>
  <si>
    <r>
      <rPr>
        <sz val="8"/>
        <rFont val="Arial"/>
        <family val="2"/>
      </rPr>
      <t>PINTURA LÁTEX ACRÍLICA PREMIUM, APLICAÇÃO MANUAL EM PAREDES,
DUAS DEMÃOS. AF_04/2023</t>
    </r>
  </si>
  <si>
    <t>7.2</t>
  </si>
  <si>
    <t>PINTURA DE SUPERFÍCIE METÁLICA E MADEIRA</t>
  </si>
  <si>
    <t>7.2.1</t>
  </si>
  <si>
    <t>LIXAMENTO MANUAL EM SUPERFÍCIES METÁLICAS EM OBRA. AF_01/2020</t>
  </si>
  <si>
    <t>7.2.2</t>
  </si>
  <si>
    <t>PINTURA COM TINTA ALQUÍDICA DE FUNDO (TIPO ZARCÃO) APLICADA A ROLO OU PINCEL SOBRE PERFIL METÁLICO EXECUTADO EM FÁBRICA (POR DEMÃO). AF_01/2020</t>
  </si>
  <si>
    <t>7.2.3</t>
  </si>
  <si>
    <t>PINTURA COM TINTA ALQUÍDICA DE ACABAMENTO (ESMALTE SINTÉTICO BRILHANTE) PULVERIZADA SOBRE SUPERFÍCIES METÁLICAS (EXCETO PERFIL) EXECUTADO EM OBRA (02 DEMÃOS). AF_01/2020_PE</t>
  </si>
  <si>
    <t>7.2.4</t>
  </si>
  <si>
    <t>17.014.0015</t>
  </si>
  <si>
    <t>PINTURA ELETROSTATICA SOBRE ESQUADRIA DE ALUMINIO</t>
  </si>
  <si>
    <t>7.3</t>
  </si>
  <si>
    <t>PINTURA DE PISO</t>
  </si>
  <si>
    <t>7.3.1</t>
  </si>
  <si>
    <t>PINTURA DE DEMARCAÇÃO DE VAGA COM TINTA EPÓXI, E = 10 CM, APLICAÇÃO MANUAL. AF_05/2021</t>
  </si>
  <si>
    <t>7.3.2</t>
  </si>
  <si>
    <t>PINTURA DE PISO COM TINTA ACRÍLICA, APLICAÇÃO MANUAL, 2 DEMÃOS, INCLUSO FUNDO PREPARADOR. AF_05/2021</t>
  </si>
  <si>
    <t>7.4</t>
  </si>
  <si>
    <t>PINTURA DE TETO</t>
  </si>
  <si>
    <t>7.4.1</t>
  </si>
  <si>
    <r>
      <rPr>
        <sz val="8"/>
        <rFont val="Arial"/>
        <family val="2"/>
      </rPr>
      <t>FUNDO SELADOR ACRÍLICO, APLICAÇÃO MANUAL EM TETO, UMA
DEMÃO. AF_04/2023</t>
    </r>
  </si>
  <si>
    <t>7.4.2</t>
  </si>
  <si>
    <r>
      <rPr>
        <sz val="8"/>
        <rFont val="Arial"/>
        <family val="2"/>
      </rPr>
      <t>EMASSAMENTO COM MASSA LÁTEX, APLICAÇÃO EM TETO, DUAS
DEMÃOS, LIXAMENTO MANUAL. AF_04/2023</t>
    </r>
  </si>
  <si>
    <t>7.4.3</t>
  </si>
  <si>
    <t>PINTURA LÁTEX ACRÍLICA PREMIUM, APLICAÇÃO MANUAL EM TETO, DUAS DEMÃOS. AF_04/2023</t>
  </si>
  <si>
    <t>ESQUADRIAS, VIDRAÇARIA, SERRALHERIA, MARCENARIA E BANCADAS</t>
  </si>
  <si>
    <t>8.1</t>
  </si>
  <si>
    <t>PORTAS E ESQUADRIAS MADEIRA E ALUMÍNIO</t>
  </si>
  <si>
    <t>8.1.1</t>
  </si>
  <si>
    <t>KIT DE PORTA-PRONTA DE MADEIRA EM ACABAMENTO MELAMÍNICO BRANCO, FOLHA LEVE OU MÉDIA, 80X210CM, EXCLUSIVE FECHADURA, FIXAÇÃO COM PREENCHIMENTO PARCIAL DE ESPUMA EXPANSIVA - FORNECIMENTO E INSTALAÇÃO. AF_12/2019</t>
  </si>
  <si>
    <t>8.1.2</t>
  </si>
  <si>
    <t>KIT DE PORTA-PRONTA DE MADEIRA EM ACABAMENTO MELAMÍNICO BRANCO, FOLHA PESADA OU SUPERPESADA, 90X210CM, FIXAÇÃO COM PREENCHIMENTO TOTAL DE ESPUMA EXPANSIVA - FORNECIMENTO E INSTALAÇÃO. AF_12/2019</t>
  </si>
  <si>
    <t>8.1.3</t>
  </si>
  <si>
    <t>PORTA COMPLETA MADEIRA 1 FL.0,70x2,175m-FER.+REV. LAMINADO</t>
  </si>
  <si>
    <t>8.1.4</t>
  </si>
  <si>
    <t>COMP. MACAÉ 45</t>
  </si>
  <si>
    <t>PORTA DIVISÓRIA EM VIDRO TEMPERADO DUPLO E MICRO PERSIANAS, 80X210CM, COM COLUNA ESTRUTURAL EM ALUMÍNIO EXTRUDADO, INCLUINDO FECHADURA E DOBRADIÇAS - FORNECIMENTO E INSTALAÇÃO</t>
  </si>
  <si>
    <t>8.1.5</t>
  </si>
  <si>
    <r>
      <rPr>
        <sz val="8"/>
        <rFont val="Arial"/>
        <family val="2"/>
      </rPr>
      <t>PORTA EM ALUMÍNIO DE ABRIR TIPO VENEZIANA COM GUARNIÇÃO, FIXAÇÃO COM PARAFUSOS - FORNECIMENTO E INSTALAÇÃO.
AF_12/2019</t>
    </r>
  </si>
  <si>
    <t>8.1.6</t>
  </si>
  <si>
    <r>
      <rPr>
        <sz val="8"/>
        <rFont val="Arial"/>
        <family val="2"/>
      </rPr>
      <t>PORTA CORTA-FOGO 90X210X4CM - FORNECIMENTO E INSTALAÇÃO.
AF_10/2025</t>
    </r>
  </si>
  <si>
    <t>8.1.7</t>
  </si>
  <si>
    <r>
      <rPr>
        <sz val="8"/>
        <rFont val="Arial"/>
        <family val="2"/>
      </rPr>
      <t>FECHADURA DE EMBUTIR COM CILINDRO, EXTERNA, COMPLETA,
ACABAMENTO PADRÃO MÉDIO, INCLUSO EXECUÇÃO DE FURO - FORNECIMENTO E INSTALAÇÃO. AF_12/2019</t>
    </r>
  </si>
  <si>
    <t>8.1.8</t>
  </si>
  <si>
    <r>
      <rPr>
        <sz val="8"/>
        <rFont val="Arial"/>
        <family val="2"/>
      </rPr>
      <t>FECHADURA DE EMBUTIR PARA PORTA DE BANHEIRO, COMPLETA,
ACABAMENTO PADRÃO MÉDIO, INCLUSO EXECUÇÃO DE FURO - FORNECIMENTO E INSTALAÇÃO. AF_12/2019</t>
    </r>
  </si>
  <si>
    <t>8.1.9</t>
  </si>
  <si>
    <r>
      <rPr>
        <sz val="12"/>
        <rFont val="Arial"/>
        <family val="2"/>
      </rPr>
      <t>14.002.0240
0</t>
    </r>
  </si>
  <si>
    <t>PROTECAO PARA PORTA EM ACO INOX ESCOVADO,CHAPA N°14,COM 30CM DE ALTURA.FORNECIMENTO E COLOCACAO 3%-DESGASTE DE FERRAMENTAS E EPI 15%-PERDAS E DEMAIS MATERIAIS NECESSARIOS</t>
  </si>
  <si>
    <t>COMP. MACAÉ 31</t>
  </si>
  <si>
    <t>PORTA SANITÁRIA, 60X180CM, PARA CABINE, EM PAINÉIS ESTRUTURAIS TS, INCLUSIVE ESTRUTURA, PORTA E FERRAGENS</t>
  </si>
  <si>
    <r>
      <rPr>
        <sz val="12"/>
        <rFont val="Arial"/>
        <family val="2"/>
      </rPr>
      <t>14.003.0149
0</t>
    </r>
  </si>
  <si>
    <t>JANELA DE ALUMINIO ANODIZADO EM BRONZE OU PRETO, TIPO MAXIM-AR, COM 1 PAINEL DESLIZANTE PROJETANTE, PROVIDA DE HASTE DE COMANDO,EM PERFIS SERIE 28.FORNECIMENTO E COLOCACAO 86,2%-ANODIZACAO TONAL.BRONZE E PRETO (15%),ACESSORIOS(62%) 18,45%-ANODIZACAO EM TONALIDADE BRONZE E PRETO (15%) E DESGA STE DE FERRAMENTAS E EPI (3%)</t>
  </si>
  <si>
    <t>COMP. MACAÉ 60</t>
  </si>
  <si>
    <t>PORTA ACÚSTICA DE MADEIRA SÓLIDA COM LÃ DE VIDRO, BORRACHA DE ALTA DENSIDADE, COM GAXETAS DE SILICONE PARA VEDAÇÃO PERMIETRICA, SOLEIRA ACÚSTICA, MOLA DE FECHAMENTO, E=80MM RW= 40DB, ACABAMENTO EXTERNO MDF MADEIRADO, COM BARRA ANTIPÂNICO DIM.180X210CM - FORNECIMENTO E INSTALAÇÃO</t>
  </si>
  <si>
    <t>8.2</t>
  </si>
  <si>
    <t>VIDRAÇARIA</t>
  </si>
  <si>
    <t>8.2.1</t>
  </si>
  <si>
    <r>
      <rPr>
        <sz val="12"/>
        <rFont val="Arial"/>
        <family val="2"/>
      </rPr>
      <t>14.004.0120
0</t>
    </r>
  </si>
  <si>
    <r>
      <rPr>
        <sz val="8"/>
        <rFont val="Arial"/>
        <family val="2"/>
      </rPr>
      <t>VIDRO TEMPERADO INCOLOR,10MM DE ESPESSURA,PARA PORTAS OU
PAI NEIS FIXOS,EXCLUSIVE FERRAGENS.FORNECIMENTO E COLOCACAO</t>
    </r>
  </si>
  <si>
    <t>8.2.2</t>
  </si>
  <si>
    <r>
      <rPr>
        <sz val="12"/>
        <rFont val="Arial"/>
        <family val="2"/>
      </rPr>
      <t>14.007.0195
0</t>
    </r>
  </si>
  <si>
    <r>
      <rPr>
        <sz val="8"/>
        <rFont val="Arial"/>
        <family val="2"/>
      </rPr>
      <t>FERRAGENS PARA PAINEIS FIXOS DE VIDRO TEMPERADO DE 10MM(CONJ UNTO COMPLETO),CONSTANDO DE FORNECIMENTO SEM COLOCACAO(ESTA INCLUIDA NO FORNECIMENTO E COLOCACAO DO
VIDRO)</t>
    </r>
  </si>
  <si>
    <t>8.2.3</t>
  </si>
  <si>
    <t>PORTA DE ABRIR COM MOLA HIDRÁULICA, EM VIDRO TEMPERADO, 2 FOLHAS DE 90X210 CM, ESPESSURA DE 10 MM, INCLUSIVE ACESSÓRIOS. AF_11/2025</t>
  </si>
  <si>
    <t>8.2.4</t>
  </si>
  <si>
    <t>PORTA DE ABRIR COM MOLA HIDRÁULICA, EM VIDRO TEMPERADO, 90X210 CM, ESPESSURA 10 MM, INCLUSIVE ACESSÓRIOS. AF_11/2025</t>
  </si>
  <si>
    <t>8.2.5</t>
  </si>
  <si>
    <r>
      <rPr>
        <sz val="12"/>
        <rFont val="Arial"/>
        <family val="2"/>
      </rPr>
      <t>14.004.0073
0</t>
    </r>
  </si>
  <si>
    <t>VIDRO LAMINADO,COM ESPESSURA DE 10MM.FORNECIMENTO E COLOCACA O 10%-MATERIAL PARA FIXACAO DO VIDRO 3%-DESGASTE DE FERRAMENTAS E EPI</t>
  </si>
  <si>
    <t>8.2.6</t>
  </si>
  <si>
    <r>
      <rPr>
        <sz val="12"/>
        <rFont val="Arial"/>
        <family val="2"/>
      </rPr>
      <t>14.003.0163
0</t>
    </r>
  </si>
  <si>
    <t>CAIXILHO FIXO DE ALUMINIO ANODIZADO AO NATURAL,SERIE 28,PARA VIDRO.FORNECIMENTO E COLOCACAO 3%-DESGASTE DE FERRAMENTAS E EPI 20%-ANODIZACAO E ACESSORIOS</t>
  </si>
  <si>
    <t>8.2.7</t>
  </si>
  <si>
    <r>
      <rPr>
        <sz val="12"/>
        <rFont val="Arial"/>
        <family val="2"/>
      </rPr>
      <t>14.003.0211
0</t>
    </r>
  </si>
  <si>
    <r>
      <rPr>
        <sz val="8"/>
        <rFont val="Arial"/>
        <family val="2"/>
      </rPr>
      <t>PORTA DE ALUMINIO ANODIZADO EM BRONZE OU PRETO,DE CORRER,COM 2 FOLHAS,TENDO 1 CONTRAPINAZIO DIVIDINDO A ESQUADRIA EM 2 V AZIOS PARA VIDRO,EM PERFIS SERIE 25,EXCLUSIVE FECHADURA.FORN ECIMENTO E COLOCACAO 57,55%-ANODIZACAO(15%),ACESSORIOS(37%) 18,45%-
ANODIZACAO(15%),DESGASTE DE FERRAMENTAS E EPI(3%)</t>
    </r>
  </si>
  <si>
    <t>8.2.8</t>
  </si>
  <si>
    <r>
      <rPr>
        <sz val="12"/>
        <rFont val="Arial"/>
        <family val="2"/>
      </rPr>
      <t>14.003.0201
0</t>
    </r>
  </si>
  <si>
    <t>PORTA DE ALUMINIO ANODIZADO EM BRONZE OU PRETO,TENDO 1 CONTR APINAZIO DIVIDINDO A ESQUADRIA EM 2 VAZIOS PARA VIDRO,EM PER FIS SERIE 25,EXCLUSIVE FECHADURAS.FORNECIMENTO E COLOCACAO 55,25%-ANODIZACAO TONAL.BRONZE OU PRETO(15%),ACESSORIOS(35%) 18,45%-ANODIZACAO EM TONALIDADE BRONZE OU PRETO (15%) E DESG ASTE DE FERRAMENTAS E EPI</t>
  </si>
  <si>
    <t>8.2.9</t>
  </si>
  <si>
    <r>
      <rPr>
        <sz val="12"/>
        <rFont val="Arial"/>
        <family val="2"/>
      </rPr>
      <t>COMP.
MACAÉ 32</t>
    </r>
  </si>
  <si>
    <r>
      <rPr>
        <sz val="8"/>
        <rFont val="Arial"/>
        <family val="2"/>
      </rPr>
      <t>KIT AUTOMAÇÃO DE PORTA AUTOMÁTICA DE CORRER, ALTO FLUXO,
FORNECIMENTO E INSTALAÇÃO</t>
    </r>
  </si>
  <si>
    <t>PUXADOR TUBULAR TIPO ALCA DUPLO INOX ESCOVADO 30CM</t>
  </si>
  <si>
    <t>8.3</t>
  </si>
  <si>
    <t>SERRALHERIA</t>
  </si>
  <si>
    <t>8.3.1</t>
  </si>
  <si>
    <r>
      <rPr>
        <sz val="12"/>
        <rFont val="Arial"/>
        <family val="2"/>
      </rPr>
      <t>18.016.0205
0</t>
    </r>
  </si>
  <si>
    <t>CORRIMAO DUPLO EM TUBO DE ACO INOX COM DIAMETRO DE 1.1/2",BA RRA SUPERIOR COM ALTURA DE 92CM E BARRA INFERIOR COM ALTURA DE 70CM,FIXADO EM MONTANTES DE ACO INOX COM DIAMETRO DE 1.1/ 2",CONFORME ABNT NBR 9050 PARA ACESSIBILIDADE.FORNECIMENTO E COLOCACAO 3%-DESGASTE DE FERRAMENTAS E EPI 35%-DEMAIS MATERIAIS NECESSARIOS</t>
  </si>
  <si>
    <t>8.3.2</t>
  </si>
  <si>
    <t>ESCADA MARINHEIRO PERFIL 1.1/2"" DE ACO COM GUARDA CORPO</t>
  </si>
  <si>
    <t>8.3.3</t>
  </si>
  <si>
    <t>COMP. MACAÉ 11</t>
  </si>
  <si>
    <t>BISCICLETÁRIO EM AÇO INOX, FIXADO EM PISO INTERTRAVADO,ALT. 82CM E LARG. 45CM FORNECIMENTO E INSTALAÇÃO</t>
  </si>
  <si>
    <t>8.3.4</t>
  </si>
  <si>
    <t>COMP. MACAÉ 10</t>
  </si>
  <si>
    <t>TOTEM DE ACM, CONFORME PROJETO, INCLUINDO ESTRUTURA INTERNA DE SUPORTE E FIXAÇÃO EM BASE DE CONCRETO</t>
  </si>
  <si>
    <t>8.3.5</t>
  </si>
  <si>
    <r>
      <rPr>
        <sz val="12"/>
        <rFont val="Arial"/>
        <family val="2"/>
      </rPr>
      <t>13.168.0010
0</t>
    </r>
  </si>
  <si>
    <t>REVESTIMENTO DE FACHADA OU AREAS INT.C/PAINEL ALUM.COMPOSTO, SENDO DUAS LAMINAS ALUM.C/0,3MM ESP.,PINTURA PVDF (FLUOR CAR BONO) KYNNAR 500,NO SISTEMA COIL COATING,ESP.DO COMPOSTO DE 4MM,PINTURA PROTEGIDA POR FILME HAVY DUTY NAS FACES PINTADAS ,NUCLEO EM POLIETILENO DE BAIXA DENSIDADE (RIGIDO),INCL.SUBE STRUTURA DE ALUM.E DEMAIS INSUMOS NECES.A COLOC.FORN.COLOC.</t>
  </si>
  <si>
    <t>8.3.6</t>
  </si>
  <si>
    <r>
      <rPr>
        <sz val="12"/>
        <rFont val="Arial"/>
        <family val="2"/>
      </rPr>
      <t>14.002.0207
1</t>
    </r>
  </si>
  <si>
    <t>GUARDA-CORPO METALICO COM 1,00M DE ALTURA,EM MODULOS DE 1,88 M COM MONTANTES EM CHAPA DE ACO USI-SAC 350, CHUMBADO NO CON CRETO (EXCLUSIVE ESTE),ATRAVES DE CHUMBADORES DE ACO INOXIDA VEL,INTERLIGADOS POR DOIS TUBOS HORIZONTAIS SUPERIORES COM D IAMETRO DE 2.1/2" E DOIS TUBOS HORIZONTAIS INFERIORES C/DIAM ETRO DE 1" EM ACO GALVANIZADO,INCL.PINTURA.FORN. E COLOCACAO O OU FOSCO " .1/2" GOS SOCIAIS ARGOS SOCIAIS OM COMPRIMENTO DE 96MM, DIAMETRO DE 1/2"</t>
  </si>
  <si>
    <t>8.3.7</t>
  </si>
  <si>
    <r>
      <rPr>
        <sz val="12"/>
        <rFont val="Arial"/>
        <family val="2"/>
      </rPr>
      <t>05.055.0010
0</t>
    </r>
  </si>
  <si>
    <t>LETRA CAIXA DE ACO INOX POLIDO OU ESCOVADO,COM 20CM DE ALTUR A,ESPESSURA DE 2CM,COM PINOS PARA FIXACAO.FORNECIMENTO E COL OCACAO 3%-DESGASTE DE FERRAMENTAS E EPI</t>
  </si>
  <si>
    <t>8.3.8</t>
  </si>
  <si>
    <r>
      <rPr>
        <sz val="12"/>
        <rFont val="Arial"/>
        <family val="2"/>
      </rPr>
      <t>14.002.0132
0</t>
    </r>
  </si>
  <si>
    <r>
      <rPr>
        <sz val="8"/>
        <rFont val="Arial"/>
        <family val="2"/>
      </rPr>
      <t>GRADE DE FERRO COM MONTANTES DE BARRAS CHATAS DE  2"X3/8" A CADA 2,00M E BARRAS CHATAS DE 1.1/2"X3/8" A CADA 10CM, INTER CALADAS POR PEQUENAS BARRAS CHATAS DE 1.1/2"X3/8" A CADA 5CM
,EXCLUSIVE BALDRAME DE CONCRETO.FORNECIMENTO E COLOCACAO 3%-DESGASTE DE FERRAMENTAS E EPI 20%-PERDAS E DEMAIS MATERIAIS NECESSARIOS</t>
    </r>
  </si>
  <si>
    <t>8.3.9</t>
  </si>
  <si>
    <t>PORTA DE FERRO, DE ABRIR, TIPO GRADE COM CHAPA, COM GUARNIÇÕES. AF_12/2019</t>
  </si>
  <si>
    <t>PORTAO DESLIZANTE C/BARRA CHATA ACO 1.1/2""x1/4""+PINT.ESMALTE</t>
  </si>
  <si>
    <t>KIT PARA AUTOMACAO DE PORTAO DESLIZANTE (CORRER)</t>
  </si>
  <si>
    <t>14.007.0276</t>
  </si>
  <si>
    <r>
      <rPr>
        <sz val="8"/>
        <rFont val="Arial"/>
        <family val="2"/>
      </rPr>
      <t>FECHADURA DE SOBREPOR,COM CILINDRO,EM METAL COM
ACABAMENTO C ROMADO,PARA PORTAO.FORNECIMENTO</t>
    </r>
  </si>
  <si>
    <t>8.4</t>
  </si>
  <si>
    <t>MARCENARIA</t>
  </si>
  <si>
    <t>8.4.1</t>
  </si>
  <si>
    <t>COMP. MACAÉ 12</t>
  </si>
  <si>
    <t>PAINEL DE MDF E=18MM, COR CARVALHO NATURAL OU EQUIVALENTE, FIXADO EM PAREDE COM PARAFUSO NÃO APARENTE</t>
  </si>
  <si>
    <t>M2</t>
  </si>
  <si>
    <t>8.4.2</t>
  </si>
  <si>
    <t>PAINEL MADEIRA COM REVESTIMENTO LAMINADO PARA WC</t>
  </si>
  <si>
    <t>8.4.3</t>
  </si>
  <si>
    <t>COMP. MACAÉ 16</t>
  </si>
  <si>
    <r>
      <rPr>
        <sz val="8"/>
        <rFont val="Arial"/>
        <family val="2"/>
      </rPr>
      <t>RODAMEIO EM MADEIRA, MDF, COR IMBUIA, ALTURA 20CM, FIXADO COM COLA E PARAFUSOS, INCLUSIVE ACABAMENTOS LATERIAIS E EM
FUROS, EMENDAR 45G</t>
    </r>
  </si>
  <si>
    <t>8.4.4</t>
  </si>
  <si>
    <t>PERSIANA TIPO ROLO,BLECAUTE,BLOQUEIO UV% TECIDO POLIESTER</t>
  </si>
  <si>
    <t>8.5</t>
  </si>
  <si>
    <t>BANCADAS</t>
  </si>
  <si>
    <t>8.5.1</t>
  </si>
  <si>
    <t>COMP. MACAÉ 8</t>
  </si>
  <si>
    <t>TAMPO DE BANCADA/BALCÃO DE GRANITO BRANCO ITAÚNAS, INCLUINDO SAIAS, FRONTS - FORNECIMENTO E INSTALAÇÃO</t>
  </si>
  <si>
    <t>INSTALAÇÕES HIDROSSANITÁRIAS</t>
  </si>
  <si>
    <t>9.1</t>
  </si>
  <si>
    <t>ALIMENTAÇÃO E RECALQUE</t>
  </si>
  <si>
    <t>9.1.1</t>
  </si>
  <si>
    <t>HIDROMETRO UNIJATO / MEDIDOR DE AGUA, DN 3/4", VAZAO MAXIMA DE 5 M3/H, PARA AGUA POTAVEL FRIA, RELOJOARIA PLANA, CLASSE B, HORIZONTAL (SEM CONEXOES)0,</t>
  </si>
  <si>
    <t>9.1.2</t>
  </si>
  <si>
    <t>KIT CAVALETE PARA MEDIÇÃO DE ÁGUA - ENTRADA PRINCIPAL, EM PVC 25 MM (3/4") - FORNECIMENTO E INSTALAÇÃO (EXCLUSIVE HIDRÔMETRO). AF_03/2024</t>
  </si>
  <si>
    <t>9.1.3</t>
  </si>
  <si>
    <r>
      <rPr>
        <sz val="12"/>
        <rFont val="Arial"/>
        <family val="2"/>
      </rPr>
      <t>15.001.0069
0</t>
    </r>
  </si>
  <si>
    <t>ABRIGO PARA HIDROMETRO DE 1/2" OU 3/4",NAS DIMENSOES DE (0,4 5X0,12X0,42)M,EMBUTIDO NO MURO,REVESTIDO COM ARGAMASSA DE CI MENTO E SAIBRO,NO TRACO 1:6,COM FUNDO DE CONCRETO NO TRACO 1 :3 E ESPESSURA 3CM,PORTA DE (46X43)CM EM GRADE CONFECCIONADA EM FERRO CHATO DE 1/2" COM ESPESSURA DE 1/8" E CADEADO DE 3 0MM,CONFORME PROJETO Nº 2089/EMOP 3%-DESGASTE DE FERRAMENTAS E EPI 15%-PERDAS E DEMAIS MATERIAIS NECESSARIOS</t>
  </si>
  <si>
    <t>9.1.4</t>
  </si>
  <si>
    <t>BOMBA CENTRÍFUGA, TRIFÁSICA, 1 CV OU 0,99 HP, HM 14 A 40 M, Q 0,6 A 8,4 M3/H - FORNECIMENTO E INSTALAÇÃO. AF_12/2020</t>
  </si>
  <si>
    <t>9.1.5</t>
  </si>
  <si>
    <t>BOMBA CENTRÍFUGA, TRIFÁSICA, 1,5 CV OU 1,48 HP, HM 10 A 24 M, Q 6,1 A 21,9 M3/H - FORNECIMENTO E INSTALAÇÃO. AF_12/2020</t>
  </si>
  <si>
    <t>9.1.6</t>
  </si>
  <si>
    <r>
      <rPr>
        <sz val="8"/>
        <rFont val="Arial"/>
        <family val="2"/>
      </rPr>
      <t>VÁLVULA DE RETENÇÃO VERTICAL, DE BRONZE, ROSCÁVEL, 1" -
FORNECIMENTO E INSTALAÇÃO. AF_08/2021</t>
    </r>
  </si>
  <si>
    <t>9.1.7</t>
  </si>
  <si>
    <r>
      <rPr>
        <sz val="8"/>
        <rFont val="Arial"/>
        <family val="2"/>
      </rPr>
      <t>VÁLVULA DE RETENÇÃO VERTICAL, DE BRONZE, ROSCÁVEL, 2" -
FORNECIMENTO E INSTALAÇÃO. AF_08/2021</t>
    </r>
  </si>
  <si>
    <t>9.1.8</t>
  </si>
  <si>
    <t>COLAR DE TOMADA, PVC, COM TRAVAS, DE 60 MM X 1/2" OU 60 MM X 3/4", PARA LIGAÇÃO PREDIAL DE ÁGUA. AF_06/2022</t>
  </si>
  <si>
    <t>9.1.9</t>
  </si>
  <si>
    <t>TUBO, PVC, SOLDÁVEL, DE 50MM, INSTALADO EM RAMAL DE DISTRIBUIÇÃO DE ÁGUA - FORNECIMENTO E INSTALAÇÃO. AF_06/2022</t>
  </si>
  <si>
    <t>TUBO, PVC, SOLDÁVEL, DE 40MM, INSTALADO EM RAMAL DE DISTRIBUIÇÃO DE ÁGUA - FORNECIMENTO E INSTALAÇÃO. AF_06/2022</t>
  </si>
  <si>
    <t>TUBO, PVC, SOLDÁVEL, DE 32MM, INSTALADO EM RAMAL OU SUB-RAMAL DE ÁGUA - FORNECIMENTO E INSTALAÇÃO. AF_06/2022</t>
  </si>
  <si>
    <t>TUBO, PVC, SOLDÁVEL, DE 25MM, INSTALADO EM RAMAL OU SUB-RAMAL DE ÁGUA - FORNECIMENTO E INSTALAÇÃO. AF_06/2022</t>
  </si>
  <si>
    <r>
      <rPr>
        <sz val="8"/>
        <rFont val="Arial"/>
        <family val="2"/>
      </rPr>
      <t>REGISTRO DE ESFERA, PVC, ROSCÁVEL, COM BORBOLETA, 3/4" -
FORNECIMENTO E INSTALAÇÃO. AF_08/2021</t>
    </r>
  </si>
  <si>
    <t>REGISTRO DE ESFERA, PVC, SOLDÁVEL, COM VOLANTE, DN 25 MM - FORNECIMENTO E INSTALAÇÃO. AF_08/2021</t>
  </si>
  <si>
    <t>REGISTRO DE ESFERA, PVC, SOLDÁVEL, COM VOLANTE, DN 32 MM - FORNECIMENTO E INSTALAÇÃO. AF_08/2021</t>
  </si>
  <si>
    <r>
      <rPr>
        <sz val="8"/>
        <rFont val="Arial"/>
        <family val="2"/>
      </rPr>
      <t>REGISTRO DE ESFERA, PVC, SOLDÁVEL, COM VOLANTE, DN 50 MM -
FORNECIMENTO E INSTALAÇÃO. AF_08/2021</t>
    </r>
  </si>
  <si>
    <t>ADAPTADOR CURTO COM BOLSA E ROSCA PARA REGISTRO, PVC, SOLDÁVEL, DN 60 MM X 2", INSTALADO EM RESERVAÇÃO PREDIAL DE ÁGUA - FORNECIMENTO E INSTALAÇÃO. AF_04/2024</t>
  </si>
  <si>
    <t>ADAPTADOR CURTO COM BOLSA E ROSCA PARA REGISTRO, PVC, SOLDÁVEL, DN 32 MM X 1", INSTALADO EM RESERVAÇÃO PREDIAL DE ÁGUA - FORNECIMENTO E INSTALAÇÃO. AF_04/2024</t>
  </si>
  <si>
    <t>ADAPTADOR CURTO COM BOLSA E ROSCA PARA REGISTRO, PVC, SOLDÁVEL, DN 25MM X 3/4, INSTALADO EM RAMAL DE DISTRIBUIÇÃO DE ÁGUA - FORNECIMENTO E INSTALAÇÃO. AF_06/2022</t>
  </si>
  <si>
    <r>
      <rPr>
        <sz val="8"/>
        <rFont val="Arial"/>
        <family val="2"/>
      </rPr>
      <t>BUCHA DE REDUÇÃO, CURTA, PVC, SOLDÁVEL, DN 50 X 40 MM, INSTALADO EM RAMAL DE DISTRIBUIÇÃO DE ÁGUA - FORNECIMENTO E
INSTALAÇÃO. AF_06/2022</t>
    </r>
  </si>
  <si>
    <t>JOELHO 45 GRAUS, PVC, SOLDÁVEL, DN 32MM, INSTALADO EM RAMAL OU SUB-RAMAL DE ÁGUA - FORNECIMENTO E INSTALAÇÃO. AF_06/2022</t>
  </si>
  <si>
    <t>JOELHO 90 GRAUS, PVC, SOLDÁVEL, DN 25MM, INSTALADO EM RAMAL OU SUB-RAMAL DE ÁGUA - FORNECIMENTO E INSTALAÇÃO. AF_06/2022</t>
  </si>
  <si>
    <t>JOELHO 90 GRAUS, PVC, SOLDÁVEL, DN 32MM, INSTALADO EM RAMAL OU SUB-RAMAL DE ÁGUA - FORNECIMENTO E INSTALAÇÃO. AF_06/2022</t>
  </si>
  <si>
    <t>JOELHO 90 GRAUS, PVC, SOLDÁVEL, DN 40MM, INSTALADO EM RAMAL DE DISTRIBUIÇÃO DE ÁGUA - FORNECIMENTO E INSTALAÇÃO. AF_06/2022</t>
  </si>
  <si>
    <r>
      <rPr>
        <sz val="8"/>
        <rFont val="Arial"/>
        <family val="2"/>
      </rPr>
      <t>JOELHO 90 GRAUS, PVC, SOLDÁVEL, DN 50MM, INSTALADO EM RAMAL DE DISTRIBUIÇÃO DE ÁGUA - FORNECIMENTO E INSTALAÇÃO.
AF_06/2022</t>
    </r>
  </si>
  <si>
    <r>
      <rPr>
        <sz val="8"/>
        <rFont val="Arial"/>
        <family val="2"/>
      </rPr>
      <t>JOELHO DE REDUÇÃO, 90 GRAUS, PVC, SOLDÁVEL, DN 32 MM X 25 MM,
INSTALADO EM RAMAL OU SUB-RAMAL DE ÁGUA - FORNECIMENTO E INSTALAÇÃO. AF_06/2022</t>
    </r>
  </si>
  <si>
    <t>LUVA, PVC, SOLDÁVEL, DN 32MM, INSTALADO EM RAMAL DE DISTRIBUIÇÃO DE ÁGUA - FORNECIMENTO E INSTALAÇÃO. AF_06/2022</t>
  </si>
  <si>
    <t>LUVA, PVC, SOLDÁVEL, DN 50MM, INSTALADO EM RAMAL DE DISTRIBUIÇÃO DE ÁGUA - FORNECIMENTO E INSTALAÇÃO. AF_06/2022</t>
  </si>
  <si>
    <t>TE, PVC, SOLDÁVEL, DN 32MM, INSTALADO EM RAMAL OU SUB-RAMAL DE ÁGUA - FORNECIMENTO E INSTALAÇÃO. AF_06/2022</t>
  </si>
  <si>
    <t>TE, PVC, SOLDÁVEL, DN 50MM, INSTALADO EM RAMAL DE DISTRIBUIÇÃO DE ÁGUA - FORNECIMENTO E INSTALAÇÃO. AF_06/2022</t>
  </si>
  <si>
    <t>TÊ DE REDUÇÃO, PVC, SOLDÁVEL, DN 50MM X 40MM, INSTALADO EM PRUMADA DE ÁGUA - FORNECIMENTO E INSTALAÇÃO. AF_06/2022</t>
  </si>
  <si>
    <t>UNIÃO, PVC, SOLDÁVEL, DN 32MM, INSTALADO EM PRUMADA DE ÁGUA - FORNECIMENTO E INSTALAÇÃO. AF_06/2022</t>
  </si>
  <si>
    <r>
      <rPr>
        <sz val="8"/>
        <rFont val="Arial"/>
        <family val="2"/>
      </rPr>
      <t>UNIÃO, PVC, SOLDÁVEL, DN 40MM, INSTALADO EM PRUMADA DE ÁGUA -
FORNECIMENTO E INSTALAÇÃO. AF_06/2022</t>
    </r>
  </si>
  <si>
    <r>
      <rPr>
        <sz val="8"/>
        <rFont val="Arial"/>
        <family val="2"/>
      </rPr>
      <t>UNIÃO, PVC, SOLDÁVEL, DN 50MM, INSTALADO EM PRUMADA DE ÁGUA -
FORNECIMENTO E INSTALAÇÃO. AF_06/2022</t>
    </r>
  </si>
  <si>
    <t>COMP. MACAÉ 1</t>
  </si>
  <si>
    <t>CONTROLADOR AUTOMÁTICO DE PRESSÃO, 1”; FORNECIMENTO E INSTALAÇÃO</t>
  </si>
  <si>
    <r>
      <rPr>
        <sz val="8"/>
        <rFont val="Arial"/>
        <family val="2"/>
      </rPr>
      <t>JOELHO 90 GRAUS, PVC, SOLDÁVEL, DN 25MM, X 3/4 INSTALADO EM RAMAL DE DISTRIBUIÇÃO DE ÁGUA - FORNECIMENTO E INSTALAÇÃO.
AF_06/2022</t>
    </r>
  </si>
  <si>
    <r>
      <rPr>
        <sz val="8"/>
        <rFont val="Arial"/>
        <family val="2"/>
      </rPr>
      <t>TORNEIRA DE BOIA PARA CAIXA D'ÁGUA, ROSCÁVEL, 1" -
FORNECIMENTO E INSTALAÇÃO. AF_08/2021</t>
    </r>
  </si>
  <si>
    <t>TAMPA ACESSO PARA VEDACAO DE CAIXA D'AGUA</t>
  </si>
  <si>
    <r>
      <rPr>
        <sz val="8"/>
        <rFont val="Arial"/>
        <family val="2"/>
      </rPr>
      <t>CHAVE DE BOIA AUTOMÁTICA SUPERIOR/INFERIOR 15A/250V -
FORNECIMENTO E INSTALAÇÃO. AF_12/2020</t>
    </r>
  </si>
  <si>
    <t>9.2</t>
  </si>
  <si>
    <t>INSTALAÇÃO DE ÁGUA FRIA</t>
  </si>
  <si>
    <t>9.2.1</t>
  </si>
  <si>
    <t>9.2.2</t>
  </si>
  <si>
    <t>9.2.3</t>
  </si>
  <si>
    <t>9.2.4</t>
  </si>
  <si>
    <t>REGISTRO DE ESFERA, PVC, SOLDÁVEL, COM VOLANTE, DN 40 MM - FORNECIMENTO E INSTALAÇÃO. AF_08/2021</t>
  </si>
  <si>
    <t>9.2.5</t>
  </si>
  <si>
    <t>9.2.6</t>
  </si>
  <si>
    <r>
      <rPr>
        <sz val="8"/>
        <rFont val="Arial"/>
        <family val="2"/>
      </rPr>
      <t>REGISTRO DE GAVETA BRUTO, LATÃO, ROSCÁVEL, 3/4", COM
ACABAMENTO E CANOPLA CROMADOS - FORNECIMENTO E INSTALAÇÃO. AF_08/2021</t>
    </r>
  </si>
  <si>
    <t>9.2.7</t>
  </si>
  <si>
    <r>
      <rPr>
        <sz val="8"/>
        <rFont val="Arial"/>
        <family val="2"/>
      </rPr>
      <t>REGISTRO DE PRESSÃO BRUTO, LATÃO, ROSCÁVEL, 3/4", COM
ACABAMENTO E CANOPLA CROMADOS - FORNECIMENTO E INSTALAÇÃO. AF_08/2021</t>
    </r>
  </si>
  <si>
    <t>9.2.8</t>
  </si>
  <si>
    <r>
      <rPr>
        <sz val="8"/>
        <rFont val="Arial"/>
        <family val="2"/>
      </rPr>
      <t>JOELHO 90 GRAUS, PVC, SOLDÁVEL, DN 50MM, INSTALADO EM RAMAL
DE DISTRIBUIÇÃO DE ÁGUA - FORNECIMENTO E INSTALAÇÃO. AF_06/2022</t>
    </r>
  </si>
  <si>
    <t>9.2.9</t>
  </si>
  <si>
    <t>JOELHO 90 GRAUS, PVC, SOLDÁVEL, DN 40MM, INSTALADO EM PRUMADA DE ÁGUA - FORNECIMENTO E INSTALAÇÃO. AF_06/2022</t>
  </si>
  <si>
    <t>JOELHO 45 GRAUS, PVC, SOLDÁVEL, DN 25MM, INSTALADO EM RAMAL OU SUB-RAMAL DE ÁGUA - FORNECIMENTO E INSTALAÇÃO. AF_06/2022</t>
  </si>
  <si>
    <t>JOELHO 45 GRAUS, PVC, SOLDÁVEL, DN 40MM, INSTALADO EM RAMAL DE DISTRIBUIÇÃO DE ÁGUA - FORNECIMENTO E INSTALAÇÃO. AF_06/2022</t>
  </si>
  <si>
    <t>JOELHO 45 GRAUS, PVC, SOLDÁVEL, DN 50MM, INSTALADO EM PRUMADA DE ÁGUA - FORNECIMENTO E INSTALAÇÃO. AF_06/2022</t>
  </si>
  <si>
    <t>CURVA 45 GRAUS, PVC, SOLDÁVEL, DN 50MM, INSTALADO EM RAMAL DE DISTRIBUIÇÃO DE ÁGUA - FORNECIMENTO E INSTALAÇÃO. AF_06/2022</t>
  </si>
  <si>
    <t>LUVA DE CORRER, PVC, SOLDÁVEL, DN 40MM, INSTALADO EM RAMAL DE DISTRIBUIÇÃO DE ÁGUA - FORNECIMENTO E INSTALAÇÃO. AF_06/2022</t>
  </si>
  <si>
    <t>LUVA, PVC, SOLDÁVEL, DN 40MM, INSTALADO EM RAMAL DE DISTRIBUIÇÃO DE ÁGUA - FORNECIMENTO E INSTALAÇÃO. AF_06/2022</t>
  </si>
  <si>
    <t>LUVA, PVC, SOLDÁVEL, DN 25MM, INSTALADO EM RAMAL OU SUB-RAMAL DE ÁGUA - FORNECIMENTO E INSTALAÇÃO. AF_06/2022</t>
  </si>
  <si>
    <t>TÊ, PVC, SOLDÁVEL, DN 40 MM INSTALADO EM RESERVAÇÃO PREDIAL DE ÁGUA - FORNECIMENTO E INSTALAÇÃO. AF_04/2024</t>
  </si>
  <si>
    <t>TE, PVC, SOLDÁVEL, DN 25MM, INSTALADO EM RAMAL DE DISTRIBUIÇÃO DE ÁGUA - FORNECIMENTO E INSTALAÇÃO. AF_06/2022</t>
  </si>
  <si>
    <t>TE DE REDUÇÃO, PVC, SOLDÁVEL, 90 GRAUS, DN 50 MM X 25 MM, INSTALADO EM RESERVAÇÃO PREDIAL DE ÁGUA - FORNECIMENTO E INSTALAÇÃO. AF_04/2024</t>
  </si>
  <si>
    <t>BUCHA DE REDUÇÃO, LONGA, PVC, SOLDÁVEL, DN 50 X 25 MM, INSTALADO EM RAMAL DE DISTRIBUIÇÃO DE ÁGUA - FORNECIMENTO E INSTALAÇÃO. AF_06/2022</t>
  </si>
  <si>
    <r>
      <rPr>
        <sz val="8"/>
        <rFont val="Arial"/>
        <family val="2"/>
      </rPr>
      <t>BUCHA DE REDUÇÃO, LONGA, PVC, SOLDÁVEL, DN 40 X 25 MM, INSTALADO EM RAMAL DE DISTRIBUIÇÃO DE ÁGUA - FORNECIMENTO E
INSTALAÇÃO. AF_06/2022</t>
    </r>
  </si>
  <si>
    <r>
      <rPr>
        <sz val="8"/>
        <rFont val="Arial"/>
        <family val="2"/>
      </rPr>
      <t>BUCHA DE REDUÇÃO, CURTA, PVC, SOLDÁVEL, DN 50 X 40 MM,
INSTALADO EM RAMAL DE DISTRIBUIÇÃO DE ÁGUA - FORNECIMENTO E INSTALAÇÃO. AF_06/2022</t>
    </r>
  </si>
  <si>
    <t>ADAPTADOR COM FLANGE E ANEL DE VEDAÇÃO, PVC, SOLDÁVEL, DN 50 MM X 1 1/2", INSTALADO EM RESERVAÇÃO PREDIAL DE ÁGUA - FORNECIMENTO E INSTALAÇÃO. AF_04/2024</t>
  </si>
  <si>
    <t>ADAPTADOR CURTO COM BOLSA E ROSCA PARA REGISTRO, PVC, SOLDÁVEL, DN 25MM X 3/4, INSTALADO EM RAMAL OU SUB-RAMAL DE ÁGUA - FORNECIMENTO E INSTALAÇÃO. AF_06/2022</t>
  </si>
  <si>
    <t>JOELHO 90 GRAUS COM BUCHA DE LATÃO, PVC, SOLDÁVEL, DN 25 MM X 3/4", INSTALADO EM RESERVAÇÃO PREDIAL DE ÁGUA - FORNECIMENTO E INSTALAÇÃO. AF_04/2024</t>
  </si>
  <si>
    <r>
      <rPr>
        <sz val="8"/>
        <rFont val="Arial"/>
        <family val="2"/>
      </rPr>
      <t>JOELHO 90 GRAUS COM BUCHA DE LATÃO, PVC, SOLDÁVEL, DN 25MM, X
1/2 INSTALADO EM RAMAL OU SUB-RAMAL DE ÁGUA - FORNECIMENTO E INSTALAÇÃO. AF_06/2022</t>
    </r>
  </si>
  <si>
    <t>TÊ COM BUCHA DE LATÃO NA BOLSA CENTRAL, PVC, SOLDÁVEL, DN 25MM X 1/2, INSTALADO EM RAMAL OU SUB-RAMAL DE ÁGUA - FORNECIMENTO E INSTALAÇÃO. AF_06/2022</t>
  </si>
  <si>
    <t>UNIÃO, PVC, SOLDÁVEL, DN 25MM, INSTALADO EM PRUMADA DE ÁGUA - FORNECIMENTO E INSTALAÇÃO. AF_06/2022</t>
  </si>
  <si>
    <r>
      <rPr>
        <sz val="8"/>
        <rFont val="Arial"/>
        <family val="2"/>
      </rPr>
      <t>RASGO LINEAR MECANIZADO EM ALVENARIA, PARA RAMAIS/
DISTRIBUIÇÃO DE INSTALAÇÕES HIDRÁULICAS, DIÂMETROS MENORES OU IGUAIS A 40 MM. AF_09/2023</t>
    </r>
  </si>
  <si>
    <r>
      <rPr>
        <sz val="8"/>
        <rFont val="Arial"/>
        <family val="2"/>
      </rPr>
      <t>CHUMBAMENTO LINEAR EM ALVENARIA PARA RAMAIS/DISTRIBUIÇÃO DE INSTALAÇÕES HIDRÁULICAS COM DIÂMETROS MENORES OU IGUAIS A
40 MM. AF_09/2023</t>
    </r>
  </si>
  <si>
    <t>9.3</t>
  </si>
  <si>
    <t>INSTALAÇÃO DE ÁGUA FRIA REÚSO</t>
  </si>
  <si>
    <t>9.3.1</t>
  </si>
  <si>
    <t>9.3.2</t>
  </si>
  <si>
    <t>TUBO, PVC, SOLDÁVEL, DE 32MM, INSTALADO EM RAMAL DE DISTRIBUIÇÃO DE ÁGUA - FORNECIMENTO E INSTALAÇÃO. AF_06/2022</t>
  </si>
  <si>
    <t>9.3.3</t>
  </si>
  <si>
    <t>9.3.4</t>
  </si>
  <si>
    <r>
      <rPr>
        <sz val="8"/>
        <rFont val="Arial"/>
        <family val="2"/>
      </rPr>
      <t>REGISTRO DE ESFERA, PVC, SOLDÁVEL, COM VOLANTE, DN 25 MM -
FORNECIMENTO E INSTALAÇÃO. AF_08/2021</t>
    </r>
  </si>
  <si>
    <t>9.3.5</t>
  </si>
  <si>
    <r>
      <rPr>
        <sz val="8"/>
        <rFont val="Arial"/>
        <family val="2"/>
      </rPr>
      <t>REGISTRO DE ESFERA, PVC, SOLDÁVEL, COM VOLANTE, DN 32 MM -
FORNECIMENTO E INSTALAÇÃO. AF_08/2021</t>
    </r>
  </si>
  <si>
    <t>9.3.6</t>
  </si>
  <si>
    <t>REGISTRO DE ESFERA, PVC, SOLDÁVEL, COM VOLANTE, DN 50 MM - FORNECIMENTO E INSTALAÇÃO. AF_08/2021</t>
  </si>
  <si>
    <t>9.3.7</t>
  </si>
  <si>
    <t>JOELHO 90 GRAUS, PVC, SOLDÁVEL, DN 50MM, INSTALADO EM RAMAL DE DISTRIBUIÇÃO DE ÁGUA - FORNECIMENTO E INSTALAÇÃO. AF_06/2022</t>
  </si>
  <si>
    <t>9.3.8</t>
  </si>
  <si>
    <t>JOELHO 90 GRAUS, PVC, SOLDÁVEL, DN 32MM, INSTALADO EM RAMAL DE DISTRIBUIÇÃO DE ÁGUA - FORNECIMENTO E INSTALAÇÃO. AF_06/2022</t>
  </si>
  <si>
    <t>9.3.9</t>
  </si>
  <si>
    <r>
      <rPr>
        <sz val="8"/>
        <rFont val="Arial"/>
        <family val="2"/>
      </rPr>
      <t>JOELHO DE REDUÇÃO, 90 GRAUS, PVC, SOLDÁVEL, DN 32 MM X 25 MM,
INSTALADO EM PRUMADA DE ÁGUA - FORNECIMENTO E INSTALAÇÃO. AF_06/2022</t>
    </r>
  </si>
  <si>
    <t>LUVA DE CORRER, PVC, SOLDÁVEL, DN 32MM, INSTALADO EM RAMAL DE DISTRIBUIÇÃO DE ÁGUA FORNECIMENTO E INSTALAÇÃO. AF_06/2022</t>
  </si>
  <si>
    <t>TÊ, PVC, SOLDÁVEL, DN 32 MM INSTALADO EM RESERVAÇÃO PREDIAL DE ÁGUA - FORNECIMENTO E INSTALAÇÃO. AF_04/2024</t>
  </si>
  <si>
    <t>TÊ DE REDUÇÃO, PVC, SOLDÁVEL, DN 50MM X 25MM, INSTALADO EM PRUMADA DE ÁGUA - FORNECIMENTO E INSTALAÇÃO. AF_06/2022</t>
  </si>
  <si>
    <t>BUCHA DE REDUÇÃO, CURTA, PVC, SOLDÁVEL, DN 32 X 25 MM, INSTALADO EM RAMAL DE DISTRIBUIÇÃO DE ÁGUA - FORNECIMENTO E INSTALAÇÃO. AF_06/2022</t>
  </si>
  <si>
    <r>
      <rPr>
        <sz val="8"/>
        <rFont val="Arial"/>
        <family val="2"/>
      </rPr>
      <t>TÊ COM BUCHA DE LATÃO NA BOLSA CENTRAL, PVC, SOLDÁVEL, DN 25MM X 3/4, INSTALADO EM RAMAL OU SUB-RAMAL DE ÁGUA -
FORNECIMENTO E INSTALAÇÃO. AF_06/2022</t>
    </r>
  </si>
  <si>
    <t>UNIÃO, PVC, SOLDÁVEL, DN 50MM, INSTALADO EM PRUMADA DE ÁGUA - FORNECIMENTO E INSTALAÇÃO. AF_06/2022</t>
  </si>
  <si>
    <r>
      <rPr>
        <sz val="8"/>
        <rFont val="Arial"/>
        <family val="2"/>
      </rPr>
      <t>UNIÃO, PVC, SOLDÁVEL, DN 32MM, INSTALADO EM PRUMADA DE ÁGUA -
FORNECIMENTO E INSTALAÇÃO. AF_06/2022</t>
    </r>
  </si>
  <si>
    <r>
      <rPr>
        <sz val="8"/>
        <rFont val="Arial"/>
        <family val="2"/>
      </rPr>
      <t>TAMPA CIRCULAR PARA ESGOTO E DRENAGEM, EM FERRO FUNDIDO,
DIÂMETRO INTERNO = 0,6 M. AF_12/2020</t>
    </r>
  </si>
  <si>
    <t>9.4</t>
  </si>
  <si>
    <t>INSTALAÇÕES DE ESGOTO</t>
  </si>
  <si>
    <t>9.4.1</t>
  </si>
  <si>
    <t>CAIXA DE GORDURA SIMPLES, CIRCULAR, EM CONCRETO PRÉ-MOLDADO, DIÂMETRO INTERNO = 0,4 M, ALTURA INTERNA = 0,4 M. AF_12/2020</t>
  </si>
  <si>
    <t>9.4.2</t>
  </si>
  <si>
    <t>POÇO DE INSPEÇÃO CIRCULAR PARA ESGOTO, EM CONCRETO PRÉ-MOLDADO, DIÂMETRO INTERNO = 0,60 M, PROFUNDIDADE = 0,90 M, EXCLUINDO TAMPÃO. AF_12/2020</t>
  </si>
  <si>
    <t>9.4.3</t>
  </si>
  <si>
    <t>9.4.4</t>
  </si>
  <si>
    <t>CAIXA SIFONADA, PVC, DN 100 X 100 X 50 MM, JUNTA ELÁSTICA, FORNECIDA E INSTALADA EM RAMAL DE DESCARGA OU EM RAMAL DE ESGOTO SANITÁRIO. AF_08/2022</t>
  </si>
  <si>
    <t>9.4.5</t>
  </si>
  <si>
    <t>CAIXA SIFONADA, PVC, DN 150 X 185 X 75 MM, JUNTA ELÁSTICA, FORNECIDA E INSTALADA EM RAMAL DE DESCARGA OU EM RAMAL DE ESGOTO SANITÁRIO. AF_08/2022</t>
  </si>
  <si>
    <t>9.4.6</t>
  </si>
  <si>
    <t>TUBO PVC, SERIE NORMAL, ESGOTO PREDIAL, DN 40 MM, FORNECIDO E INSTALADO EM RAMAL DE DESCARGA OU RAMAL DE ESGOTO SANITÁRIO. AF_08/2022</t>
  </si>
  <si>
    <t>9.4.7</t>
  </si>
  <si>
    <t>TUBO PVC, SERIE NORMAL, ESGOTO PREDIAL, DN 50 MM, FORNECIDO E INSTALADO EM RAMAL DE DESCARGA OU RAMAL DE ESGOTO SANITÁRIO. AF_08/2022</t>
  </si>
  <si>
    <t>9.4.8</t>
  </si>
  <si>
    <r>
      <rPr>
        <sz val="8"/>
        <rFont val="Arial"/>
        <family val="2"/>
      </rPr>
      <t>TUBO PVC, SERIE NORMAL, ESGOTO PREDIAL, DN 75 MM, FORNECIDO E INSTALADO EM RAMAL DE DESCARGA OU RAMAL DE ESGOTO
SANITÁRIO. AF_08/2022</t>
    </r>
  </si>
  <si>
    <t>9.4.9</t>
  </si>
  <si>
    <r>
      <rPr>
        <sz val="8"/>
        <rFont val="Arial"/>
        <family val="2"/>
      </rPr>
      <t>TUBO PVC, SERIE NORMAL, ESGOTO PREDIAL, DN 100 MM, FORNECIDO E INSTALADO EM RAMAL DE DESCARGA OU RAMAL DE ESGOTO
SANITÁRIO. AF_08/2022</t>
    </r>
  </si>
  <si>
    <r>
      <rPr>
        <sz val="8"/>
        <rFont val="Arial"/>
        <family val="2"/>
      </rPr>
      <t>TUBO, PVC OCRE, JUNTA ELÁSTICA, DN 150 MM, PARA COLETOR
PREDIAL DE ESGOTO. AF_06/2022</t>
    </r>
  </si>
  <si>
    <t>CURVA LONGA, 45 GRAUS, PVC OCRE, JUNTA ELÁSTICA, DN 100 MM, PARA COLETOR PREDIAL DE ESGOTO. AF_06/2022</t>
  </si>
  <si>
    <t>JOELHO 45 GRAUS, PVC, SERIE NORMAL, ESGOTO PREDIAL, DN 100 MM, JUNTA ELÁSTICA, FORNECIDO E INSTALADO EM RAMAL DE DESCARGA OU RAMAL DE ESGOTO SANITÁRIO. AF_08/2022</t>
  </si>
  <si>
    <t>JOELHO 45 GRAUS, PVC, SERIE NORMAL, ESGOTO PREDIAL, DN 75 MM, JUNTA ELÁSTICA, FORNECIDO E INSTALADO EM RAMAL DE DESCARGA OU RAMAL DE ESGOTO SANITÁRIO. AF_08/2022</t>
  </si>
  <si>
    <t>JOELHO 45 GRAUS, PVC, SERIE NORMAL, ESGOTO PREDIAL, DN 50 MM, JUNTA ELÁSTICA, FORNECIDO E INSTALADO EM RAMAL DE DESCARGA OU RAMAL DE ESGOTO SANITÁRIO. AF_08/2022</t>
  </si>
  <si>
    <t>JOELHO 45 GRAUS, PVC, SERIE NORMAL, ESGOTO PREDIAL, DN 40 MM, JUNTA SOLDÁVEL, FORNECIDO E INSTALADO EM RAMAL DE DESCARGA OU RAMAL DE ESGOTO SANITÁRIO. AF_08/2022</t>
  </si>
  <si>
    <t>JOELHO 90 GRAUS, PVC, SERIE NORMAL, ESGOTO PREDIAL, DN 100 MM, JUNTA ELÁSTICA, FORNECIDO E INSTALADO EM RAMAL DE DESCARGA OU RAMAL DE ESGOTO SANITÁRIO. AF_08/2022</t>
  </si>
  <si>
    <t>JOELHO 90 GRAUS, PVC, SERIE NORMAL, ESGOTO PREDIAL, DN 50 MM, JUNTA ELÁSTICA, FORNECIDO E INSTALADO EM RAMAL DE DESCARGA OU RAMAL DE ESGOTO SANITÁRIO. AF_08/2022</t>
  </si>
  <si>
    <t>JOELHO 90 GRAUS, PVC, SERIE NORMAL, ESGOTO PREDIAL, DN 40 MM, JUNTA SOLDÁVEL, FORNECIDO E INSTALADO EM RAMAL DE DESCARGA OU RAMAL DE ESGOTO SANITÁRIO. AF_08/2022</t>
  </si>
  <si>
    <t>CURVA CURTA 90 GRAUS, PVC, SERIE NORMAL, ESGOTO PREDIAL, DN 100 MM, JUNTA ELÁSTICA, FORNECIDO E INSTALADO EM RAMAL DE DESCARGA OU RAMAL DE ESGOTO SANITÁRIO. AF_08/2022</t>
  </si>
  <si>
    <t>CURVA CURTA 90 GRAUS, PVC, SERIE NORMAL, ESGOTO PREDIAL, DN 75 MM, JUNTA ELÁSTICA, FORNECIDO E INSTALADO EM RAMAL DE DESCARGA OU RAMAL DE ESGOTO SANITÁRIO. AF_08/2022</t>
  </si>
  <si>
    <t>CURVA CURTA 90 GRAUS, PVC, SERIE NORMAL, ESGOTO PREDIAL, DN 50 MM, JUNTA ELÁSTICA, FORNECIDO E INSTALADO EM RAMAL DE DESCARGA OU RAMAL DE ESGOTO SANITÁRIO. AF_08/2022</t>
  </si>
  <si>
    <t>CURVA CURTA 90 GRAUS, PVC, SERIE NORMAL, ESGOTO PREDIAL, DN 40 MM, JUNTA SOLDÁVEL, FORNECIDO E INSTALADO EM RAMAL DE DESCARGA OU RAMAL DE ESGOTO SANITÁRIO. AF_08/2022</t>
  </si>
  <si>
    <t>JUNÇÃO SIMPLES, PVC, SERIE NORMAL, ESGOTO PREDIAL, DN 100 X 100 MM, JUNTA ELÁSTICA, FORNECIDO E INSTALADO EM RAMAL DE DESCARGA OU RAMAL DE ESGOTO SANITÁRIO. AF_08/2022</t>
  </si>
  <si>
    <r>
      <rPr>
        <sz val="8"/>
        <rFont val="Arial"/>
        <family val="2"/>
      </rPr>
      <t>JUNÇÃO DE REDUÇÃO INVERTIDA, PVC, SÉRIE NORMAL, ESGOTO PREDIAL, DN 100 X 50 MM, JUNTA ELÁSTICA, FORNECIDO E INSTALADO EM RAMAL DE DESCARGA OU RAMAL DE ESGOTO SANITÁRIO.
AF_08/2022</t>
    </r>
  </si>
  <si>
    <t>JUNÇÃO SIMPLES, PVC, SERIE NORMAL, ESGOTO PREDIAL, DN 75 X 75 MM, JUNTA ELÁSTICA, FORNECIDO E INSTALADO EM RAMAL DE DESCARGA OU RAMAL DE ESGOTO SANITÁRIO. AF_08/2022</t>
  </si>
  <si>
    <t>JUNÇÃO SIMPLES, PVC, SERIE NORMAL, ESGOTO PREDIAL, DN 40 MM, JUNTA SOLDÁVEL, FORNECIDO E INSTALADO EM RAMAL DE DESCARGA OU RAMAL DE ESGOTO SANITÁRIO. AF_08/2022</t>
  </si>
  <si>
    <t>LUVA DE CORRER, PVC, SERIE NORMAL, ESGOTO PREDIAL, DN 100 MM, JUNTA ELÁSTICA, FORNECIDO E INSTALADO EM RAMAL DE DESCARGA OU RAMAL DE ESGOTO SANITÁRIO. AF_08/2022</t>
  </si>
  <si>
    <t>LUVA DE CORRER, PVC, SERIE NORMAL, ESGOTO PREDIAL, DN 50 MM, JUNTA ELÁSTICA, FORNECIDO E INSTALADO EM RAMAL DE DESCARGA OU RAMAL DE ESGOTO SANITÁRIO. AF_08/2022</t>
  </si>
  <si>
    <r>
      <rPr>
        <sz val="8"/>
        <rFont val="Arial"/>
        <family val="2"/>
      </rPr>
      <t>REDUÇÃO EXCÊNTRICA, PVC, SERIE R, ÁGUA PLUVIAL, DN 100 X 75 MM,
JUNTA ELÁSTICA, FORNECIDO E INSTALADO EM RAMAL DE ENCAMINHAMENTO. AF_06/2022</t>
    </r>
  </si>
  <si>
    <t>REDUCAO EXCENTRICA REDUX / SILENTIUM DN 100x50mm</t>
  </si>
  <si>
    <r>
      <rPr>
        <sz val="8"/>
        <rFont val="Arial"/>
        <family val="2"/>
      </rPr>
      <t>REDUÇÃO EXCÊNTRICA, PVC, SERIE R, ÁGUA PLUVIAL, DN 75 X 50 MM,
JUNTA ELÁSTICA, FORNECIDO E INSTALADO EM RAMAL DE ENCAMINHAMENTO. AF_06/2022</t>
    </r>
  </si>
  <si>
    <t>TE, PVC, SERIE NORMAL, ESGOTO PREDIAL, DN 100 X 100 MM, JUNTA ELÁSTICA, FORNECIDO E INSTALADO EM RAMAL DE DESCARGA OU RAMAL DE ESGOTO SANITÁRIO. AF_08/2022</t>
  </si>
  <si>
    <t>TE, PVC, SÉRIE NORMAL, ESGOTO PREDIAL, DN 100 X 50 MM, JUNTA ELÁSTICA, FORNECIDO E INSTALADO EM RAMAL DE DESCARGA OU RAMAL DE ESGOTO SANITÁRIO. AF_08/2022</t>
  </si>
  <si>
    <t>TE, PVC, SERIE NORMAL, ESGOTO PREDIAL, DN 50 X 50 MM, JUNTA ELÁSTICA, FORNECIDO E INSTALADO EM RAMAL DE DESCARGA OU RAMAL DE ESGOTO SANITÁRIO. AF_08/2022</t>
  </si>
  <si>
    <r>
      <rPr>
        <sz val="8"/>
        <rFont val="Arial"/>
        <family val="2"/>
      </rPr>
      <t>BUCHA DE REDUÇÃO LONGA, PVC, SÉRIE NORMAL, ESGOTO PREDIAL, DN 50 X 40 MM, JUNTA SOLDÁVEL E ELÁSTICA, FORNECIDO E INSTALADO EM RAMAL DE DESCARGA OU RAMAL DE ESGOTO
SANITÁRIO. AF_08/2022</t>
    </r>
  </si>
  <si>
    <t>9.5</t>
  </si>
  <si>
    <t>INSTALAÇÃO DE VENTILAÇÃO DE ESGOTO</t>
  </si>
  <si>
    <t>9.5.1</t>
  </si>
  <si>
    <r>
      <rPr>
        <sz val="8"/>
        <rFont val="Arial"/>
        <family val="2"/>
      </rPr>
      <t>TUBO PVC, SERIE NORMAL, ESGOTO PREDIAL, DN 75 MM, FORNECIDO E
INSTALADO EM PRUMADA DE ESGOTO SANITÁRIO OU VENTILAÇÃO. AF_08/2022</t>
    </r>
  </si>
  <si>
    <t>9.5.2</t>
  </si>
  <si>
    <r>
      <rPr>
        <sz val="8"/>
        <rFont val="Arial"/>
        <family val="2"/>
      </rPr>
      <t>TUBO PVC, SERIE NORMAL, ESGOTO PREDIAL, DN 50 MM, FORNECIDO E INSTALADO EM PRUMADA DE ESGOTO SANITÁRIO OU VENTILAÇÃO.
AF_08/2022</t>
    </r>
  </si>
  <si>
    <t>9.5.3</t>
  </si>
  <si>
    <t>JOELHO 45 GRAUS, PVC, SERIE NORMAL, ESGOTO PREDIAL, DN 75 MM, JUNTA ELÁSTICA, FORNECIDO E INSTALADO EM PRUMADA DE ESGOTO SANITÁRIO OU VENTILAÇÃO. AF_08/2022</t>
  </si>
  <si>
    <t>9.5.4</t>
  </si>
  <si>
    <t>JOELHO 45 GRAUS, PVC, SERIE NORMAL, ESGOTO PREDIAL, DN 50 MM, JUNTA ELÁSTICA, FORNECIDO E INSTALADO EM PRUMADA DE ESGOTO SANITÁRIO OU VENTILAÇÃO. AF_08/2022</t>
  </si>
  <si>
    <t>9.5.5</t>
  </si>
  <si>
    <t>JOELHO 90 GRAUS, PVC, SERIE NORMAL, ESGOTO PREDIAL, DN 50 MM, JUNTA ELÁSTICA, FORNECIDO E INSTALADO EM PRUMADA DE ESGOTO SANITÁRIO OU VENTILAÇÃO. AF_08/2022</t>
  </si>
  <si>
    <t>9.5.6</t>
  </si>
  <si>
    <t>CURVA CURTA 90 GRAUS, PVC, SERIE NORMAL, ESGOTO PREDIAL, DN 50 MM, JUNTA ELÁSTICA, FORNECIDO E INSTALADO EM PRUMADA DE ESGOTO SANITÁRIO OU VENTILAÇÃO. AF_08/2022</t>
  </si>
  <si>
    <t>9.5.7</t>
  </si>
  <si>
    <t>CURVA CURTA 90 GRAUS, PVC, SERIE NORMAL, ESGOTO PREDIAL, DN 75 MM, JUNTA ELÁSTICA, FORNECIDO E INSTALADO EM PRUMADA DE ESGOTO SANITÁRIO OU VENTILAÇÃO. AF_08/2022</t>
  </si>
  <si>
    <t>9.5.8</t>
  </si>
  <si>
    <t>JUNÇÃO SIMPLES, PVC, SERIE NORMAL, ESGOTO PREDIAL, DN 50 X 50 MM, JUNTA ELÁSTICA, FORNECIDO E INSTALADO EM PRUMADA DE ESGOTO SANITÁRIO OU VENTILAÇÃO. AF_08/2022</t>
  </si>
  <si>
    <t>9.5.9</t>
  </si>
  <si>
    <t>JUNÇÃO DE REDUÇÃO INVERTIDA, PVC, SÉRIE NORMAL, ESGOTO PREDIAL, DN 75 X 50 MM, JUNTA ELÁSTICA, FORNECIDO E INSTALADO EM PRUMADA DE ESGOTO SANITÁRIO OU VENTILAÇÃO. AF_08/2022</t>
  </si>
  <si>
    <t>LUVA DE CORRER, PVC, SERIE NORMAL, ESGOTO PREDIAL, DN 50 MM, JUNTA ELÁSTICA, FORNECIDO E INSTALADO EM PRUMADA DE ESGOTO SANITÁRIO OU VENTILAÇÃO. AF_08/2022</t>
  </si>
  <si>
    <r>
      <rPr>
        <sz val="8"/>
        <rFont val="Arial"/>
        <family val="2"/>
      </rPr>
      <t>TE, PVC, SERIE NORMAL, ESGOTO PREDIAL, DN 50 X 50 MM, JUNTA ELÁSTICA, FORNECIDO E INSTALADO EM PRUMADA DE ESGOTO
SANITÁRIO OU VENTILAÇÃO. AF_08/2022</t>
    </r>
  </si>
  <si>
    <t>TE SANITARIO PVC ESGOTO 75x50mm</t>
  </si>
  <si>
    <t>REDUÇÃO EXCÊNTRICA, PVC, SERIE R, ÁGUA PLUVIAL, DN 75 X 50 MM, JUNTA ELÁSTICA, FORNECIDO E INSTALADO EM RAMAL DE ENCAMINHAMENTO. AF_06/2022</t>
  </si>
  <si>
    <t>TERMINAL DE VENTILAÇÃO, PVC, SÉRIE NORMAL, ESGOTO PREDIAL, DN 75 MM, JUNTA SOLDÁVEL, FORNECIDO E INSTALADO EM PRUMADA DE ESGOTO SANITÁRIO OU VENTILAÇÃO. AF_08/2022</t>
  </si>
  <si>
    <t>TERMINAL DE VENTILAÇÃO, PVC, SÉRIE NORMAL, ESGOTO PREDIAL, DN 50 MM, JUNTA SOLDÁVEL, FORNECIDO E INSTALADO EM PRUMADA DE ESGOTO SANITÁRIO OU VENTILAÇÃO. AF_08/2022</t>
  </si>
  <si>
    <t>9.6</t>
  </si>
  <si>
    <t>INSTALAÇÕES PLUVIAIS</t>
  </si>
  <si>
    <t>9.6.1</t>
  </si>
  <si>
    <t>CAIXA ENTERRADA RETENTORA DE AREIA RETANGULAR, EM ALVENARIA COM BLOCOS DE CONCRETO, DIMENSÕES INTERNAS: 1,00 X 1,00 X 1,20 M, EXCLUINDO TAMPÃO. AF_12/2020</t>
  </si>
  <si>
    <t>9.6.2</t>
  </si>
  <si>
    <t>BASE PARA POÇO DE VISITA CIRCULAR PARA DRENAGEM, EM CONCRETO PRÉ-MOLDADO, DIÂMETRO INTERNO = 1,0 M, PROFUNDIDADE = 1,35 M, EXCLUINDO TAMPÃO. AF_05/2018</t>
  </si>
  <si>
    <t>9.6.3</t>
  </si>
  <si>
    <t>CAIXA COM GRELHA SIMPLES RETANGULAR, EM CONCRETO PRÉ-MOLDADO, DIMENSÕES INTERNAS: 0,6X1,0X1,0 M. AF_12/2020</t>
  </si>
  <si>
    <t>9.6.4</t>
  </si>
  <si>
    <t>GRELHA FERRO FUNDIDO 30x30cm</t>
  </si>
  <si>
    <t>9.6.5</t>
  </si>
  <si>
    <t>9.6.6</t>
  </si>
  <si>
    <t>TUBO PVC, SÉRIE R, ÁGUA PLUVIAL, DN 100 MM, FORNECIDO E INSTALADO EM RAMAL DE ENCAMINHAMENTO. AF_06/2022</t>
  </si>
  <si>
    <t>9.6.7</t>
  </si>
  <si>
    <t>TUBO PVC, SÉRIE R, ÁGUA PLUVIAL, DN 150 MM, FORNECIDO E INSTALADO EM RAMAL DE ENCAMINHAMENTO. AF_06/2022</t>
  </si>
  <si>
    <t>9.6.8</t>
  </si>
  <si>
    <r>
      <rPr>
        <sz val="8"/>
        <rFont val="Arial"/>
        <family val="2"/>
      </rPr>
      <t>TUBO DE PVC PARA REDE COLETORA DE ESGOTO DE PAREDE MACIÇA, DN 200 MM, JUNTA ELÁSTICA - FORNECIMENTO E ASSENTAMENTO.
AF_01/2021</t>
    </r>
  </si>
  <si>
    <t>9.6.9</t>
  </si>
  <si>
    <r>
      <rPr>
        <sz val="8"/>
        <rFont val="Arial"/>
        <family val="2"/>
      </rPr>
      <t>TUBO DE PVC PARA REDE COLETORA DE ESGOTO DE PAREDE MACIÇA,
DN 250 MM, JUNTA ELÁSTICA - FORNECIMENTO E ASSENTAMENTO. AF_01/2021</t>
    </r>
  </si>
  <si>
    <r>
      <rPr>
        <sz val="8"/>
        <rFont val="Arial"/>
        <family val="2"/>
      </rPr>
      <t>TUBO DE PVC PARA REDE COLETORA DE ESGOTO DE PAREDE MACIÇA, DN 300 MM, JUNTA ELÁSTICA, FORNECIMENTO E ASSENTAMENTO.
AF_01/2021</t>
    </r>
  </si>
  <si>
    <r>
      <rPr>
        <sz val="8"/>
        <rFont val="Arial"/>
        <family val="2"/>
      </rPr>
      <t>JOELHO 45 GRAUS, PVC, SERIE R, ÁGUA PLUVIAL, DN 150 MM, JUNTA
ELÁSTICA, FORNECIDO E INSTALADO EM RAMAL DE ENCAMINHAMENTO. AF_06/2022</t>
    </r>
  </si>
  <si>
    <r>
      <rPr>
        <sz val="8"/>
        <rFont val="Arial"/>
        <family val="2"/>
      </rPr>
      <t>JOELHO 90 GRAUS, PVC, SERIE R, ÁGUA PLUVIAL, DN 100 MM, JUNTA
ELÁSTICA, FORNECIDO E INSTALADO EM RAMAL DE ENCAMINHAMENTO. AF_06/2022</t>
    </r>
  </si>
  <si>
    <t>JOELHO 90 GRAUS, PVC, SERIE R, ÁGUA PLUVIAL, DN 150 MM, JUNTA ELÁSTICA, FORNECIDO E INSTALADO EM RAMAL DE ENCAMINHAMENTO. AF_06/2022</t>
  </si>
  <si>
    <t>CURVA 45 LONGA SERIE NORMAL PVC 150mm</t>
  </si>
  <si>
    <t>CURVA 45 LONGA SERIE NORMAL PVC 100mm</t>
  </si>
  <si>
    <t>CURVA 90 LONGA SERIE NORMAL PVC 150mm</t>
  </si>
  <si>
    <r>
      <rPr>
        <sz val="8"/>
        <rFont val="Arial"/>
        <family val="2"/>
      </rPr>
      <t>CURVA 90 GRAUS, PVC, SERIE R, ÁGUA PLUVIAL, DN 100 MM, JUNTA ELÁSTICA, FORNECIDO E INSTALADO EM RAMAL DE ENCAMINHAMENTO.
AF_06/2022</t>
    </r>
  </si>
  <si>
    <t>CURVA 90 COLETORA ESGOTO PVC/PB DN 250mm</t>
  </si>
  <si>
    <r>
      <rPr>
        <sz val="8"/>
        <rFont val="Arial"/>
        <family val="2"/>
      </rPr>
      <t>JUNÇÃO SIMPLES, PVC, SERIE R, ÁGUA PLUVIAL, DN 150 X 100 MM, JUNTA ELÁSTICA, FORNECIDO E INSTALADO EM RAMAL DE
ENCAMINHAMENTO. AF_06/2022</t>
    </r>
  </si>
  <si>
    <r>
      <rPr>
        <sz val="8"/>
        <rFont val="Arial"/>
        <family val="2"/>
      </rPr>
      <t>LUVA DE CORRER, PVC, SERIE R, ÁGUA PLUVIAL, DN 100 MM, JUNTA
ELÁSTICA, FORNECIDO E INSTALADO EM RAMAL DE ENCAMINHAMENTO. AF_06/2022</t>
    </r>
  </si>
  <si>
    <r>
      <rPr>
        <sz val="8"/>
        <rFont val="Arial"/>
        <family val="2"/>
      </rPr>
      <t>REDUÇÃO EXCÊNTRICA, PVC, SERIE R, ÁGUA PLUVIAL, DN 150 X 100 MM, JUNTA ELÁSTICA, FORNECIDO E INSTALADO EM RAMAL DE
ENCAMINHAMENTO. AF_06/2022</t>
    </r>
  </si>
  <si>
    <r>
      <rPr>
        <sz val="12"/>
        <rFont val="Arial"/>
        <family val="2"/>
      </rPr>
      <t>15.003.0178
0</t>
    </r>
  </si>
  <si>
    <t>RALO DE COBERTURA SEMI-ESFERICO(TIPO ABACAXI),COM 4".FORNECI MENTO E COLOCACAO 3%-DESGASTE DE FERRAMENTAS E EPI</t>
  </si>
  <si>
    <t>IT 40.05.0550</t>
  </si>
  <si>
    <t>SCO</t>
  </si>
  <si>
    <t>Filtro para aproveitamento de agua de chuva (AAC) auto-limpante para areas ate 1.500 m2. Elemento filtrante de inox. Retencao e descarga de solidos superiores a 0,55mm. Duas entradas de AP de 250mm, saidas de agua filtrada de 200mm, dimensionamento do descarte estabelecido em projeto. Instalado em caixa conectora em alvenaria, bloco de concreto ou fibra de vidro. Vazao maxima do Filtro modelo VF-6 (70 L/S). Fornecimento.</t>
  </si>
  <si>
    <t>un</t>
  </si>
  <si>
    <t>IT 40.05.1050</t>
  </si>
  <si>
    <t>Freio hidraulico de 200mm para enchimento dos reservatorios de AAC, atraves de fluxo ascendente. Fornecimento.</t>
  </si>
  <si>
    <t>IT 40.05.0200</t>
  </si>
  <si>
    <t>Extravasor, sifao/ladrao, de 200mm, para excesso de agua, retirada de impurezas da superficie e manutencao do nivel maximo determinado para os reservatorios de AAC. Bloqueia cheiros da galeria pluvial e dificulta entrada de pragas. Fornecimento.</t>
  </si>
  <si>
    <t>9.7</t>
  </si>
  <si>
    <t>DRENOS DE AR CONDICIONADO</t>
  </si>
  <si>
    <t>9.7.1</t>
  </si>
  <si>
    <t>TUBO, PVC, SOLDÁVEL, DE 32MM, INSTALADO EM DRENO DE AR CONDICIONADO - FORNECIMENTO E INSTALAÇÃO. AF_08/2022</t>
  </si>
  <si>
    <t>9.7.2</t>
  </si>
  <si>
    <t>TUBO, PVC, SOLDÁVEL, DE 40MM, INSTALADO EM RESERVAÇÃO PREDIAL DE ÁGUA - FORNECIMENTO E INSTALAÇÃO. AF_04/2024</t>
  </si>
  <si>
    <t>9.7.3</t>
  </si>
  <si>
    <t>JOELHO 45 GRAUS, PVC, SOLDÁVEL, DN 32 MM, INSTALADO EM DRENO DE AR CONDICIONADO - FORNECIMENTO E INSTALAÇÃO. AF_08/2022</t>
  </si>
  <si>
    <t>9.7.4</t>
  </si>
  <si>
    <t>JOELHO 90 GRAUS, PVC, SOLDÁVEL, DN 32 MM, INSTALADO EM DRENO DE AR CONDICIONADO - FORNECIMENTO E INSTALAÇÃO. AF_08/2022</t>
  </si>
  <si>
    <t>9.7.5</t>
  </si>
  <si>
    <t>JOELHO PVC, SOLDÁVEL, 45 GRAUS, DN 40 MM, INSTALADO EM RESERVAÇÃO PREDIAL DE ÁGUA - FORNECIMENTO E INSTALAÇÃO. AF_04/2024</t>
  </si>
  <si>
    <t>9.7.6</t>
  </si>
  <si>
    <t>9.7.7</t>
  </si>
  <si>
    <t>LUVA DE REDUÇÃO SOLDÁVEL, PVC, DN 40 MM X 32 MM, INSTALADO EM RESERVAÇÃO PREDIAL DE ÁGUA - FORNECIMENTO E INSTALAÇÃO. AF_04/2024</t>
  </si>
  <si>
    <t>9.7.8</t>
  </si>
  <si>
    <t>LUVA, PVC, SOLDÁVEL, DN 32 MM, INSTALADO EM DRENO DE AR CONDICIONADO - FORNECIMENTO E INSTALAÇÃO. AF_08/2022</t>
  </si>
  <si>
    <t>9.7.9</t>
  </si>
  <si>
    <t>TE, PVC, SOLDÁVEL, DN 32 MM, INSTALADO EM DRENO DE AR CONDICIONADO - FORNECIMENTO E INSTALAÇÃO. AF_08/2022</t>
  </si>
  <si>
    <r>
      <rPr>
        <sz val="8"/>
        <rFont val="Arial"/>
        <family val="2"/>
      </rPr>
      <t>TUBO DE ESPUMA DE POLIETILENO EXPANDIDO FLEXIVEL PARA ISOLAMENTO TERMICO DE TUBULACAO DE AR CONDICIONADO, AGUA
QUENTE, DN 1 1/2", E= 10 MM</t>
    </r>
  </si>
  <si>
    <t>9.8</t>
  </si>
  <si>
    <t>UNIDADES DE TRATAMENTO</t>
  </si>
  <si>
    <t>9.8.1</t>
  </si>
  <si>
    <t>TANQUE SÉPTICO CIRCULAR, EM CONCRETO PRÉ-MOLDADO, DIÂMETRO INTERNO = 2,38 M, ALTURA INTERNA = 2,50 M, VOLUME ÚTIL: 10009,8 L (PARA 69 CONTRIBUINTES). AF_12/2020</t>
  </si>
  <si>
    <t>9.8.2</t>
  </si>
  <si>
    <t>FILTRO ANAERÓBIO CIRCULAR, EM CONCRETO PRÉ-MOLDADO, DIÂMETRO INTERNO = 2,88 M, ALTURA INTERNA = 1,50 M, VOLUME ÚTIL: 7817,3 L (PARA 75 CONTRIBUINTES). AF_12/2020</t>
  </si>
  <si>
    <t>9.8.3</t>
  </si>
  <si>
    <r>
      <rPr>
        <sz val="12"/>
        <rFont val="Arial"/>
        <family val="2"/>
      </rPr>
      <t>15.002.0683
0</t>
    </r>
  </si>
  <si>
    <t>SUMIDOURO CILINDRICO,LIGADO A FOSSA,MEDINDO 2500X2000MM,EM A NEIS DE CONCRETO PRE-MOLDADO,EXCLUSIVE FOSSA E MANILHAS.FORN ECIMENTO E COLOCACAO 3%-DESGASTE DE FERRAMENTAS E EPI</t>
  </si>
  <si>
    <t>9.8.4</t>
  </si>
  <si>
    <t>9.9</t>
  </si>
  <si>
    <t>APARELHOS HIDRAULICOS,SANITARIOS, METAIS</t>
  </si>
  <si>
    <t>9.9.1</t>
  </si>
  <si>
    <t>VASO SANITÁRIO SIFONADO COM CAIXA ACOPLADA LOUÇA BRANCA - PADRÃO MÉDIO, INCLUSO ENGATE FLEXÍVEL EM METAL CROMADO, 1/2 X 40CM - FORNECIMENTO E INSTALAÇÃO. AF_01/2020</t>
  </si>
  <si>
    <t>9.9.2</t>
  </si>
  <si>
    <t>COMP. MACAÉ 42</t>
  </si>
  <si>
    <r>
      <rPr>
        <sz val="8"/>
        <rFont val="Arial"/>
        <family val="2"/>
      </rPr>
      <t>VASO SANITARIO DE LOUCA BRANCA,COM CAIXA ACOPLADA,CONFORMEABNT NBR 9050 PARA ACESSIBILIDADE, PADRAO MEDIO LUXO,RABICHO CROMADO,ANEL DE VEDACAO E ACESSORIOS DE
FIXACAO.FORNECIMENTO E INSTALAÇÃO</t>
    </r>
  </si>
  <si>
    <t>9.9.3</t>
  </si>
  <si>
    <t>ASSENTO SANITÁRIO CONVENCIONAL - FORNECIMENTO E INSTALACAO. AF_01/2020</t>
  </si>
  <si>
    <t>9.9.4</t>
  </si>
  <si>
    <t>COMP. MACAÉ 43</t>
  </si>
  <si>
    <t>LAVATORIO  DE  LOUCA  BRANCA,COM  COLUNA  SUSPENSA,CONFORME ABNT  NBR  9050  PARA  ACESSIBILIDADE,MEDINDO  EM  TORNO  DE (45,5X35,5)  CM,INCLUSIVE  ACESSORIOS  DE  FIXACAO.FERRAGENS  EM METAL  CROMAD  O:SIFAO  1"X1.1/4",VALVULA  DE ESCOAMENTO,RABICHO,TORNEIRA  PAR  A  LAVATORIO  DE  MESA  COM ALAVANCA,ACIONAMENTO  MANUAL  E  FECHAM  ENTO AUTOMATICO.FORNECIMENTO E INSTALAÇÃO</t>
  </si>
  <si>
    <t>9.9.5</t>
  </si>
  <si>
    <t>COMP. MACAÉ 59</t>
  </si>
  <si>
    <t>CUBA DE EMBUTIR OVAL EM LOUÇA BRANCA, 35 X 50CM OU EQUIVALENTE, DE LAVATORIO, INSTALADA SOBRE BANCADA DE GRANITO, INCLUSIVE ACESSORIOS DE FIXACAO.FERRAGENS EM METAL CROMADO:SIFAO 1"X1.1/4",VALVULA DE ESCOAMENTO,RABICHO,TORNEIRA PARA LAVATORIO DE MESA. FORNECIMENTO E INSTALAÇÃO</t>
  </si>
  <si>
    <t>9.9.6</t>
  </si>
  <si>
    <t>TANQUE DE LOUÇA BRANCA SUSPENSO, 18L OU EQUIVALENTE, INCLUSO SIFÃO TIPO GARRAFA EM METAL CROMADO, VÁLVULA METÁLICA E TORNEIRA DE METAL CROMADO PADRÃO MÉDIO - FORNECIMENTO E INSTALAÇÃO. AF_01/2020</t>
  </si>
  <si>
    <t>9.9.7</t>
  </si>
  <si>
    <r>
      <rPr>
        <sz val="8"/>
        <rFont val="Arial"/>
        <family val="2"/>
      </rPr>
      <t>MICTÓRIO SIFONADO LOUÇA BRANCA - PADRÃO MÉDIO -
FORNECIMENTO E INSTALAÇÃO. AF_01/2020</t>
    </r>
  </si>
  <si>
    <t>9.9.8</t>
  </si>
  <si>
    <r>
      <rPr>
        <sz val="8"/>
        <rFont val="Arial"/>
        <family val="2"/>
      </rPr>
      <t>CUBA DE EMBUTIR DE AÇO INOXIDÁVEL MÉDIA, INCLUSO VÁLVULA TIPO AMERICANA E SIFÃO TIPO GARRAFA EM METAL CROMADO -
FORNECIMENTO E INSTALAÇÃO. AF_01/2020</t>
    </r>
  </si>
  <si>
    <t>9.9.9</t>
  </si>
  <si>
    <r>
      <rPr>
        <sz val="8"/>
        <rFont val="Arial"/>
        <family val="2"/>
      </rPr>
      <t>TORNEIRA CROMADA TUBO MÓVEL, DE PAREDE, 1/2" OU 3/4", PARA PIA DE COZINHA, PADRÃO MÉDIO - FORNECIMENTO E INSTALAÇÃO.
AF_01/2020</t>
    </r>
  </si>
  <si>
    <t>DUCHA HIGIENICA ACQUA JET DIGITAL LINE 2195 FABRIMAR</t>
  </si>
  <si>
    <t>CHUVEIRO ELÉTRICO COMUM CORPO PLÁSTICO, TIPO DUCHA - FORNECIMENTO E INSTALAÇÃO. AF_01/2020</t>
  </si>
  <si>
    <r>
      <rPr>
        <sz val="12"/>
        <rFont val="Arial"/>
        <family val="2"/>
      </rPr>
      <t>18.025.0001
0</t>
    </r>
  </si>
  <si>
    <t>BEBEDOURO PURIFICADOR,DE COLUNA,COM ACESSIBILIDADE,CONFORME ABNT NBR 9050,EM ACO INOXIDAVEL,MODELO PRESSAO,COM 2 TORNEIR AS,VAZAO MINIMA DE 30L/H,CONFORME ABNT NBR 16236.FORNECIMENT O</t>
  </si>
  <si>
    <t>18.009.0078</t>
  </si>
  <si>
    <r>
      <rPr>
        <sz val="8"/>
        <rFont val="Arial"/>
        <family val="2"/>
      </rPr>
      <t>TORNEIRA PARA JARDIM,DE 3/4"X10CM APROXIMADAMENTE,EM METAL
C ROMADO.FORNECIMENTO</t>
    </r>
  </si>
  <si>
    <t>BARRA DE APOIO RETA, EM ACO INOX POLIDO, COMPRIMENTO 80 CM, FIXADA NA PAREDE - FORNECIMENTO E INSTALAÇÃO. AF_01/2020</t>
  </si>
  <si>
    <t>BARRA DE APOIO LATERAL ARTICULADA, COM TRAVA, EM ACO INOX POLIDO, FIXADA NA PAREDE - FORNECIMENTO E INSTALAÇÃO. AF_01/2020</t>
  </si>
  <si>
    <t>PUXADOR PARA PCD, FIXADO NA PORTA - FORNECIMENTO E INSTALAÇÃO. AF_01/2020</t>
  </si>
  <si>
    <t>ESPELHO CRISTAL E = 4 MM</t>
  </si>
  <si>
    <t>INSTALAÇÕES ELÉTRICAS, MECÂNICAS E LÓGICA</t>
  </si>
  <si>
    <t>10.1</t>
  </si>
  <si>
    <t>INSTALAÇÕES DE REFRIGERAÇÃO</t>
  </si>
  <si>
    <t>TUBO EM COBRE FLEXÍVEL, DN 1/4", COM ISOLAMENTO, INSTALADO EM RAMAL DE ALIMENTAÇÃO DE AR-CONDICIONADO - FORNECIMENTO E INSTALAÇÃO. AF_07/2025</t>
  </si>
  <si>
    <r>
      <rPr>
        <sz val="8"/>
        <rFont val="Arial"/>
        <family val="2"/>
      </rPr>
      <t>TUBO EM COBRE FLEXÍVEL, DN 3/8", COM ISOLAMENTO, INSTALADO EM RAMAL DE ALIMENTAÇÃO DE AR-CONDICIONADO - FORNECIMENTO E
INSTALAÇÃO. AF_07/2025</t>
    </r>
  </si>
  <si>
    <r>
      <rPr>
        <sz val="8"/>
        <rFont val="Arial"/>
        <family val="2"/>
      </rPr>
      <t>TUBO EM COBRE FLEXÍVEL, DN 1/2", COM ISOLAMENTO, INSTALADO EM RAMAL DE ALIMENTAÇÃO DE AR-CONDICIONADO - FORNECIMENTO E
INSTALAÇÃO. AF_07/2025</t>
    </r>
  </si>
  <si>
    <r>
      <rPr>
        <sz val="8"/>
        <rFont val="Arial"/>
        <family val="2"/>
      </rPr>
      <t>TUBO EM COBRE FLEXÍVEL, DN 5/8", COM ISOLAMENTO, INSTALADO EM
FORRO, PARA RAMAL DE ALIMENTAÇÃO DE AR CONDICIONADO, INCLUSO FIXADOR. AF_11/2021</t>
    </r>
  </si>
  <si>
    <r>
      <rPr>
        <sz val="8"/>
        <rFont val="Arial"/>
        <family val="2"/>
      </rPr>
      <t>TUBO EM COBRE FLEXÍVEL, DN 3/4", COM ISOLAMENTO, INSTALADO EM RAMAL DE ALIMENTAÇÃO DE AR-CONDICIONADO - FORNECIMENTO E
INSTALAÇÃO. AF_07/2025</t>
    </r>
  </si>
  <si>
    <t>COMP. MACAÉ 51</t>
  </si>
  <si>
    <r>
      <rPr>
        <sz val="8"/>
        <rFont val="Arial"/>
        <family val="2"/>
      </rPr>
      <t>TUBO EM COBRE FLEXÍVEL, DN 7/8", COM ISOLAMENTO, INSTALADO EM
RAMAL DE ALIMENTAÇÃO DE AR-CONDICIONADO - FORNECIMENTO E INSTALAÇÃO</t>
    </r>
  </si>
  <si>
    <t>COMP. MACAÉ 46</t>
  </si>
  <si>
    <t>TUBO EM COBRE RÍGIDO, DN 1"", COM ISOLAMENTO, INSTALADO EM RAMAL DE ALIMENTAÇÃO DE AR-CONDICIONADO COM CONDENSADORA CENTRAL OU VRF - FORNECIMENTO E INSTALAÇÃO</t>
  </si>
  <si>
    <t>COMP. MACAÉ 47</t>
  </si>
  <si>
    <t>TUBO EM COBRE RÍGIDO, DN 1 1/4", COM ISOLAMENTO, INSTALADO EM RAMAL DE ALIMENTAÇÃO DE AR-CONDICIONADO COM CONDENSADORA CENTRAL OU VRF - FORNECIMENTO E INSTALAÇÃO</t>
  </si>
  <si>
    <t>COMP. MACAÉ 48</t>
  </si>
  <si>
    <t>TUBO EM COBRE RÍGIDO, DN 1 1/2", COM ISOLAMENTO, INSTALADO EM RAMAL DE ALIMENTAÇÃO DE AR-CONDICIONADO COM CONDENSADORA CENTRAL OU VRF - FORNECIMENTO E INSTALAÇÃO</t>
  </si>
  <si>
    <t>COMP. MACAÉ 49</t>
  </si>
  <si>
    <t>TUBO EM COBRE RÍGIDO, DN 1 5/8", COM ISOLAMENTO, INSTALADO EM RAMAL DE ALIMENTAÇÃO DE AR-CONDICIONADO COM CONDENSADORA CENTRAL OU VRF - FORNECIMENTO E INSTALAÇÃO</t>
  </si>
  <si>
    <t>COMP. MACAÉ 50</t>
  </si>
  <si>
    <t>TUBO EM COBRE RÍGIDO, DN 2 1/8", COM ISOLAMENTO, INSTALADO EM RAMAL DE ALIMENTAÇÃO DE AR-CONDICIONADO COM CONDENSADORA CENTRAL OU VRF - FORNECIMENTO E INSTALAÇÃO</t>
  </si>
  <si>
    <r>
      <rPr>
        <sz val="12"/>
        <rFont val="Arial"/>
        <family val="2"/>
      </rPr>
      <t>15.005.0250
0</t>
    </r>
  </si>
  <si>
    <t>JUNTAS DE DERIVACAO EM Y PARA UNIDADES EVAPORADORAS VRF,COM MEDIDAS APROXIMADAS DE ENTRADAS 38,1MM E SAIDA 41,3MM (GAS) E ENTRADAS 19,1/15,9MM E SAIDA 22,2MM (LIQUIDO).FORNECIMENTO E INSTALACAO 3%-DESGASTE DE FERRAMENTAS E EPI</t>
  </si>
  <si>
    <r>
      <rPr>
        <sz val="12"/>
        <rFont val="Arial"/>
        <family val="2"/>
      </rPr>
      <t>15.005.0249
0</t>
    </r>
  </si>
  <si>
    <r>
      <rPr>
        <sz val="8"/>
        <rFont val="Arial"/>
        <family val="2"/>
      </rPr>
      <t>JUNTAS DE DERIVACAO EM Y PARA UNIDADES EVAPORADORAS VRF,COM MEDIDAS APROXIMADAS DE ENTRADA 38,1MM E SAIDAS 28,6MM (GAS) E ENTRADA 19,1MM E SAIDAS 15,9MM (LIQUIDO).FORNECIMENTO E IN STALACAO 3%-DESGASTE DE
FERRAMENTAS E EPI</t>
    </r>
  </si>
  <si>
    <r>
      <rPr>
        <sz val="12"/>
        <rFont val="Arial"/>
        <family val="2"/>
      </rPr>
      <t>15.005.0246
0</t>
    </r>
  </si>
  <si>
    <r>
      <rPr>
        <sz val="8"/>
        <rFont val="Arial"/>
        <family val="2"/>
      </rPr>
      <t>JUNTAS DE DERIVACAO EM Y PARA UNIDADES EVAPORADORAS VRF,COM MEDIDAS APROXIMADAS DE ENTRADA 15,9MM E SAIDAS 12,7MM (GAS) E ENTRADA 9,5MM E SAIDAS 6,4MM (LIQUIDO).FORNECIMENTO E INST ALACAO 3%-DESGASTE DE
FERRAMENTAS E EPI</t>
    </r>
  </si>
  <si>
    <r>
      <rPr>
        <sz val="12"/>
        <rFont val="Arial"/>
        <family val="2"/>
      </rPr>
      <t>15.005.0248
0</t>
    </r>
  </si>
  <si>
    <r>
      <rPr>
        <sz val="8"/>
        <rFont val="Arial"/>
        <family val="2"/>
      </rPr>
      <t>JUNTAS DE DERIVACAO EM Y PARA UNIDADES EVAPORADORAS VRF,COM MEDIDAS APROXIMADAS DE ENTRADA 28,6MM E SAIDAS 22,2MM (GAS) E ENTRADA 15,9MM E SAIDAS 12,7MM (LIQUIDO).FORNECIMENTO E IN STALACAO 3%-DESGASTE DE
FERRAMENTAS E EPI</t>
    </r>
  </si>
  <si>
    <t>COMP. MACAÉ 54</t>
  </si>
  <si>
    <t>VÁLVULA DE ESFERA BLOQUEIO COBRE, GBC, 1/4" - FORNECIMENTO E INSTALAÇÃO</t>
  </si>
  <si>
    <t>COMP. MACAÉ 55</t>
  </si>
  <si>
    <t>VÁLVULA DE ESFERA BLOQUEIO COBRE, GBC, 3/8" - FORNECIMENTO E INSTALAÇÃO</t>
  </si>
  <si>
    <t>COMP. MACAÉ 56</t>
  </si>
  <si>
    <t>VÁLVULA DE ESFERA BLOQUEIO COBRE, GBC, 1/2" - FORNECIMENTO E INSTALAÇÃO</t>
  </si>
  <si>
    <r>
      <rPr>
        <sz val="12"/>
        <rFont val="Arial"/>
        <family val="2"/>
      </rPr>
      <t>COMP.
MACAÉ 57</t>
    </r>
  </si>
  <si>
    <r>
      <rPr>
        <sz val="8"/>
        <rFont val="Arial"/>
        <family val="2"/>
      </rPr>
      <t>VÁLVULA DE ESFERA BLOQUEIO COBRE, GBC, 5/8" - FORNECIMENTO E
INSTALAÇÃO</t>
    </r>
  </si>
  <si>
    <r>
      <rPr>
        <sz val="12"/>
        <rFont val="Arial"/>
        <family val="2"/>
      </rPr>
      <t>COMP.
MACAÉ 58</t>
    </r>
  </si>
  <si>
    <r>
      <rPr>
        <sz val="8"/>
        <rFont val="Arial"/>
        <family val="2"/>
      </rPr>
      <t>VÁLVULA DE ESFERA BLOQUEIO COBRE, GBC, 3/4" - FORNECIMENTO E
INSTALAÇÃO</t>
    </r>
  </si>
  <si>
    <t>CABO PP 3 CONDUTORES 450/750V 2,50mm2</t>
  </si>
  <si>
    <t>10.2</t>
  </si>
  <si>
    <t>EQUIPAMENTOS REFRIGERAÇÃO</t>
  </si>
  <si>
    <t>AR CONDICIONADO SPLIT ON/OFF, CASSETE (TETO), FRIO 4 VIAS 18000 BTU/H - FORNECIMENTO E INSTALAÇÃO. AF_11/2021_PE</t>
  </si>
  <si>
    <t xml:space="preserve">7.789,87
</t>
  </si>
  <si>
    <t>AR CONDICIONADO SPLIT ON/OFF, CASSETE (TETO), FRIO 4 VIAS 24000 BTU/H - FORNECIMENTO E INSTALAÇÃO. AF_11/2021_PE</t>
  </si>
  <si>
    <t xml:space="preserve">9.567,64
</t>
  </si>
  <si>
    <t>AR CONDICIONADO SPLIT ON/OFF, CASSETE (TETO), FRIO 4 VIAS 36000 BTU/H - FORNECIMENTO E INSTALAÇÃO. AF_11/2021_PE</t>
  </si>
  <si>
    <t xml:space="preserve">14.059,41
</t>
  </si>
  <si>
    <t>AR CONDICIONADO SPLIT ON/OFF, CASSETE (TETO), FRIO 4 VIAS 48000 BTU/H - FORNECIMENTO E INSTALAÇÃO. AF_11/2021_PE</t>
  </si>
  <si>
    <t xml:space="preserve">14.949,56
</t>
  </si>
  <si>
    <r>
      <rPr>
        <sz val="12"/>
        <rFont val="Arial"/>
        <family val="2"/>
      </rPr>
      <t>18.030.0027
0</t>
    </r>
  </si>
  <si>
    <t>UNIDADE CONDENSADORA VRF,22 HP,QUENTE/FRIO,220/380V (VIDE AS SENTAMENTO E INTERLIGACOES FAMILIA 15.005).FORNECIMENTO</t>
  </si>
  <si>
    <t xml:space="preserve">69.010,37
</t>
  </si>
  <si>
    <r>
      <rPr>
        <sz val="12"/>
        <rFont val="Arial"/>
        <family val="2"/>
      </rPr>
      <t>18.030.0030
0</t>
    </r>
  </si>
  <si>
    <t>UNIDADE CONDENSADORA VRF,28 HP,QUENTE/FRIO,220/380V (VIDE AS SENTAMENTO E INTERLIGACOES FAMILIA 15.005).FORNECIMENTO</t>
  </si>
  <si>
    <t xml:space="preserve">93.662,59
</t>
  </si>
  <si>
    <r>
      <rPr>
        <sz val="12"/>
        <rFont val="Arial"/>
        <family val="2"/>
      </rPr>
      <t>15.005.0182
0</t>
    </r>
  </si>
  <si>
    <t>ASSENTAMENTO DE UNIDADE CONDENSADORA VRF DE 14 A 22 HP,CONFO RME ABNT NBR 16401,(VIDE FORNECIMENTO DO APARELHO NA FAMILIA 18.030),INCLUSIVE BASE DE CONCRETO ARMADO E ACESSORIOS DE F IXACAO,EXCLUSIVE ALIMENTACAO ELETRICA E INTERLIGACAO DE UNID ADES VRF (VIDE ITENS 15.005.0226 A 15.005.0238) 3%-DESGASTE DE FERRAMENTAS E EPI</t>
  </si>
  <si>
    <r>
      <rPr>
        <sz val="12"/>
        <rFont val="Arial"/>
        <family val="2"/>
      </rPr>
      <t>15.005.0184
0</t>
    </r>
  </si>
  <si>
    <t>ASSENTAMENTO DE UNIDADE CONDENSADORA VRF DE 24 A 28 HP,CONFO RME ABNT NBR 16401,(VIDE FORNECIMENTO DO APARELHO NA FAMILIA 18.030),INCLUSIVE BASE DE CONCRETO ARMADO E ACESSORIOS DE F IXACAO,EXCLUSIVE ALIMENTACAO ELETRICA E INTERLIGACAO DE UNID ADES VRF (VIDE ITENS 15.005.0226 A 15.005.0238) 3%-DESGASTE DE FERRAMENTAS E EPI</t>
  </si>
  <si>
    <t>10.3</t>
  </si>
  <si>
    <t>INSTALAÇÕES DE VENTILAÇÃO</t>
  </si>
  <si>
    <r>
      <rPr>
        <sz val="12"/>
        <rFont val="Arial"/>
        <family val="2"/>
      </rPr>
      <t>COMP.
MACAÉ 52</t>
    </r>
  </si>
  <si>
    <r>
      <rPr>
        <sz val="8"/>
        <rFont val="Arial"/>
        <family val="2"/>
      </rPr>
      <t>EXAUSTOR AXIAL IN-LINE, MOD. MAXX, 130 A 550M3/H, 220V,
FORNECIMENTO E INSTALAÇÃO</t>
    </r>
  </si>
  <si>
    <t>COMP. MACAÉ 53</t>
  </si>
  <si>
    <t>EXAUSTOR AXIAL IN-LINE, MOD. MAXX, 600 A 1300M3/H, 220V, INCLUSIVE GRELHA DE ACABAMENTO, FORNECIMENTO E INSTALAÇÃO</t>
  </si>
  <si>
    <t>VENTOKIT 80 BIVOLT</t>
  </si>
  <si>
    <t>DUTO ALUMINIZADO FLEXIVEL 100mm 4""</t>
  </si>
  <si>
    <t>DUTO ALUMINIZADO FLEXIVEL SEM ISOLAMENTO 8"" 209mm</t>
  </si>
  <si>
    <t>GRELHA FIXA COM COLARINHO EM POLIESTIRENO BRANCA COM TELA S200 8"</t>
  </si>
  <si>
    <r>
      <rPr>
        <sz val="8"/>
        <rFont val="Arial"/>
        <family val="2"/>
      </rPr>
      <t>GRELHA FIXA COM COLARINHO EM POLIESTIRENO BRANCA COM TELA
S100 4"</t>
    </r>
  </si>
  <si>
    <t>DIFUSOR DE AR 2 VIAS EM ALUMINIO COM REGISTRO 310 x 310mm</t>
  </si>
  <si>
    <t>10.4</t>
  </si>
  <si>
    <t>ENTRADA DE ENERGIA</t>
  </si>
  <si>
    <r>
      <rPr>
        <sz val="12"/>
        <rFont val="Arial"/>
        <family val="2"/>
      </rPr>
      <t>15.011.0079
0</t>
    </r>
  </si>
  <si>
    <t>SUBESTACAO SIMPLIFICADA,PADRAO LIGHT,COM TRANSFORMADOR TRIFA SICO DE 300KVA,13,8KV-220V/127V,INCLUSIVE CABINE DE MEDICAO 3%-DESGASTE DE FERRAMENTAS E EPI</t>
  </si>
  <si>
    <t>10.5</t>
  </si>
  <si>
    <t>INFRAESTRUTURA DE ELÉTRICA</t>
  </si>
  <si>
    <t>CAIXA RETANGULAR 4" X 2" MÉDIA (1,30 M DO PISO), PVC, INSTALADA EM PAREDE - FORNECIMENTO E INSTALAÇÃO. AF_03/2023</t>
  </si>
  <si>
    <t>CAIXA RETANGULAR 4" X 4" MÉDIA (1,30 M DO PISO), METÁLICA, INSTALADA EM PAREDE - FORNECIMENTO E INSTALAÇÃO. AF_03/2023</t>
  </si>
  <si>
    <t>CAIXA OCTOGONAL 4" X 4", PVC, INSTALADA EM LAJE - FORNECIMENTO E INSTALAÇÃO. AF_03/2023</t>
  </si>
  <si>
    <t>CAIXA ENTERRADA ELÉTRICA RETANGULAR, EM CONCRETO PRÉ-MOLDADO, FUNDO COM BRITA, DIMENSÕES INTERNAS: 0,3X0,3X0,3 M. AF_12/2020</t>
  </si>
  <si>
    <t>CAIXA ENTERRADA ELÉTRICA RETANGULAR, EM ALVENARIA COM BLOCOS DE CONCRETO, FUNDO COM BRITA, DIMENSÕES INTERNAS: 0,4X0,4X0,4 M. AF_12/2020</t>
  </si>
  <si>
    <r>
      <rPr>
        <sz val="12"/>
        <rFont val="Arial"/>
        <family val="2"/>
      </rPr>
      <t>15.018.0305
0</t>
    </r>
  </si>
  <si>
    <t>CAIXA DE PASSAGEM DE EMBUTIR,EM ACO,COM TAMPA PARAFUSADA,DE 15X15CM.FORNECIMENTO E COLOCACAO 3%-DESGASTE DE FERRAMENTAS E EPI</t>
  </si>
  <si>
    <r>
      <rPr>
        <sz val="12"/>
        <rFont val="Arial"/>
        <family val="2"/>
      </rPr>
      <t>15.018.0310
0</t>
    </r>
  </si>
  <si>
    <t>CAIXA DE PASSAGEM DE EMBUTIR,EM ACO,COM TAMPA PARAFUSADA,DE 20X20CM.FORNECIMENTO E COLOCACAO 3%-DESGASTE DE FERRAMENTAS E EPI</t>
  </si>
  <si>
    <r>
      <rPr>
        <sz val="12"/>
        <rFont val="Arial"/>
        <family val="2"/>
      </rPr>
      <t>15.018.0320
0</t>
    </r>
  </si>
  <si>
    <t>CAIXA DE PASSAGEM DE EMBUTIR,EM ACO,COM TAMPA PARAFUSADA,DE 30X30CM.FORNECIMENTO E COLOCACAO 3%-DESGASTE DE FERRAMENTAS E EPI</t>
  </si>
  <si>
    <r>
      <rPr>
        <sz val="12"/>
        <rFont val="Arial"/>
        <family val="2"/>
      </rPr>
      <t>15.018.0260
0</t>
    </r>
  </si>
  <si>
    <t>CAIXA DE PASSAGEM DE SOBREPOR,EM ACO,COM TAMPA PARAFUSADA,DE 20X20CM.FORNECIMENTO E COLOCACAO 3%-DESGASTE DE FERRAMENTAS E EPI</t>
  </si>
  <si>
    <r>
      <rPr>
        <sz val="12"/>
        <rFont val="Arial"/>
        <family val="2"/>
      </rPr>
      <t>15.018.0275
0</t>
    </r>
  </si>
  <si>
    <r>
      <rPr>
        <sz val="8"/>
        <rFont val="Arial"/>
        <family val="2"/>
      </rPr>
      <t>CAIXA DE PASSAGEM DE SOBREPOR,EM ACO,COM TAMPA
PARAFUSADA,DE 40X40CM.FORNECIMENTO E COLOCACAO 3%-DESGASTE DE FERRAMENTAS E EPI</t>
    </r>
  </si>
  <si>
    <t>ELETRODUTO FLEXÍVEL CORRUGADO, PEAD, DN 50 (1 1/2"), PARA REDE ENTERRADA DE DISTRIBUIÇÃO DE ENERGIA ELÉTRICA - FORNECIMENTO E INSTALAÇÃO. AF_12/2021</t>
  </si>
  <si>
    <t>ELETRODUTO FLEXÍVEL CORRUGADO, PEAD, DN 63 (2"), PARA REDE ENTERRADA DE DISTRIBUIÇÃO DE ENERGIA ELÉTRICA - FORNECIMENTO E INSTALAÇÃO. AF_12/2021</t>
  </si>
  <si>
    <t>COMP. MACAÉ 39</t>
  </si>
  <si>
    <t>ELETRODUTO FLEXÍVEL CORRUGADO, PEAD, DN 150 (6"), PARA REDE ENTERRADA DE DISTRIBUIÇÃO DE ENERGIA ELÉTRICA - FORNECIMENTO E INSTALAÇÃO</t>
  </si>
  <si>
    <t>COMP. MACAÉ 40</t>
  </si>
  <si>
    <t>ELETRODUTO FLEXÍVEL CORRUGADO, PEAD, DN 200 (8"), PARA REDE ENTERRADA DE DISTRIBUIÇÃO DE ENERGIA ELÉTRICA - FORNECIMENTO E INSTALAÇÃO</t>
  </si>
  <si>
    <t>CHAVE DE BOIA AUTOMÁTICA SUPERIOR/INFERIOR 15A/250V - FORNECIMENTO E INSTALAÇÃO. AF_12/2020</t>
  </si>
  <si>
    <t>RASGO LINEAR MANUAL EM ALVENARIA, PARA ELETRODUTOS, DIÂMETROS MENORES OU IGUAIS A 40 MM. AF_09/2023</t>
  </si>
  <si>
    <r>
      <rPr>
        <sz val="8"/>
        <rFont val="Arial"/>
        <family val="2"/>
      </rPr>
      <t>ELETRODUTO RÍGIDO ROSCÁVEL, PVC, DN 20 MM (1/2"), PARA
CIRCUITOS TERMINAIS, INSTALADO EM FORRO - FORNECIMENTO E INSTALAÇÃO. AF_03/2023</t>
    </r>
  </si>
  <si>
    <r>
      <rPr>
        <sz val="8"/>
        <rFont val="Arial"/>
        <family val="2"/>
      </rPr>
      <t>ELETRODUTO RÍGIDO ROSCÁVEL, PVC, DN 25 MM (3/4"), PARA
CIRCUITOS TERMINAIS, INSTALADO EM FORRO - FORNECIMENTO E INSTALAÇÃO. AF_03/2023</t>
    </r>
  </si>
  <si>
    <t>ELETRODUTO RÍGIDO ROSCÁVEL, PVC, DN 32 MM (1"), PARA CIRCUITOS TERMINAIS, INSTALADO EM FORRO - FORNECIMENTO E INSTALAÇÃO. AF_03/2023</t>
  </si>
  <si>
    <t>ELETRODUTO RÍGIDO ROSCÁVEL, PVC, DN 40 MM (1 1/4"), PARA CIRCUITOS TERMINAIS, INSTALADO EM FORRO - FORNECIMENTO E INSTALAÇÃO. AF_03/2023</t>
  </si>
  <si>
    <t>ELETRODUTO RÍGIDO ROSCÁVEL, PVC, DN 50 MM (1 1/2"), PARA REDE ENTERRADA DE DISTRIBUIÇÃO DE ENERGIA ELÉTRICA - FORNECIMENTO E INSTALAÇÃO. AF_12/2021</t>
  </si>
  <si>
    <r>
      <rPr>
        <sz val="8"/>
        <rFont val="Arial"/>
        <family val="2"/>
      </rPr>
      <t>ELETRODUTO RÍGIDO ROSCÁVEL, PVC, DN 60 MM (2"), PARA REDE
ENTERRADA DE DISTRIBUIÇÃO DE ENERGIA ELÉTRICA - FORNECIMENTO E INSTALAÇÃO. AF_12/2021</t>
    </r>
  </si>
  <si>
    <t>ELETRODUTO RÍGIDO ROSCÁVEL, PVC, DN 75 MM (2 1/2"), PARA REDE ENTERRADA DE DISTRIBUIÇÃO DE ENERGIA ELÉTRICA - FORNECIMENTO E INSTALAÇÃO. AF_12/2021</t>
  </si>
  <si>
    <t>ELETRODUTO RÍGIDO ROSCÁVEL, PVC, DN 85 MM (3"), PARA REDE ENTERRADA DE DISTRIBUIÇÃO DE ENERGIA ELÉTRICA - FORNECIMENTO E INSTALAÇÃO. AF_12/2021</t>
  </si>
  <si>
    <t>ELETRODUTO GALVANIZADO NBR 5597 80mm 3""</t>
  </si>
  <si>
    <r>
      <rPr>
        <sz val="12"/>
        <rFont val="Arial"/>
        <family val="2"/>
      </rPr>
      <t>15.018.0552
0</t>
    </r>
  </si>
  <si>
    <t>ELETROCALHA LISA,COM TAMPA,TIPO "U",200X50MM,TRATAMENTO SUPE RFICIAL PRE-ZINCADO A QUENTE,INCLUSIVE CONEXOES,ACESSORIOS E FIXACAO SUPERIOR.FORNECIMENTO E COLOCACAO 3%-DESGASTE DE FERRAMENTAS E EPI 20%-CONEXOES</t>
  </si>
  <si>
    <r>
      <rPr>
        <sz val="12"/>
        <rFont val="Arial"/>
        <family val="2"/>
      </rPr>
      <t>15.018.0555
0</t>
    </r>
  </si>
  <si>
    <t>ELETROCALHA LISA,COM TAMPA,TIPO "U",400X50MM,TRATAMENTO SUPE RFICIAL PRE-ZINCADO A QUENTE,INCLUSIVE CONEXOES,ACESSORIOS E FIXACAO SUPERIOR.FORNECIMENTO E COLOCACAO 3%-DESGASTE DE FERRAMENTAS E EPI 20%-CONEXOES</t>
  </si>
  <si>
    <t>CURVA 135 ELETRODUTO PVC ROSCAVEL 1.1/2""</t>
  </si>
  <si>
    <t>CURVA 90 ELETRODUTO GALVANIZADO ELETROLITICO 3""</t>
  </si>
  <si>
    <t>LUVA PARA ELETRODUTO, PVC, ROSCÁVEL, DN 32 MM (1"), PARA CIRCUITOS TERMINAIS, INSTALADA EM FORRO - FORNECIMENTO E INSTALAÇÃO. AF_03/2023</t>
  </si>
  <si>
    <t>LUVA PARA ELETRODUTO, PVC, ROSCÁVEL, DN 50 MM (1 1/2"), PARA REDE ENTERRADA DE DISTRIBUIÇÃO DE ENERGIA ELÉTRICA - FORNECIMENTO E INSTALAÇÃO. AF_12/2021</t>
  </si>
  <si>
    <r>
      <rPr>
        <sz val="8"/>
        <rFont val="Arial"/>
        <family val="2"/>
      </rPr>
      <t>LUVA PARA ELETRODUTO, PVC, ROSCÁVEL, DN 20 MM (1/2"), PARA
CIRCUITOS TERMINAIS, INSTALADA EM FORRO - FORNECIMENTO E INSTALAÇÃO. AF_03/2023</t>
    </r>
  </si>
  <si>
    <t>LUVA ELETRODUTO PVC 3""</t>
  </si>
  <si>
    <t>LUVA PARA ELETRODUTO, PVC, ROSCÁVEL, DN 25 MM (3/4"), PARA CIRCUITOS TERMINAIS, INSTALADA EM FORRO - FORNECIMENTO E INSTALAÇÃO. AF_03/2023</t>
  </si>
  <si>
    <t>10.6</t>
  </si>
  <si>
    <t>FIAÇÃO</t>
  </si>
  <si>
    <t>CABO DE COBRE FLEXÍVEL ISOLADO, 4 MM², ANTI-CHAMA 450/750 V, PARA CIRCUITOS TERMINAIS - FORNECIMENTO E INSTALAÇÃO. AF_03/2023</t>
  </si>
  <si>
    <t>CABO DE COBRE FLEXÍVEL ISOLADO, 4 MM², ANTI-CHAMA 0,6/1,0 KV, PARA CIRCUITOS TERMINAIS - FORNECIMENTO E INSTALAÇÃO. AF_03/2023</t>
  </si>
  <si>
    <t>CABO DE COBRE FLEXÍVEL ISOLADO, 6 MM², ANTI-CHAMA 450/750 V, PARA CIRCUITOS TERMINAIS - FORNECIMENTO E INSTALAÇÃO. AF_03/2023</t>
  </si>
  <si>
    <r>
      <rPr>
        <sz val="8"/>
        <rFont val="Arial"/>
        <family val="2"/>
      </rPr>
      <t>CABO DE COBRE FLEXÍVEL ISOLADO, 10 MM², ANTI-CHAMA 450/750 V, PARA CIRCUITOS TERMINAIS - FORNECIMENTO E INSTALAÇÃO.
AF_03/2023</t>
    </r>
  </si>
  <si>
    <r>
      <rPr>
        <sz val="8"/>
        <rFont val="Arial"/>
        <family val="2"/>
      </rPr>
      <t>CABO DE COBRE FLEXÍVEL ISOLADO, 10 MM², ANTI-CHAMA 0,6/1,0 KV,
PARA CIRCUITOS TERMINAIS - FORNECIMENTO E INSTALAÇÃO. AF_03/2023</t>
    </r>
  </si>
  <si>
    <r>
      <rPr>
        <sz val="8"/>
        <rFont val="Arial"/>
        <family val="2"/>
      </rPr>
      <t>CABO DE COBRE FLEXÍVEL ISOLADO, 16 MM², ANTI-CHAMA 450/750 V, PARA CIRCUITOS TERMINAIS - FORNECIMENTO E INSTALAÇÃO.
AF_03/2023</t>
    </r>
  </si>
  <si>
    <r>
      <rPr>
        <sz val="8"/>
        <rFont val="Arial"/>
        <family val="2"/>
      </rPr>
      <t>CABO DE COBRE FLEXÍVEL ISOLADO, 16 MM², ANTI-CHAMA 0,6/1,0 KV,
PARA CIRCUITOS TERMINAIS - FORNECIMENTO E INSTALAÇÃO. AF_03/2023</t>
    </r>
  </si>
  <si>
    <t>CABO DE COBRE FLEXÍVEL ISOLADO, 35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</si>
  <si>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</si>
  <si>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</si>
  <si>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</si>
  <si>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CABO DE COBRE FLEXÍVEL ISOLADO, 185 MM², ANTI-CHAMA 0,6/1,0 KV, PARA REDE ENTERRADA DE DISTRIBUIÇÃO DE ENERGIA ELÉTRICA - FORNECIMENTO E INSTALAÇÃO. AF_12/2021</t>
  </si>
  <si>
    <t>CABO DE COBRE FLEXÍVEL ISOLADO, 240 MM², ANTI-CHAMA 0,6/1,0 KV, PARA REDE ENTERRADA DE DISTRIBUIÇÃO DE ENERGIA ELÉTRICA - FORNECIMENTO E INSTALAÇÃO. AF_12/2021</t>
  </si>
  <si>
    <t>COMP. MACAÉ 33</t>
  </si>
  <si>
    <r>
      <rPr>
        <sz val="8"/>
        <rFont val="Arial"/>
        <family val="2"/>
      </rPr>
      <t>CABO DE COBRE FLEXÍVEL ISOLADO, 400 MM², ANTI-CHAMA 0,6/1,0 KV, PARA REDE ENTERRADA DE DISTRIBUIÇÃO DE ENERGIA ELÉTRICA -
FORNECIMENTO E INSTALAÇÃO</t>
    </r>
  </si>
  <si>
    <t>10.7</t>
  </si>
  <si>
    <t>QUADROS E DISPOSITIVOS DE PROTEÇÃO</t>
  </si>
  <si>
    <t>QUADRO DE DISTRIBUIÇÃO DE ENERGIA EM CHAPA DE AÇO GALVANIZADO, DE EMBUTIR, COM BARRAMENTO TRIFÁSICO, PARA 30 DISJUNTORES DIN 150A - FORNECIMENTO E INSTALAÇÃO. AF_07/2025</t>
  </si>
  <si>
    <t>COMP. MACAÉ 34</t>
  </si>
  <si>
    <t>QUADRO DE DISTRIBUIÇÃO DE ENERGIA EM CHAPA DE AÇO GALVANIZADO, COM BARRAMENTO TRIFÁSICO, PARA 54 DISJUNTORES DIN 225A - FORNECIMENTO E INSTALAÇÃO</t>
  </si>
  <si>
    <t>QUADRO DISTRIBUICAO EMBUTIR PARA 70 DISJUNTORES 225A+BARRAME</t>
  </si>
  <si>
    <t>COMP. MACAÉ 35</t>
  </si>
  <si>
    <r>
      <rPr>
        <sz val="8"/>
        <rFont val="Arial"/>
        <family val="2"/>
      </rPr>
      <t>QUADRO GERAL DE DISTRIBUIÇÃO DE ENERGIA EM CHAPA DE AÇO
GALVANIZADO, COM BARRAMENTO TRIFÁSICO, DIN 800A - FORNECIMENTO E INSTALAÇÃO</t>
    </r>
  </si>
  <si>
    <t>COMP. MACAÉ 38</t>
  </si>
  <si>
    <t>QUADRO DE COMANDO PARA 2 BOMBAS DE RECALQUES DE 1/3 A 2 CV, TRIFÁSICA, 220 VOLTS, COM CHAVE SELETORA, ACIONAMENTO MANUAL/AUTOMÁTICO, RELÉ DE SOBRECARGA E CONTATORA</t>
  </si>
  <si>
    <t>DISJUNTOR MONOPOLAR TIPO DIN, CORRENTE NOMINAL DE 10A - FORNECIMENTO E INSTALAÇÃO. AF_07/2025</t>
  </si>
  <si>
    <t>DISJUNTOR MONOPOLAR TIPO DIN, CORRENTE NOMINAL DE 16A - FORNECIMENTO E INSTALAÇÃO. AF_07/2025</t>
  </si>
  <si>
    <r>
      <rPr>
        <sz val="8"/>
        <rFont val="Arial"/>
        <family val="2"/>
      </rPr>
      <t>DISJUNTOR MONOPOLAR TIPO DIN, CORRENTE NOMINAL DE 25A -
FORNECIMENTO E INSTALAÇÃO. AF_07/2025</t>
    </r>
  </si>
  <si>
    <r>
      <rPr>
        <sz val="8"/>
        <rFont val="Arial"/>
        <family val="2"/>
      </rPr>
      <t>DISJUNTOR BIPOLAR TIPO DIN, CORRENTE NOMINAL DE 10A -
FORNECIMENTO E INSTALAÇÃO. AF_07/2025</t>
    </r>
  </si>
  <si>
    <t>DISJUNTOR BIPOLAR TIPO DIN, CORRENTE NOMINAL DE 25A - FORNECIMENTO E INSTALAÇÃO. AF_07/2025</t>
  </si>
  <si>
    <r>
      <rPr>
        <sz val="8"/>
        <rFont val="Arial"/>
        <family val="2"/>
      </rPr>
      <t>DISJUNTOR TRIPOLAR TIPO DIN, CORRENTE NOMINAL DE 10A -
FORNECIMENTO E INSTALAÇÃO. AF_07/2025</t>
    </r>
  </si>
  <si>
    <r>
      <rPr>
        <sz val="8"/>
        <rFont val="Arial"/>
        <family val="2"/>
      </rPr>
      <t>DISJUNTOR TRIPOLAR TIPO DIN, CORRENTE NOMINAL DE 16A -
FORNECIMENTO E INSTALAÇÃO. AF_07/2025</t>
    </r>
  </si>
  <si>
    <r>
      <rPr>
        <sz val="12"/>
        <rFont val="Arial"/>
        <family val="2"/>
      </rPr>
      <t>15.007.0600
0</t>
    </r>
  </si>
  <si>
    <r>
      <rPr>
        <sz val="8"/>
        <rFont val="Arial"/>
        <family val="2"/>
      </rPr>
      <t>DISJUNTOR TERMOMAGNETICO,TRIPOLAR,DE 10 A 32A,3KA,MODELO DIN
,TIPO C.FORNECIMENTO E COLOCACAO 3%-DESGASTE DE FERRAMENTAS E EPI</t>
    </r>
  </si>
  <si>
    <r>
      <rPr>
        <sz val="8"/>
        <rFont val="Arial"/>
        <family val="2"/>
      </rPr>
      <t>DISJUNTOR TERMOMAGNÉTICO TRIPOLAR, CORRENTE NOMINAL DE
125A - FORNECIMENTO E INSTALAÇÃO. AF_07/2025</t>
    </r>
  </si>
  <si>
    <r>
      <rPr>
        <sz val="12"/>
        <rFont val="Arial"/>
        <family val="2"/>
      </rPr>
      <t>15.007.0608
0</t>
    </r>
  </si>
  <si>
    <t>DISJUNTOR TERMOMAGNETICO,TRIPOLAR,DE 125 A 160A,50KA,MODELO CAIXA MOLDADA,TIPO C.FORNECIMENTO E COLOCACAO 3%-DESGASTE DE FERRAMENTAS E EPI</t>
  </si>
  <si>
    <t>DISJUNTOR TERMOMAGNÉTICO TRIPOLAR, CORRENTE NOMINAL DE 400A - FORNECIMENTO E INSTALAÇÃO. AF_07/2025</t>
  </si>
  <si>
    <r>
      <rPr>
        <sz val="8"/>
        <rFont val="Arial"/>
        <family val="2"/>
      </rPr>
      <t>DISJUNTOR TERMOMAGNÉTICO TRIPOLAR, CORRENTE NOMINAL DE
600A - FORNECIMENTO E INSTALAÇÃO. AF_07/2025</t>
    </r>
  </si>
  <si>
    <r>
      <rPr>
        <sz val="8"/>
        <rFont val="Arial"/>
        <family val="2"/>
      </rPr>
      <t>DISPOSITIVO DR, 2 POLOS, SENSIBILIDADE DE 30 MA, CORRENTE DE 25
A, TIPO AC</t>
    </r>
  </si>
  <si>
    <t>DISPOSITIVO DPS CLASSE II, 1 POLO, TENSAO MAXIMA DE 175 V, CORRENTE MAXIMA DE *20* KA (TIPO AC)</t>
  </si>
  <si>
    <t>10.8</t>
  </si>
  <si>
    <t>TOMADAS E LUMINÁRIAS</t>
  </si>
  <si>
    <t>INTERRUPTOR SIMPLES (1 MÓDULO), 10A/250V, INCLUINDO SUPORTE E PLACA - FORNECIMENTO E INSTALAÇÃO. AF_03/2023</t>
  </si>
  <si>
    <t>INTERRUPTOR SIMPLES (2 MÓDULOS), 10A/250V, INCLUINDO SUPORTE E PLACA - FORNECIMENTO E INSTALAÇÃO. AF_03/2023</t>
  </si>
  <si>
    <t>INTERRUPTOR SIMPLES (3 MÓDULOS), 10A/250V, INCLUINDO SUPORTE E PLACA - FORNECIMENTO E INSTALAÇÃO. AF_03/2023</t>
  </si>
  <si>
    <t>INTERRUPTOR SIMPLES (1 MÓDULO) COM 1 TOMADA DE EMBUTIR 2P+T 10 A, INCLUINDO SUPORTE E PLACA - FORNECIMENTO E INSTALAÇÃO. AF_03/2023</t>
  </si>
  <si>
    <t>TOMADA MÉDIA DE EMBUTIR (1 MÓDULO), 2P+T 10 A, INCLUINDO SUPORTE E PLACA - FORNECIMENTO E INSTALAÇÃO. AF_03/2023</t>
  </si>
  <si>
    <t>TOMADA MÉDIA DE EMBUTIR (2 MÓDULOS), 2P+T 10 A, INCLUINDO SUPORTE E PLACA - FORNECIMENTO E INSTALAÇÃO. AF_03/2023</t>
  </si>
  <si>
    <t>TOMADA BAIXA DE EMBUTIR (4 MÓDULOS), 2P+T 10 A, INCLUINDO SUPORTE E PLACA - FORNECIMENTO E INSTALAÇÃO. AF_03/2023</t>
  </si>
  <si>
    <t>TOMADA MÉDIA DE EMBUTIR (1 MÓDULO), 2P+T 20 A, INCLUINDO SUPORTE E PLACA - FORNECIMENTO E INSTALAÇÃO. AF_03/2023</t>
  </si>
  <si>
    <r>
      <rPr>
        <sz val="12"/>
        <rFont val="Arial"/>
        <family val="2"/>
      </rPr>
      <t>18.027.0518
0</t>
    </r>
  </si>
  <si>
    <r>
      <rPr>
        <sz val="8"/>
        <rFont val="Arial"/>
        <family val="2"/>
      </rPr>
      <t>LUMINARIA LED TUBULAR DE EMBUTIR, 2X18W (INCLUSIVE LAMPADAS)
,CORPO EM CHAPA DE ACO TRATADA E PINTURA ELETROSTATICA BRANC A, REFLETOR EM ALUMINIO DE ALTO BRILHO, COM ALETAS, SEM REAT OR. FORNECIMENTO E COLOCACAO 3%-DESGASTE DE FERRAMENTAS E EPI</t>
    </r>
  </si>
  <si>
    <t>LUMINÁRIA ARANDELA TIPO MEIA LUA, DE SOBREPOR, COM 1 LÂMPADA LED DE 6 W, SEM REATOR - FORNECIMENTO E INSTALAÇÃO. AF_09/2024</t>
  </si>
  <si>
    <t>RELÉ FOTOELÉTRICO PARA COMANDO DE ILUMINAÇÃO EXTERNA 1000 W - FORNECIMENTO E INSTALAÇÃO. AF_02/2025</t>
  </si>
  <si>
    <t>LUMINARIA - PERFIL LED EMBUTIR SLIM 2M P/ FITA LED COMPLETA</t>
  </si>
  <si>
    <t>BALIZADOR DE SOLO LED MINI IP67 REDONDO STH8703/AB STELLA</t>
  </si>
  <si>
    <t>10.9</t>
  </si>
  <si>
    <t>INFRAESTRUTURA DE LÓGICA</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</si>
  <si>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</si>
  <si>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</si>
  <si>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r>
      <rPr>
        <sz val="8"/>
        <rFont val="Arial"/>
        <family val="2"/>
      </rPr>
      <t>CAIXA DE PASSAGEM PARA TELEFONE 15X15X10CM (SOBREPOR) -
FORNECIMENTO E INSTALAÇÃO. AF_08/2025</t>
    </r>
  </si>
  <si>
    <t>09.06.035</t>
  </si>
  <si>
    <t>FDE</t>
  </si>
  <si>
    <t>CAIXA DE PASSAGEM A PROVA DE UMIDADE EM ALUMINIO 10X10X6CM</t>
  </si>
  <si>
    <r>
      <rPr>
        <sz val="12"/>
        <rFont val="Arial"/>
        <family val="2"/>
      </rPr>
      <t>15.018.0467
0</t>
    </r>
  </si>
  <si>
    <t>ELETROCALHA PERFURADA,SEM TAMPA,TIPO "U",100X50MM,TRATAMENTO SUPERFICIAL PRE-ZINCADO A QUENTE,INCLUSIVE CONEXOES,ACESSOR IOS E FIXACAO SUPERIOR.FORNECIMENTO E COLOCACAO 3%-DESGASTE DE FERRAMENTAS E EPI 20%-CONEXOES</t>
  </si>
  <si>
    <r>
      <rPr>
        <sz val="12"/>
        <rFont val="Arial"/>
        <family val="2"/>
      </rPr>
      <t>15.018.0479
0</t>
    </r>
  </si>
  <si>
    <r>
      <rPr>
        <sz val="8"/>
        <rFont val="Arial"/>
        <family val="2"/>
      </rPr>
      <t>ELETROCALHA PERFURADA,SEM TAMPA,TIPO "U",200X100MM,TRATAMENT O SUPERFICIAL PRE-ZINCADO A QUENTE,INCLUSIVE CONEXOES,ACESSO RIOS E FIXACAO SUPERIOR.FORNECIMENTO E COLOCACAO 3%-DESGASTE DE
FERRAMENTAS E EPI 20%-CONEXOES</t>
    </r>
  </si>
  <si>
    <r>
      <rPr>
        <sz val="12"/>
        <rFont val="Arial"/>
        <family val="2"/>
      </rPr>
      <t>15.018.0469
0</t>
    </r>
  </si>
  <si>
    <r>
      <rPr>
        <sz val="8"/>
        <rFont val="Arial"/>
        <family val="2"/>
      </rPr>
      <t>ELETROCALHA PERFURADA,SEM TAMPA,TIPO "U",200X50MM,TRATAMENTO SUPERFICIAL PRE-ZINCADO A QUENTE,INCLUSIVE CONEXOES,ACESSOR IOS E FIXACAO SUPERIOR.FORNECIMENTO E COLOCACAO 3%-DESGASTE DE
FERRAMENTAS E EPI 20%-CONEXOES</t>
    </r>
  </si>
  <si>
    <r>
      <rPr>
        <sz val="12"/>
        <rFont val="Arial"/>
        <family val="2"/>
      </rPr>
      <t>15.003.0204
0</t>
    </r>
  </si>
  <si>
    <t>MANGUEIRA "SEAL TUBE" COM CAPA ALMA,DIAMETRO DE 1".FORNECIME NTO E COLOCACAO 3%-DESGASTE DE FERRAMENTAS E EPI</t>
  </si>
  <si>
    <r>
      <rPr>
        <sz val="12"/>
        <rFont val="Arial"/>
        <family val="2"/>
      </rPr>
      <t>15.003.0206
0</t>
    </r>
  </si>
  <si>
    <t>MANGUEIRA "SEAL TUBE" COM CAPA ALMA,DIAMETRO DE 1.1/4".FORNE CIMENTO E COLOCACAO 3%-DESGASTE DE FERRAMENTAS E EPI</t>
  </si>
  <si>
    <r>
      <rPr>
        <sz val="8"/>
        <rFont val="Arial"/>
        <family val="2"/>
      </rPr>
      <t>ELETRODUTO FLEXÍVEL CORRUGADO, PEAD, DN 63 (2"), PARA REDE ENTERRADA DE DISTRIBUIÇÃO DE ENERGIA ELÉTRICA - FORNECIMENTO
E INSTALAÇÃO. AF_12/2021</t>
    </r>
  </si>
  <si>
    <t>ELETRODUTO RÍGIDO SOLDÁVEL, PVC, DN 32 MM (1"), APARENTE - FORNECIMENTO E INSTALAÇÃO. AF_10/2022</t>
  </si>
  <si>
    <r>
      <rPr>
        <sz val="8"/>
        <rFont val="Arial"/>
        <family val="2"/>
      </rPr>
      <t>ELETRODUTO RÍGIDO ROSCÁVEL, PVC, DN 60 MM (2"), PARA REDE ENTERRADA DE DISTRIBUIÇÃO DE ENERGIA ELÉTRICA - FORNECIMENTO
E INSTALAÇÃO. AF_12/2021</t>
    </r>
  </si>
  <si>
    <t>FIXAÇÃO DE ELETRODUTOS, DIÂMETROS MENORES OU IGUAIS A 40 MM, COM ABRAÇADEIRA METÁLICA RÍGIDA TIPO D COM PARAFUSO DE FIXAÇÃO 1 1/4", FIXADA DIRETAMENTE NA LAJE OU PAREDE. AF_09/2023</t>
  </si>
  <si>
    <t>CURVA 90 GRAUS PARA ELETRODUTO, PVC, ROSCÁVEL, DN 32 MM (1"), PARA CIRCUITOS TERMINAIS, INSTALADA EM FORRO - FORNECIMENTO E INSTALAÇÃO. AF_03/2023</t>
  </si>
  <si>
    <t>LUVA ELETRODUTO PVC 1""</t>
  </si>
  <si>
    <t>ORSE</t>
  </si>
  <si>
    <t>Box reto em alumínio de 1"</t>
  </si>
  <si>
    <t>CAIXA TOMADA PARA PISO ELEVADO+REDE CAT5158x252x37mm SPERONE</t>
  </si>
  <si>
    <r>
      <rPr>
        <sz val="8"/>
        <rFont val="Arial"/>
        <family val="2"/>
      </rPr>
      <t>SUPORTE PARAFUSADO COM PLACA DE ENCAIXE 4" X 2" MÉDIO (1,30 M
DO PISO) PARA PONTO ELÉTRICO - FORNECIMENTO E INSTALAÇÃO. AF_03/2023</t>
    </r>
  </si>
  <si>
    <t>COMP. MACAÉ 41</t>
  </si>
  <si>
    <t>TOMADA  RJ45  CAT  6E  (MÓDULO)  -  FORNECIMENTO  E  INSTALAÇÃO</t>
  </si>
  <si>
    <t>10.10</t>
  </si>
  <si>
    <t>INSTALAÇÕES DE SPDA</t>
  </si>
  <si>
    <r>
      <rPr>
        <sz val="8"/>
        <rFont val="Arial"/>
        <family val="2"/>
      </rPr>
      <t>CAIXA ENTERRADA ELÉTRICA RETANGULAR, EM CONCRETO PRÉ-MOLDADO, FUNDO COM BRITA, DIMENSÕES INTERNAS: 0,3X0,3X0,3 M.
AF_12/2020</t>
    </r>
  </si>
  <si>
    <t>CONECTOR GRAMPO METÁLICO TIPO OLHAL, PARA SPDA, PARA HASTE DE ATERRAMENTO DE 3/4'' E CABOS DE 10 A 50 MM2 - FORNECIMENTO E INSTALAÇÃO. AF_08/2023</t>
  </si>
  <si>
    <r>
      <rPr>
        <sz val="12"/>
        <rFont val="Arial"/>
        <family val="2"/>
      </rPr>
      <t>15.007.0206
0</t>
    </r>
  </si>
  <si>
    <t>HASTE PARA ATERRAMENTO,DE COBRE DE 3/4" (19MM),COM 2,40M DE COMPRIMENTO.FORNECIMENTO E COLOCACAO 3%-DESGASTE DE FERRAMENTAS E EPI</t>
  </si>
  <si>
    <t>CAPTOR TIPO FRANKLIN PARA SPDA - FORNECIMENTO E INSTALAÇÃO. AF_08/2023</t>
  </si>
  <si>
    <r>
      <rPr>
        <sz val="8"/>
        <rFont val="Arial"/>
        <family val="2"/>
      </rPr>
      <t>MASTRO 1 ½", COM 3 METROS, PARA SPDA - FORNECIMENTO E
INSTALAÇÃO. AF_08/2023</t>
    </r>
  </si>
  <si>
    <r>
      <rPr>
        <sz val="8"/>
        <rFont val="Arial"/>
        <family val="2"/>
      </rPr>
      <t>BASE METÁLICA PARA MASTRO 1 ½" PARA SPDA - FORNECIMENTO E
INSTALAÇÃO. AF_08/2023</t>
    </r>
  </si>
  <si>
    <t>CONJUNTO DE ESTAIAMENTO RIGIDO PARA ATERRAMENTO</t>
  </si>
  <si>
    <r>
      <rPr>
        <sz val="12"/>
        <rFont val="Arial"/>
        <family val="2"/>
      </rPr>
      <t>15.007.0216
0</t>
    </r>
  </si>
  <si>
    <t>TERMINAL AEREO PARA PARA-RAIO(CAPTOR 1 PONTA)EM LATAO MACICO ,3/8"X600MM,FIXACAO COM ROSCA MECANICA E ABRACADEIRA,INCLUSI VE CAPTOR.FORNECIMENTO E COLOCACAO 3%-DESGASTE DE FERRAMENTAS E EPI</t>
  </si>
  <si>
    <r>
      <rPr>
        <sz val="8"/>
        <rFont val="Arial"/>
        <family val="2"/>
      </rPr>
      <t>CORDOALHA DE COBRE NU 35 MM², NÃO ENTERRADA, COM ISOLADOR -
FORNECIMENTO E INSTALAÇÃO. AF_08/2023</t>
    </r>
  </si>
  <si>
    <t>CORDOALHA DE COBRE NU 50 MM², ENTERRADA - FORNECIMENTO E INSTALAÇÃO. AF_08/2023</t>
  </si>
  <si>
    <r>
      <rPr>
        <sz val="12"/>
        <rFont val="Arial"/>
        <family val="2"/>
      </rPr>
      <t>COMP.
MACAÉ 36</t>
    </r>
  </si>
  <si>
    <t>RE BAR, DIÂMETRO DE 3/8", INCLUSIVE CLIPS PARA EMENDA</t>
  </si>
  <si>
    <t>COMP. MACAÉ 37</t>
  </si>
  <si>
    <t>CAIXA DE EQUALIZAÇÃO DE POTENCIAIS PARA USO INTERNO E EXTERNO COM 11 TERMINAIS PARA ATERRAMENTO (BEP), EM AÇO</t>
  </si>
  <si>
    <t>COBERTURAS, ISOLAMENTOS E IMPERMEABILIZACAO</t>
  </si>
  <si>
    <t>11.1</t>
  </si>
  <si>
    <t>TELHAMENTO</t>
  </si>
  <si>
    <t>TRAMA DE MADEIRA COMPOSTA POR TERÇAS PARA TELHADOS DE ATÉ 2 ÁGUAS PARA TELHA ONDULADA DE FIBROCIMENTO, METÁLICA, PLÁSTICA OU TERMOACÚSTICA,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</si>
  <si>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</si>
  <si>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r>
      <rPr>
        <sz val="8"/>
        <rFont val="Arial"/>
        <family val="2"/>
      </rPr>
      <t>ESTRUTURA TRELICA EM ACO PREPINTADO PARA
COBERTURA(10,kg/m2)</t>
    </r>
  </si>
  <si>
    <t>TELHAMENTO COM TELHA METÁLICA TERMOACÚSTICA E = 30 MM, COM ATÉ 2 ÁGUAS, INCLUSO IÇAMENTO. AF_07/2019</t>
  </si>
  <si>
    <r>
      <rPr>
        <sz val="12"/>
        <rFont val="Arial"/>
        <family val="2"/>
      </rPr>
      <t>16.005.0054
0</t>
    </r>
  </si>
  <si>
    <t>CUMEEIRA EM GALVALUME COM ACABAMENTO EM VERNIZ NAS 2 FACES,T RAPEZOIDAL OU ONDULADA,MEDINDO APROXIMADAMENTE (1265X600X0,5 )MM.FORNECIMENTO E COLOCACAO 3%-DESGASTE DE FERRAMENTAS E EPI</t>
  </si>
  <si>
    <r>
      <rPr>
        <sz val="8"/>
        <rFont val="Arial"/>
        <family val="2"/>
      </rPr>
      <t>RUFO EM CHAPA DE AÇO GALVANIZADO NÚMERO 24, CORTE DE 25 CM,
INCLUSO TRANSPORTE VERTICAL. AF_07/2019</t>
    </r>
  </si>
  <si>
    <t>COMP. MACAÉ 61</t>
  </si>
  <si>
    <t>CALHA EM ALUMÍNIO ESP. 1,0MM - DESENVOLVIMENTO 100CM, INCLUSIVE CONEXÕES - FORNECIMENTO E INSTALAÇÃO</t>
  </si>
  <si>
    <t>11.2</t>
  </si>
  <si>
    <t>IMPERMEABILIZAÇÕES</t>
  </si>
  <si>
    <r>
      <rPr>
        <sz val="12"/>
        <rFont val="Arial"/>
        <family val="2"/>
      </rPr>
      <t>16.026.0002
0</t>
    </r>
  </si>
  <si>
    <t>IMPERMEABILIZACAO DE RESERVATORIO AGUA POTAVEL,TANQUE/PISCIN A EM CONCRETO,ENTERRADOS SUJEITOS A LENCOL FREATICO,SIST.CRI STALIZACAO COMPOSTO 3 PRODUTOS DE BASE MINERAL,PENETRAM EFEI TO DE OSMOSE,CONS.POR M2,CIMENTO CRISTALIZANTE QUE ENDURECE EM 2MIN-1KG/M2,CIMENTO CRISTALIZANTE QUE EMDURECE 7MIN-1,6KG /M2,LIQUIDO SELADOR MINERAL,BASE SILICATO-0,7KG/M2 3%-DESGASTE DE FERRAMENTAS E EPI</t>
  </si>
  <si>
    <t>IMPERMEABILIZAÇÃO DE SUPERFÍCIE COM ARGAMASSA POLIMÉRICA / MEMBRANA ACRÍLICA, 3 DEMÃOS. AF_09/2023</t>
  </si>
  <si>
    <r>
      <rPr>
        <sz val="8"/>
        <rFont val="Arial"/>
        <family val="2"/>
      </rPr>
      <t>IMPERMEABILIZAÇÃO DE SUPERFÍCIE COM MANTA ASFÁLTICA, DUAS
CAMADAS, INCLUSIVE APLICAÇÃO DE PRIMER ASFÁLTICO, E=3MM E E=4MM. AF_09/2023</t>
    </r>
  </si>
  <si>
    <t>PROTEÇÃO MECÂNICA DE SUPERFÍCIE VERTICAL COM ARGAMASSA DE CIMENTO E AREIA, TRAÇO 1:3, E=5CM. AF_09/2023</t>
  </si>
  <si>
    <t>PROTEÇÃO MECÂNICA DE SUPERFICIE HORIZONTAL COM ARGAMASSA DE CIMENTO E AREIA, TRAÇO 1:3, E=4CM. AF_09/2023</t>
  </si>
  <si>
    <t>INSTALAÇÕES DE INCÊNDIO E PÂNICO</t>
  </si>
  <si>
    <t>12.1</t>
  </si>
  <si>
    <t>SISTEMA DE HIDRANTES E MANGOTINHOS</t>
  </si>
  <si>
    <r>
      <rPr>
        <sz val="12"/>
        <rFont val="Arial"/>
        <family val="2"/>
      </rPr>
      <t>18.029.0025
0</t>
    </r>
  </si>
  <si>
    <r>
      <rPr>
        <sz val="8"/>
        <rFont val="Arial"/>
        <family val="2"/>
      </rPr>
      <t>BOMBA HIDRAULICA CENTRIFUGA,COM MOTOR ELETRICO,POTENCIA DE
2 CV,EXCLUSIVE ACESSORIOS.FORNECIMENTO E COLOCACAO 3%-DESGASTE DE FERRAMENTAS E EPI</t>
    </r>
  </si>
  <si>
    <t>15.007.0680</t>
  </si>
  <si>
    <r>
      <rPr>
        <sz val="8"/>
        <rFont val="Arial"/>
        <family val="2"/>
      </rPr>
      <t>CHAVE BLINDADA,TRIPOLAR,DE 250V,DE 30A.FORNECIMENTO E COLOCA
CAO 3%-DESGASTE DE FERRAMENTAS E EPI</t>
    </r>
  </si>
  <si>
    <t>QUADRO DE COMANDO PARA SISTEMA DE PRESSU RIZACAO DE INCENDIO PARA DUAS BOMBAS DE 5,00CV-250V, DE 30 A 50A</t>
  </si>
  <si>
    <t>CHAVE DE FLUXO COM RETARDO ELETRONICO DN 2.1/2 P/ INCENDIO</t>
  </si>
  <si>
    <t>MANÔMETRO 0 A 200 PSI (0 A 14 KGF/CM2), D = 50MM - FORNECIMENTO E INSTALAÇÃO. AF_10/2020</t>
  </si>
  <si>
    <t>ADAPTADOR FERRO GALV. P/CAIXA D'AGUA DE CONCRETO 2""x200mm</t>
  </si>
  <si>
    <t>VÁLVULA DE RETENÇÃO VERTICAL, DE BRONZE, ROSCÁVEL, 2 1/2" - FORNECIMENTO E INSTALAÇÃO. AF_08/2021</t>
  </si>
  <si>
    <t>VÁLVULA DE RETENÇÃO HORIZONTAL, DE BRONZE, ROSCÁVEL, 2 1/2" - FORNECIMENTO E INSTALAÇÃO. AF_08/2021</t>
  </si>
  <si>
    <r>
      <rPr>
        <sz val="8"/>
        <rFont val="Arial"/>
        <family val="2"/>
      </rPr>
      <t>REGISTRO DE GAVETA BRUTO, LATÃO, ROSCÁVEL, 2 1/2" -
FORNECIMENTO E INSTALAÇÃO. AF_08/2021</t>
    </r>
  </si>
  <si>
    <t>JOELHO 90 GRAUS, EM FERRO GALVANIZADO, DN 65 (2 1/2"), CONEXÃO ROSQUEADA, INSTALADO EM REDE DE ALIMENTAÇÃO PARA HIDRANTE - FORNECIMENTO E INSTALAÇÃO. AF_10/2020</t>
  </si>
  <si>
    <r>
      <rPr>
        <sz val="8"/>
        <rFont val="Arial"/>
        <family val="2"/>
      </rPr>
      <t>CURVA 90 GRAUS, EM AÇO, CONEXÃO SOLDADA, DN 65 (2 1/2"), INSTALADO EM REDE DE ALIMENTAÇÃO PARA HIDRANTE -
FORNECIMENTO E INSTALAÇÃO. AF_10/2020</t>
    </r>
  </si>
  <si>
    <t>LUVA, EM FERRO GALVANIZADO, DN 65 (2 1/2"), CONEXÃO ROSQUEADA, INSTALADO EM REDE DE ALIMENTAÇÃO PARA HIDRANTE - FORNECIMENTO E INSTALAÇÃO. AF_10/2020</t>
  </si>
  <si>
    <t>NIPLE, EM FERRO GALVANIZADO, DN 65 (2 1/2"), CONEXÃO ROSQUEADA, INSTALADO EM REDE DE ALIMENTAÇÃO PARA HIDRANTE - FORNECIMENTO E INSTALAÇÃO. AF_10/2020</t>
  </si>
  <si>
    <t>UNIÃO, EM FERRO GALVANIZADO, DN 65 (2 1/2"), CONEXÃO ROSQUEADA, INSTALADO EM REDE DE ALIMENTAÇÃO PARA HIDRANTE - FORNECIMENTO E INSTALAÇÃO. AF_10/2020</t>
  </si>
  <si>
    <t>TÊ, EM FERRO GALVANIZADO, CONEXÃO ROSQUEADA, DN 65 (2 1/2"), INSTALADO EM REDE DE ALIMENTAÇÃO PARA HIDRANTE - FORNECIMENTO E INSTALAÇÃO. AF_10/2020</t>
  </si>
  <si>
    <r>
      <rPr>
        <sz val="8"/>
        <rFont val="Arial"/>
        <family val="2"/>
      </rPr>
      <t>LUVA DE REDUÇÃO, EM FERRO GALVANIZADO, 2 1/2" X 1 1/2", CONEXÃO ROSQUEADA, INSTALADO EM PRUMADAS - FORNECIMENTO E
INSTALAÇÃO. AF_10/2020</t>
    </r>
  </si>
  <si>
    <t>LUVA DE REDUÇÃO, EM FERRO GALVANIZADO, 1 1/2" X 1",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</si>
  <si>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</si>
  <si>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25 (1"), CONEXÃO ROSQUEADA, INSTALADO EM REDE DE ALIMENTAÇÃO PARA HIDRANTE - FORNECIMENTO E INSTALAÇÃO. AF_10/2020</t>
  </si>
  <si>
    <t>HIDRANTE SUBTERRÂNEO PREDIAL (COM CURVA LONGA E CAIXA), DN 75 MM - FORNECIMENTO E INSTALAÇÃO. AF_10/2020</t>
  </si>
  <si>
    <t>ABRIGO PARA HIDRANTE, 90X60X17CM, COM REGISTRO GLOBO ANGULAR 45 GRAUS 2 1/2", ADAPTADOR STORZ 2 1/2", MANGUEIRA DE INCÊNDIO 20M, REDUÇÃO 2 1/2" X 1 1/2" E ESGUICHO EM LATÃO 1 1/2" - FORNECIMENTO E INSTALAÇÃO. AF_10/2020</t>
  </si>
  <si>
    <t>CONJUNTO DE MANGUEIRA PARA COMBATE A INCÊNDIO EM FIBRA DE POLIESTER PURA, COM 1.1/2", REVESTIDA INTERNAMENTE, COMPRIMENTO DE 15M - FORNECIMENTO E INSTALAÇÃO. AF_10/2020</t>
  </si>
  <si>
    <t>FIXAÇÃO DE TUBOS VERTICAIS DE PVC ÁGUA, PVC ESGOTO, PVC ÁGUA PLUVIAL, CPVC, PPR, COBRE OU AÇO, DIÂMETROS MAIORES QUE 40 MM E MENORES OU IGUAIS A 75 MM, COM ABRAÇADEIRA METÁLICA RÍGIDA TIPO U PERFIL 2 1/2", FIXADA EM PERFILADO EM PAREDE. AF_09/2023_PS</t>
  </si>
  <si>
    <t>12.2</t>
  </si>
  <si>
    <t>EXTINTORES DE INCÊNDIO</t>
  </si>
  <si>
    <t>EXTINTOR DE INCÊNDIO PORTÁTIL COM CARGA DE PQS DE 6 KG, CLASSE BC - FORNECIMENTO E INSTALAÇÃO. AF_10/2020_PE</t>
  </si>
  <si>
    <r>
      <rPr>
        <sz val="12"/>
        <rFont val="Arial"/>
        <family val="2"/>
      </rPr>
      <t>17.040.0050
0</t>
    </r>
  </si>
  <si>
    <t>PINTURA DE SINALIZACAO DE SOLO PARA EQUIPAMENTOS DE COMBATE A INCENDIO (EXTINTORES E HIDRANTES),EM QUADRADOS VERMELHOS D E (0,70X0,70)M E BORDAS AMARELAS DE 0,15M DE LARGURA,CONFORM E ABNT NBR 16820 3%-DESGASTE DE FERRAMENTAS E EPI</t>
  </si>
  <si>
    <r>
      <rPr>
        <sz val="12"/>
        <rFont val="Arial"/>
        <family val="2"/>
      </rPr>
      <t>18.032.0045
0</t>
    </r>
  </si>
  <si>
    <t>SUPORTE DE SOLO PARA EXTINTOR DE INCENDIO PORTATIL,TIPO TRIP E,EM ACO CARBONO,INCLUSIVE PONTEIRAS DE BORRACHA.FORNECIMENT O</t>
  </si>
  <si>
    <t>12.3</t>
  </si>
  <si>
    <t>SINALIZAÇÕES E SINALIZAÇÃO DE EMERGÊNCIA</t>
  </si>
  <si>
    <t>LUMINÁRIA DE EMERGÊNCIA, COM 30 LÂMPADAS LED DE 2 W, SEM REATOR - FORNECIMENTO E INSTALAÇÃO. AF_09/2024</t>
  </si>
  <si>
    <r>
      <rPr>
        <sz val="12"/>
        <rFont val="Arial"/>
        <family val="2"/>
      </rPr>
      <t>05.054.0102
0</t>
    </r>
  </si>
  <si>
    <t>PLACA FOTOLUMINESCENTE DE SINALIZACAO DE SEGURANCA CONTRA IN CENDIO,PARA SAIDA DE EMERGENCIA,EM PVC ANTICHAMA,DIMENSOES A PROXIMADAS DE (20X40)CM,CONFORME ABNT NBR 16820.FORNECIMENTO E COLOCACAO 3%-DESGASTE DE FERRAMENTAS E EPI</t>
  </si>
  <si>
    <r>
      <rPr>
        <sz val="12"/>
        <rFont val="Arial"/>
        <family val="2"/>
      </rPr>
      <t>05.054.0105
0</t>
    </r>
  </si>
  <si>
    <t>PLACA FOTOLUMINESCENTE DE SINALIZACAO DE SEGURANCA CONTRA IN CENDIO,PARA EQUIPAMENTOS DE COMBATE A INCENDIO E ALARME,EM P VC ANTICHAMA,DIMENSOES APROXIMADAS DE (15X15)CM,CONFORME ABN T NBR 16820.FORNECIMENTO E COLOCACAO 3%-DESGASTE DE FERRAMENTAS E EPI</t>
  </si>
  <si>
    <r>
      <rPr>
        <sz val="12"/>
        <rFont val="Arial"/>
        <family val="2"/>
      </rPr>
      <t>05.054.0115
0</t>
    </r>
  </si>
  <si>
    <t>PLACA FOTOLUMINESCENTE DE SINALIZACAO DE SEGURANCA CONTRA IN CENDIO,PARA EQUIPAMENTOS DE COMBATE A INCENDIO E ALARME,EM P VC ANTICHAMA,DIMENSOES APROXIMADAS DE (20X15)CM,CONFORME ABN T NBR 16820.FORNECIMENTO E COLOCACAO IP.COMB.INC.E ALARME,PVC ANTICHAMA,(20X15)CM,ABNT NBR 16820</t>
  </si>
  <si>
    <t>12.4</t>
  </si>
  <si>
    <t>ALARME DE INCÊNDIO</t>
  </si>
  <si>
    <r>
      <rPr>
        <sz val="12"/>
        <rFont val="Arial"/>
        <family val="2"/>
      </rPr>
      <t>18.038.0030
0</t>
    </r>
  </si>
  <si>
    <t>SIRENE AUDIOVISUAL,PARA SISTEMA DE ALARME CONTRA INCENDIO.FO RNECIMENTO E COLOCACAO 3%-DESGASTE DE FERRAMENTAS E EPI</t>
  </si>
  <si>
    <r>
      <rPr>
        <sz val="12"/>
        <rFont val="Arial"/>
        <family val="2"/>
      </rPr>
      <t>18.038.0045
0</t>
    </r>
  </si>
  <si>
    <t>ACIONADOR TIPO "QUEBRE VIDRO",INCLUSIVE SENSOR DE ALARME E C HAVE EXTERNA PARA TESTE.FORNECIMENTO E COLOCACAO 3%-DESGASTE DE FERRAMENTAS E EPI</t>
  </si>
  <si>
    <t>CENTRAL ALARME INCENDIO ENDERECAVEL CIE 1125 INTELBRAS P/12L</t>
  </si>
  <si>
    <t>CONDULETE ALUMINIO ""X"" 1.1/4"" COM TAMPA</t>
  </si>
  <si>
    <r>
      <rPr>
        <sz val="12"/>
        <rFont val="Arial"/>
        <family val="2"/>
      </rPr>
      <t>15.035.0021
0</t>
    </r>
  </si>
  <si>
    <t>ELETRODUTO DE FERRO GALVANIZADO,TIPO PESADO,DIAMETRO DE 3/4" ,INCLUSIVE CONEXOES E EMENDAS,EXCLUSIVE ABERTURA E FECHAMENT O DE RASGO.FORNECIMENTO E ASSENTAMENTO 3%-DESGASTE DE FERRAMENTAS E EPI 10%-CONEXOES E EMENDAS</t>
  </si>
  <si>
    <t>CABO DE COBRE BLINDADO C/FITA POLIESTER P/ ALARME INC.3X1,50</t>
  </si>
  <si>
    <t>PAISAGISMO</t>
  </si>
  <si>
    <t>13.1</t>
  </si>
  <si>
    <t>IMPERMEABILIZAÇÃO, DRENAGEM E ENCHIMENTO JARDINEIRAS</t>
  </si>
  <si>
    <r>
      <rPr>
        <sz val="12"/>
        <rFont val="Arial"/>
        <family val="2"/>
      </rPr>
      <t>16.020.0012
0</t>
    </r>
  </si>
  <si>
    <t>IMPERMEABILIZACAO INIBIDORA DO ATAQUE DE RAIZES,COMPOSTA DE ASFALTO MODIFICADO,PLASTIFICANTE,ADITIVOS ESPECIAIS,HERBICID A ATOXICO E SOLVENTES ORGANICOS,APLICADO A FRIO,EM DUAS DEMA OS,CONSUMO DE 0,40L/M2/DEMAO,PARA EVITAR A PENETRACAO INDESE JAVEL DE RAIZES QUE DESAGREGAM A PROTECAO MECANICA SOBRE A I MPERMEABILIZACAO 3%-DESGASTE DE FERRAMENTAS E EPI</t>
  </si>
  <si>
    <t>GEOTÊXTIL NÃO TECIDO 100% POLIÉSTER, RESISTÊNCIA A TRAÇÃO DE  9 KN/M (RT - 9), INSTALADO EM DRENO - FORNECIMENTO E INSTALAÇÃO. AF_07/2021</t>
  </si>
  <si>
    <t>ENCHIMENTO DE BRITA PARA DRENO, LANÇAMENTO MANUAL. AF_07/2021</t>
  </si>
  <si>
    <t>09.006.0030</t>
  </si>
  <si>
    <t>ATERRO COM TERRA PRETA VEGETAL,PARA EXECUCAO DE GRAMADOS VE ENCARGOS SOCIAIS</t>
  </si>
  <si>
    <t>13.2</t>
  </si>
  <si>
    <t>PLANTIO</t>
  </si>
  <si>
    <t>PLANTIO DE FORRAÇÃO. AF_07/2024</t>
  </si>
  <si>
    <t>PLANTIO DE ÁRVORE ORNAMENTAL COM ALTURA DE MUDA MENOR OU IGUAL A 2,00 M . AF_07/2024</t>
  </si>
  <si>
    <t>PLANTIO DE ÁRVORE ORNAMENTAL COM ALTURA DE MUDA MAIOR QUE 2,00 M E MENOR OU IGUAL A 4,00 M . AF_07/2024</t>
  </si>
  <si>
    <t>PLANTIO DE GRAMA EM PAVIMENTO CONCREGRAMA. AF_07/2024</t>
  </si>
  <si>
    <t>Tipo de Licitação</t>
  </si>
  <si>
    <t>CONCORRÊNCIA - SEMI-INTEGRADA</t>
  </si>
  <si>
    <t>Total sem BDI</t>
  </si>
  <si>
    <t>Abertura da Licitação</t>
  </si>
  <si>
    <t>Total do BDI</t>
  </si>
  <si>
    <t>Número do Processo Licitatório</t>
  </si>
  <si>
    <t>Total Geral</t>
  </si>
  <si>
    <t>Obra                                                                                                                     Bancos                            B.D.I.                                         Encargos Sociais</t>
  </si>
  <si>
    <r>
      <rPr>
        <b/>
        <sz val="12"/>
        <rFont val="Arial"/>
        <family val="2"/>
      </rPr>
      <t>SINAPI - 12/2025 - Rio
de Janeiro
SBC - 12/2025 - Rio de
Janeiro
ORSE - 12/2025 -
Sergipe
CPOS/CDHU - 09/2025 -
São Paulo
FDE - 10/2025 - São
Paulo
EMOP - 12/2025 - Rio de
Janeiro
SCO - 12/2025 - Rio de
Janeiro</t>
    </r>
  </si>
  <si>
    <t>22,23%                                          Não Desonerado: embutido nos preços unitário dos insumos de mão de obra, de acordo com as bases.</t>
  </si>
  <si>
    <t>Cronograma Físico e Financeiro</t>
  </si>
  <si>
    <t>Total Por Etapa</t>
  </si>
  <si>
    <t>30 DIAS</t>
  </si>
  <si>
    <t>60 DIAS</t>
  </si>
  <si>
    <t>90 DIAS</t>
  </si>
  <si>
    <t>120 DIAS</t>
  </si>
  <si>
    <t>150 DIAS</t>
  </si>
  <si>
    <t>180 DIAS</t>
  </si>
  <si>
    <t>210 DIAS</t>
  </si>
  <si>
    <t>240 DIAS</t>
  </si>
  <si>
    <t>270 DIAS</t>
  </si>
  <si>
    <t>300 DIAS</t>
  </si>
  <si>
    <t>330 DIAS</t>
  </si>
  <si>
    <t>360 DIAS</t>
  </si>
  <si>
    <t>390 DIAS</t>
  </si>
  <si>
    <t>420 DIAS</t>
  </si>
  <si>
    <t>450 DIAS</t>
  </si>
  <si>
    <t>480 DIAS</t>
  </si>
  <si>
    <t>510 DIAS</t>
  </si>
  <si>
    <t>540 DIAS</t>
  </si>
  <si>
    <t>1</t>
  </si>
  <si>
    <t>2</t>
  </si>
  <si>
    <t>3</t>
  </si>
  <si>
    <t>4</t>
  </si>
  <si>
    <t>5</t>
  </si>
  <si>
    <t>6</t>
  </si>
  <si>
    <t>7</t>
  </si>
  <si>
    <t>8</t>
  </si>
  <si>
    <t>9</t>
  </si>
  <si>
    <t>Porcentagem</t>
  </si>
  <si>
    <t>Custo</t>
  </si>
  <si>
    <t>Porcentagem Acumulado</t>
  </si>
  <si>
    <t>Custo Acumulado</t>
  </si>
  <si>
    <r>
      <rPr>
        <b/>
        <sz val="10"/>
        <rFont val="Arial"/>
        <family val="2"/>
      </rPr>
      <t>SINAPI - 12/2025 - Rio de Janeiro SBC - 12/2025 - Rio de Janeiro ORSE - 12/2025 - Sergipe CPOS/CDHU - 09/2025 - São Paulo FDE - 10/2025 - São Paulo
EMOP - 12/2025 - Rio de Janeiro SCO - 12/2025 - Rio de Janeiro</t>
    </r>
  </si>
  <si>
    <t>22,23%</t>
  </si>
  <si>
    <t>Planilha Orçamentária Resumida</t>
  </si>
  <si>
    <t>Total</t>
  </si>
  <si>
    <t>2,52 %</t>
  </si>
  <si>
    <t>1,94 %</t>
  </si>
  <si>
    <t>0,58 %</t>
  </si>
  <si>
    <t>11,05 %</t>
  </si>
  <si>
    <t>7,79 %</t>
  </si>
  <si>
    <t>0,68 %</t>
  </si>
  <si>
    <t>2,57 %</t>
  </si>
  <si>
    <t>1,45 %</t>
  </si>
  <si>
    <t>0,51 %</t>
  </si>
  <si>
    <t>0,31 %</t>
  </si>
  <si>
    <t>0,63 %</t>
  </si>
  <si>
    <t>5,57 %</t>
  </si>
  <si>
    <t>0,36 %</t>
  </si>
  <si>
    <t>5,20 %</t>
  </si>
  <si>
    <t>17,01 %</t>
  </si>
  <si>
    <t>2,36 %</t>
  </si>
  <si>
    <t>1,66 %</t>
  </si>
  <si>
    <t>10,30 %</t>
  </si>
  <si>
    <t>0,16 %</t>
  </si>
  <si>
    <t>1,10 %</t>
  </si>
  <si>
    <t>1,44 %</t>
  </si>
  <si>
    <t>23,46 %</t>
  </si>
  <si>
    <t>1,80 %</t>
  </si>
  <si>
    <t>4,20 %</t>
  </si>
  <si>
    <t>4,04 %</t>
  </si>
  <si>
    <t>2,77 %</t>
  </si>
  <si>
    <t>1,73 %</t>
  </si>
  <si>
    <t>4,15 %</t>
  </si>
  <si>
    <t>3,94 %</t>
  </si>
  <si>
    <t>0,83 %</t>
  </si>
  <si>
    <t>2,50 %</t>
  </si>
  <si>
    <t>1,13 %</t>
  </si>
  <si>
    <t>1,30 %</t>
  </si>
  <si>
    <t>0,05 %</t>
  </si>
  <si>
    <t>0,02 %</t>
  </si>
  <si>
    <t>8,67 %</t>
  </si>
  <si>
    <t>2,27 %</t>
  </si>
  <si>
    <t>2,35 %</t>
  </si>
  <si>
    <t>2,03 %</t>
  </si>
  <si>
    <t>1,82 %</t>
  </si>
  <si>
    <t>0,20 %</t>
  </si>
  <si>
    <t>3,78 %</t>
  </si>
  <si>
    <t>0,24 %</t>
  </si>
  <si>
    <t>0,06 %</t>
  </si>
  <si>
    <t>0,37 %</t>
  </si>
  <si>
    <t>1,53 %</t>
  </si>
  <si>
    <t>0,14 %</t>
  </si>
  <si>
    <t>0,39 %</t>
  </si>
  <si>
    <t>0,80 %</t>
  </si>
  <si>
    <t>17,96 %</t>
  </si>
  <si>
    <t>1,35 %</t>
  </si>
  <si>
    <t>4,89 %</t>
  </si>
  <si>
    <t>0,57 %</t>
  </si>
  <si>
    <t>0,87 %</t>
  </si>
  <si>
    <t>1,40 %</t>
  </si>
  <si>
    <t>5,87 %</t>
  </si>
  <si>
    <t>0,34 %</t>
  </si>
  <si>
    <t>1,41 %</t>
  </si>
  <si>
    <t>0,71 %</t>
  </si>
  <si>
    <t>5,08 %</t>
  </si>
  <si>
    <t>3,39 %</t>
  </si>
  <si>
    <t>1,69 %</t>
  </si>
  <si>
    <t>0,53 %</t>
  </si>
  <si>
    <t>0,38 %</t>
  </si>
  <si>
    <t>0,07 %</t>
  </si>
  <si>
    <t>0,41 %</t>
  </si>
  <si>
    <t>0,15 %</t>
  </si>
  <si>
    <t>0,26 %</t>
  </si>
  <si>
    <t>Número do Processo</t>
  </si>
  <si>
    <t>PLANILHA ANALÍTICA DE EXEQUIBILIDADE - DILIGÊNCIA DPRJ / MACAÉ</t>
  </si>
  <si>
    <t>Empresa</t>
  </si>
  <si>
    <t>SANTA RITA ENGENHARIA LTDA</t>
  </si>
  <si>
    <t>CNPJ</t>
  </si>
  <si>
    <t>09.005.255/0001-11</t>
  </si>
  <si>
    <t>Classe</t>
  </si>
  <si>
    <t>%</t>
  </si>
  <si>
    <t>Objeto</t>
  </si>
  <si>
    <t>Base</t>
  </si>
  <si>
    <t>PLANILHA SINTÉTICA enviada</t>
  </si>
  <si>
    <t>A</t>
  </si>
  <si>
    <t>Valor estimado / referência</t>
  </si>
  <si>
    <t>Valor ofertado</t>
  </si>
  <si>
    <t>B</t>
  </si>
  <si>
    <t>Desconto global apurado</t>
  </si>
  <si>
    <t>BDI aplicado</t>
  </si>
  <si>
    <t>C</t>
  </si>
  <si>
    <t>Limite legal 75% do orçamento</t>
  </si>
  <si>
    <t>Diferença oferta x 75%</t>
  </si>
  <si>
    <t>Total de itens analíticos</t>
  </si>
  <si>
    <t>Itens com CPU exigida/recomendada</t>
  </si>
  <si>
    <t>Critério de seleção CPU</t>
  </si>
  <si>
    <t>Curva A + composições próprias + itens acima de R$ 50.000,00</t>
  </si>
  <si>
    <t>Status</t>
  </si>
  <si>
    <t>Arquivo gerado para saneamento técnico</t>
  </si>
  <si>
    <t>Observação técnica</t>
  </si>
  <si>
    <t>A CPU unitária consolida custo direto ofertado, BDI, preço com BDI, total e comparação com referência. Para itens de base oficial ou própria, anexar relatório/cotação correspondente ao item.</t>
  </si>
  <si>
    <t>Grupo</t>
  </si>
  <si>
    <t>Subgrupo</t>
  </si>
  <si>
    <t>VU ofertado s/ BDI</t>
  </si>
  <si>
    <t>VU ofertado c/ BDI</t>
  </si>
  <si>
    <t>Total ofertado</t>
  </si>
  <si>
    <t>VU ref. s/ BDI</t>
  </si>
  <si>
    <t>VU ref. c/ BDI</t>
  </si>
  <si>
    <t>Total referência</t>
  </si>
  <si>
    <t>Desc. unit.</t>
  </si>
  <si>
    <t>Desc. total</t>
  </si>
  <si>
    <t>Peso oferta</t>
  </si>
  <si>
    <t>ABC</t>
  </si>
  <si>
    <t>Exige CPU</t>
  </si>
  <si>
    <t>01.050.03560</t>
  </si>
  <si>
    <t>PROJETO EXECUTIVO DE ARQUITETURA,CONSIDERANDO O PROJETO BASI CO EXISTENTE,PARA PREDIOS ESCOLARES E/OU ADMINISTRATIVOS ATE 500M2,APRESENTADO NOS PADROES DA CONTRATANTE,INCLUSIVE AS L EGALIZACOES PERTINENTES,COORDENACAO E COMPATIBILIZACAO COM O S PROJETOS COMPLEMENTARES 9% - DESPESAS ADMINISTRATIVAS E DE MATERIAIS</t>
  </si>
  <si>
    <t>SIM</t>
  </si>
  <si>
    <t>OK - menor/igual referência</t>
  </si>
  <si>
    <t>01.050.05520</t>
  </si>
  <si>
    <t>01.050.04780</t>
  </si>
  <si>
    <t>NÃO</t>
  </si>
  <si>
    <t>01.050.04520</t>
  </si>
  <si>
    <t>PROJETO EXECUTIVO DE INSTALACAO DE ESGOTO SANITARIO E AGUAS PLUVIAIS,CONSIDERANDO O PROJETO BASICO EXISTENTE,PARA PREDIO S ESCOLARES E/OU ADMINISTRATIVOS ATE 500M2,APRESENTADO NOS P ADROES DA CONTRATANTE,INCLUSIVE AS LEGALIZACOES PERTINENTES 9% - DESPESAS ADMINISTRATIVAS E DE MATERIAIS</t>
  </si>
  <si>
    <t>01.050.05150</t>
  </si>
  <si>
    <t>01.050.03760</t>
  </si>
  <si>
    <t>01.050.05300</t>
  </si>
  <si>
    <t>PROJETO EXECUTIVO DE SISTEMA DE AR CONDICIONADO,CONSIDERANDO O PROJETO BASICO EXISTENTE,APRESENTADO NOS PADROES DA CONTRA TANTE,PARA PREDIOS COM AREA ATE 500M2 9% - DESPESAS ADMINISTRATIVAS E DE MATERIAIS</t>
  </si>
  <si>
    <t>01.050.04330</t>
  </si>
  <si>
    <t>93572</t>
  </si>
  <si>
    <t>90777</t>
  </si>
  <si>
    <t>101390</t>
  </si>
  <si>
    <t>AUXILIAR TÉCNICO / ASSISTENTE DE ENGENHARIA COM ENCARGOS COMPLEMENTARES</t>
  </si>
  <si>
    <t>100309</t>
  </si>
  <si>
    <t>TÉCNICO EM SEGURANÇA DO TRABALHO COM ENCARGOS COMPLEMENTARES</t>
  </si>
  <si>
    <t>05.105.02040</t>
  </si>
  <si>
    <t>05.100.09000</t>
  </si>
  <si>
    <t>UNIDADE REF.P/COMPL.ADM LOCAL,CONSID:CONSUMO AGUA,TEL.ENERGI A ELETR.MAT.LIMPEZA ESCRITORIO,COMPUTADORES LICENCA OBRA,MOV EIS UTENSILIOS,AR COND.BEBEDOURO,ART,RRT,FOTOGRAFIAS,UNIFORM ES,DARIAS,EXAMES ADMISSIONAIS,PERIODICOS E DEMISSIONAIS,CURS OS CAPACITACAO/TREINAMENTO ITENS COMPLEMENTEM DESP.NECESS.EX CL.DESP.C/CAFE MANHA,REFEICAO,CESTA BASICA E VALE TRANSPORTE</t>
  </si>
  <si>
    <t>02.002.00120</t>
  </si>
  <si>
    <t>02.004.00050</t>
  </si>
  <si>
    <t>02.004.00130</t>
  </si>
  <si>
    <t>SANITARIO COM VASO E CHUVEIRO PARA PESSOAL DE OBRA,COLETIVO DE 2 UNIDADES E 4,00M2 EXECUTADO COM TABUAS DE MADEIRA DE 3ª ,E TELHAS ONDULADAS DE 6MM DE FIBROCIMENTO,INCLUSIVE INSTALA COES,APARELHOS,ESQUADRIAS E FERRAGENS CONSIDERANDO REAPROVEI TAMENTO DAS INSTALACOES E APARELHOS 2 VEZES 3% - DESGASTE DE FERRAMENTAS E EPI 10% - GRAMPO E ROSETA DE MADEIRA</t>
  </si>
  <si>
    <t>103689</t>
  </si>
  <si>
    <t>02.015.00010</t>
  </si>
  <si>
    <t>02.016.00010</t>
  </si>
  <si>
    <t>97063</t>
  </si>
  <si>
    <t>97064</t>
  </si>
  <si>
    <t>20193</t>
  </si>
  <si>
    <t>10527</t>
  </si>
  <si>
    <t>LOCACAO DE ANDAIME METALICO TUBULAR DE ENCAIXE, TIPO DE TORRE, CADA PAINEL COM LARGURA DE 1 ATE 1,5 M E ALTURA DE *1,00* M, INCLUINDO DIAGONAL, BARRAS DE LIGACAO, SAPATAS OU RODIZIOS E DEMAIS ITENS NECESSARIOS A MONTAGEM (NAO INCLUI INSTALACAO)</t>
  </si>
  <si>
    <t>01.003.00010</t>
  </si>
  <si>
    <t>01.016.02100</t>
  </si>
  <si>
    <t>01.001.01510</t>
  </si>
  <si>
    <t>01.006.00040</t>
  </si>
  <si>
    <t>DESMATAMENTO E LIMPEZA DE TERRENOS COM TRATOR DE ESTEIRAS CO M POTENCIA EM TORNO DE 200CV 3% - DESGASTE DE FERRAMENTAS E EPI</t>
  </si>
  <si>
    <t>01.006.00100</t>
  </si>
  <si>
    <t>REGULARIZACAO DE TERRENO COM TRATOR EM TORNO DE 80CV,COMPREE NDENDO ACERTO,RASPAGEM EVENTUALMENTE ATE 0,30M DE PROFUNDIDA DE E AFASTAMENTO LATERAL DO MATERIAL EXCEDENTE 3% - DESGASTE DE FERRAMENTAS E EPI</t>
  </si>
  <si>
    <t>01.018.00020</t>
  </si>
  <si>
    <t>22.030.00650</t>
  </si>
  <si>
    <t>22.030.00500</t>
  </si>
  <si>
    <t>96522</t>
  </si>
  <si>
    <t>101616</t>
  </si>
  <si>
    <t>93358</t>
  </si>
  <si>
    <t>93382</t>
  </si>
  <si>
    <t>REATERRO MANUAL DE VALAS, COM COMPACTADOR DE SOLOS DE PERCUSSÃO. AF_08/2023</t>
  </si>
  <si>
    <t>102281</t>
  </si>
  <si>
    <t>101624</t>
  </si>
  <si>
    <t>94319</t>
  </si>
  <si>
    <t>101585</t>
  </si>
  <si>
    <t>ESCORAMENTO DE VALA, TIPO CONTÍNUO, COM PROFUNDIDADE DE 1,5 A 3,0 M, LARGURA MAIOR OU IGUAL A 1,5 M E MENOR QUE 2,5 M. AF_08/2020</t>
  </si>
  <si>
    <t>01.009.00500</t>
  </si>
  <si>
    <t>100652</t>
  </si>
  <si>
    <t>95602</t>
  </si>
  <si>
    <t>ARRASAMENTO MECANICO DE ESTACA DE CONCRETO ARMADO, DIAMETROS DE 41 CM A 60 CM. AF_05/2021</t>
  </si>
  <si>
    <t>102473</t>
  </si>
  <si>
    <t>CONCRETO MAGRO PARA LASTRO, TRAÇO 1:4,5:4,5 (EM MASSA SECA DE CIMENTO/ AREIA MÉDIA/ SEIXO ROLADO) - PREPARO MECÂNICO COM BETONEIRA 400 L. AF_05/2021</t>
  </si>
  <si>
    <t>96540</t>
  </si>
  <si>
    <t>96536</t>
  </si>
  <si>
    <t>96545</t>
  </si>
  <si>
    <t>96546</t>
  </si>
  <si>
    <t>ARMAÇÃO DE BLOCO UTILIZANDO AÇO CA-50 DE 10 MM - MONTAGEM. AF_01/2024</t>
  </si>
  <si>
    <t>104920</t>
  </si>
  <si>
    <t>104916</t>
  </si>
  <si>
    <t>104918</t>
  </si>
  <si>
    <t>104919</t>
  </si>
  <si>
    <t>40299</t>
  </si>
  <si>
    <t>40664</t>
  </si>
  <si>
    <t>96557</t>
  </si>
  <si>
    <t>41030</t>
  </si>
  <si>
    <t>98557</t>
  </si>
  <si>
    <t>41395</t>
  </si>
  <si>
    <t>11.015.00100</t>
  </si>
  <si>
    <t>92419</t>
  </si>
  <si>
    <t>92759</t>
  </si>
  <si>
    <t>92760</t>
  </si>
  <si>
    <t>92762</t>
  </si>
  <si>
    <t>92763</t>
  </si>
  <si>
    <t>92473</t>
  </si>
  <si>
    <t>92510</t>
  </si>
  <si>
    <t>101792</t>
  </si>
  <si>
    <t>92761</t>
  </si>
  <si>
    <t>ARMAÇÃO DE PILAR OU VIGA DE ESTRUTURA CONVENCIONAL DE CONCRETO ARMADO UTILIZANDO AÇO CA-50 DE 8,0 MM - MONTAGEM. AF_06/2022</t>
  </si>
  <si>
    <t>104106</t>
  </si>
  <si>
    <t>ARMAÇÃO DE PILAR OU VIGA DE ESTRUTURA DE CONCRETO ARMADO EMBUTIDA EM ALVENARIA DE VEDAÇÃO UTILIZANDO AÇO CA-50 DE 16,0 MM - MONTAGEM. AF_06/2022</t>
  </si>
  <si>
    <t>40301</t>
  </si>
  <si>
    <t>92768</t>
  </si>
  <si>
    <t>40666</t>
  </si>
  <si>
    <t>92769</t>
  </si>
  <si>
    <t>41032</t>
  </si>
  <si>
    <t>92770</t>
  </si>
  <si>
    <t>41397</t>
  </si>
  <si>
    <t>92771</t>
  </si>
  <si>
    <t>41762</t>
  </si>
  <si>
    <t>92772</t>
  </si>
  <si>
    <t>42127</t>
  </si>
  <si>
    <t>103076</t>
  </si>
  <si>
    <t>101995</t>
  </si>
  <si>
    <t>95943</t>
  </si>
  <si>
    <t>ARMAÇÃO DE ESCADA, DE UMA ESTRUTURA CONVENCIONAL DE CONCRETO ARMADO UTILIZANDO AÇO CA-60 DE 5,0 MM - MONTAGEM. AF_11/2020</t>
  </si>
  <si>
    <t>95944</t>
  </si>
  <si>
    <t>ARMAÇÃO DE ESCADA, DE UMA ESTRUTURA CONVENCIONAL DE CONCRETO ARMADO UTILIZANDO AÇO CA-50 DE 6,3 MM - MONTAGEM. AF_11/2020</t>
  </si>
  <si>
    <t>95945</t>
  </si>
  <si>
    <t>ARMAÇÃO DE ESCADA, DE UMA ESTRUTURA CONVENCIONAL DE CONCRETO ARMADO UTILIZANDO AÇO CA-50 DE 8,0 MM - MONTAGEM. AF_11/2020</t>
  </si>
  <si>
    <t>103686</t>
  </si>
  <si>
    <t>11.004.00201</t>
  </si>
  <si>
    <t>FORMAS DE MADEIRA DE 3ª PARA MOLDAGEM DE PECAS DE CONCRETO A RMADO COM PARAMENTOS PLANOS,EM LAJES,VIGAS,PAREDES,ETC,SERVI NDO A MADEIRA 3 VEZES,INCLUSIVE DESMOLDAGEM,EXCLUSIVE ESCORA MENTO. 3%-DESGASTE DE FERRAMENTAS E EPI</t>
  </si>
  <si>
    <t>100067</t>
  </si>
  <si>
    <t>91602</t>
  </si>
  <si>
    <t>40303</t>
  </si>
  <si>
    <t>91603</t>
  </si>
  <si>
    <t>40668</t>
  </si>
  <si>
    <t>100068</t>
  </si>
  <si>
    <t>41034</t>
  </si>
  <si>
    <t>41399</t>
  </si>
  <si>
    <t>41764</t>
  </si>
  <si>
    <t>104927</t>
  </si>
  <si>
    <t>104924</t>
  </si>
  <si>
    <t>40304</t>
  </si>
  <si>
    <t>40669</t>
  </si>
  <si>
    <t>103322</t>
  </si>
  <si>
    <t>103371</t>
  </si>
  <si>
    <t>103318</t>
  </si>
  <si>
    <t>93203</t>
  </si>
  <si>
    <t>FIXAÇÃO (ENCUNHAMENTO) DE ALVENARIA DE VEDAÇÃO COM ESPUMA DE POLIURETANO EXPANSIVA. AF_03/2024</t>
  </si>
  <si>
    <t>93187</t>
  </si>
  <si>
    <t>93197</t>
  </si>
  <si>
    <t>CONTRAVERGA MOLDADA IN LOCO EM CONCRETO, ESPESSURA DE *20* CM. AF_03/2024</t>
  </si>
  <si>
    <t>98575</t>
  </si>
  <si>
    <t>TRATAMENTO DE JUNTA DE DILATAÇÃO, COM TARUGO DE POLIETILENO E SELANTE PU, INCLUSO PREENCHIMENTO COM ESPUMA EXPANSIVA PU. AF_09/2023</t>
  </si>
  <si>
    <t>96359</t>
  </si>
  <si>
    <t>13.157.00100</t>
  </si>
  <si>
    <t>102253</t>
  </si>
  <si>
    <t>87905</t>
  </si>
  <si>
    <t>CHAPISCO APLICADO EM ALVENARIA (COM PRESENÇA DE VÃOS) E ESTRUTURAS DE CONCRETO DE FACHADA, COM COLHER DE PEDREIRO. ARGAMASSA TRAÇO 1:3 COM PREPARO EM BETONEIRA 400L. AF_10/2022</t>
  </si>
  <si>
    <t>104217</t>
  </si>
  <si>
    <t>87535</t>
  </si>
  <si>
    <t>87273</t>
  </si>
  <si>
    <t>121085</t>
  </si>
  <si>
    <t>102489</t>
  </si>
  <si>
    <t>PERFIL DE ACABAMENTO COM BORRACHA TERMOPLÁSTICA VULCANIZADA CONTÍNUA FLEXÍVEL, PARA JUNTA DE DILATAÇÃO DE EMBUTIR - PAREDE-PAREDE OU FORRO-FORRO</t>
  </si>
  <si>
    <t>REVESTIMENTO DE FACHADA EXTERNA, COM PEDRA DO PEDRA GRANITO BRANCO SIENA, ACABAMENTO LEVIGADO, FIXADO COM ARGAMASSA</t>
  </si>
  <si>
    <t>COMP.MACAÉ 29</t>
  </si>
  <si>
    <t>REVESTIMENTO EXTERNO, COM PEDRA DO PEDRA GRANITO, ACABAMENTO LEVIGADO, FIXADO COM ARGAMASSA</t>
  </si>
  <si>
    <t>39512</t>
  </si>
  <si>
    <t>96114</t>
  </si>
  <si>
    <t>99054</t>
  </si>
  <si>
    <t>ACABAMENTOS PARA FORRO (SANCA DE GESSO, MONTADA NA OBRA). AF_08/2023_PS</t>
  </si>
  <si>
    <t>87630</t>
  </si>
  <si>
    <t>87745</t>
  </si>
  <si>
    <t>CONTRAPISO EM ARGAMASSA TRAÇO 1:4 (CIMENTO E AREIA), PREPARO MECÂNICO COM BETONEIRA 400 L, APLICADO EM ÁREAS MOLHADAS SOBRE LAJE, ADERIDO, ACABAMENTO NÃO REFORÇADO, ESPESSURA 3CM. AF_07/2021</t>
  </si>
  <si>
    <t>13.331.00200</t>
  </si>
  <si>
    <t>101727</t>
  </si>
  <si>
    <t>PISO VINÍLICO SEMI-FLEXÍVEL EM PLACAS, PADRÃO LISO, ESPESSURA 3,2 MM, FIXADO COM COLA. AF_09/2020</t>
  </si>
  <si>
    <t>101092</t>
  </si>
  <si>
    <t>PISO EM GRANITO APLICADO EM CALÇADAS OU PISOS EXTERNOS. AF_05/2020</t>
  </si>
  <si>
    <t>104658</t>
  </si>
  <si>
    <t>170021</t>
  </si>
  <si>
    <t>PERFIL DE ACABAMENTO COM BORRACHA TERMOPLÁSTICA VULCANIZADA CONTÍNUA FLEXÍVEL, PARA JUNTA DE DILATAÇÃO DE EMBUTIR - PISO-PISO</t>
  </si>
  <si>
    <t>40335</t>
  </si>
  <si>
    <t>40700</t>
  </si>
  <si>
    <t>98689</t>
  </si>
  <si>
    <t>41066</t>
  </si>
  <si>
    <t>130302</t>
  </si>
  <si>
    <t>92398</t>
  </si>
  <si>
    <t>EXECUÇÃO DE PAVIMENTO EM PISO INTERTRAVADO, COM BLOCO RETANGULAR COR NATURAL DE 20 X 10 CM, ESPESSURA 8 CM. AF_10/2022</t>
  </si>
  <si>
    <t>97111</t>
  </si>
  <si>
    <t>EXECUÇÃO DE PAVIMENTO DE CONCRETO ARMADO (PCA), FCK = 30 MPA, ESPESSURA DE 15,0 CM. AF_04/2022</t>
  </si>
  <si>
    <t>94992</t>
  </si>
  <si>
    <t>94279</t>
  </si>
  <si>
    <t>171843</t>
  </si>
  <si>
    <t>101965</t>
  </si>
  <si>
    <t>101966</t>
  </si>
  <si>
    <t>11.013.00060</t>
  </si>
  <si>
    <t>97736</t>
  </si>
  <si>
    <t>88485</t>
  </si>
  <si>
    <t>FUNDO SELADOR ACRÍLICO, APLICAÇÃO MANUAL EM PAREDE, UMA DEMÃO. AF_04/2023</t>
  </si>
  <si>
    <t>88497</t>
  </si>
  <si>
    <t>88489</t>
  </si>
  <si>
    <t>PINTURA LÁTEX ACRÍLICA PREMIUM, APLICAÇÃO MANUAL EM PAREDES, DUAS DEMÃOS. AF_04/2023</t>
  </si>
  <si>
    <t>100717</t>
  </si>
  <si>
    <t>100720</t>
  </si>
  <si>
    <t>100759</t>
  </si>
  <si>
    <t>102507</t>
  </si>
  <si>
    <t>102491</t>
  </si>
  <si>
    <t>88484</t>
  </si>
  <si>
    <t>FUNDO SELADOR ACRÍLICO, APLICAÇÃO MANUAL EM TETO, UMA DEMÃO. AF_04/2023</t>
  </si>
  <si>
    <t>88496</t>
  </si>
  <si>
    <t>EMASSAMENTO COM MASSA LÁTEX, APLICAÇÃO EM TETO, DUAS DEMÃOS, LIXAMENTO MANUAL. AF_04/2023</t>
  </si>
  <si>
    <t>88488</t>
  </si>
  <si>
    <t>90790</t>
  </si>
  <si>
    <t>90793</t>
  </si>
  <si>
    <t>110460</t>
  </si>
  <si>
    <t>91341</t>
  </si>
  <si>
    <t>PORTA EM ALUMÍNIO DE ABRIR TIPO VENEZIANA COM GUARNIÇÃO, FIXAÇÃO COM PARAFUSOS - FORNECIMENTO E INSTALAÇÃO. AF_12/2019</t>
  </si>
  <si>
    <t>90838</t>
  </si>
  <si>
    <t>PORTA CORTA-FOGO 90X210X4CM - FORNECIMENTO E INSTALAÇÃO. AF_10/2025</t>
  </si>
  <si>
    <t>90830</t>
  </si>
  <si>
    <t>FECHADURA DE EMBUTIR COM CILINDRO, EXTERNA, COMPLETA, ACABAMENTO PADRÃO MÉDIO, INCLUSO EXECUÇÃO DE FURO - FORNECIMENTO E INSTALAÇÃO. AF_12/2019</t>
  </si>
  <si>
    <t>90831</t>
  </si>
  <si>
    <t>FECHADURA DE EMBUTIR PARA PORTA DE BANHEIRO, COMPLETA, ACABAMENTO PADRÃO MÉDIO, INCLUSO EXECUÇÃO DE FURO - FORNECIMENTO E INSTALAÇÃO. AF_12/2019</t>
  </si>
  <si>
    <t>14.002.02400</t>
  </si>
  <si>
    <t>40391</t>
  </si>
  <si>
    <t>40756</t>
  </si>
  <si>
    <t>14.003.01490</t>
  </si>
  <si>
    <t>41122</t>
  </si>
  <si>
    <t>14.004.01200</t>
  </si>
  <si>
    <t>VIDRO TEMPERADO INCOLOR,10MM DE ESPESSURA,PARA PORTAS OU PAI NEIS FIXOS,EXCLUSIVE FERRAGENS.FORNECIMENTO E COLOCACAO</t>
  </si>
  <si>
    <t>14.007.01950</t>
  </si>
  <si>
    <t>FERRAGENS PARA PAINEIS FIXOS DE VIDRO TEMPERADO DE 10MM(CONJ UNTO COMPLETO),CONSTANDO DE FORNECIMENTO SEM COLOCACAO(ESTA INCLUIDA NO FORNECIMENTO E COLOCACAO DO VIDRO)</t>
  </si>
  <si>
    <t>102185</t>
  </si>
  <si>
    <t>102184</t>
  </si>
  <si>
    <t>14.004.00730</t>
  </si>
  <si>
    <t>14.003.01630</t>
  </si>
  <si>
    <t>14.003.02110</t>
  </si>
  <si>
    <t>PORTA DE ALUMINIO ANODIZADO EM BRONZE OU PRETO,DE CORRER,COM 2 FOLHAS,TENDO 1 CONTRAPINAZIO DIVIDINDO A ESQUADRIA EM 2 V AZIOS PARA VIDRO,EM PERFIS SERIE 25,EXCLUSIVE FECHADURA.FORN ECIMENTO E COLOCACAO 57,55%-ANODIZACAO(15%),ACESSORIOS(37%) 18,45%- ANODIZACAO(15%),DESGASTE DE FERRAMENTAS E EPI(3%)</t>
  </si>
  <si>
    <t>14.003.02010</t>
  </si>
  <si>
    <t>COMP.MACAÉ 32</t>
  </si>
  <si>
    <t>KIT AUTOMAÇÃO DE PORTA AUTOMÁTICA DE CORRER, ALTO FLUXO, FORNECIMENTO E INSTALAÇÃO</t>
  </si>
  <si>
    <t>40392</t>
  </si>
  <si>
    <t>140561</t>
  </si>
  <si>
    <t>18.016.02050</t>
  </si>
  <si>
    <t>111700</t>
  </si>
  <si>
    <t>13.168.00100</t>
  </si>
  <si>
    <t>14.002.02071</t>
  </si>
  <si>
    <t>05.055.00100</t>
  </si>
  <si>
    <t>14.002.01320</t>
  </si>
  <si>
    <t>GRADE DE FERRO COM MONTANTES DE BARRAS CHATAS DE  2"X3/8" A CADA 2,00M E BARRAS CHATAS DE 1.1/2"X3/8" A CADA 10CM, INTER CALADAS POR PEQUENAS BARRAS CHATAS DE 1.1/2"X3/8" A CADA 5CM ,EXCLUSIVE BALDRAME DE CONCRETO.FORNECIMENTO E COLOCACAO 3%-DESGASTE DE FERRAMENTAS E EPI 20%-PERDAS E DEMAIS MATERIAIS NECESSARIOS</t>
  </si>
  <si>
    <t>100701</t>
  </si>
  <si>
    <t>40393</t>
  </si>
  <si>
    <t>111034</t>
  </si>
  <si>
    <t>40758</t>
  </si>
  <si>
    <t>112564</t>
  </si>
  <si>
    <t>41124</t>
  </si>
  <si>
    <t>FECHADURA DE SOBREPOR,COM CILINDRO,EM METAL COM ACABAMENTO C ROMADO,PARA PORTAO.FORNECIMENTO</t>
  </si>
  <si>
    <t>90120</t>
  </si>
  <si>
    <t>RODAMEIO EM MADEIRA, MDF, COR IMBUIA, ALTURA 20CM, FIXADO COM COLA E PARAFUSOS, INCLUSIVE ACABAMENTOS LATERIAIS E EM FUROS, EMENDAR 45G</t>
  </si>
  <si>
    <t>200503</t>
  </si>
  <si>
    <t>12774</t>
  </si>
  <si>
    <t>95635</t>
  </si>
  <si>
    <t>15.001.00690</t>
  </si>
  <si>
    <t>102113</t>
  </si>
  <si>
    <t>102116</t>
  </si>
  <si>
    <t>99629</t>
  </si>
  <si>
    <t>VÁLVULA DE RETENÇÃO VERTICAL, DE BRONZE, ROSCÁVEL, 1" - FORNECIMENTO E INSTALAÇÃO. AF_08/2021</t>
  </si>
  <si>
    <t>99632</t>
  </si>
  <si>
    <t>VÁLVULA DE RETENÇÃO VERTICAL, DE BRONZE, ROSCÁVEL, 2" - FORNECIMENTO E INSTALAÇÃO. AF_08/2021</t>
  </si>
  <si>
    <t>104031</t>
  </si>
  <si>
    <t>103979</t>
  </si>
  <si>
    <t>40422</t>
  </si>
  <si>
    <t>103978</t>
  </si>
  <si>
    <t>40787</t>
  </si>
  <si>
    <t>89357</t>
  </si>
  <si>
    <t>41153</t>
  </si>
  <si>
    <t>89356</t>
  </si>
  <si>
    <t>41518</t>
  </si>
  <si>
    <t>103042</t>
  </si>
  <si>
    <t>REGISTRO DE ESFERA, PVC, ROSCÁVEL, COM BORBOLETA, 3/4" - FORNECIMENTO E INSTALAÇÃO. AF_08/2021</t>
  </si>
  <si>
    <t>41883</t>
  </si>
  <si>
    <t>94489</t>
  </si>
  <si>
    <t>42248</t>
  </si>
  <si>
    <t>94490</t>
  </si>
  <si>
    <t>42614</t>
  </si>
  <si>
    <t>94492</t>
  </si>
  <si>
    <t>42979</t>
  </si>
  <si>
    <t>94664</t>
  </si>
  <si>
    <t>43344</t>
  </si>
  <si>
    <t>94658</t>
  </si>
  <si>
    <t>43709</t>
  </si>
  <si>
    <t>89429</t>
  </si>
  <si>
    <t>44075</t>
  </si>
  <si>
    <t>104009</t>
  </si>
  <si>
    <t>BUCHA DE REDUÇÃO, CURTA, PVC, SOLDÁVEL, DN 50 X 40 MM, INSTALADO EM RAMAL DE DISTRIBUIÇÃO DE ÁGUA - FORNECIMENTO E INSTALAÇÃO. AF_06/2022</t>
  </si>
  <si>
    <t>44440</t>
  </si>
  <si>
    <t>89368</t>
  </si>
  <si>
    <t>44805</t>
  </si>
  <si>
    <t>89362</t>
  </si>
  <si>
    <t>45170</t>
  </si>
  <si>
    <t>89367</t>
  </si>
  <si>
    <t>45536</t>
  </si>
  <si>
    <t>103980</t>
  </si>
  <si>
    <t>45901</t>
  </si>
  <si>
    <t>103984</t>
  </si>
  <si>
    <t>46266</t>
  </si>
  <si>
    <t>103951</t>
  </si>
  <si>
    <t>JOELHO DE REDUÇÃO, 90 GRAUS, PVC, SOLDÁVEL, DN 32 MM X 25 MM, INSTALADO EM RAMAL OU SUB-RAMAL DE ÁGUA - FORNECIMENTO E INSTALAÇÃO. AF_06/2022</t>
  </si>
  <si>
    <t>46631</t>
  </si>
  <si>
    <t>89431</t>
  </si>
  <si>
    <t>46997</t>
  </si>
  <si>
    <t>103995</t>
  </si>
  <si>
    <t>47362</t>
  </si>
  <si>
    <t>89398</t>
  </si>
  <si>
    <t>47727</t>
  </si>
  <si>
    <t>104004</t>
  </si>
  <si>
    <t>48092</t>
  </si>
  <si>
    <t>89626</t>
  </si>
  <si>
    <t>48458</t>
  </si>
  <si>
    <t>89552</t>
  </si>
  <si>
    <t>48823</t>
  </si>
  <si>
    <t>89568</t>
  </si>
  <si>
    <t>UNIÃO, PVC, SOLDÁVEL, DN 40MM, INSTALADO EM PRUMADA DE ÁGUA - FORNECIMENTO E INSTALAÇÃO. AF_06/2022</t>
  </si>
  <si>
    <t>49188</t>
  </si>
  <si>
    <t>89594</t>
  </si>
  <si>
    <t>49553</t>
  </si>
  <si>
    <t>49919</t>
  </si>
  <si>
    <t>89412</t>
  </si>
  <si>
    <t>JOELHO 90 GRAUS, PVC, SOLDÁVEL, DN 25MM, X 3/4 INSTALADO EM RAMAL DE DISTRIBUIÇÃO DE ÁGUA - FORNECIMENTO E INSTALAÇÃO. AF_06/2022</t>
  </si>
  <si>
    <t>50284</t>
  </si>
  <si>
    <t>94797</t>
  </si>
  <si>
    <t>TORNEIRA DE BOIA PARA CAIXA D'ÁGUA, ROSCÁVEL, 1" - FORNECIMENTO E INSTALAÇÃO. AF_08/2021</t>
  </si>
  <si>
    <t>50649</t>
  </si>
  <si>
    <t>111221</t>
  </si>
  <si>
    <t>51014</t>
  </si>
  <si>
    <t>102137</t>
  </si>
  <si>
    <t>94491</t>
  </si>
  <si>
    <t>89987</t>
  </si>
  <si>
    <t>REGISTRO DE GAVETA BRUTO, LATÃO, ROSCÁVEL, 3/4", COM ACABAMENTO E CANOPLA CROMADOS - FORNECIMENTO E INSTALAÇÃO. AF_08/2021</t>
  </si>
  <si>
    <t>89985</t>
  </si>
  <si>
    <t>REGISTRO DE PRESSÃO BRUTO, LATÃO, ROSCÁVEL, 3/4", COM ACABAMENTO E CANOPLA CROMADOS - FORNECIMENTO E INSTALAÇÃO. AF_08/2021</t>
  </si>
  <si>
    <t>89497</t>
  </si>
  <si>
    <t>40423</t>
  </si>
  <si>
    <t>40788</t>
  </si>
  <si>
    <t>89363</t>
  </si>
  <si>
    <t>41154</t>
  </si>
  <si>
    <t>103981</t>
  </si>
  <si>
    <t>41519</t>
  </si>
  <si>
    <t>89502</t>
  </si>
  <si>
    <t>41884</t>
  </si>
  <si>
    <t>103987</t>
  </si>
  <si>
    <t>42249</t>
  </si>
  <si>
    <t>42615</t>
  </si>
  <si>
    <t>104159</t>
  </si>
  <si>
    <t>42980</t>
  </si>
  <si>
    <t>103988</t>
  </si>
  <si>
    <t>43345</t>
  </si>
  <si>
    <t>89378</t>
  </si>
  <si>
    <t>43710</t>
  </si>
  <si>
    <t>44076</t>
  </si>
  <si>
    <t>94692</t>
  </si>
  <si>
    <t>44441</t>
  </si>
  <si>
    <t>89440</t>
  </si>
  <si>
    <t>44806</t>
  </si>
  <si>
    <t>45171</t>
  </si>
  <si>
    <t>105189</t>
  </si>
  <si>
    <t>45537</t>
  </si>
  <si>
    <t>103999</t>
  </si>
  <si>
    <t>45902</t>
  </si>
  <si>
    <t>104014</t>
  </si>
  <si>
    <t>BUCHA DE REDUÇÃO, LONGA, PVC, SOLDÁVEL, DN 40 X 25 MM, INSTALADO EM RAMAL DE DISTRIBUIÇÃO DE ÁGUA - FORNECIMENTO E INSTALAÇÃO. AF_06/2022</t>
  </si>
  <si>
    <t>46267</t>
  </si>
  <si>
    <t>46632</t>
  </si>
  <si>
    <t>94706</t>
  </si>
  <si>
    <t>46998</t>
  </si>
  <si>
    <t>89383</t>
  </si>
  <si>
    <t>47363</t>
  </si>
  <si>
    <t>94672</t>
  </si>
  <si>
    <t>47728</t>
  </si>
  <si>
    <t>90373</t>
  </si>
  <si>
    <t>JOELHO 90 GRAUS COM BUCHA DE LATÃO, PVC, SOLDÁVEL, DN 25MM, X 1/2 INSTALADO EM RAMAL OU SUB-RAMAL DE ÁGUA - FORNECIMENTO E INSTALAÇÃO. AF_06/2022</t>
  </si>
  <si>
    <t>48093</t>
  </si>
  <si>
    <t>89396</t>
  </si>
  <si>
    <t>48459</t>
  </si>
  <si>
    <t>89536</t>
  </si>
  <si>
    <t>48824</t>
  </si>
  <si>
    <t>104779</t>
  </si>
  <si>
    <t>RASGO LINEAR MECANIZADO EM ALVENARIA, PARA RAMAIS/ DISTRIBUIÇÃO DE INSTALAÇÕES HIDRÁULICAS, DIÂMETROS MENORES OU IGUAIS A 40 MM. AF_09/2023</t>
  </si>
  <si>
    <t>49189</t>
  </si>
  <si>
    <t>90466</t>
  </si>
  <si>
    <t>CHUMBAMENTO LINEAR EM ALVENARIA PARA RAMAIS/DISTRIBUIÇÃO DE INSTALAÇÕES HIDRÁULICAS COM DIÂMETROS MENORES OU IGUAIS A 40 MM. AF_09/2023</t>
  </si>
  <si>
    <t>89403</t>
  </si>
  <si>
    <t>89413</t>
  </si>
  <si>
    <t>40424</t>
  </si>
  <si>
    <t>40789</t>
  </si>
  <si>
    <t>41155</t>
  </si>
  <si>
    <t>103974</t>
  </si>
  <si>
    <t>JOELHO DE REDUÇÃO, 90 GRAUS, PVC, SOLDÁVEL, DN 32 MM X 25 MM, INSTALADO EM PRUMADA DE ÁGUA - FORNECIMENTO E INSTALAÇÃO. AF_06/2022</t>
  </si>
  <si>
    <t>41520</t>
  </si>
  <si>
    <t>89432</t>
  </si>
  <si>
    <t>41885</t>
  </si>
  <si>
    <t>42250</t>
  </si>
  <si>
    <t>94690</t>
  </si>
  <si>
    <t>42616</t>
  </si>
  <si>
    <t>42981</t>
  </si>
  <si>
    <t>89627</t>
  </si>
  <si>
    <t>43346</t>
  </si>
  <si>
    <t>103953</t>
  </si>
  <si>
    <t>43711</t>
  </si>
  <si>
    <t>44077</t>
  </si>
  <si>
    <t>44442</t>
  </si>
  <si>
    <t>90374</t>
  </si>
  <si>
    <t>TÊ COM BUCHA DE LATÃO NA BOLSA CENTRAL, PVC, SOLDÁVEL, DN 25MM X 3/4, INSTALADO EM RAMAL OU SUB-RAMAL DE ÁGUA - FORNECIMENTO E INSTALAÇÃO. AF_06/2022</t>
  </si>
  <si>
    <t>44807</t>
  </si>
  <si>
    <t>45172</t>
  </si>
  <si>
    <t>45538</t>
  </si>
  <si>
    <t>98114</t>
  </si>
  <si>
    <t>TAMPA CIRCULAR PARA ESGOTO E DRENAGEM, EM FERRO FUNDIDO, DIÂMETRO INTERNO = 0,6 M. AF_12/2020</t>
  </si>
  <si>
    <t>98102</t>
  </si>
  <si>
    <t>97974</t>
  </si>
  <si>
    <t>89707</t>
  </si>
  <si>
    <t>89708</t>
  </si>
  <si>
    <t>89711</t>
  </si>
  <si>
    <t>89712</t>
  </si>
  <si>
    <t>89713</t>
  </si>
  <si>
    <t>TUBO PVC, SERIE NORMAL, ESGOTO PREDIAL, DN 75 MM, FORNECIDO E INSTALADO EM RAMAL DE DESCARGA OU RAMAL DE ESGOTO SANITÁRIO. AF_08/2022</t>
  </si>
  <si>
    <t>89714</t>
  </si>
  <si>
    <t>TUBO PVC, SERIE NORMAL, ESGOTO PREDIAL, DN 100 MM, FORNECIDO E INSTALADO EM RAMAL DE DESCARGA OU RAMAL DE ESGOTO SANITÁRIO. AF_08/2022</t>
  </si>
  <si>
    <t>40425</t>
  </si>
  <si>
    <t>104086</t>
  </si>
  <si>
    <t>TUBO, PVC OCRE, JUNTA ELÁSTICA, DN 150 MM, PARA COLETOR PREDIAL DE ESGOTO. AF_06/2022</t>
  </si>
  <si>
    <t>40790</t>
  </si>
  <si>
    <t>104063</t>
  </si>
  <si>
    <t>41156</t>
  </si>
  <si>
    <t>89746</t>
  </si>
  <si>
    <t>41521</t>
  </si>
  <si>
    <t>89739</t>
  </si>
  <si>
    <t>41886</t>
  </si>
  <si>
    <t>89732</t>
  </si>
  <si>
    <t>42251</t>
  </si>
  <si>
    <t>89726</t>
  </si>
  <si>
    <t>42617</t>
  </si>
  <si>
    <t>89744</t>
  </si>
  <si>
    <t>42982</t>
  </si>
  <si>
    <t>89731</t>
  </si>
  <si>
    <t>43347</t>
  </si>
  <si>
    <t>89724</t>
  </si>
  <si>
    <t>43712</t>
  </si>
  <si>
    <t>89748</t>
  </si>
  <si>
    <t>44078</t>
  </si>
  <si>
    <t>89742</t>
  </si>
  <si>
    <t>44443</t>
  </si>
  <si>
    <t>89733</t>
  </si>
  <si>
    <t>44808</t>
  </si>
  <si>
    <t>89728</t>
  </si>
  <si>
    <t>45173</t>
  </si>
  <si>
    <t>89797</t>
  </si>
  <si>
    <t>45539</t>
  </si>
  <si>
    <t>104345</t>
  </si>
  <si>
    <t>JUNÇÃO DE REDUÇÃO INVERTIDA, PVC, SÉRIE NORMAL, ESGOTO PREDIAL, DN 100 X 50 MM, JUNTA ELÁSTICA, FORNECIDO E INSTALADO EM RAMAL DE DESCARGA OU RAMAL DE ESGOTO SANITÁRIO. AF_08/2022</t>
  </si>
  <si>
    <t>45904</t>
  </si>
  <si>
    <t>89795</t>
  </si>
  <si>
    <t>46269</t>
  </si>
  <si>
    <t>89783</t>
  </si>
  <si>
    <t>46634</t>
  </si>
  <si>
    <t>89779</t>
  </si>
  <si>
    <t>47000</t>
  </si>
  <si>
    <t>89754</t>
  </si>
  <si>
    <t>47365</t>
  </si>
  <si>
    <t>89557</t>
  </si>
  <si>
    <t>REDUÇÃO EXCÊNTRICA, PVC, SERIE R, ÁGUA PLUVIAL, DN 100 X 75 MM, JUNTA ELÁSTICA, FORNECIDO E INSTALADO EM RAMAL DE ENCAMINHAMENTO. AF_06/2022</t>
  </si>
  <si>
    <t>47730</t>
  </si>
  <si>
    <t>53508</t>
  </si>
  <si>
    <t>48095</t>
  </si>
  <si>
    <t>89549</t>
  </si>
  <si>
    <t>48461</t>
  </si>
  <si>
    <t>89796</t>
  </si>
  <si>
    <t>48826</t>
  </si>
  <si>
    <t>104344</t>
  </si>
  <si>
    <t>49191</t>
  </si>
  <si>
    <t>89784</t>
  </si>
  <si>
    <t>49556</t>
  </si>
  <si>
    <t>104341</t>
  </si>
  <si>
    <t>BUCHA DE REDUÇÃO LONGA, PVC, SÉRIE NORMAL, ESGOTO PREDIAL, DN 50 X 40 MM, JUNTA SOLDÁVEL E ELÁSTICA, FORNECIDO E INSTALADO EM RAMAL DE DESCARGA OU RAMAL DE ESGOTO SANITÁRIO. AF_08/2022</t>
  </si>
  <si>
    <t>89799</t>
  </si>
  <si>
    <t>TUBO PVC, SERIE NORMAL, ESGOTO PREDIAL, DN 75 MM, FORNECIDO E INSTALADO EM PRUMADA DE ESGOTO SANITÁRIO OU VENTILAÇÃO. AF_08/2022</t>
  </si>
  <si>
    <t>89798</t>
  </si>
  <si>
    <t>TUBO PVC, SERIE NORMAL, ESGOTO PREDIAL, DN 50 MM, FORNECIDO E INSTALADO EM PRUMADA DE ESGOTO SANITÁRIO OU VENTILAÇÃO. AF_08/2022</t>
  </si>
  <si>
    <t>89806</t>
  </si>
  <si>
    <t>89802</t>
  </si>
  <si>
    <t>89801</t>
  </si>
  <si>
    <t>89803</t>
  </si>
  <si>
    <t>89807</t>
  </si>
  <si>
    <t>89827</t>
  </si>
  <si>
    <t>104350</t>
  </si>
  <si>
    <t>40426</t>
  </si>
  <si>
    <t>89814</t>
  </si>
  <si>
    <t>40791</t>
  </si>
  <si>
    <t>89825</t>
  </si>
  <si>
    <t>TE, PVC, SERIE NORMAL, ESGOTO PREDIAL, DN 50 X 50 MM, JUNTA ELÁSTICA, FORNECIDO E INSTALADO EM PRUMADA DE ESGOTO SANITÁRIO OU VENTILAÇÃO. AF_08/2022</t>
  </si>
  <si>
    <t>41157</t>
  </si>
  <si>
    <t>53309</t>
  </si>
  <si>
    <t>41522</t>
  </si>
  <si>
    <t>41887</t>
  </si>
  <si>
    <t>104351</t>
  </si>
  <si>
    <t>42252</t>
  </si>
  <si>
    <t>104348</t>
  </si>
  <si>
    <t>101802</t>
  </si>
  <si>
    <t>99285</t>
  </si>
  <si>
    <t>97933</t>
  </si>
  <si>
    <t>53878</t>
  </si>
  <si>
    <t>89512</t>
  </si>
  <si>
    <t>104166</t>
  </si>
  <si>
    <t>90696</t>
  </si>
  <si>
    <t>TUBO DE PVC PARA REDE COLETORA DE ESGOTO DE PAREDE MACIÇA, DN 200 MM, JUNTA ELÁSTICA - FORNECIMENTO E ASSENTAMENTO. AF_01/2021</t>
  </si>
  <si>
    <t>90697</t>
  </si>
  <si>
    <t>TUBO DE PVC PARA REDE COLETORA DE ESGOTO DE PAREDE MACIÇA, DN 250 MM, JUNTA ELÁSTICA - FORNECIMENTO E ASSENTAMENTO. AF_01/2021</t>
  </si>
  <si>
    <t>40427</t>
  </si>
  <si>
    <t>90698</t>
  </si>
  <si>
    <t>TUBO DE PVC PARA REDE COLETORA DE ESGOTO DE PAREDE MACIÇA, DN 300 MM, JUNTA ELÁSTICA, FORNECIMENTO E ASSENTAMENTO. AF_01/2021</t>
  </si>
  <si>
    <t>40792</t>
  </si>
  <si>
    <t>104168</t>
  </si>
  <si>
    <t>JOELHO 45 GRAUS, PVC, SERIE R, ÁGUA PLUVIAL, DN 150 MM, JUNTA ELÁSTICA, FORNECIDO E INSTALADO EM RAMAL DE ENCAMINHAMENTO. AF_06/2022</t>
  </si>
  <si>
    <t>41158</t>
  </si>
  <si>
    <t>89529</t>
  </si>
  <si>
    <t>JOELHO 90 GRAUS, PVC, SERIE R, ÁGUA PLUVIAL, DN 100 MM, JUNTA ELÁSTICA, FORNECIDO E INSTALADO EM RAMAL DE ENCAMINHAMENTO. AF_06/2022</t>
  </si>
  <si>
    <t>41523</t>
  </si>
  <si>
    <t>104167</t>
  </si>
  <si>
    <t>41888</t>
  </si>
  <si>
    <t>53542</t>
  </si>
  <si>
    <t>42253</t>
  </si>
  <si>
    <t>53541</t>
  </si>
  <si>
    <t>42619</t>
  </si>
  <si>
    <t>53545</t>
  </si>
  <si>
    <t>42984</t>
  </si>
  <si>
    <t>95694</t>
  </si>
  <si>
    <t>CURVA 90 GRAUS, PVC, SERIE R, ÁGUA PLUVIAL, DN 100 MM, JUNTA ELÁSTICA, FORNECIDO E INSTALADO EM RAMAL DE ENCAMINHAMENTO. AF_06/2022</t>
  </si>
  <si>
    <t>43349</t>
  </si>
  <si>
    <t>53705</t>
  </si>
  <si>
    <t>43714</t>
  </si>
  <si>
    <t>104174</t>
  </si>
  <si>
    <t>JUNÇÃO SIMPLES, PVC, SERIE R, ÁGUA PLUVIAL, DN 150 X 100 MM, JUNTA ELÁSTICA, FORNECIDO E INSTALADO EM RAMAL DE ENCAMINHAMENTO. AF_06/2022</t>
  </si>
  <si>
    <t>44080</t>
  </si>
  <si>
    <t>89556</t>
  </si>
  <si>
    <t>LUVA DE CORRER, PVC, SERIE R, ÁGUA PLUVIAL, DN 100 MM, JUNTA ELÁSTICA, FORNECIDO E INSTALADO EM RAMAL DE ENCAMINHAMENTO. AF_06/2022</t>
  </si>
  <si>
    <t>44445</t>
  </si>
  <si>
    <t>104173</t>
  </si>
  <si>
    <t>REDUÇÃO EXCÊNTRICA, PVC, SERIE R, ÁGUA PLUVIAL, DN 150 X 100 MM, JUNTA ELÁSTICA, FORNECIDO E INSTALADO EM RAMAL DE ENCAMINHAMENTO. AF_06/2022</t>
  </si>
  <si>
    <t>44810</t>
  </si>
  <si>
    <t>15.003.01780</t>
  </si>
  <si>
    <t>45175</t>
  </si>
  <si>
    <t>45541</t>
  </si>
  <si>
    <t>45906</t>
  </si>
  <si>
    <t>104316</t>
  </si>
  <si>
    <t>94650</t>
  </si>
  <si>
    <t>104320</t>
  </si>
  <si>
    <t>104319</t>
  </si>
  <si>
    <t>105180</t>
  </si>
  <si>
    <t>105143</t>
  </si>
  <si>
    <t>104322</t>
  </si>
  <si>
    <t>104324</t>
  </si>
  <si>
    <t>40428</t>
  </si>
  <si>
    <t>40793</t>
  </si>
  <si>
    <t>39707</t>
  </si>
  <si>
    <t>TUBO DE ESPUMA DE POLIETILENO EXPANDIDO FLEXIVEL PARA ISOLAMENTO TERMICO DE TUBULACAO DE AR CONDICIONADO, AGUA QUENTE, DN 1 1/2", E= 10 MM</t>
  </si>
  <si>
    <t>98055</t>
  </si>
  <si>
    <t>98061</t>
  </si>
  <si>
    <t>15.002.06830</t>
  </si>
  <si>
    <t>86932</t>
  </si>
  <si>
    <t>VASO SANITARIO DE LOUCA BRANCA,COM CAIXA ACOPLADA,CONFORMEABNT NBR 9050 PARA ACESSIBILIDADE, PADRAO MEDIO LUXO,RABICHO CROMADO,ANEL DE VEDACAO E ACESSORIOS DE FIXACAO.FORNECIMENTO E INSTALAÇÃO</t>
  </si>
  <si>
    <t>100849</t>
  </si>
  <si>
    <t>86922</t>
  </si>
  <si>
    <t>100858</t>
  </si>
  <si>
    <t>MICTÓRIO SIFONADO LOUÇA BRANCA - PADRÃO MÉDIO - FORNECIMENTO E INSTALAÇÃO. AF_01/2020</t>
  </si>
  <si>
    <t>86936</t>
  </si>
  <si>
    <t>CUBA DE EMBUTIR DE AÇO INOXIDÁVEL MÉDIA, INCLUSO VÁLVULA TIPO AMERICANA E SIFÃO TIPO GARRAFA EM METAL CROMADO - FORNECIMENTO E INSTALAÇÃO. AF_01/2020</t>
  </si>
  <si>
    <t>86910</t>
  </si>
  <si>
    <t>TORNEIRA CROMADA TUBO MÓVEL, DE PAREDE, 1/2" OU 3/4", PARA PIA DE COZINHA, PADRÃO MÉDIO - FORNECIMENTO E INSTALAÇÃO. AF_01/2020</t>
  </si>
  <si>
    <t>40430</t>
  </si>
  <si>
    <t>190332</t>
  </si>
  <si>
    <t>40795</t>
  </si>
  <si>
    <t>100860</t>
  </si>
  <si>
    <t>41161</t>
  </si>
  <si>
    <t>18.025.00010</t>
  </si>
  <si>
    <t>41526</t>
  </si>
  <si>
    <t>TORNEIRA PARA JARDIM,DE 3/4"X10CM APROXIMADAMENTE,EM METAL C ROMADO.FORNECIMENTO</t>
  </si>
  <si>
    <t>41891</t>
  </si>
  <si>
    <t>100868</t>
  </si>
  <si>
    <t>42256</t>
  </si>
  <si>
    <t>100865</t>
  </si>
  <si>
    <t>42622</t>
  </si>
  <si>
    <t>100874</t>
  </si>
  <si>
    <t>42987</t>
  </si>
  <si>
    <t>11186</t>
  </si>
  <si>
    <t>40179</t>
  </si>
  <si>
    <t>97327</t>
  </si>
  <si>
    <t>40180</t>
  </si>
  <si>
    <t>97328</t>
  </si>
  <si>
    <t>TUBO EM COBRE FLEXÍVEL, DN 3/8", COM ISOLAMENTO, INSTALADO EM RAMAL DE ALIMENTAÇÃO DE AR-CONDICIONADO - FORNECIMENTO E INSTALAÇÃO. AF_07/2025</t>
  </si>
  <si>
    <t>40181</t>
  </si>
  <si>
    <t>97329</t>
  </si>
  <si>
    <t>TUBO EM COBRE FLEXÍVEL, DN 1/2", COM ISOLAMENTO, INSTALADO EM RAMAL DE ALIMENTAÇÃO DE AR-CONDICIONADO - FORNECIMENTO E INSTALAÇÃO. AF_07/2025</t>
  </si>
  <si>
    <t>40182</t>
  </si>
  <si>
    <t>103292</t>
  </si>
  <si>
    <t>TUBO EM COBRE FLEXÍVEL, DN 5/8", COM ISOLAMENTO, INSTALADO EM FORRO, PARA RAMAL DE ALIMENTAÇÃO DE AR CONDICIONADO, INCLUSO FIXADOR. AF_11/2021</t>
  </si>
  <si>
    <t>40183</t>
  </si>
  <si>
    <t>106034</t>
  </si>
  <si>
    <t>TUBO EM COBRE FLEXÍVEL, DN 3/4", COM ISOLAMENTO, INSTALADO EM RAMAL DE ALIMENTAÇÃO DE AR-CONDICIONADO - FORNECIMENTO E INSTALAÇÃO. AF_07/2025</t>
  </si>
  <si>
    <t>40184</t>
  </si>
  <si>
    <t>TUBO EM COBRE FLEXÍVEL, DN 7/8", COM ISOLAMENTO, INSTALADO EM RAMAL DE ALIMENTAÇÃO DE AR-CONDICIONADO - FORNECIMENTO E INSTALAÇÃO</t>
  </si>
  <si>
    <t>40185</t>
  </si>
  <si>
    <t>40186</t>
  </si>
  <si>
    <t>40187</t>
  </si>
  <si>
    <t>40452</t>
  </si>
  <si>
    <t>40817</t>
  </si>
  <si>
    <t>41183</t>
  </si>
  <si>
    <t>15.005.02500</t>
  </si>
  <si>
    <t>41548</t>
  </si>
  <si>
    <t>15.005.02490</t>
  </si>
  <si>
    <t>JUNTAS DE DERIVACAO EM Y PARA UNIDADES EVAPORADORAS VRF,COM MEDIDAS APROXIMADAS DE ENTRADA 38,1MM E SAIDAS 28,6MM (GAS) E ENTRADA 19,1MM E SAIDAS 15,9MM (LIQUIDO).FORNECIMENTO E IN STALACAO 3%-DESGASTE DE FERRAMENTAS E EPI</t>
  </si>
  <si>
    <t>41913</t>
  </si>
  <si>
    <t>15.005.02460</t>
  </si>
  <si>
    <t>JUNTAS DE DERIVACAO EM Y PARA UNIDADES EVAPORADORAS VRF,COM MEDIDAS APROXIMADAS DE ENTRADA 15,9MM E SAIDAS 12,7MM (GAS) E ENTRADA 9,5MM E SAIDAS 6,4MM (LIQUIDO).FORNECIMENTO E INST ALACAO 3%-DESGASTE DE FERRAMENTAS E EPI</t>
  </si>
  <si>
    <t>42278</t>
  </si>
  <si>
    <t>15.005.02480</t>
  </si>
  <si>
    <t>JUNTAS DE DERIVACAO EM Y PARA UNIDADES EVAPORADORAS VRF,COM MEDIDAS APROXIMADAS DE ENTRADA 28,6MM E SAIDAS 22,2MM (GAS) E ENTRADA 15,9MM E SAIDAS 12,7MM (LIQUIDO).FORNECIMENTO E IN STALACAO 3%-DESGASTE DE FERRAMENTAS E EPI</t>
  </si>
  <si>
    <t>42644</t>
  </si>
  <si>
    <t>43009</t>
  </si>
  <si>
    <t>43374</t>
  </si>
  <si>
    <t>43739</t>
  </si>
  <si>
    <t>COMP.MACAÉ 57</t>
  </si>
  <si>
    <t>VÁLVULA DE ESFERA BLOQUEIO COBRE, GBC, 5/8" - FORNECIMENTO E INSTALAÇÃO</t>
  </si>
  <si>
    <t>44105</t>
  </si>
  <si>
    <t>COMP.MACAÉ 58</t>
  </si>
  <si>
    <t>VÁLVULA DE ESFERA BLOQUEIO COBRE, GBC, 3/4" - FORNECIMENTO E INSTALAÇÃO</t>
  </si>
  <si>
    <t>44470</t>
  </si>
  <si>
    <t>63061</t>
  </si>
  <si>
    <t>40210</t>
  </si>
  <si>
    <t>103267</t>
  </si>
  <si>
    <t>40211</t>
  </si>
  <si>
    <t>103269</t>
  </si>
  <si>
    <t>40212</t>
  </si>
  <si>
    <t>103271</t>
  </si>
  <si>
    <t>40213</t>
  </si>
  <si>
    <t>103273</t>
  </si>
  <si>
    <t>40214</t>
  </si>
  <si>
    <t>18.030.00270</t>
  </si>
  <si>
    <t>40215</t>
  </si>
  <si>
    <t>18.030.00300</t>
  </si>
  <si>
    <t>40216</t>
  </si>
  <si>
    <t>15.005.01820</t>
  </si>
  <si>
    <t>40217</t>
  </si>
  <si>
    <t>15.005.01840</t>
  </si>
  <si>
    <t>40238</t>
  </si>
  <si>
    <t>COMP.MACAÉ 52</t>
  </si>
  <si>
    <t>EXAUSTOR AXIAL IN-LINE, MOD. MAXX, 130 A 550M3/H, 220V, FORNECIMENTO E INSTALAÇÃO</t>
  </si>
  <si>
    <t>40239</t>
  </si>
  <si>
    <t>40240</t>
  </si>
  <si>
    <t>70233</t>
  </si>
  <si>
    <t>40241</t>
  </si>
  <si>
    <t>70473</t>
  </si>
  <si>
    <t>40242</t>
  </si>
  <si>
    <t>70426</t>
  </si>
  <si>
    <t>40243</t>
  </si>
  <si>
    <t>2016</t>
  </si>
  <si>
    <t>40244</t>
  </si>
  <si>
    <t>1761</t>
  </si>
  <si>
    <t>GRELHA FIXA COM COLARINHO EM POLIESTIRENO BRANCA COM TELA S100 4"</t>
  </si>
  <si>
    <t>40245</t>
  </si>
  <si>
    <t>70454</t>
  </si>
  <si>
    <t>40269</t>
  </si>
  <si>
    <t>15.011.00790</t>
  </si>
  <si>
    <t>91940</t>
  </si>
  <si>
    <t>40300</t>
  </si>
  <si>
    <t>92871</t>
  </si>
  <si>
    <t>91936</t>
  </si>
  <si>
    <t>40302</t>
  </si>
  <si>
    <t>97881</t>
  </si>
  <si>
    <t>97891</t>
  </si>
  <si>
    <t>15.018.03050</t>
  </si>
  <si>
    <t>40305</t>
  </si>
  <si>
    <t>15.018.03100</t>
  </si>
  <si>
    <t>40306</t>
  </si>
  <si>
    <t>15.018.03200</t>
  </si>
  <si>
    <t>40307</t>
  </si>
  <si>
    <t>15.018.02600</t>
  </si>
  <si>
    <t>40456</t>
  </si>
  <si>
    <t>15.018.02750</t>
  </si>
  <si>
    <t>CAIXA DE PASSAGEM DE SOBREPOR,EM ACO,COM TAMPA PARAFUSADA,DE 40X40CM.FORNECIMENTO E COLOCACAO 3%-DESGASTE DE FERRAMENTAS E EPI</t>
  </si>
  <si>
    <t>40821</t>
  </si>
  <si>
    <t>97667</t>
  </si>
  <si>
    <t>41187</t>
  </si>
  <si>
    <t>97668</t>
  </si>
  <si>
    <t>41552</t>
  </si>
  <si>
    <t>41917</t>
  </si>
  <si>
    <t>42282</t>
  </si>
  <si>
    <t>42648</t>
  </si>
  <si>
    <t>90447</t>
  </si>
  <si>
    <t>43013</t>
  </si>
  <si>
    <t>43378</t>
  </si>
  <si>
    <t>91862</t>
  </si>
  <si>
    <t>ELETRODUTO RÍGIDO ROSCÁVEL, PVC, DN 20 MM (1/2"), PARA CIRCUITOS TERMINAIS, INSTALADO EM FORRO - FORNECIMENTO E INSTALAÇÃO. AF_03/2023</t>
  </si>
  <si>
    <t>43743</t>
  </si>
  <si>
    <t>91863</t>
  </si>
  <si>
    <t>ELETRODUTO RÍGIDO ROSCÁVEL, PVC, DN 25 MM (3/4"), PARA CIRCUITOS TERMINAIS, INSTALADO EM FORRO - FORNECIMENTO E INSTALAÇÃO. AF_03/2023</t>
  </si>
  <si>
    <t>44109</t>
  </si>
  <si>
    <t>91864</t>
  </si>
  <si>
    <t>44474</t>
  </si>
  <si>
    <t>91865</t>
  </si>
  <si>
    <t>44839</t>
  </si>
  <si>
    <t>93008</t>
  </si>
  <si>
    <t>45204</t>
  </si>
  <si>
    <t>93009</t>
  </si>
  <si>
    <t>ELETRODUTO RÍGIDO ROSCÁVEL, PVC, DN 60 MM (2"), PARA REDE ENTERRADA DE DISTRIBUIÇÃO DE ENERGIA ELÉTRICA - FORNECIMENTO E INSTALAÇÃO. AF_12/2021</t>
  </si>
  <si>
    <t>45570</t>
  </si>
  <si>
    <t>93010</t>
  </si>
  <si>
    <t>45935</t>
  </si>
  <si>
    <t>93011</t>
  </si>
  <si>
    <t>46300</t>
  </si>
  <si>
    <t>59030</t>
  </si>
  <si>
    <t>46665</t>
  </si>
  <si>
    <t>15.018.05520</t>
  </si>
  <si>
    <t>47031</t>
  </si>
  <si>
    <t>15.018.05550</t>
  </si>
  <si>
    <t>47396</t>
  </si>
  <si>
    <t>58174</t>
  </si>
  <si>
    <t>47761</t>
  </si>
  <si>
    <t>59300</t>
  </si>
  <si>
    <t>48126</t>
  </si>
  <si>
    <t>91876</t>
  </si>
  <si>
    <t>48492</t>
  </si>
  <si>
    <t>93013</t>
  </si>
  <si>
    <t>48857</t>
  </si>
  <si>
    <t>91874</t>
  </si>
  <si>
    <t>LUVA PARA ELETRODUTO, PVC, ROSCÁVEL, DN 20 MM (1/2"), PARA CIRCUITOS TERMINAIS, INSTALADA EM FORRO - FORNECIMENTO E INSTALAÇÃO. AF_03/2023</t>
  </si>
  <si>
    <t>49222</t>
  </si>
  <si>
    <t>59290</t>
  </si>
  <si>
    <t>49587</t>
  </si>
  <si>
    <t>91875</t>
  </si>
  <si>
    <t>40330</t>
  </si>
  <si>
    <t>91928</t>
  </si>
  <si>
    <t>40331</t>
  </si>
  <si>
    <t>91929</t>
  </si>
  <si>
    <t>40332</t>
  </si>
  <si>
    <t>91930</t>
  </si>
  <si>
    <t>40333</t>
  </si>
  <si>
    <t>91932</t>
  </si>
  <si>
    <t>CABO DE COBRE FLEXÍVEL ISOLADO, 10 MM², ANTI-CHAMA 450/750 V, PARA CIRCUITOS TERMINAIS - FORNECIMENTO E INSTALAÇÃO. AF_03/2023</t>
  </si>
  <si>
    <t>40334</t>
  </si>
  <si>
    <t>91933</t>
  </si>
  <si>
    <t>CABO DE COBRE FLEXÍVEL ISOLADO, 10 MM², ANTI-CHAMA 0,6/1,0 KV, PARA CIRCUITOS TERMINAIS - FORNECIMENTO E INSTALAÇÃO. AF_03/2023</t>
  </si>
  <si>
    <t>91934</t>
  </si>
  <si>
    <t>CABO DE COBRE FLEXÍVEL ISOLADO, 16 MM², ANTI-CHAMA 450/750 V, PARA CIRCUITOS TERMINAIS - FORNECIMENTO E INSTALAÇÃO. AF_03/2023</t>
  </si>
  <si>
    <t>40336</t>
  </si>
  <si>
    <t>91935</t>
  </si>
  <si>
    <t>CABO DE COBRE FLEXÍVEL ISOLADO, 16 MM², ANTI-CHAMA 0,6/1,0 KV, PARA CIRCUITOS TERMINAIS - FORNECIMENTO E INSTALAÇÃO. AF_03/2023</t>
  </si>
  <si>
    <t>40337</t>
  </si>
  <si>
    <t>101563</t>
  </si>
  <si>
    <t>40338</t>
  </si>
  <si>
    <t>101565</t>
  </si>
  <si>
    <t>40457</t>
  </si>
  <si>
    <t>101567</t>
  </si>
  <si>
    <t>40822</t>
  </si>
  <si>
    <t>101568</t>
  </si>
  <si>
    <t>41188</t>
  </si>
  <si>
    <t>92998</t>
  </si>
  <si>
    <t>41553</t>
  </si>
  <si>
    <t>93000</t>
  </si>
  <si>
    <t>41918</t>
  </si>
  <si>
    <t>CABO DE COBRE FLEXÍVEL ISOLADO, 400 MM², ANTI-CHAMA 0,6/1,0 KV, PARA REDE ENTERRADA DE DISTRIBUIÇÃO DE ENERGIA ELÉTRICA - FORNECIMENTO E INSTALAÇÃO</t>
  </si>
  <si>
    <t>40360</t>
  </si>
  <si>
    <t>101880</t>
  </si>
  <si>
    <t>40361</t>
  </si>
  <si>
    <t>40362</t>
  </si>
  <si>
    <t>64205</t>
  </si>
  <si>
    <t>40363</t>
  </si>
  <si>
    <t>QUADRO GERAL DE DISTRIBUIÇÃO DE ENERGIA EM CHAPA DE AÇO GALVANIZADO, COM BARRAMENTO TRIFÁSICO, DIN 800A - FORNECIMENTO E INSTALAÇÃO</t>
  </si>
  <si>
    <t>40364</t>
  </si>
  <si>
    <t>40365</t>
  </si>
  <si>
    <t>93653</t>
  </si>
  <si>
    <t>40366</t>
  </si>
  <si>
    <t>93654</t>
  </si>
  <si>
    <t>40367</t>
  </si>
  <si>
    <t>93656</t>
  </si>
  <si>
    <t>DISJUNTOR MONOPOLAR TIPO DIN, CORRENTE NOMINAL DE 25A - FORNECIMENTO E INSTALAÇÃO. AF_07/2025</t>
  </si>
  <si>
    <t>40368</t>
  </si>
  <si>
    <t>93660</t>
  </si>
  <si>
    <t>DISJUNTOR BIPOLAR TIPO DIN, CORRENTE NOMINAL DE 10A - FORNECIMENTO E INSTALAÇÃO. AF_07/2025</t>
  </si>
  <si>
    <t>40458</t>
  </si>
  <si>
    <t>93663</t>
  </si>
  <si>
    <t>40823</t>
  </si>
  <si>
    <t>93667</t>
  </si>
  <si>
    <t>DISJUNTOR TRIPOLAR TIPO DIN, CORRENTE NOMINAL DE 10A - FORNECIMENTO E INSTALAÇÃO. AF_07/2025</t>
  </si>
  <si>
    <t>41189</t>
  </si>
  <si>
    <t>93668</t>
  </si>
  <si>
    <t>DISJUNTOR TRIPOLAR TIPO DIN, CORRENTE NOMINAL DE 16A - FORNECIMENTO E INSTALAÇÃO. AF_07/2025</t>
  </si>
  <si>
    <t>41554</t>
  </si>
  <si>
    <t>15.007.06000</t>
  </si>
  <si>
    <t>DISJUNTOR TERMOMAGNETICO,TRIPOLAR,DE 10 A 32A,3KA,MODELO DIN ,TIPO C.FORNECIMENTO E COLOCACAO 3%-DESGASTE DE FERRAMENTAS E EPI</t>
  </si>
  <si>
    <t>41919</t>
  </si>
  <si>
    <t>101895</t>
  </si>
  <si>
    <t>DISJUNTOR TERMOMAGNÉTICO TRIPOLAR, CORRENTE NOMINAL DE 125A - FORNECIMENTO E INSTALAÇÃO. AF_07/2025</t>
  </si>
  <si>
    <t>42284</t>
  </si>
  <si>
    <t>15.007.06080</t>
  </si>
  <si>
    <t>42650</t>
  </si>
  <si>
    <t>101898</t>
  </si>
  <si>
    <t>43015</t>
  </si>
  <si>
    <t>101899</t>
  </si>
  <si>
    <t>DISJUNTOR TERMOMAGNÉTICO TRIPOLAR, CORRENTE NOMINAL DE 600A - FORNECIMENTO E INSTALAÇÃO. AF_07/2025</t>
  </si>
  <si>
    <t>43380</t>
  </si>
  <si>
    <t>39445</t>
  </si>
  <si>
    <t>DISPOSITIVO DR, 2 POLOS, SENSIBILIDADE DE 30 MA, CORRENTE DE 25 A, TIPO AC</t>
  </si>
  <si>
    <t>43745</t>
  </si>
  <si>
    <t>39465</t>
  </si>
  <si>
    <t>91953</t>
  </si>
  <si>
    <t>91959</t>
  </si>
  <si>
    <t>91967</t>
  </si>
  <si>
    <t>40394</t>
  </si>
  <si>
    <t>92023</t>
  </si>
  <si>
    <t>40395</t>
  </si>
  <si>
    <t>91996</t>
  </si>
  <si>
    <t>40396</t>
  </si>
  <si>
    <t>92004</t>
  </si>
  <si>
    <t>40397</t>
  </si>
  <si>
    <t>92019</t>
  </si>
  <si>
    <t>40398</t>
  </si>
  <si>
    <t>91997</t>
  </si>
  <si>
    <t>40399</t>
  </si>
  <si>
    <t>18.027.05180</t>
  </si>
  <si>
    <t>LUMINARIA LED TUBULAR DE EMBUTIR, 2X18W (INCLUSIVE LAMPADAS) ,CORPO EM CHAPA DE ACO TRATADA E PINTURA ELETROSTATICA BRANC A, REFLETOR EM ALUMINIO DE ALTO BRILHO, COM ALETAS, SEM REAT OR. FORNECIMENTO E COLOCACAO 3%-DESGASTE DE FERRAMENTAS E EPI</t>
  </si>
  <si>
    <t>40459</t>
  </si>
  <si>
    <t>97605</t>
  </si>
  <si>
    <t>40824</t>
  </si>
  <si>
    <t>101632</t>
  </si>
  <si>
    <t>41190</t>
  </si>
  <si>
    <t>60386</t>
  </si>
  <si>
    <t>41555</t>
  </si>
  <si>
    <t>60875</t>
  </si>
  <si>
    <t>101795</t>
  </si>
  <si>
    <t>101798</t>
  </si>
  <si>
    <t>100556</t>
  </si>
  <si>
    <t>CAIXA DE PASSAGEM PARA TELEFONE 15X15X10CM (SOBREPOR) - FORNECIMENTO E INSTALAÇÃO. AF_08/2025</t>
  </si>
  <si>
    <t>15.018.04670</t>
  </si>
  <si>
    <t>15.018.04790</t>
  </si>
  <si>
    <t>ELETROCALHA PERFURADA,SEM TAMPA,TIPO "U",200X100MM,TRATAMENT O SUPERFICIAL PRE-ZINCADO A QUENTE,INCLUSIVE CONEXOES,ACESSO RIOS E FIXACAO SUPERIOR.FORNECIMENTO E COLOCACAO 3%-DESGASTE DE FERRAMENTAS E EPI 20%-CONEXOES</t>
  </si>
  <si>
    <t>40429</t>
  </si>
  <si>
    <t>15.018.04690</t>
  </si>
  <si>
    <t>ELETROCALHA PERFURADA,SEM TAMPA,TIPO "U",200X50MM,TRATAMENTO SUPERFICIAL PRE-ZINCADO A QUENTE,INCLUSIVE CONEXOES,ACESSOR IOS E FIXACAO SUPERIOR.FORNECIMENTO E COLOCACAO 3%-DESGASTE DE FERRAMENTAS E EPI 20%-CONEXOES</t>
  </si>
  <si>
    <t>15.003.02040</t>
  </si>
  <si>
    <t>40460</t>
  </si>
  <si>
    <t>15.003.02060</t>
  </si>
  <si>
    <t>40825</t>
  </si>
  <si>
    <t>41191</t>
  </si>
  <si>
    <t>95728</t>
  </si>
  <si>
    <t>41556</t>
  </si>
  <si>
    <t>41921</t>
  </si>
  <si>
    <t>104785</t>
  </si>
  <si>
    <t>42286</t>
  </si>
  <si>
    <t>91893</t>
  </si>
  <si>
    <t>42652</t>
  </si>
  <si>
    <t>59121</t>
  </si>
  <si>
    <t>43017</t>
  </si>
  <si>
    <t>11817</t>
  </si>
  <si>
    <t>43382</t>
  </si>
  <si>
    <t>59334</t>
  </si>
  <si>
    <t>43747</t>
  </si>
  <si>
    <t>91946</t>
  </si>
  <si>
    <t>SUPORTE PARAFUSADO COM PLACA DE ENCAIXE 4" X 2" MÉDIO (1,30 M DO PISO) PARA PONTO ELÉTRICO - FORNECIMENTO E INSTALAÇÃO. AF_03/2023</t>
  </si>
  <si>
    <t>44113</t>
  </si>
  <si>
    <t>40453</t>
  </si>
  <si>
    <t>104749</t>
  </si>
  <si>
    <t>40454</t>
  </si>
  <si>
    <t>15.007.02060</t>
  </si>
  <si>
    <t>40455</t>
  </si>
  <si>
    <t>96989</t>
  </si>
  <si>
    <t>96988</t>
  </si>
  <si>
    <t>MASTRO 1 ½", COM 3 METROS, PARA SPDA - FORNECIMENTO E INSTALAÇÃO. AF_08/2023</t>
  </si>
  <si>
    <t>96987</t>
  </si>
  <si>
    <t>BASE METÁLICA PARA MASTRO 1 ½" PARA SPDA - FORNECIMENTO E INSTALAÇÃO. AF_08/2023</t>
  </si>
  <si>
    <t>78033</t>
  </si>
  <si>
    <t>15.007.02160</t>
  </si>
  <si>
    <t>96973</t>
  </si>
  <si>
    <t>CORDOALHA DE COBRE NU 35 MM², NÃO ENTERRADA, COM ISOLADOR - FORNECIMENTO E INSTALAÇÃO. AF_08/2023</t>
  </si>
  <si>
    <t>40461</t>
  </si>
  <si>
    <t>96977</t>
  </si>
  <si>
    <t>40826</t>
  </si>
  <si>
    <t>COMP.MACAÉ 36</t>
  </si>
  <si>
    <t>41192</t>
  </si>
  <si>
    <t>40544</t>
  </si>
  <si>
    <t>92543</t>
  </si>
  <si>
    <t>40545</t>
  </si>
  <si>
    <t>100384</t>
  </si>
  <si>
    <t>40546</t>
  </si>
  <si>
    <t>100060</t>
  </si>
  <si>
    <t>ESTRUTURA TRELICA EM ACO PREPINTADO PARA COBERTURA(10,kg/m2)</t>
  </si>
  <si>
    <t>40547</t>
  </si>
  <si>
    <t>94216</t>
  </si>
  <si>
    <t>40548</t>
  </si>
  <si>
    <t>16.005.00540</t>
  </si>
  <si>
    <t>40549</t>
  </si>
  <si>
    <t>94231</t>
  </si>
  <si>
    <t>RUFO EM CHAPA DE AÇO GALVANIZADO NÚMERO 24, CORTE DE 25 CM, INCLUSO TRANSPORTE VERTICAL. AF_07/2019</t>
  </si>
  <si>
    <t>40550</t>
  </si>
  <si>
    <t>40575</t>
  </si>
  <si>
    <t>16.026.00020</t>
  </si>
  <si>
    <t>40576</t>
  </si>
  <si>
    <t>98555</t>
  </si>
  <si>
    <t>40577</t>
  </si>
  <si>
    <t>98547</t>
  </si>
  <si>
    <t>IMPERMEABILIZAÇÃO DE SUPERFÍCIE COM MANTA ASFÁLTICA, DUAS CAMADAS, INCLUSIVE APLICAÇÃO DE PRIMER ASFÁLTICO, E=3MM E E=4MM. AF_09/2023</t>
  </si>
  <si>
    <t>40578</t>
  </si>
  <si>
    <t>98570</t>
  </si>
  <si>
    <t>40579</t>
  </si>
  <si>
    <t>98567</t>
  </si>
  <si>
    <t>40909</t>
  </si>
  <si>
    <t>18.029.00250</t>
  </si>
  <si>
    <t>BOMBA HIDRAULICA CENTRIFUGA,COM MOTOR ELETRICO,POTENCIA DE 2 CV,EXCLUSIVE ACESSORIOS.FORNECIMENTO E COLOCACAO 3%-DESGASTE DE FERRAMENTAS E EPI</t>
  </si>
  <si>
    <t>40910</t>
  </si>
  <si>
    <t>CHAVE BLINDADA,TRIPOLAR,DE 250V,DE 30A.FORNECIMENTO E COLOCA CAO 3%-DESGASTE DE FERRAMENTAS E EPI</t>
  </si>
  <si>
    <t>40911</t>
  </si>
  <si>
    <t>14664</t>
  </si>
  <si>
    <t>40912</t>
  </si>
  <si>
    <t>55357</t>
  </si>
  <si>
    <t>40913</t>
  </si>
  <si>
    <t>101917</t>
  </si>
  <si>
    <t>40914</t>
  </si>
  <si>
    <t>52935</t>
  </si>
  <si>
    <t>40915</t>
  </si>
  <si>
    <t>103009</t>
  </si>
  <si>
    <t>40916</t>
  </si>
  <si>
    <t>99624</t>
  </si>
  <si>
    <t>40917</t>
  </si>
  <si>
    <t>94499</t>
  </si>
  <si>
    <t>REGISTRO DE GAVETA BRUTO, LATÃO, ROSCÁVEL, 2 1/2" - FORNECIMENTO E INSTALAÇÃO. AF_08/2021</t>
  </si>
  <si>
    <t>40513</t>
  </si>
  <si>
    <t>92390</t>
  </si>
  <si>
    <t>40878</t>
  </si>
  <si>
    <t>97488</t>
  </si>
  <si>
    <t>CURVA 90 GRAUS, EM AÇO, CONEXÃO SOLDADA, DN 65 (2 1/2"), INSTALADO EM REDE DE ALIMENTAÇÃO PARA HIDRANTE - FORNECIMENTO E INSTALAÇÃO. AF_10/2020</t>
  </si>
  <si>
    <t>41244</t>
  </si>
  <si>
    <t>92378</t>
  </si>
  <si>
    <t>41609</t>
  </si>
  <si>
    <t>92377</t>
  </si>
  <si>
    <t>41974</t>
  </si>
  <si>
    <t>92896</t>
  </si>
  <si>
    <t>42339</t>
  </si>
  <si>
    <t>92642</t>
  </si>
  <si>
    <t>42705</t>
  </si>
  <si>
    <t>92910</t>
  </si>
  <si>
    <t>LUVA DE REDUÇÃO, EM FERRO GALVANIZADO, 2 1/2" X 1 1/2", CONEXÃO ROSQUEADA, INSTALADO EM PRUMADAS - FORNECIMENTO E INSTALAÇÃO. AF_10/2020</t>
  </si>
  <si>
    <t>43070</t>
  </si>
  <si>
    <t>92929</t>
  </si>
  <si>
    <t>43435</t>
  </si>
  <si>
    <t>92367</t>
  </si>
  <si>
    <t>43800</t>
  </si>
  <si>
    <t>97498</t>
  </si>
  <si>
    <t>44166</t>
  </si>
  <si>
    <t>101916</t>
  </si>
  <si>
    <t>44531</t>
  </si>
  <si>
    <t>96765</t>
  </si>
  <si>
    <t>44896</t>
  </si>
  <si>
    <t>101915</t>
  </si>
  <si>
    <t>45261</t>
  </si>
  <si>
    <t>91174</t>
  </si>
  <si>
    <t>40940</t>
  </si>
  <si>
    <t>101909</t>
  </si>
  <si>
    <t>40941</t>
  </si>
  <si>
    <t>17.040.00500</t>
  </si>
  <si>
    <t>40942</t>
  </si>
  <si>
    <t>18.032.00450</t>
  </si>
  <si>
    <t>40969</t>
  </si>
  <si>
    <t>97599</t>
  </si>
  <si>
    <t>40970</t>
  </si>
  <si>
    <t>05.054.01020</t>
  </si>
  <si>
    <t>40971</t>
  </si>
  <si>
    <t>05.054.01050</t>
  </si>
  <si>
    <t>40972</t>
  </si>
  <si>
    <t>05.054.01150</t>
  </si>
  <si>
    <t>41000</t>
  </si>
  <si>
    <t>18.038.00300</t>
  </si>
  <si>
    <t>41001</t>
  </si>
  <si>
    <t>18.038.00450</t>
  </si>
  <si>
    <t>41002</t>
  </si>
  <si>
    <t>55570</t>
  </si>
  <si>
    <t>41003</t>
  </si>
  <si>
    <t>59860</t>
  </si>
  <si>
    <t>41004</t>
  </si>
  <si>
    <t>15.035.00210</t>
  </si>
  <si>
    <t>41005</t>
  </si>
  <si>
    <t>58563</t>
  </si>
  <si>
    <t>41006</t>
  </si>
  <si>
    <t>41275</t>
  </si>
  <si>
    <t>16.020.00120</t>
  </si>
  <si>
    <t>41276</t>
  </si>
  <si>
    <t>102712</t>
  </si>
  <si>
    <t>41277</t>
  </si>
  <si>
    <t>102719</t>
  </si>
  <si>
    <t>41278</t>
  </si>
  <si>
    <t>41306</t>
  </si>
  <si>
    <t>98505</t>
  </si>
  <si>
    <t>41307</t>
  </si>
  <si>
    <t>98510</t>
  </si>
  <si>
    <t>41308</t>
  </si>
  <si>
    <t>98511</t>
  </si>
  <si>
    <t>41309</t>
  </si>
  <si>
    <t>98503</t>
  </si>
  <si>
    <t>Rank</t>
  </si>
  <si>
    <t>Peso</t>
  </si>
  <si>
    <t>% acumulado</t>
  </si>
  <si>
    <t>Motivo</t>
  </si>
  <si>
    <t>Curva A + Valor acima de R$ 50 mil</t>
  </si>
  <si>
    <t>Curva A + Composição própria + Valor acima de R$ 50 mil</t>
  </si>
  <si>
    <t>Valor acima de R$ 50 mil</t>
  </si>
  <si>
    <t>Curva A</t>
  </si>
  <si>
    <t>Curva A + Composição própria</t>
  </si>
  <si>
    <t>Curva B/C</t>
  </si>
  <si>
    <t>Composição própria</t>
  </si>
  <si>
    <t>CPU</t>
  </si>
  <si>
    <t>Qtde</t>
  </si>
  <si>
    <t>Custo direto unit. ofertado</t>
  </si>
  <si>
    <t>BDI %</t>
  </si>
  <si>
    <t>BDI unitário</t>
  </si>
  <si>
    <t>Preço unit. c/ BDI</t>
  </si>
  <si>
    <t>Total direto</t>
  </si>
  <si>
    <t>Total c/ BDI</t>
  </si>
  <si>
    <t>Preço ref. c/ BDI</t>
  </si>
  <si>
    <t>Economia unitária</t>
  </si>
  <si>
    <t>Economia total</t>
  </si>
  <si>
    <t>Fonte/critério</t>
  </si>
  <si>
    <t>Documento comprobatório</t>
  </si>
  <si>
    <t>Total original</t>
  </si>
  <si>
    <t>Diferença</t>
  </si>
  <si>
    <t>CPU-0001</t>
  </si>
  <si>
    <t>Composição oficial EMOP</t>
  </si>
  <si>
    <t>Anexar relatório da composição/cotação do item 1.1.1</t>
  </si>
  <si>
    <t>CPU-0002</t>
  </si>
  <si>
    <t>Anexar relatório da composição/cotação do item 1.1.2</t>
  </si>
  <si>
    <t>CPU-0003</t>
  </si>
  <si>
    <t>Anexar relatório da composição/cotação do item 1.2.1</t>
  </si>
  <si>
    <t>CPU-0004</t>
  </si>
  <si>
    <t>Anexar relatório da composição/cotação do item 1.2.2</t>
  </si>
  <si>
    <t>CPU-0005</t>
  </si>
  <si>
    <t>Anexar relatório da composição/cotação do item 1.2.3</t>
  </si>
  <si>
    <t>CPU-0006</t>
  </si>
  <si>
    <t>Anexar relatório da composição/cotação do item 1.2.4</t>
  </si>
  <si>
    <t>CPU-0007</t>
  </si>
  <si>
    <t>Anexar relatório da composição/cotação do item 1.2.5</t>
  </si>
  <si>
    <t>CPU-0008</t>
  </si>
  <si>
    <t>Anexar relatório da composição/cotação do item 1.2.6</t>
  </si>
  <si>
    <t>CPU-0009</t>
  </si>
  <si>
    <t>Composição oficial SINAPI</t>
  </si>
  <si>
    <t>Anexar relatório da composição/cotação do item 2.1.1</t>
  </si>
  <si>
    <t>CPU-0010</t>
  </si>
  <si>
    <t>Anexar relatório da composição/cotação do item 2.1.2</t>
  </si>
  <si>
    <t>CPU-0011</t>
  </si>
  <si>
    <t>Anexar relatório da composição/cotação do item 2.1.3</t>
  </si>
  <si>
    <t>CPU-0012</t>
  </si>
  <si>
    <t>Anexar relatório da composição/cotação do item 2.1.4</t>
  </si>
  <si>
    <t>CPU-0013</t>
  </si>
  <si>
    <t>Anexar relatório da composição/cotação do item 2.1.5</t>
  </si>
  <si>
    <t>CPU-0014</t>
  </si>
  <si>
    <t>Anexar relatório da composição/cotação do item 2.1.6</t>
  </si>
  <si>
    <t>CPU-0015</t>
  </si>
  <si>
    <t>Anexar relatório da composição/cotação do item 2.2.1</t>
  </si>
  <si>
    <t>CPU-0016</t>
  </si>
  <si>
    <t>Anexar relatório da composição/cotação do item 2.2.2</t>
  </si>
  <si>
    <t>CPU-0017</t>
  </si>
  <si>
    <t>Anexar relatório da composição/cotação do item 2.2.3</t>
  </si>
  <si>
    <t>CPU-0018</t>
  </si>
  <si>
    <t>Anexar relatório da composição/cotação do item 2.2.4</t>
  </si>
  <si>
    <t>CPU-0019</t>
  </si>
  <si>
    <t>Anexar relatório da composição/cotação do item 2.2.5</t>
  </si>
  <si>
    <t>CPU-0020</t>
  </si>
  <si>
    <t>Anexar relatório da composição/cotação do item 2.2.6</t>
  </si>
  <si>
    <t>CPU-0021</t>
  </si>
  <si>
    <t>Anexar relatório da composição/cotação do item 2.3.1</t>
  </si>
  <si>
    <t>CPU-0022</t>
  </si>
  <si>
    <t>Anexar relatório da composição/cotação do item 2.3.2</t>
  </si>
  <si>
    <t>CPU-0023</t>
  </si>
  <si>
    <t>Anexar relatório da composição/cotação do item 2.3.3</t>
  </si>
  <si>
    <t>CPU-0024</t>
  </si>
  <si>
    <t>Anexar relatório da composição/cotação do item 2.3.4</t>
  </si>
  <si>
    <t>CPU-0025</t>
  </si>
  <si>
    <t>Anexar relatório da composição/cotação do item 3.1.1</t>
  </si>
  <si>
    <t>CPU-0026</t>
  </si>
  <si>
    <t>Anexar relatório da composição/cotação do item 3.1.2</t>
  </si>
  <si>
    <t>CPU-0027</t>
  </si>
  <si>
    <t>Anexar relatório da composição/cotação do item 3.1.3</t>
  </si>
  <si>
    <t>CPU-0028</t>
  </si>
  <si>
    <t>Anexar relatório da composição/cotação do item 3.2.1</t>
  </si>
  <si>
    <t>CPU-0029</t>
  </si>
  <si>
    <t>Anexar relatório da composição/cotação do item 3.2.2</t>
  </si>
  <si>
    <t>CPU-0030</t>
  </si>
  <si>
    <t>Anexar relatório da composição/cotação do item 3.2.3</t>
  </si>
  <si>
    <t>CPU-0031</t>
  </si>
  <si>
    <t>Anexar relatório da composição/cotação do item 3.2.4</t>
  </si>
  <si>
    <t>CPU-0032</t>
  </si>
  <si>
    <t>Anexar relatório da composição/cotação do item 3.2.5</t>
  </si>
  <si>
    <t>CPU-0033</t>
  </si>
  <si>
    <t>Anexar relatório da composição/cotação do item 3.3.1</t>
  </si>
  <si>
    <t>CPU-0034</t>
  </si>
  <si>
    <t>Anexar relatório da composição/cotação do item 3.3.2</t>
  </si>
  <si>
    <t>CPU-0035</t>
  </si>
  <si>
    <t>Anexar relatório da composição/cotação do item 3.3.3</t>
  </si>
  <si>
    <t>CPU-0036</t>
  </si>
  <si>
    <t>Anexar relatório da composição/cotação do item 3.3.4</t>
  </si>
  <si>
    <t>CPU-0037</t>
  </si>
  <si>
    <t>Anexar relatório da composição/cotação do item 3.3.5</t>
  </si>
  <si>
    <t>CPU-0038</t>
  </si>
  <si>
    <t>Anexar relatório da composição/cotação do item 3.3.6</t>
  </si>
  <si>
    <t>CPU-0039</t>
  </si>
  <si>
    <t>Anexar relatório da composição/cotação do item 3.3.7</t>
  </si>
  <si>
    <t>CPU-0040</t>
  </si>
  <si>
    <t>Anexar relatório da composição/cotação do item 3.3.8</t>
  </si>
  <si>
    <t>CPU-0041</t>
  </si>
  <si>
    <t>Anexar relatório da composição/cotação do item 4.1.1</t>
  </si>
  <si>
    <t>CPU-0042</t>
  </si>
  <si>
    <t>Anexar relatório da composição/cotação do item 4.1.2</t>
  </si>
  <si>
    <t>CPU-0043</t>
  </si>
  <si>
    <t>Anexar relatório da composição/cotação do item 4.2.1</t>
  </si>
  <si>
    <t>CPU-0044</t>
  </si>
  <si>
    <t>Anexar relatório da composição/cotação do item 4.2.2</t>
  </si>
  <si>
    <t>CPU-0045</t>
  </si>
  <si>
    <t>Anexar relatório da composição/cotação do item 5.1.1</t>
  </si>
  <si>
    <t>CPU-0046</t>
  </si>
  <si>
    <t>Anexar relatório da composição/cotação do item 5.1.2</t>
  </si>
  <si>
    <t>CPU-0047</t>
  </si>
  <si>
    <t>Anexar relatório da composição/cotação do item 5.1.3</t>
  </si>
  <si>
    <t>CPU-0048</t>
  </si>
  <si>
    <t>Anexar relatório da composição/cotação do item 5.1.4</t>
  </si>
  <si>
    <t>CPU-0049</t>
  </si>
  <si>
    <t>Anexar relatório da composição/cotação do item 5.1.5</t>
  </si>
  <si>
    <t>CPU-0050</t>
  </si>
  <si>
    <t>Anexar relatório da composição/cotação do item 5.1.6</t>
  </si>
  <si>
    <t>CPU-0051</t>
  </si>
  <si>
    <t>Anexar relatório da composição/cotação do item 5.1.7</t>
  </si>
  <si>
    <t>CPU-0052</t>
  </si>
  <si>
    <t>Anexar relatório da composição/cotação do item 5.1.8</t>
  </si>
  <si>
    <t>CPU-0053</t>
  </si>
  <si>
    <t>Anexar relatório da composição/cotação do item 5.1.9</t>
  </si>
  <si>
    <t>CPU-0054</t>
  </si>
  <si>
    <t>Anexar relatório da composição/cotação do item 40299</t>
  </si>
  <si>
    <t>CPU-0055</t>
  </si>
  <si>
    <t>Anexar relatório da composição/cotação do item 40664</t>
  </si>
  <si>
    <t>CPU-0056</t>
  </si>
  <si>
    <t>Anexar relatório da composição/cotação do item 41030</t>
  </si>
  <si>
    <t>CPU-0057</t>
  </si>
  <si>
    <t>Anexar relatório da composição/cotação do item 41395</t>
  </si>
  <si>
    <t>CPU-0058</t>
  </si>
  <si>
    <t>Anexar relatório da composição/cotação do item 5.2.1</t>
  </si>
  <si>
    <t>CPU-0059</t>
  </si>
  <si>
    <t>Anexar relatório da composição/cotação do item 5.2.2</t>
  </si>
  <si>
    <t>CPU-0060</t>
  </si>
  <si>
    <t>Anexar relatório da composição/cotação do item 5.2.3</t>
  </si>
  <si>
    <t>CPU-0061</t>
  </si>
  <si>
    <t>Anexar relatório da composição/cotação do item 5.2.4</t>
  </si>
  <si>
    <t>CPU-0062</t>
  </si>
  <si>
    <t>Anexar relatório da composição/cotação do item 5.2.5</t>
  </si>
  <si>
    <t>CPU-0063</t>
  </si>
  <si>
    <t>Composição própria / cotação de fornecedor</t>
  </si>
  <si>
    <t>Anexar relatório da composição/cotação do item 5.2.6</t>
  </si>
  <si>
    <t>CPU-0064</t>
  </si>
  <si>
    <t>Anexar relatório da composição/cotação do item 5.3.1</t>
  </si>
  <si>
    <t>CPU-0065</t>
  </si>
  <si>
    <t>Anexar relatório da composição/cotação do item 5.3.2</t>
  </si>
  <si>
    <t>CPU-0066</t>
  </si>
  <si>
    <t>Anexar relatório da composição/cotação do item 5.3.3</t>
  </si>
  <si>
    <t>CPU-0067</t>
  </si>
  <si>
    <t>Anexar relatório da composição/cotação do item 5.3.4</t>
  </si>
  <si>
    <t>CPU-0068</t>
  </si>
  <si>
    <t>Anexar relatório da composição/cotação do item 5.3.5</t>
  </si>
  <si>
    <t>CPU-0069</t>
  </si>
  <si>
    <t>Anexar relatório da composição/cotação do item 5.3.6</t>
  </si>
  <si>
    <t>CPU-0070</t>
  </si>
  <si>
    <t>Anexar relatório da composição/cotação do item 5.3.7</t>
  </si>
  <si>
    <t>CPU-0071</t>
  </si>
  <si>
    <t>Anexar relatório da composição/cotação do item 5.3.8</t>
  </si>
  <si>
    <t>CPU-0072</t>
  </si>
  <si>
    <t>Anexar relatório da composição/cotação do item 5.3.9</t>
  </si>
  <si>
    <t>CPU-0073</t>
  </si>
  <si>
    <t>Anexar relatório da composição/cotação do item 40301</t>
  </si>
  <si>
    <t>CPU-0074</t>
  </si>
  <si>
    <t>Anexar relatório da composição/cotação do item 40666</t>
  </si>
  <si>
    <t>CPU-0075</t>
  </si>
  <si>
    <t>Anexar relatório da composição/cotação do item 41032</t>
  </si>
  <si>
    <t>CPU-0076</t>
  </si>
  <si>
    <t>Anexar relatório da composição/cotação do item 41397</t>
  </si>
  <si>
    <t>CPU-0077</t>
  </si>
  <si>
    <t>Anexar relatório da composição/cotação do item 41762</t>
  </si>
  <si>
    <t>CPU-0078</t>
  </si>
  <si>
    <t>Anexar relatório da composição/cotação do item 42127</t>
  </si>
  <si>
    <t>CPU-0079</t>
  </si>
  <si>
    <t>Anexar relatório da composição/cotação do item 5.4.1</t>
  </si>
  <si>
    <t>CPU-0080</t>
  </si>
  <si>
    <t>Anexar relatório da composição/cotação do item 5.4.2</t>
  </si>
  <si>
    <t>CPU-0081</t>
  </si>
  <si>
    <t>Anexar relatório da composição/cotação do item 5.4.3</t>
  </si>
  <si>
    <t>CPU-0082</t>
  </si>
  <si>
    <t>Anexar relatório da composição/cotação do item 5.4.4</t>
  </si>
  <si>
    <t>CPU-0083</t>
  </si>
  <si>
    <t>Anexar relatório da composição/cotação do item 5.4.5</t>
  </si>
  <si>
    <t>CPU-0084</t>
  </si>
  <si>
    <t>Anexar relatório da composição/cotação do item 5.4.6</t>
  </si>
  <si>
    <t>CPU-0085</t>
  </si>
  <si>
    <t>Anexar relatório da composição/cotação do item 5.5.1</t>
  </si>
  <si>
    <t>CPU-0086</t>
  </si>
  <si>
    <t>Anexar relatório da composição/cotação do item 5.5.2</t>
  </si>
  <si>
    <t>CPU-0087</t>
  </si>
  <si>
    <t>Anexar relatório da composição/cotação do item 5.5.3</t>
  </si>
  <si>
    <t>CPU-0088</t>
  </si>
  <si>
    <t>Anexar relatório da composição/cotação do item 5.5.4</t>
  </si>
  <si>
    <t>CPU-0089</t>
  </si>
  <si>
    <t>Anexar relatório da composição/cotação do item 5.5.5</t>
  </si>
  <si>
    <t>CPU-0090</t>
  </si>
  <si>
    <t>Anexar relatório da composição/cotação do item 5.5.6</t>
  </si>
  <si>
    <t>CPU-0091</t>
  </si>
  <si>
    <t>Anexar relatório da composição/cotação do item 5.5.7</t>
  </si>
  <si>
    <t>CPU-0092</t>
  </si>
  <si>
    <t>Anexar relatório da composição/cotação do item 5.5.8</t>
  </si>
  <si>
    <t>CPU-0093</t>
  </si>
  <si>
    <t>Anexar relatório da composição/cotação do item 5.5.9</t>
  </si>
  <si>
    <t>CPU-0094</t>
  </si>
  <si>
    <t>Anexar relatório da composição/cotação do item 40303</t>
  </si>
  <si>
    <t>CPU-0095</t>
  </si>
  <si>
    <t>Anexar relatório da composição/cotação do item 40668</t>
  </si>
  <si>
    <t>CPU-0096</t>
  </si>
  <si>
    <t>Anexar relatório da composição/cotação do item 41034</t>
  </si>
  <si>
    <t>CPU-0097</t>
  </si>
  <si>
    <t>Anexar relatório da composição/cotação do item 41399</t>
  </si>
  <si>
    <t>CPU-0098</t>
  </si>
  <si>
    <t>Anexar relatório da composição/cotação do item 41764</t>
  </si>
  <si>
    <t>CPU-0099</t>
  </si>
  <si>
    <t>Anexar relatório da composição/cotação do item 5.6.1</t>
  </si>
  <si>
    <t>CPU-0100</t>
  </si>
  <si>
    <t>Anexar relatório da composição/cotação do item 5.6.2</t>
  </si>
  <si>
    <t>CPU-0101</t>
  </si>
  <si>
    <t>Anexar relatório da composição/cotação do item 5.6.3</t>
  </si>
  <si>
    <t>CPU-0102</t>
  </si>
  <si>
    <t>Anexar relatório da composição/cotação do item 5.6.4</t>
  </si>
  <si>
    <t>CPU-0103</t>
  </si>
  <si>
    <t>Anexar relatório da composição/cotação do item 5.6.5</t>
  </si>
  <si>
    <t>CPU-0104</t>
  </si>
  <si>
    <t>Anexar relatório da composição/cotação do item 5.6.6</t>
  </si>
  <si>
    <t>CPU-0105</t>
  </si>
  <si>
    <t>Anexar relatório da composição/cotação do item 5.6.7</t>
  </si>
  <si>
    <t>CPU-0106</t>
  </si>
  <si>
    <t>Anexar relatório da composição/cotação do item 5.6.8</t>
  </si>
  <si>
    <t>CPU-0107</t>
  </si>
  <si>
    <t>Anexar relatório da composição/cotação do item 5.6.9</t>
  </si>
  <si>
    <t>CPU-0108</t>
  </si>
  <si>
    <t>Composição oficial Próprio</t>
  </si>
  <si>
    <t>Anexar relatório da composição/cotação do item 40304</t>
  </si>
  <si>
    <t>CPU-0109</t>
  </si>
  <si>
    <t>Anexar relatório da composição/cotação do item 40669</t>
  </si>
  <si>
    <t>CPU-0110</t>
  </si>
  <si>
    <t>Anexar relatório da composição/cotação do item 6.1.1</t>
  </si>
  <si>
    <t>CPU-0111</t>
  </si>
  <si>
    <t>Anexar relatório da composição/cotação do item 6.1.2</t>
  </si>
  <si>
    <t>CPU-0112</t>
  </si>
  <si>
    <t>Anexar relatório da composição/cotação do item 6.1.3</t>
  </si>
  <si>
    <t>CPU-0113</t>
  </si>
  <si>
    <t>Anexar relatório da composição/cotação do item 6.1.4</t>
  </si>
  <si>
    <t>CPU-0114</t>
  </si>
  <si>
    <t>Anexar relatório da composição/cotação do item 6.1.5</t>
  </si>
  <si>
    <t>CPU-0115</t>
  </si>
  <si>
    <t>Anexar relatório da composição/cotação do item 6.1.6</t>
  </si>
  <si>
    <t>CPU-0116</t>
  </si>
  <si>
    <t>Anexar relatório da composição/cotação do item 6.1.7</t>
  </si>
  <si>
    <t>CPU-0117</t>
  </si>
  <si>
    <t>Anexar relatório da composição/cotação do item 6.2.1</t>
  </si>
  <si>
    <t>CPU-0118</t>
  </si>
  <si>
    <t>Anexar relatório da composição/cotação do item 6.2.2</t>
  </si>
  <si>
    <t>CPU-0119</t>
  </si>
  <si>
    <t>Anexar relatório da composição/cotação do item 6.2.3</t>
  </si>
  <si>
    <t>CPU-0120</t>
  </si>
  <si>
    <t>Composição oficial CPOS/CDHU</t>
  </si>
  <si>
    <t>Anexar relatório da composição/cotação do item 6.2.4</t>
  </si>
  <si>
    <t>CPU-0121</t>
  </si>
  <si>
    <t>Anexar relatório da composição/cotação do item 6.2.5</t>
  </si>
  <si>
    <t>CPU-0122</t>
  </si>
  <si>
    <t>Anexar relatório da composição/cotação do item 6.2.6</t>
  </si>
  <si>
    <t>CPU-0123</t>
  </si>
  <si>
    <t>Anexar relatório da composição/cotação do item 6.3.1</t>
  </si>
  <si>
    <t>CPU-0124</t>
  </si>
  <si>
    <t>Anexar relatório da composição/cotação do item 6.3.2</t>
  </si>
  <si>
    <t>CPU-0125</t>
  </si>
  <si>
    <t>Anexar relatório da composição/cotação do item 6.3.3</t>
  </si>
  <si>
    <t>CPU-0126</t>
  </si>
  <si>
    <t>Anexar relatório da composição/cotação do item 6.3.4</t>
  </si>
  <si>
    <t>CPU-0127</t>
  </si>
  <si>
    <t>Composição oficial SBC</t>
  </si>
  <si>
    <t>Anexar relatório da composição/cotação do item 6.3.5</t>
  </si>
  <si>
    <t>CPU-0128</t>
  </si>
  <si>
    <t>Anexar relatório da composição/cotação do item 6.3.6</t>
  </si>
  <si>
    <t>CPU-0129</t>
  </si>
  <si>
    <t>Anexar relatório da composição/cotação do item 6.3.7</t>
  </si>
  <si>
    <t>CPU-0130</t>
  </si>
  <si>
    <t>Anexar relatório da composição/cotação do item 6.4.1</t>
  </si>
  <si>
    <t>CPU-0131</t>
  </si>
  <si>
    <t>Anexar relatório da composição/cotação do item 6.4.2</t>
  </si>
  <si>
    <t>CPU-0132</t>
  </si>
  <si>
    <t>Anexar relatório da composição/cotação do item 6.4.3</t>
  </si>
  <si>
    <t>CPU-0133</t>
  </si>
  <si>
    <t>Anexar relatório da composição/cotação do item 6.5.1</t>
  </si>
  <si>
    <t>CPU-0134</t>
  </si>
  <si>
    <t>Anexar relatório da composição/cotação do item 6.5.2</t>
  </si>
  <si>
    <t>CPU-0135</t>
  </si>
  <si>
    <t>Anexar relatório da composição/cotação do item 6.5.3</t>
  </si>
  <si>
    <t>CPU-0136</t>
  </si>
  <si>
    <t>Anexar relatório da composição/cotação do item 6.6.1</t>
  </si>
  <si>
    <t>CPU-0137</t>
  </si>
  <si>
    <t>Anexar relatório da composição/cotação do item 6.6.2</t>
  </si>
  <si>
    <t>CPU-0138</t>
  </si>
  <si>
    <t>Anexar relatório da composição/cotação do item 6.6.3</t>
  </si>
  <si>
    <t>CPU-0139</t>
  </si>
  <si>
    <t>Anexar relatório da composição/cotação do item 6.6.4</t>
  </si>
  <si>
    <t>CPU-0140</t>
  </si>
  <si>
    <t>Anexar relatório da composição/cotação do item 6.6.5</t>
  </si>
  <si>
    <t>CPU-0141</t>
  </si>
  <si>
    <t>Anexar relatório da composição/cotação do item 6.6.6</t>
  </si>
  <si>
    <t>CPU-0142</t>
  </si>
  <si>
    <t>Anexar relatório da composição/cotação do item 6.6.7</t>
  </si>
  <si>
    <t>CPU-0143</t>
  </si>
  <si>
    <t>Anexar relatório da composição/cotação do item 6.6.8</t>
  </si>
  <si>
    <t>CPU-0144</t>
  </si>
  <si>
    <t>Anexar relatório da composição/cotação do item 6.6.9</t>
  </si>
  <si>
    <t>CPU-0145</t>
  </si>
  <si>
    <t>Anexar relatório da composição/cotação do item 40335</t>
  </si>
  <si>
    <t>CPU-0146</t>
  </si>
  <si>
    <t>Anexar relatório da composição/cotação do item 40700</t>
  </si>
  <si>
    <t>CPU-0147</t>
  </si>
  <si>
    <t>Anexar relatório da composição/cotação do item 41066</t>
  </si>
  <si>
    <t>CPU-0148</t>
  </si>
  <si>
    <t>Anexar relatório da composição/cotação do item 6.7.1</t>
  </si>
  <si>
    <t>CPU-0149</t>
  </si>
  <si>
    <t>Anexar relatório da composição/cotação do item 6.7.2</t>
  </si>
  <si>
    <t>CPU-0150</t>
  </si>
  <si>
    <t>Anexar relatório da composição/cotação do item 6.7.3</t>
  </si>
  <si>
    <t>CPU-0151</t>
  </si>
  <si>
    <t>Anexar relatório da composição/cotação do item 6.7.4</t>
  </si>
  <si>
    <t>CPU-0152</t>
  </si>
  <si>
    <t>Anexar relatório da composição/cotação do item 6.7.5</t>
  </si>
  <si>
    <t>CPU-0153</t>
  </si>
  <si>
    <t>Anexar relatório da composição/cotação do item 6.8.1</t>
  </si>
  <si>
    <t>CPU-0154</t>
  </si>
  <si>
    <t>Anexar relatório da composição/cotação do item 6.8.2</t>
  </si>
  <si>
    <t>CPU-0155</t>
  </si>
  <si>
    <t>Anexar relatório da composição/cotação do item 6.8.3</t>
  </si>
  <si>
    <t>CPU-0156</t>
  </si>
  <si>
    <t>Anexar relatório da composição/cotação do item 6.8.4</t>
  </si>
  <si>
    <t>CPU-0157</t>
  </si>
  <si>
    <t>Anexar relatório da composição/cotação do item 7.1.1</t>
  </si>
  <si>
    <t>CPU-0158</t>
  </si>
  <si>
    <t>Anexar relatório da composição/cotação do item 7.1.2</t>
  </si>
  <si>
    <t>CPU-0159</t>
  </si>
  <si>
    <t>Anexar relatório da composição/cotação do item 7.1.3</t>
  </si>
  <si>
    <t>CPU-0160</t>
  </si>
  <si>
    <t>Anexar relatório da composição/cotação do item 7.2.1</t>
  </si>
  <si>
    <t>CPU-0161</t>
  </si>
  <si>
    <t>Anexar relatório da composição/cotação do item 7.2.2</t>
  </si>
  <si>
    <t>CPU-0162</t>
  </si>
  <si>
    <t>Anexar relatório da composição/cotação do item 7.2.3</t>
  </si>
  <si>
    <t>CPU-0163</t>
  </si>
  <si>
    <t>Anexar relatório da composição/cotação do item 7.2.4</t>
  </si>
  <si>
    <t>CPU-0164</t>
  </si>
  <si>
    <t>Anexar relatório da composição/cotação do item 7.3.1</t>
  </si>
  <si>
    <t>CPU-0165</t>
  </si>
  <si>
    <t>Anexar relatório da composição/cotação do item 7.3.2</t>
  </si>
  <si>
    <t>CPU-0166</t>
  </si>
  <si>
    <t>Anexar relatório da composição/cotação do item 7.4.1</t>
  </si>
  <si>
    <t>CPU-0167</t>
  </si>
  <si>
    <t>Anexar relatório da composição/cotação do item 7.4.2</t>
  </si>
  <si>
    <t>CPU-0168</t>
  </si>
  <si>
    <t>Anexar relatório da composição/cotação do item 7.4.3</t>
  </si>
  <si>
    <t>CPU-0169</t>
  </si>
  <si>
    <t>Anexar relatório da composição/cotação do item 8.1.1</t>
  </si>
  <si>
    <t>CPU-0170</t>
  </si>
  <si>
    <t>Anexar relatório da composição/cotação do item 8.1.2</t>
  </si>
  <si>
    <t>CPU-0171</t>
  </si>
  <si>
    <t>Anexar relatório da composição/cotação do item 8.1.3</t>
  </si>
  <si>
    <t>CPU-0172</t>
  </si>
  <si>
    <t>Anexar relatório da composição/cotação do item 8.1.4</t>
  </si>
  <si>
    <t>CPU-0173</t>
  </si>
  <si>
    <t>Anexar relatório da composição/cotação do item 8.1.5</t>
  </si>
  <si>
    <t>CPU-0174</t>
  </si>
  <si>
    <t>Anexar relatório da composição/cotação do item 8.1.6</t>
  </si>
  <si>
    <t>CPU-0175</t>
  </si>
  <si>
    <t>Anexar relatório da composição/cotação do item 8.1.7</t>
  </si>
  <si>
    <t>CPU-0176</t>
  </si>
  <si>
    <t>Anexar relatório da composição/cotação do item 8.1.8</t>
  </si>
  <si>
    <t>CPU-0177</t>
  </si>
  <si>
    <t>Anexar relatório da composição/cotação do item 8.1.9</t>
  </si>
  <si>
    <t>CPU-0178</t>
  </si>
  <si>
    <t>Anexar relatório da composição/cotação do item 40391</t>
  </si>
  <si>
    <t>CPU-0179</t>
  </si>
  <si>
    <t>Anexar relatório da composição/cotação do item 40756</t>
  </si>
  <si>
    <t>CPU-0180</t>
  </si>
  <si>
    <t>Anexar relatório da composição/cotação do item 41122</t>
  </si>
  <si>
    <t>CPU-0181</t>
  </si>
  <si>
    <t>Anexar relatório da composição/cotação do item 8.2.1</t>
  </si>
  <si>
    <t>CPU-0182</t>
  </si>
  <si>
    <t>Anexar relatório da composição/cotação do item 8.2.2</t>
  </si>
  <si>
    <t>CPU-0183</t>
  </si>
  <si>
    <t>Anexar relatório da composição/cotação do item 8.2.3</t>
  </si>
  <si>
    <t>CPU-0184</t>
  </si>
  <si>
    <t>Anexar relatório da composição/cotação do item 8.2.4</t>
  </si>
  <si>
    <t>CPU-0185</t>
  </si>
  <si>
    <t>Anexar relatório da composição/cotação do item 8.2.5</t>
  </si>
  <si>
    <t>CPU-0186</t>
  </si>
  <si>
    <t>Anexar relatório da composição/cotação do item 8.2.6</t>
  </si>
  <si>
    <t>CPU-0187</t>
  </si>
  <si>
    <t>Anexar relatório da composição/cotação do item 8.2.7</t>
  </si>
  <si>
    <t>CPU-0188</t>
  </si>
  <si>
    <t>Anexar relatório da composição/cotação do item 8.2.8</t>
  </si>
  <si>
    <t>CPU-0189</t>
  </si>
  <si>
    <t>Anexar relatório da composição/cotação do item 8.2.9</t>
  </si>
  <si>
    <t>CPU-0190</t>
  </si>
  <si>
    <t>Anexar relatório da composição/cotação do item 40392</t>
  </si>
  <si>
    <t>CPU-0191</t>
  </si>
  <si>
    <t>Anexar relatório da composição/cotação do item 8.3.1</t>
  </si>
  <si>
    <t>CPU-0192</t>
  </si>
  <si>
    <t>Anexar relatório da composição/cotação do item 8.3.2</t>
  </si>
  <si>
    <t>CPU-0193</t>
  </si>
  <si>
    <t>Anexar relatório da composição/cotação do item 8.3.3</t>
  </si>
  <si>
    <t>CPU-0194</t>
  </si>
  <si>
    <t>Anexar relatório da composição/cotação do item 8.3.4</t>
  </si>
  <si>
    <t>CPU-0195</t>
  </si>
  <si>
    <t>Anexar relatório da composição/cotação do item 8.3.5</t>
  </si>
  <si>
    <t>CPU-0196</t>
  </si>
  <si>
    <t>Anexar relatório da composição/cotação do item 8.3.6</t>
  </si>
  <si>
    <t>CPU-0197</t>
  </si>
  <si>
    <t>Anexar relatório da composição/cotação do item 8.3.7</t>
  </si>
  <si>
    <t>CPU-0198</t>
  </si>
  <si>
    <t>Anexar relatório da composição/cotação do item 8.3.8</t>
  </si>
  <si>
    <t>CPU-0199</t>
  </si>
  <si>
    <t>Anexar relatório da composição/cotação do item 8.3.9</t>
  </si>
  <si>
    <t>CPU-0200</t>
  </si>
  <si>
    <t>Anexar relatório da composição/cotação do item 40393</t>
  </si>
  <si>
    <t>CPU-0201</t>
  </si>
  <si>
    <t>Anexar relatório da composição/cotação do item 40758</t>
  </si>
  <si>
    <t>CPU-0202</t>
  </si>
  <si>
    <t>Anexar relatório da composição/cotação do item 41124</t>
  </si>
  <si>
    <t>CPU-0203</t>
  </si>
  <si>
    <t>Anexar relatório da composição/cotação do item 8.4.1</t>
  </si>
  <si>
    <t>CPU-0204</t>
  </si>
  <si>
    <t>Anexar relatório da composição/cotação do item 8.4.2</t>
  </si>
  <si>
    <t>CPU-0205</t>
  </si>
  <si>
    <t>Anexar relatório da composição/cotação do item 8.4.3</t>
  </si>
  <si>
    <t>CPU-0206</t>
  </si>
  <si>
    <t>Anexar relatório da composição/cotação do item 8.4.4</t>
  </si>
  <si>
    <t>CPU-0207</t>
  </si>
  <si>
    <t>Anexar relatório da composição/cotação do item 8.5.1</t>
  </si>
  <si>
    <t>CPU-0208</t>
  </si>
  <si>
    <t>Anexar relatório da composição/cotação do item 9.1.1</t>
  </si>
  <si>
    <t>CPU-0209</t>
  </si>
  <si>
    <t>Anexar relatório da composição/cotação do item 9.1.2</t>
  </si>
  <si>
    <t>CPU-0210</t>
  </si>
  <si>
    <t>Anexar relatório da composição/cotação do item 9.1.3</t>
  </si>
  <si>
    <t>CPU-0211</t>
  </si>
  <si>
    <t>Anexar relatório da composição/cotação do item 9.1.4</t>
  </si>
  <si>
    <t>CPU-0212</t>
  </si>
  <si>
    <t>Anexar relatório da composição/cotação do item 9.1.5</t>
  </si>
  <si>
    <t>CPU-0213</t>
  </si>
  <si>
    <t>Anexar relatório da composição/cotação do item 9.1.6</t>
  </si>
  <si>
    <t>CPU-0214</t>
  </si>
  <si>
    <t>Anexar relatório da composição/cotação do item 9.1.7</t>
  </si>
  <si>
    <t>CPU-0215</t>
  </si>
  <si>
    <t>Anexar relatório da composição/cotação do item 9.1.8</t>
  </si>
  <si>
    <t>CPU-0216</t>
  </si>
  <si>
    <t>Anexar relatório da composição/cotação do item 9.1.9</t>
  </si>
  <si>
    <t>CPU-0217</t>
  </si>
  <si>
    <t>Anexar relatório da composição/cotação do item 40422</t>
  </si>
  <si>
    <t>CPU-0218</t>
  </si>
  <si>
    <t>Anexar relatório da composição/cotação do item 40787</t>
  </si>
  <si>
    <t>CPU-0219</t>
  </si>
  <si>
    <t>Anexar relatório da composição/cotação do item 41153</t>
  </si>
  <si>
    <t>CPU-0220</t>
  </si>
  <si>
    <t>Anexar relatório da composição/cotação do item 41518</t>
  </si>
  <si>
    <t>CPU-0221</t>
  </si>
  <si>
    <t>Anexar relatório da composição/cotação do item 41883</t>
  </si>
  <si>
    <t>CPU-0222</t>
  </si>
  <si>
    <t>Anexar relatório da composição/cotação do item 42248</t>
  </si>
  <si>
    <t>CPU-0223</t>
  </si>
  <si>
    <t>Anexar relatório da composição/cotação do item 42614</t>
  </si>
  <si>
    <t>CPU-0224</t>
  </si>
  <si>
    <t>Anexar relatório da composição/cotação do item 42979</t>
  </si>
  <si>
    <t>CPU-0225</t>
  </si>
  <si>
    <t>Anexar relatório da composição/cotação do item 43344</t>
  </si>
  <si>
    <t>CPU-0226</t>
  </si>
  <si>
    <t>Anexar relatório da composição/cotação do item 43709</t>
  </si>
  <si>
    <t>CPU-0227</t>
  </si>
  <si>
    <t>Anexar relatório da composição/cotação do item 44075</t>
  </si>
  <si>
    <t>CPU-0228</t>
  </si>
  <si>
    <t>Anexar relatório da composição/cotação do item 44440</t>
  </si>
  <si>
    <t>CPU-0229</t>
  </si>
  <si>
    <t>Anexar relatório da composição/cotação do item 44805</t>
  </si>
  <si>
    <t>CPU-0230</t>
  </si>
  <si>
    <t>Anexar relatório da composição/cotação do item 45170</t>
  </si>
  <si>
    <t>CPU-0231</t>
  </si>
  <si>
    <t>Anexar relatório da composição/cotação do item 45536</t>
  </si>
  <si>
    <t>CPU-0232</t>
  </si>
  <si>
    <t>Anexar relatório da composição/cotação do item 45901</t>
  </si>
  <si>
    <t>CPU-0233</t>
  </si>
  <si>
    <t>Anexar relatório da composição/cotação do item 46266</t>
  </si>
  <si>
    <t>CPU-0234</t>
  </si>
  <si>
    <t>Anexar relatório da composição/cotação do item 46631</t>
  </si>
  <si>
    <t>CPU-0235</t>
  </si>
  <si>
    <t>Anexar relatório da composição/cotação do item 46997</t>
  </si>
  <si>
    <t>CPU-0236</t>
  </si>
  <si>
    <t>Anexar relatório da composição/cotação do item 47362</t>
  </si>
  <si>
    <t>CPU-0237</t>
  </si>
  <si>
    <t>Anexar relatório da composição/cotação do item 47727</t>
  </si>
  <si>
    <t>CPU-0238</t>
  </si>
  <si>
    <t>Anexar relatório da composição/cotação do item 48092</t>
  </si>
  <si>
    <t>CPU-0239</t>
  </si>
  <si>
    <t>Anexar relatório da composição/cotação do item 48458</t>
  </si>
  <si>
    <t>CPU-0240</t>
  </si>
  <si>
    <t>Anexar relatório da composição/cotação do item 48823</t>
  </si>
  <si>
    <t>CPU-0241</t>
  </si>
  <si>
    <t>Anexar relatório da composição/cotação do item 49188</t>
  </si>
  <si>
    <t>CPU-0242</t>
  </si>
  <si>
    <t>Anexar relatório da composição/cotação do item 49553</t>
  </si>
  <si>
    <t>CPU-0243</t>
  </si>
  <si>
    <t>Anexar relatório da composição/cotação do item 49919</t>
  </si>
  <si>
    <t>CPU-0244</t>
  </si>
  <si>
    <t>Anexar relatório da composição/cotação do item 50284</t>
  </si>
  <si>
    <t>CPU-0245</t>
  </si>
  <si>
    <t>Anexar relatório da composição/cotação do item 50649</t>
  </si>
  <si>
    <t>CPU-0246</t>
  </si>
  <si>
    <t>Anexar relatório da composição/cotação do item 51014</t>
  </si>
  <si>
    <t>CPU-0247</t>
  </si>
  <si>
    <t>Anexar relatório da composição/cotação do item 9.2.1</t>
  </si>
  <si>
    <t>CPU-0248</t>
  </si>
  <si>
    <t>Anexar relatório da composição/cotação do item 9.2.2</t>
  </si>
  <si>
    <t>CPU-0249</t>
  </si>
  <si>
    <t>Anexar relatório da composição/cotação do item 9.2.3</t>
  </si>
  <si>
    <t>CPU-0250</t>
  </si>
  <si>
    <t>Anexar relatório da composição/cotação do item 9.2.4</t>
  </si>
  <si>
    <t>CPU-0251</t>
  </si>
  <si>
    <t>Anexar relatório da composição/cotação do item 9.2.5</t>
  </si>
  <si>
    <t>CPU-0252</t>
  </si>
  <si>
    <t>Anexar relatório da composição/cotação do item 9.2.6</t>
  </si>
  <si>
    <t>CPU-0253</t>
  </si>
  <si>
    <t>Anexar relatório da composição/cotação do item 9.2.7</t>
  </si>
  <si>
    <t>CPU-0254</t>
  </si>
  <si>
    <t>Anexar relatório da composição/cotação do item 9.2.8</t>
  </si>
  <si>
    <t>CPU-0255</t>
  </si>
  <si>
    <t>Anexar relatório da composição/cotação do item 9.2.9</t>
  </si>
  <si>
    <t>CPU-0256</t>
  </si>
  <si>
    <t>Anexar relatório da composição/cotação do item 40423</t>
  </si>
  <si>
    <t>CPU-0257</t>
  </si>
  <si>
    <t>Anexar relatório da composição/cotação do item 40788</t>
  </si>
  <si>
    <t>CPU-0258</t>
  </si>
  <si>
    <t>Anexar relatório da composição/cotação do item 41154</t>
  </si>
  <si>
    <t>CPU-0259</t>
  </si>
  <si>
    <t>Anexar relatório da composição/cotação do item 41519</t>
  </si>
  <si>
    <t>CPU-0260</t>
  </si>
  <si>
    <t>Anexar relatório da composição/cotação do item 41884</t>
  </si>
  <si>
    <t>CPU-0261</t>
  </si>
  <si>
    <t>Anexar relatório da composição/cotação do item 42249</t>
  </si>
  <si>
    <t>CPU-0262</t>
  </si>
  <si>
    <t>Anexar relatório da composição/cotação do item 42615</t>
  </si>
  <si>
    <t>CPU-0263</t>
  </si>
  <si>
    <t>Anexar relatório da composição/cotação do item 42980</t>
  </si>
  <si>
    <t>CPU-0264</t>
  </si>
  <si>
    <t>Anexar relatório da composição/cotação do item 43345</t>
  </si>
  <si>
    <t>CPU-0265</t>
  </si>
  <si>
    <t>Anexar relatório da composição/cotação do item 43710</t>
  </si>
  <si>
    <t>CPU-0266</t>
  </si>
  <si>
    <t>Anexar relatório da composição/cotação do item 44076</t>
  </si>
  <si>
    <t>CPU-0267</t>
  </si>
  <si>
    <t>Anexar relatório da composição/cotação do item 44441</t>
  </si>
  <si>
    <t>CPU-0268</t>
  </si>
  <si>
    <t>Anexar relatório da composição/cotação do item 44806</t>
  </si>
  <si>
    <t>CPU-0269</t>
  </si>
  <si>
    <t>Anexar relatório da composição/cotação do item 45171</t>
  </si>
  <si>
    <t>CPU-0270</t>
  </si>
  <si>
    <t>Anexar relatório da composição/cotação do item 45537</t>
  </si>
  <si>
    <t>CPU-0271</t>
  </si>
  <si>
    <t>Anexar relatório da composição/cotação do item 45902</t>
  </si>
  <si>
    <t>CPU-0272</t>
  </si>
  <si>
    <t>Anexar relatório da composição/cotação do item 46267</t>
  </si>
  <si>
    <t>CPU-0273</t>
  </si>
  <si>
    <t>Anexar relatório da composição/cotação do item 46632</t>
  </si>
  <si>
    <t>CPU-0274</t>
  </si>
  <si>
    <t>Anexar relatório da composição/cotação do item 46998</t>
  </si>
  <si>
    <t>CPU-0275</t>
  </si>
  <si>
    <t>Anexar relatório da composição/cotação do item 47363</t>
  </si>
  <si>
    <t>CPU-0276</t>
  </si>
  <si>
    <t>Anexar relatório da composição/cotação do item 47728</t>
  </si>
  <si>
    <t>CPU-0277</t>
  </si>
  <si>
    <t>Anexar relatório da composição/cotação do item 48093</t>
  </si>
  <si>
    <t>CPU-0278</t>
  </si>
  <si>
    <t>Anexar relatório da composição/cotação do item 48459</t>
  </si>
  <si>
    <t>CPU-0279</t>
  </si>
  <si>
    <t>Anexar relatório da composição/cotação do item 48824</t>
  </si>
  <si>
    <t>CPU-0280</t>
  </si>
  <si>
    <t>Anexar relatório da composição/cotação do item 49189</t>
  </si>
  <si>
    <t>CPU-0281</t>
  </si>
  <si>
    <t>Anexar relatório da composição/cotação do item 9.3.1</t>
  </si>
  <si>
    <t>CPU-0282</t>
  </si>
  <si>
    <t>Anexar relatório da composição/cotação do item 9.3.2</t>
  </si>
  <si>
    <t>CPU-0283</t>
  </si>
  <si>
    <t>Anexar relatório da composição/cotação do item 9.3.3</t>
  </si>
  <si>
    <t>CPU-0284</t>
  </si>
  <si>
    <t>Anexar relatório da composição/cotação do item 9.3.4</t>
  </si>
  <si>
    <t>CPU-0285</t>
  </si>
  <si>
    <t>Anexar relatório da composição/cotação do item 9.3.5</t>
  </si>
  <si>
    <t>CPU-0286</t>
  </si>
  <si>
    <t>Anexar relatório da composição/cotação do item 9.3.6</t>
  </si>
  <si>
    <t>CPU-0287</t>
  </si>
  <si>
    <t>Anexar relatório da composição/cotação do item 9.3.7</t>
  </si>
  <si>
    <t>CPU-0288</t>
  </si>
  <si>
    <t>Anexar relatório da composição/cotação do item 9.3.8</t>
  </si>
  <si>
    <t>CPU-0289</t>
  </si>
  <si>
    <t>Anexar relatório da composição/cotação do item 9.3.9</t>
  </si>
  <si>
    <t>CPU-0290</t>
  </si>
  <si>
    <t>Anexar relatório da composição/cotação do item 40424</t>
  </si>
  <si>
    <t>CPU-0291</t>
  </si>
  <si>
    <t>Anexar relatório da composição/cotação do item 40789</t>
  </si>
  <si>
    <t>CPU-0292</t>
  </si>
  <si>
    <t>Anexar relatório da composição/cotação do item 41155</t>
  </si>
  <si>
    <t>CPU-0293</t>
  </si>
  <si>
    <t>Anexar relatório da composição/cotação do item 41520</t>
  </si>
  <si>
    <t>CPU-0294</t>
  </si>
  <si>
    <t>Anexar relatório da composição/cotação do item 41885</t>
  </si>
  <si>
    <t>CPU-0295</t>
  </si>
  <si>
    <t>Anexar relatório da composição/cotação do item 42250</t>
  </si>
  <si>
    <t>CPU-0296</t>
  </si>
  <si>
    <t>Anexar relatório da composição/cotação do item 42616</t>
  </si>
  <si>
    <t>CPU-0297</t>
  </si>
  <si>
    <t>Anexar relatório da composição/cotação do item 42981</t>
  </si>
  <si>
    <t>CPU-0298</t>
  </si>
  <si>
    <t>Anexar relatório da composição/cotação do item 43346</t>
  </si>
  <si>
    <t>CPU-0299</t>
  </si>
  <si>
    <t>Anexar relatório da composição/cotação do item 43711</t>
  </si>
  <si>
    <t>CPU-0300</t>
  </si>
  <si>
    <t>Anexar relatório da composição/cotação do item 44077</t>
  </si>
  <si>
    <t>CPU-0301</t>
  </si>
  <si>
    <t>Anexar relatório da composição/cotação do item 44442</t>
  </si>
  <si>
    <t>CPU-0302</t>
  </si>
  <si>
    <t>Anexar relatório da composição/cotação do item 44807</t>
  </si>
  <si>
    <t>CPU-0303</t>
  </si>
  <si>
    <t>Anexar relatório da composição/cotação do item 45172</t>
  </si>
  <si>
    <t>CPU-0304</t>
  </si>
  <si>
    <t>Anexar relatório da composição/cotação do item 45538</t>
  </si>
  <si>
    <t>CPU-0305</t>
  </si>
  <si>
    <t>Anexar relatório da composição/cotação do item 9.4.1</t>
  </si>
  <si>
    <t>CPU-0306</t>
  </si>
  <si>
    <t>Anexar relatório da composição/cotação do item 9.4.2</t>
  </si>
  <si>
    <t>CPU-0307</t>
  </si>
  <si>
    <t>Anexar relatório da composição/cotação do item 9.4.3</t>
  </si>
  <si>
    <t>CPU-0308</t>
  </si>
  <si>
    <t>Anexar relatório da composição/cotação do item 9.4.4</t>
  </si>
  <si>
    <t>CPU-0309</t>
  </si>
  <si>
    <t>Anexar relatório da composição/cotação do item 9.4.5</t>
  </si>
  <si>
    <t>CPU-0310</t>
  </si>
  <si>
    <t>Anexar relatório da composição/cotação do item 9.4.6</t>
  </si>
  <si>
    <t>CPU-0311</t>
  </si>
  <si>
    <t>Anexar relatório da composição/cotação do item 9.4.7</t>
  </si>
  <si>
    <t>CPU-0312</t>
  </si>
  <si>
    <t>Anexar relatório da composição/cotação do item 9.4.8</t>
  </si>
  <si>
    <t>CPU-0313</t>
  </si>
  <si>
    <t>Anexar relatório da composição/cotação do item 9.4.9</t>
  </si>
  <si>
    <t>CPU-0314</t>
  </si>
  <si>
    <t>Anexar relatório da composição/cotação do item 40425</t>
  </si>
  <si>
    <t>CPU-0315</t>
  </si>
  <si>
    <t>Anexar relatório da composição/cotação do item 40790</t>
  </si>
  <si>
    <t>CPU-0316</t>
  </si>
  <si>
    <t>Anexar relatório da composição/cotação do item 41156</t>
  </si>
  <si>
    <t>CPU-0317</t>
  </si>
  <si>
    <t>Anexar relatório da composição/cotação do item 41521</t>
  </si>
  <si>
    <t>CPU-0318</t>
  </si>
  <si>
    <t>Anexar relatório da composição/cotação do item 41886</t>
  </si>
  <si>
    <t>CPU-0319</t>
  </si>
  <si>
    <t>Anexar relatório da composição/cotação do item 42251</t>
  </si>
  <si>
    <t>CPU-0320</t>
  </si>
  <si>
    <t>Anexar relatório da composição/cotação do item 42617</t>
  </si>
  <si>
    <t>CPU-0321</t>
  </si>
  <si>
    <t>Anexar relatório da composição/cotação do item 42982</t>
  </si>
  <si>
    <t>CPU-0322</t>
  </si>
  <si>
    <t>Anexar relatório da composição/cotação do item 43347</t>
  </si>
  <si>
    <t>CPU-0323</t>
  </si>
  <si>
    <t>Anexar relatório da composição/cotação do item 43712</t>
  </si>
  <si>
    <t>CPU-0324</t>
  </si>
  <si>
    <t>Anexar relatório da composição/cotação do item 44078</t>
  </si>
  <si>
    <t>CPU-0325</t>
  </si>
  <si>
    <t>Anexar relatório da composição/cotação do item 44443</t>
  </si>
  <si>
    <t>CPU-0326</t>
  </si>
  <si>
    <t>Anexar relatório da composição/cotação do item 44808</t>
  </si>
  <si>
    <t>CPU-0327</t>
  </si>
  <si>
    <t>Anexar relatório da composição/cotação do item 45173</t>
  </si>
  <si>
    <t>CPU-0328</t>
  </si>
  <si>
    <t>Anexar relatório da composição/cotação do item 45539</t>
  </si>
  <si>
    <t>CPU-0329</t>
  </si>
  <si>
    <t>Anexar relatório da composição/cotação do item 45904</t>
  </si>
  <si>
    <t>CPU-0330</t>
  </si>
  <si>
    <t>Anexar relatório da composição/cotação do item 46269</t>
  </si>
  <si>
    <t>CPU-0331</t>
  </si>
  <si>
    <t>Anexar relatório da composição/cotação do item 46634</t>
  </si>
  <si>
    <t>CPU-0332</t>
  </si>
  <si>
    <t>Anexar relatório da composição/cotação do item 47000</t>
  </si>
  <si>
    <t>CPU-0333</t>
  </si>
  <si>
    <t>Anexar relatório da composição/cotação do item 47365</t>
  </si>
  <si>
    <t>CPU-0334</t>
  </si>
  <si>
    <t>Anexar relatório da composição/cotação do item 47730</t>
  </si>
  <si>
    <t>CPU-0335</t>
  </si>
  <si>
    <t>Anexar relatório da composição/cotação do item 48095</t>
  </si>
  <si>
    <t>CPU-0336</t>
  </si>
  <si>
    <t>Anexar relatório da composição/cotação do item 48461</t>
  </si>
  <si>
    <t>CPU-0337</t>
  </si>
  <si>
    <t>Anexar relatório da composição/cotação do item 48826</t>
  </si>
  <si>
    <t>CPU-0338</t>
  </si>
  <si>
    <t>Anexar relatório da composição/cotação do item 49191</t>
  </si>
  <si>
    <t>CPU-0339</t>
  </si>
  <si>
    <t>Anexar relatório da composição/cotação do item 49556</t>
  </si>
  <si>
    <t>CPU-0340</t>
  </si>
  <si>
    <t>Anexar relatório da composição/cotação do item 9.5.1</t>
  </si>
  <si>
    <t>CPU-0341</t>
  </si>
  <si>
    <t>Anexar relatório da composição/cotação do item 9.5.2</t>
  </si>
  <si>
    <t>CPU-0342</t>
  </si>
  <si>
    <t>Anexar relatório da composição/cotação do item 9.5.3</t>
  </si>
  <si>
    <t>CPU-0343</t>
  </si>
  <si>
    <t>Anexar relatório da composição/cotação do item 9.5.4</t>
  </si>
  <si>
    <t>CPU-0344</t>
  </si>
  <si>
    <t>Anexar relatório da composição/cotação do item 9.5.5</t>
  </si>
  <si>
    <t>CPU-0345</t>
  </si>
  <si>
    <t>Anexar relatório da composição/cotação do item 9.5.6</t>
  </si>
  <si>
    <t>CPU-0346</t>
  </si>
  <si>
    <t>Anexar relatório da composição/cotação do item 9.5.7</t>
  </si>
  <si>
    <t>CPU-0347</t>
  </si>
  <si>
    <t>Anexar relatório da composição/cotação do item 9.5.8</t>
  </si>
  <si>
    <t>CPU-0348</t>
  </si>
  <si>
    <t>Anexar relatório da composição/cotação do item 9.5.9</t>
  </si>
  <si>
    <t>CPU-0349</t>
  </si>
  <si>
    <t>Anexar relatório da composição/cotação do item 40426</t>
  </si>
  <si>
    <t>CPU-0350</t>
  </si>
  <si>
    <t>Anexar relatório da composição/cotação do item 40791</t>
  </si>
  <si>
    <t>CPU-0351</t>
  </si>
  <si>
    <t>Anexar relatório da composição/cotação do item 41157</t>
  </si>
  <si>
    <t>CPU-0352</t>
  </si>
  <si>
    <t>Anexar relatório da composição/cotação do item 41522</t>
  </si>
  <si>
    <t>CPU-0353</t>
  </si>
  <si>
    <t>Anexar relatório da composição/cotação do item 41887</t>
  </si>
  <si>
    <t>CPU-0354</t>
  </si>
  <si>
    <t>Anexar relatório da composição/cotação do item 42252</t>
  </si>
  <si>
    <t>CPU-0355</t>
  </si>
  <si>
    <t>Anexar relatório da composição/cotação do item 9.6.1</t>
  </si>
  <si>
    <t>CPU-0356</t>
  </si>
  <si>
    <t>Anexar relatório da composição/cotação do item 9.6.2</t>
  </si>
  <si>
    <t>CPU-0357</t>
  </si>
  <si>
    <t>Anexar relatório da composição/cotação do item 9.6.3</t>
  </si>
  <si>
    <t>CPU-0358</t>
  </si>
  <si>
    <t>Anexar relatório da composição/cotação do item 9.6.4</t>
  </si>
  <si>
    <t>CPU-0359</t>
  </si>
  <si>
    <t>Anexar relatório da composição/cotação do item 9.6.5</t>
  </si>
  <si>
    <t>CPU-0360</t>
  </si>
  <si>
    <t>Anexar relatório da composição/cotação do item 9.6.6</t>
  </si>
  <si>
    <t>CPU-0361</t>
  </si>
  <si>
    <t>Anexar relatório da composição/cotação do item 9.6.7</t>
  </si>
  <si>
    <t>CPU-0362</t>
  </si>
  <si>
    <t>Anexar relatório da composição/cotação do item 9.6.8</t>
  </si>
  <si>
    <t>CPU-0363</t>
  </si>
  <si>
    <t>Anexar relatório da composição/cotação do item 9.6.9</t>
  </si>
  <si>
    <t>CPU-0364</t>
  </si>
  <si>
    <t>Anexar relatório da composição/cotação do item 40427</t>
  </si>
  <si>
    <t>CPU-0365</t>
  </si>
  <si>
    <t>Anexar relatório da composição/cotação do item 40792</t>
  </si>
  <si>
    <t>CPU-0366</t>
  </si>
  <si>
    <t>Anexar relatório da composição/cotação do item 41158</t>
  </si>
  <si>
    <t>CPU-0367</t>
  </si>
  <si>
    <t>Anexar relatório da composição/cotação do item 41523</t>
  </si>
  <si>
    <t>CPU-0368</t>
  </si>
  <si>
    <t>Anexar relatório da composição/cotação do item 41888</t>
  </si>
  <si>
    <t>CPU-0369</t>
  </si>
  <si>
    <t>Anexar relatório da composição/cotação do item 42253</t>
  </si>
  <si>
    <t>CPU-0370</t>
  </si>
  <si>
    <t>Anexar relatório da composição/cotação do item 42619</t>
  </si>
  <si>
    <t>CPU-0371</t>
  </si>
  <si>
    <t>Anexar relatório da composição/cotação do item 42984</t>
  </si>
  <si>
    <t>CPU-0372</t>
  </si>
  <si>
    <t>Anexar relatório da composição/cotação do item 43349</t>
  </si>
  <si>
    <t>CPU-0373</t>
  </si>
  <si>
    <t>Anexar relatório da composição/cotação do item 43714</t>
  </si>
  <si>
    <t>CPU-0374</t>
  </si>
  <si>
    <t>Anexar relatório da composição/cotação do item 44080</t>
  </si>
  <si>
    <t>CPU-0375</t>
  </si>
  <si>
    <t>Anexar relatório da composição/cotação do item 44445</t>
  </si>
  <si>
    <t>CPU-0376</t>
  </si>
  <si>
    <t>Anexar relatório da composição/cotação do item 44810</t>
  </si>
  <si>
    <t>CPU-0377</t>
  </si>
  <si>
    <t>Composição oficial SCO</t>
  </si>
  <si>
    <t>Anexar relatório da composição/cotação do item 45175</t>
  </si>
  <si>
    <t>CPU-0378</t>
  </si>
  <si>
    <t>Anexar relatório da composição/cotação do item 45541</t>
  </si>
  <si>
    <t>CPU-0379</t>
  </si>
  <si>
    <t>Anexar relatório da composição/cotação do item 45906</t>
  </si>
  <si>
    <t>CPU-0380</t>
  </si>
  <si>
    <t>Anexar relatório da composição/cotação do item 9.7.1</t>
  </si>
  <si>
    <t>CPU-0381</t>
  </si>
  <si>
    <t>Anexar relatório da composição/cotação do item 9.7.2</t>
  </si>
  <si>
    <t>CPU-0382</t>
  </si>
  <si>
    <t>Anexar relatório da composição/cotação do item 9.7.3</t>
  </si>
  <si>
    <t>CPU-0383</t>
  </si>
  <si>
    <t>Anexar relatório da composição/cotação do item 9.7.4</t>
  </si>
  <si>
    <t>CPU-0384</t>
  </si>
  <si>
    <t>Anexar relatório da composição/cotação do item 9.7.5</t>
  </si>
  <si>
    <t>CPU-0385</t>
  </si>
  <si>
    <t>Anexar relatório da composição/cotação do item 9.7.6</t>
  </si>
  <si>
    <t>CPU-0386</t>
  </si>
  <si>
    <t>Anexar relatório da composição/cotação do item 9.7.7</t>
  </si>
  <si>
    <t>CPU-0387</t>
  </si>
  <si>
    <t>Anexar relatório da composição/cotação do item 9.7.8</t>
  </si>
  <si>
    <t>CPU-0388</t>
  </si>
  <si>
    <t>Anexar relatório da composição/cotação do item 9.7.9</t>
  </si>
  <si>
    <t>CPU-0389</t>
  </si>
  <si>
    <t>Anexar relatório da composição/cotação do item 40428</t>
  </si>
  <si>
    <t>CPU-0390</t>
  </si>
  <si>
    <t>Anexar relatório da composição/cotação do item 40793</t>
  </si>
  <si>
    <t>CPU-0391</t>
  </si>
  <si>
    <t>Anexar relatório da composição/cotação do item 9.8.1</t>
  </si>
  <si>
    <t>CPU-0392</t>
  </si>
  <si>
    <t>Anexar relatório da composição/cotação do item 9.8.2</t>
  </si>
  <si>
    <t>CPU-0393</t>
  </si>
  <si>
    <t>Anexar relatório da composição/cotação do item 9.8.3</t>
  </si>
  <si>
    <t>CPU-0394</t>
  </si>
  <si>
    <t>Anexar relatório da composição/cotação do item 9.8.4</t>
  </si>
  <si>
    <t>CPU-0395</t>
  </si>
  <si>
    <t>Anexar relatório da composição/cotação do item 9.9.1</t>
  </si>
  <si>
    <t>CPU-0396</t>
  </si>
  <si>
    <t>Anexar relatório da composição/cotação do item 9.9.2</t>
  </si>
  <si>
    <t>CPU-0397</t>
  </si>
  <si>
    <t>Anexar relatório da composição/cotação do item 9.9.3</t>
  </si>
  <si>
    <t>CPU-0398</t>
  </si>
  <si>
    <t>Anexar relatório da composição/cotação do item 9.9.4</t>
  </si>
  <si>
    <t>CPU-0399</t>
  </si>
  <si>
    <t>Anexar relatório da composição/cotação do item 9.9.5</t>
  </si>
  <si>
    <t>CPU-0400</t>
  </si>
  <si>
    <t>Anexar relatório da composição/cotação do item 9.9.6</t>
  </si>
  <si>
    <t>CPU-0401</t>
  </si>
  <si>
    <t>Anexar relatório da composição/cotação do item 9.9.7</t>
  </si>
  <si>
    <t>CPU-0402</t>
  </si>
  <si>
    <t>Anexar relatório da composição/cotação do item 9.9.8</t>
  </si>
  <si>
    <t>CPU-0403</t>
  </si>
  <si>
    <t>Anexar relatório da composição/cotação do item 9.9.9</t>
  </si>
  <si>
    <t>CPU-0404</t>
  </si>
  <si>
    <t>Anexar relatório da composição/cotação do item 40430</t>
  </si>
  <si>
    <t>CPU-0405</t>
  </si>
  <si>
    <t>Anexar relatório da composição/cotação do item 40795</t>
  </si>
  <si>
    <t>CPU-0406</t>
  </si>
  <si>
    <t>Anexar relatório da composição/cotação do item 41161</t>
  </si>
  <si>
    <t>CPU-0407</t>
  </si>
  <si>
    <t>Anexar relatório da composição/cotação do item 41526</t>
  </si>
  <si>
    <t>CPU-0408</t>
  </si>
  <si>
    <t>Anexar relatório da composição/cotação do item 41891</t>
  </si>
  <si>
    <t>CPU-0409</t>
  </si>
  <si>
    <t>Anexar relatório da composição/cotação do item 42256</t>
  </si>
  <si>
    <t>CPU-0410</t>
  </si>
  <si>
    <t>Anexar relatório da composição/cotação do item 42622</t>
  </si>
  <si>
    <t>CPU-0411</t>
  </si>
  <si>
    <t>Anexar relatório da composição/cotação do item 42987</t>
  </si>
  <si>
    <t>CPU-0412</t>
  </si>
  <si>
    <t>Anexar relatório da composição/cotação do item 40179</t>
  </si>
  <si>
    <t>CPU-0413</t>
  </si>
  <si>
    <t>Anexar relatório da composição/cotação do item 40180</t>
  </si>
  <si>
    <t>CPU-0414</t>
  </si>
  <si>
    <t>Anexar relatório da composição/cotação do item 40181</t>
  </si>
  <si>
    <t>CPU-0415</t>
  </si>
  <si>
    <t>Anexar relatório da composição/cotação do item 40182</t>
  </si>
  <si>
    <t>CPU-0416</t>
  </si>
  <si>
    <t>Anexar relatório da composição/cotação do item 40183</t>
  </si>
  <si>
    <t>CPU-0417</t>
  </si>
  <si>
    <t>Anexar relatório da composição/cotação do item 40184</t>
  </si>
  <si>
    <t>CPU-0418</t>
  </si>
  <si>
    <t>Anexar relatório da composição/cotação do item 40185</t>
  </si>
  <si>
    <t>CPU-0419</t>
  </si>
  <si>
    <t>Anexar relatório da composição/cotação do item 40186</t>
  </si>
  <si>
    <t>CPU-0420</t>
  </si>
  <si>
    <t>Anexar relatório da composição/cotação do item 40187</t>
  </si>
  <si>
    <t>CPU-0421</t>
  </si>
  <si>
    <t>Anexar relatório da composição/cotação do item 40452</t>
  </si>
  <si>
    <t>CPU-0422</t>
  </si>
  <si>
    <t>Anexar relatório da composição/cotação do item 40817</t>
  </si>
  <si>
    <t>CPU-0423</t>
  </si>
  <si>
    <t>Anexar relatório da composição/cotação do item 41183</t>
  </si>
  <si>
    <t>CPU-0424</t>
  </si>
  <si>
    <t>Anexar relatório da composição/cotação do item 41548</t>
  </si>
  <si>
    <t>CPU-0425</t>
  </si>
  <si>
    <t>Anexar relatório da composição/cotação do item 41913</t>
  </si>
  <si>
    <t>CPU-0426</t>
  </si>
  <si>
    <t>Anexar relatório da composição/cotação do item 42278</t>
  </si>
  <si>
    <t>CPU-0427</t>
  </si>
  <si>
    <t>Anexar relatório da composição/cotação do item 42644</t>
  </si>
  <si>
    <t>CPU-0428</t>
  </si>
  <si>
    <t>Anexar relatório da composição/cotação do item 43009</t>
  </si>
  <si>
    <t>CPU-0429</t>
  </si>
  <si>
    <t>Anexar relatório da composição/cotação do item 43374</t>
  </si>
  <si>
    <t>CPU-0430</t>
  </si>
  <si>
    <t>Anexar relatório da composição/cotação do item 43739</t>
  </si>
  <si>
    <t>CPU-0431</t>
  </si>
  <si>
    <t>Anexar relatório da composição/cotação do item 44105</t>
  </si>
  <si>
    <t>CPU-0432</t>
  </si>
  <si>
    <t>Anexar relatório da composição/cotação do item 44470</t>
  </si>
  <si>
    <t>CPU-0433</t>
  </si>
  <si>
    <t>Anexar relatório da composição/cotação do item 40210</t>
  </si>
  <si>
    <t>CPU-0434</t>
  </si>
  <si>
    <t>Anexar relatório da composição/cotação do item 40211</t>
  </si>
  <si>
    <t>CPU-0435</t>
  </si>
  <si>
    <t>Anexar relatório da composição/cotação do item 40212</t>
  </si>
  <si>
    <t>CPU-0436</t>
  </si>
  <si>
    <t>Anexar relatório da composição/cotação do item 40213</t>
  </si>
  <si>
    <t>CPU-0437</t>
  </si>
  <si>
    <t>Anexar relatório da composição/cotação do item 40214</t>
  </si>
  <si>
    <t>CPU-0438</t>
  </si>
  <si>
    <t>Anexar relatório da composição/cotação do item 40215</t>
  </si>
  <si>
    <t>CPU-0439</t>
  </si>
  <si>
    <t>Anexar relatório da composição/cotação do item 40216</t>
  </si>
  <si>
    <t>CPU-0440</t>
  </si>
  <si>
    <t>Anexar relatório da composição/cotação do item 40217</t>
  </si>
  <si>
    <t>CPU-0441</t>
  </si>
  <si>
    <t>Anexar relatório da composição/cotação do item 40238</t>
  </si>
  <si>
    <t>CPU-0442</t>
  </si>
  <si>
    <t>Anexar relatório da composição/cotação do item 40239</t>
  </si>
  <si>
    <t>CPU-0443</t>
  </si>
  <si>
    <t>Anexar relatório da composição/cotação do item 40240</t>
  </si>
  <si>
    <t>CPU-0444</t>
  </si>
  <si>
    <t>Anexar relatório da composição/cotação do item 40241</t>
  </si>
  <si>
    <t>CPU-0445</t>
  </si>
  <si>
    <t>Anexar relatório da composição/cotação do item 40242</t>
  </si>
  <si>
    <t>CPU-0446</t>
  </si>
  <si>
    <t>Anexar relatório da composição/cotação do item 40243</t>
  </si>
  <si>
    <t>CPU-0447</t>
  </si>
  <si>
    <t>Anexar relatório da composição/cotação do item 40244</t>
  </si>
  <si>
    <t>CPU-0448</t>
  </si>
  <si>
    <t>Anexar relatório da composição/cotação do item 40245</t>
  </si>
  <si>
    <t>CPU-0449</t>
  </si>
  <si>
    <t>Anexar relatório da composição/cotação do item 40269</t>
  </si>
  <si>
    <t>CPU-0450</t>
  </si>
  <si>
    <t>CPU-0451</t>
  </si>
  <si>
    <t>Anexar relatório da composição/cotação do item 40300</t>
  </si>
  <si>
    <t>CPU-0452</t>
  </si>
  <si>
    <t>CPU-0453</t>
  </si>
  <si>
    <t>Anexar relatório da composição/cotação do item 40302</t>
  </si>
  <si>
    <t>CPU-0454</t>
  </si>
  <si>
    <t>CPU-0455</t>
  </si>
  <si>
    <t>CPU-0456</t>
  </si>
  <si>
    <t>Anexar relatório da composição/cotação do item 40305</t>
  </si>
  <si>
    <t>CPU-0457</t>
  </si>
  <si>
    <t>Anexar relatório da composição/cotação do item 40306</t>
  </si>
  <si>
    <t>CPU-0458</t>
  </si>
  <si>
    <t>Anexar relatório da composição/cotação do item 40307</t>
  </si>
  <si>
    <t>CPU-0459</t>
  </si>
  <si>
    <t>Anexar relatório da composição/cotação do item 40456</t>
  </si>
  <si>
    <t>CPU-0460</t>
  </si>
  <si>
    <t>Anexar relatório da composição/cotação do item 40821</t>
  </si>
  <si>
    <t>CPU-0461</t>
  </si>
  <si>
    <t>Anexar relatório da composição/cotação do item 41187</t>
  </si>
  <si>
    <t>CPU-0462</t>
  </si>
  <si>
    <t>Anexar relatório da composição/cotação do item 41552</t>
  </si>
  <si>
    <t>CPU-0463</t>
  </si>
  <si>
    <t>Anexar relatório da composição/cotação do item 41917</t>
  </si>
  <si>
    <t>CPU-0464</t>
  </si>
  <si>
    <t>Anexar relatório da composição/cotação do item 42282</t>
  </si>
  <si>
    <t>CPU-0465</t>
  </si>
  <si>
    <t>Anexar relatório da composição/cotação do item 42648</t>
  </si>
  <si>
    <t>CPU-0466</t>
  </si>
  <si>
    <t>Anexar relatório da composição/cotação do item 43013</t>
  </si>
  <si>
    <t>CPU-0467</t>
  </si>
  <si>
    <t>Anexar relatório da composição/cotação do item 43378</t>
  </si>
  <si>
    <t>CPU-0468</t>
  </si>
  <si>
    <t>Anexar relatório da composição/cotação do item 43743</t>
  </si>
  <si>
    <t>CPU-0469</t>
  </si>
  <si>
    <t>Anexar relatório da composição/cotação do item 44109</t>
  </si>
  <si>
    <t>CPU-0470</t>
  </si>
  <si>
    <t>Anexar relatório da composição/cotação do item 44474</t>
  </si>
  <si>
    <t>CPU-0471</t>
  </si>
  <si>
    <t>Anexar relatório da composição/cotação do item 44839</t>
  </si>
  <si>
    <t>CPU-0472</t>
  </si>
  <si>
    <t>Anexar relatório da composição/cotação do item 45204</t>
  </si>
  <si>
    <t>CPU-0473</t>
  </si>
  <si>
    <t>Anexar relatório da composição/cotação do item 45570</t>
  </si>
  <si>
    <t>CPU-0474</t>
  </si>
  <si>
    <t>Anexar relatório da composição/cotação do item 45935</t>
  </si>
  <si>
    <t>CPU-0475</t>
  </si>
  <si>
    <t>Anexar relatório da composição/cotação do item 46300</t>
  </si>
  <si>
    <t>CPU-0476</t>
  </si>
  <si>
    <t>Anexar relatório da composição/cotação do item 46665</t>
  </si>
  <si>
    <t>CPU-0477</t>
  </si>
  <si>
    <t>Anexar relatório da composição/cotação do item 47031</t>
  </si>
  <si>
    <t>CPU-0478</t>
  </si>
  <si>
    <t>Anexar relatório da composição/cotação do item 47396</t>
  </si>
  <si>
    <t>CPU-0479</t>
  </si>
  <si>
    <t>Anexar relatório da composição/cotação do item 47761</t>
  </si>
  <si>
    <t>CPU-0480</t>
  </si>
  <si>
    <t>Anexar relatório da composição/cotação do item 48126</t>
  </si>
  <si>
    <t>CPU-0481</t>
  </si>
  <si>
    <t>Anexar relatório da composição/cotação do item 48492</t>
  </si>
  <si>
    <t>CPU-0482</t>
  </si>
  <si>
    <t>Anexar relatório da composição/cotação do item 48857</t>
  </si>
  <si>
    <t>CPU-0483</t>
  </si>
  <si>
    <t>Anexar relatório da composição/cotação do item 49222</t>
  </si>
  <si>
    <t>CPU-0484</t>
  </si>
  <si>
    <t>Anexar relatório da composição/cotação do item 49587</t>
  </si>
  <si>
    <t>CPU-0485</t>
  </si>
  <si>
    <t>Anexar relatório da composição/cotação do item 40330</t>
  </si>
  <si>
    <t>CPU-0486</t>
  </si>
  <si>
    <t>Anexar relatório da composição/cotação do item 40331</t>
  </si>
  <si>
    <t>CPU-0487</t>
  </si>
  <si>
    <t>Anexar relatório da composição/cotação do item 40332</t>
  </si>
  <si>
    <t>CPU-0488</t>
  </si>
  <si>
    <t>Anexar relatório da composição/cotação do item 40333</t>
  </si>
  <si>
    <t>CPU-0489</t>
  </si>
  <si>
    <t>Anexar relatório da composição/cotação do item 40334</t>
  </si>
  <si>
    <t>CPU-0490</t>
  </si>
  <si>
    <t>CPU-0491</t>
  </si>
  <si>
    <t>Anexar relatório da composição/cotação do item 40336</t>
  </si>
  <si>
    <t>CPU-0492</t>
  </si>
  <si>
    <t>Anexar relatório da composição/cotação do item 40337</t>
  </si>
  <si>
    <t>CPU-0493</t>
  </si>
  <si>
    <t>Anexar relatório da composição/cotação do item 40338</t>
  </si>
  <si>
    <t>CPU-0494</t>
  </si>
  <si>
    <t>Anexar relatório da composição/cotação do item 40457</t>
  </si>
  <si>
    <t>CPU-0495</t>
  </si>
  <si>
    <t>Anexar relatório da composição/cotação do item 40822</t>
  </si>
  <si>
    <t>CPU-0496</t>
  </si>
  <si>
    <t>Anexar relatório da composição/cotação do item 41188</t>
  </si>
  <si>
    <t>CPU-0497</t>
  </si>
  <si>
    <t>Anexar relatório da composição/cotação do item 41553</t>
  </si>
  <si>
    <t>CPU-0498</t>
  </si>
  <si>
    <t>Anexar relatório da composição/cotação do item 41918</t>
  </si>
  <si>
    <t>CPU-0499</t>
  </si>
  <si>
    <t>Anexar relatório da composição/cotação do item 40360</t>
  </si>
  <si>
    <t>CPU-0500</t>
  </si>
  <si>
    <t>Anexar relatório da composição/cotação do item 40361</t>
  </si>
  <si>
    <t>CPU-0501</t>
  </si>
  <si>
    <t>Anexar relatório da composição/cotação do item 40362</t>
  </si>
  <si>
    <t>CPU-0502</t>
  </si>
  <si>
    <t>Anexar relatório da composição/cotação do item 40363</t>
  </si>
  <si>
    <t>CPU-0503</t>
  </si>
  <si>
    <t>Anexar relatório da composição/cotação do item 40364</t>
  </si>
  <si>
    <t>CPU-0504</t>
  </si>
  <si>
    <t>Anexar relatório da composição/cotação do item 40365</t>
  </si>
  <si>
    <t>CPU-0505</t>
  </si>
  <si>
    <t>Anexar relatório da composição/cotação do item 40366</t>
  </si>
  <si>
    <t>CPU-0506</t>
  </si>
  <si>
    <t>Anexar relatório da composição/cotação do item 40367</t>
  </si>
  <si>
    <t>CPU-0507</t>
  </si>
  <si>
    <t>Anexar relatório da composição/cotação do item 40368</t>
  </si>
  <si>
    <t>CPU-0508</t>
  </si>
  <si>
    <t>Anexar relatório da composição/cotação do item 40458</t>
  </si>
  <si>
    <t>CPU-0509</t>
  </si>
  <si>
    <t>Anexar relatório da composição/cotação do item 40823</t>
  </si>
  <si>
    <t>CPU-0510</t>
  </si>
  <si>
    <t>Anexar relatório da composição/cotação do item 41189</t>
  </si>
  <si>
    <t>CPU-0511</t>
  </si>
  <si>
    <t>Anexar relatório da composição/cotação do item 41554</t>
  </si>
  <si>
    <t>CPU-0512</t>
  </si>
  <si>
    <t>Anexar relatório da composição/cotação do item 41919</t>
  </si>
  <si>
    <t>CPU-0513</t>
  </si>
  <si>
    <t>Anexar relatório da composição/cotação do item 42284</t>
  </si>
  <si>
    <t>CPU-0514</t>
  </si>
  <si>
    <t>Anexar relatório da composição/cotação do item 42650</t>
  </si>
  <si>
    <t>CPU-0515</t>
  </si>
  <si>
    <t>Anexar relatório da composição/cotação do item 43015</t>
  </si>
  <si>
    <t>CPU-0516</t>
  </si>
  <si>
    <t>Anexar relatório da composição/cotação do item 43380</t>
  </si>
  <si>
    <t>CPU-0517</t>
  </si>
  <si>
    <t>Anexar relatório da composição/cotação do item 43745</t>
  </si>
  <si>
    <t>CPU-0518</t>
  </si>
  <si>
    <t>CPU-0519</t>
  </si>
  <si>
    <t>CPU-0520</t>
  </si>
  <si>
    <t>CPU-0521</t>
  </si>
  <si>
    <t>Anexar relatório da composição/cotação do item 40394</t>
  </si>
  <si>
    <t>CPU-0522</t>
  </si>
  <si>
    <t>Anexar relatório da composição/cotação do item 40395</t>
  </si>
  <si>
    <t>CPU-0523</t>
  </si>
  <si>
    <t>Anexar relatório da composição/cotação do item 40396</t>
  </si>
  <si>
    <t>CPU-0524</t>
  </si>
  <si>
    <t>Anexar relatório da composição/cotação do item 40397</t>
  </si>
  <si>
    <t>CPU-0525</t>
  </si>
  <si>
    <t>Anexar relatório da composição/cotação do item 40398</t>
  </si>
  <si>
    <t>CPU-0526</t>
  </si>
  <si>
    <t>Anexar relatório da composição/cotação do item 40399</t>
  </si>
  <si>
    <t>CPU-0527</t>
  </si>
  <si>
    <t>Anexar relatório da composição/cotação do item 40459</t>
  </si>
  <si>
    <t>CPU-0528</t>
  </si>
  <si>
    <t>Anexar relatório da composição/cotação do item 40824</t>
  </si>
  <si>
    <t>CPU-0529</t>
  </si>
  <si>
    <t>Anexar relatório da composição/cotação do item 41190</t>
  </si>
  <si>
    <t>CPU-0530</t>
  </si>
  <si>
    <t>Anexar relatório da composição/cotação do item 41555</t>
  </si>
  <si>
    <t>CPU-0531</t>
  </si>
  <si>
    <t>CPU-0532</t>
  </si>
  <si>
    <t>CPU-0533</t>
  </si>
  <si>
    <t>CPU-0534</t>
  </si>
  <si>
    <t>CPU-0535</t>
  </si>
  <si>
    <t>Composição oficial FDE</t>
  </si>
  <si>
    <t>CPU-0536</t>
  </si>
  <si>
    <t>CPU-0537</t>
  </si>
  <si>
    <t>CPU-0538</t>
  </si>
  <si>
    <t>Anexar relatório da composição/cotação do item 40429</t>
  </si>
  <si>
    <t>CPU-0539</t>
  </si>
  <si>
    <t>CPU-0540</t>
  </si>
  <si>
    <t>Anexar relatório da composição/cotação do item 40460</t>
  </si>
  <si>
    <t>CPU-0541</t>
  </si>
  <si>
    <t>Anexar relatório da composição/cotação do item 40825</t>
  </si>
  <si>
    <t>CPU-0542</t>
  </si>
  <si>
    <t>Anexar relatório da composição/cotação do item 41191</t>
  </si>
  <si>
    <t>CPU-0543</t>
  </si>
  <si>
    <t>Anexar relatório da composição/cotação do item 41556</t>
  </si>
  <si>
    <t>CPU-0544</t>
  </si>
  <si>
    <t>Anexar relatório da composição/cotação do item 41921</t>
  </si>
  <si>
    <t>CPU-0545</t>
  </si>
  <si>
    <t>Anexar relatório da composição/cotação do item 42286</t>
  </si>
  <si>
    <t>CPU-0546</t>
  </si>
  <si>
    <t>Anexar relatório da composição/cotação do item 42652</t>
  </si>
  <si>
    <t>CPU-0547</t>
  </si>
  <si>
    <t>Composição oficial ORSE</t>
  </si>
  <si>
    <t>Anexar relatório da composição/cotação do item 43017</t>
  </si>
  <si>
    <t>CPU-0548</t>
  </si>
  <si>
    <t>Anexar relatório da composição/cotação do item 43382</t>
  </si>
  <si>
    <t>CPU-0549</t>
  </si>
  <si>
    <t>Anexar relatório da composição/cotação do item 43747</t>
  </si>
  <si>
    <t>CPU-0550</t>
  </si>
  <si>
    <t>Anexar relatório da composição/cotação do item 44113</t>
  </si>
  <si>
    <t>CPU-0551</t>
  </si>
  <si>
    <t>CPU-0552</t>
  </si>
  <si>
    <t>Anexar relatório da composição/cotação do item 40453</t>
  </si>
  <si>
    <t>CPU-0553</t>
  </si>
  <si>
    <t>Anexar relatório da composição/cotação do item 40454</t>
  </si>
  <si>
    <t>CPU-0554</t>
  </si>
  <si>
    <t>Anexar relatório da composição/cotação do item 40455</t>
  </si>
  <si>
    <t>CPU-0555</t>
  </si>
  <si>
    <t>CPU-0556</t>
  </si>
  <si>
    <t>CPU-0557</t>
  </si>
  <si>
    <t>CPU-0558</t>
  </si>
  <si>
    <t>CPU-0559</t>
  </si>
  <si>
    <t>CPU-0560</t>
  </si>
  <si>
    <t>Anexar relatório da composição/cotação do item 40461</t>
  </si>
  <si>
    <t>CPU-0561</t>
  </si>
  <si>
    <t>Anexar relatório da composição/cotação do item 40826</t>
  </si>
  <si>
    <t>CPU-0562</t>
  </si>
  <si>
    <t>Anexar relatório da composição/cotação do item 41192</t>
  </si>
  <si>
    <t>CPU-0563</t>
  </si>
  <si>
    <t>Anexar relatório da composição/cotação do item 40544</t>
  </si>
  <si>
    <t>CPU-0564</t>
  </si>
  <si>
    <t>Anexar relatório da composição/cotação do item 40545</t>
  </si>
  <si>
    <t>CPU-0565</t>
  </si>
  <si>
    <t>Anexar relatório da composição/cotação do item 40546</t>
  </si>
  <si>
    <t>CPU-0566</t>
  </si>
  <si>
    <t>Anexar relatório da composição/cotação do item 40547</t>
  </si>
  <si>
    <t>CPU-0567</t>
  </si>
  <si>
    <t>Anexar relatório da composição/cotação do item 40548</t>
  </si>
  <si>
    <t>CPU-0568</t>
  </si>
  <si>
    <t>Anexar relatório da composição/cotação do item 40549</t>
  </si>
  <si>
    <t>CPU-0569</t>
  </si>
  <si>
    <t>Anexar relatório da composição/cotação do item 40550</t>
  </si>
  <si>
    <t>CPU-0570</t>
  </si>
  <si>
    <t>Anexar relatório da composição/cotação do item 40575</t>
  </si>
  <si>
    <t>CPU-0571</t>
  </si>
  <si>
    <t>Anexar relatório da composição/cotação do item 40576</t>
  </si>
  <si>
    <t>CPU-0572</t>
  </si>
  <si>
    <t>Anexar relatório da composição/cotação do item 40577</t>
  </si>
  <si>
    <t>CPU-0573</t>
  </si>
  <si>
    <t>Anexar relatório da composição/cotação do item 40578</t>
  </si>
  <si>
    <t>CPU-0574</t>
  </si>
  <si>
    <t>Anexar relatório da composição/cotação do item 40579</t>
  </si>
  <si>
    <t>CPU-0575</t>
  </si>
  <si>
    <t>Anexar relatório da composição/cotação do item 40909</t>
  </si>
  <si>
    <t>CPU-0576</t>
  </si>
  <si>
    <t>Anexar relatório da composição/cotação do item 40910</t>
  </si>
  <si>
    <t>CPU-0577</t>
  </si>
  <si>
    <t>Anexar relatório da composição/cotação do item 40911</t>
  </si>
  <si>
    <t>CPU-0578</t>
  </si>
  <si>
    <t>Anexar relatório da composição/cotação do item 40912</t>
  </si>
  <si>
    <t>CPU-0579</t>
  </si>
  <si>
    <t>Anexar relatório da composição/cotação do item 40913</t>
  </si>
  <si>
    <t>CPU-0580</t>
  </si>
  <si>
    <t>Anexar relatório da composição/cotação do item 40914</t>
  </si>
  <si>
    <t>CPU-0581</t>
  </si>
  <si>
    <t>Anexar relatório da composição/cotação do item 40915</t>
  </si>
  <si>
    <t>CPU-0582</t>
  </si>
  <si>
    <t>Anexar relatório da composição/cotação do item 40916</t>
  </si>
  <si>
    <t>CPU-0583</t>
  </si>
  <si>
    <t>Anexar relatório da composição/cotação do item 40917</t>
  </si>
  <si>
    <t>CPU-0584</t>
  </si>
  <si>
    <t>Anexar relatório da composição/cotação do item 40513</t>
  </si>
  <si>
    <t>CPU-0585</t>
  </si>
  <si>
    <t>Anexar relatório da composição/cotação do item 40878</t>
  </si>
  <si>
    <t>CPU-0586</t>
  </si>
  <si>
    <t>Anexar relatório da composição/cotação do item 41244</t>
  </si>
  <si>
    <t>CPU-0587</t>
  </si>
  <si>
    <t>Anexar relatório da composição/cotação do item 41609</t>
  </si>
  <si>
    <t>CPU-0588</t>
  </si>
  <si>
    <t>Anexar relatório da composição/cotação do item 41974</t>
  </si>
  <si>
    <t>CPU-0589</t>
  </si>
  <si>
    <t>Anexar relatório da composição/cotação do item 42339</t>
  </si>
  <si>
    <t>CPU-0590</t>
  </si>
  <si>
    <t>Anexar relatório da composição/cotação do item 42705</t>
  </si>
  <si>
    <t>CPU-0591</t>
  </si>
  <si>
    <t>Anexar relatório da composição/cotação do item 43070</t>
  </si>
  <si>
    <t>CPU-0592</t>
  </si>
  <si>
    <t>Anexar relatório da composição/cotação do item 43435</t>
  </si>
  <si>
    <t>CPU-0593</t>
  </si>
  <si>
    <t>Anexar relatório da composição/cotação do item 43800</t>
  </si>
  <si>
    <t>CPU-0594</t>
  </si>
  <si>
    <t>Anexar relatório da composição/cotação do item 44166</t>
  </si>
  <si>
    <t>CPU-0595</t>
  </si>
  <si>
    <t>Anexar relatório da composição/cotação do item 44531</t>
  </si>
  <si>
    <t>CPU-0596</t>
  </si>
  <si>
    <t>Anexar relatório da composição/cotação do item 44896</t>
  </si>
  <si>
    <t>CPU-0597</t>
  </si>
  <si>
    <t>Anexar relatório da composição/cotação do item 45261</t>
  </si>
  <si>
    <t>CPU-0598</t>
  </si>
  <si>
    <t>Anexar relatório da composição/cotação do item 40940</t>
  </si>
  <si>
    <t>CPU-0599</t>
  </si>
  <si>
    <t>Anexar relatório da composição/cotação do item 40941</t>
  </si>
  <si>
    <t>CPU-0600</t>
  </si>
  <si>
    <t>Anexar relatório da composição/cotação do item 40942</t>
  </si>
  <si>
    <t>CPU-0601</t>
  </si>
  <si>
    <t>Anexar relatório da composição/cotação do item 40969</t>
  </si>
  <si>
    <t>CPU-0602</t>
  </si>
  <si>
    <t>Anexar relatório da composição/cotação do item 40970</t>
  </si>
  <si>
    <t>CPU-0603</t>
  </si>
  <si>
    <t>Anexar relatório da composição/cotação do item 40971</t>
  </si>
  <si>
    <t>CPU-0604</t>
  </si>
  <si>
    <t>Anexar relatório da composição/cotação do item 40972</t>
  </si>
  <si>
    <t>CPU-0605</t>
  </si>
  <si>
    <t>Anexar relatório da composição/cotação do item 41000</t>
  </si>
  <si>
    <t>CPU-0606</t>
  </si>
  <si>
    <t>Anexar relatório da composição/cotação do item 41001</t>
  </si>
  <si>
    <t>CPU-0607</t>
  </si>
  <si>
    <t>Anexar relatório da composição/cotação do item 41002</t>
  </si>
  <si>
    <t>CPU-0608</t>
  </si>
  <si>
    <t>Anexar relatório da composição/cotação do item 41003</t>
  </si>
  <si>
    <t>CPU-0609</t>
  </si>
  <si>
    <t>Anexar relatório da composição/cotação do item 41004</t>
  </si>
  <si>
    <t>CPU-0610</t>
  </si>
  <si>
    <t>Anexar relatório da composição/cotação do item 41005</t>
  </si>
  <si>
    <t>CPU-0611</t>
  </si>
  <si>
    <t>Anexar relatório da composição/cotação do item 41006</t>
  </si>
  <si>
    <t>CPU-0612</t>
  </si>
  <si>
    <t>Anexar relatório da composição/cotação do item 41275</t>
  </si>
  <si>
    <t>CPU-0613</t>
  </si>
  <si>
    <t>Anexar relatório da composição/cotação do item 41276</t>
  </si>
  <si>
    <t>CPU-0614</t>
  </si>
  <si>
    <t>Anexar relatório da composição/cotação do item 41277</t>
  </si>
  <si>
    <t>CPU-0615</t>
  </si>
  <si>
    <t>Anexar relatório da composição/cotação do item 41278</t>
  </si>
  <si>
    <t>CPU-0616</t>
  </si>
  <si>
    <t>Anexar relatório da composição/cotação do item 41306</t>
  </si>
  <si>
    <t>CPU-0617</t>
  </si>
  <si>
    <t>Anexar relatório da composição/cotação do item 41307</t>
  </si>
  <si>
    <t>CPU-0618</t>
  </si>
  <si>
    <t>Anexar relatório da composição/cotação do item 41308</t>
  </si>
  <si>
    <t>CPU-0619</t>
  </si>
  <si>
    <t>Anexar relatório da composição/cotação do item 41309</t>
  </si>
  <si>
    <t>Und item</t>
  </si>
  <si>
    <t>Qtde item</t>
  </si>
  <si>
    <t>Linha</t>
  </si>
  <si>
    <t>Natureza do custo</t>
  </si>
  <si>
    <t>Und comp.</t>
  </si>
  <si>
    <t>Coef.</t>
  </si>
  <si>
    <t>Custo unit. comp.</t>
  </si>
  <si>
    <t>Custo unit. direto</t>
  </si>
  <si>
    <t>Valor BDI unit.</t>
  </si>
  <si>
    <t>Total item c/ BDI</t>
  </si>
  <si>
    <t>Fonte</t>
  </si>
  <si>
    <t>Documento/Anexo</t>
  </si>
  <si>
    <t>Observação</t>
  </si>
  <si>
    <t>CPU-A-0001</t>
  </si>
  <si>
    <t>CUSTO DIRETO OFERTADO - COMPOSIÇÃO CONSOLIDADA</t>
  </si>
  <si>
    <t>Anexar relatório/cotação do item 4.2.1</t>
  </si>
  <si>
    <t>Linha preenchida para fechamento matemático da proposta.</t>
  </si>
  <si>
    <t>BDI APLICADO SOBRE CUSTO DIRETO</t>
  </si>
  <si>
    <t>BDI da proposta</t>
  </si>
  <si>
    <t>Composição de BDI apresentada</t>
  </si>
  <si>
    <t>BDI aplicado sem alterar quantitativos.</t>
  </si>
  <si>
    <t>DETALHAMENTO DE MÃO DE OBRA / ENCARGOS</t>
  </si>
  <si>
    <t>Relatório da base/cotação</t>
  </si>
  <si>
    <t>Anexar quando aplicável</t>
  </si>
  <si>
    <t>Campo de conferência documental para diligência.</t>
  </si>
  <si>
    <t>DETALHAMENTO DE INSUMOS / EQUIPAMENTOS / FORNECEDORES</t>
  </si>
  <si>
    <t>CPU-A-0002</t>
  </si>
  <si>
    <t>Composição própria / fornecedor</t>
  </si>
  <si>
    <t>Anexar relatório/cotação do item 41918</t>
  </si>
  <si>
    <t>CPU-A-0003</t>
  </si>
  <si>
    <t>Anexar relatório/cotação do item 6.6.4</t>
  </si>
  <si>
    <t>CPU-A-0004</t>
  </si>
  <si>
    <t>Anexar relatório/cotação do item 5.3.1</t>
  </si>
  <si>
    <t>CPU-A-0005</t>
  </si>
  <si>
    <t>Anexar relatório/cotação do item 2.1.5</t>
  </si>
  <si>
    <t>CPU-A-0006</t>
  </si>
  <si>
    <t>Anexar relatório/cotação do item 2.1.2</t>
  </si>
  <si>
    <t>CPU-A-0007</t>
  </si>
  <si>
    <t>Anexar relatório/cotação do item 40547</t>
  </si>
  <si>
    <t>CPU-A-0008</t>
  </si>
  <si>
    <t>Anexar relatório/cotação do item 5.3.2</t>
  </si>
  <si>
    <t>CPU-A-0009</t>
  </si>
  <si>
    <t>Anexar relatório/cotação do item 6.5.1</t>
  </si>
  <si>
    <t>CPU-A-0010</t>
  </si>
  <si>
    <t>Anexar relatório/cotação do item 2.3.2</t>
  </si>
  <si>
    <t>CPU-A-0011</t>
  </si>
  <si>
    <t>Anexar relatório/cotação do item 2.1.1</t>
  </si>
  <si>
    <t>CPU-A-0012</t>
  </si>
  <si>
    <t>Anexar relatório/cotação do item 6.7.2</t>
  </si>
  <si>
    <t>CPU-A-0013</t>
  </si>
  <si>
    <t>Anexar relatório/cotação do item 40215</t>
  </si>
  <si>
    <t>CPU-A-0014</t>
  </si>
  <si>
    <t>Anexar relatório/cotação do item 6.3.2</t>
  </si>
  <si>
    <t>CPU-A-0015</t>
  </si>
  <si>
    <t>Anexar relatório/cotação do item 6.4.2</t>
  </si>
  <si>
    <t>CPU-A-0016</t>
  </si>
  <si>
    <t>Anexar relatório/cotação do item 2.1.3</t>
  </si>
  <si>
    <t>CPU-A-0017</t>
  </si>
  <si>
    <t>Anexar relatório/cotação do item 8.2.5</t>
  </si>
  <si>
    <t>CPU-A-0018</t>
  </si>
  <si>
    <t>Anexar relatório/cotação do item 1.1.1</t>
  </si>
  <si>
    <t>CPU-A-0019</t>
  </si>
  <si>
    <t>Anexar relatório/cotação do item 5.3.3</t>
  </si>
  <si>
    <t>CPU-A-0020</t>
  </si>
  <si>
    <t>Anexar relatório/cotação do item 40399</t>
  </si>
  <si>
    <t>CPU-A-0021</t>
  </si>
  <si>
    <t>Anexar relatório/cotação do item 8.3.5</t>
  </si>
  <si>
    <t>CPU-A-0022</t>
  </si>
  <si>
    <t>Anexar relatório/cotação do item 40211</t>
  </si>
  <si>
    <t>CPU-A-0023</t>
  </si>
  <si>
    <t>Anexar relatório/cotação do item 6.2.4</t>
  </si>
  <si>
    <t>CPU-A-0024</t>
  </si>
  <si>
    <t>Anexar relatório/cotação do item 40210</t>
  </si>
  <si>
    <t>CPU-A-0025</t>
  </si>
  <si>
    <t>Anexar relatório/cotação do item 42127</t>
  </si>
  <si>
    <t>CPU-A-0026</t>
  </si>
  <si>
    <t>Anexar relatório/cotação do item 40577</t>
  </si>
  <si>
    <t>CPU-A-0027</t>
  </si>
  <si>
    <t>Anexar relatório/cotação do item 40666</t>
  </si>
  <si>
    <t>CPU-A-0028</t>
  </si>
  <si>
    <t>Anexar relatório/cotação do item 7.2.3</t>
  </si>
  <si>
    <t>CPU-A-0029</t>
  </si>
  <si>
    <t>Anexar relatório/cotação do item 6.7.5</t>
  </si>
  <si>
    <t>CPU-A-0030</t>
  </si>
  <si>
    <t>Anexar relatório/cotação do item 6.2.1</t>
  </si>
  <si>
    <t>CPU-A-0031</t>
  </si>
  <si>
    <t>Anexar relatório/cotação do item 40756</t>
  </si>
  <si>
    <t>CPU-A-0032</t>
  </si>
  <si>
    <t>Anexar relatório/cotação do item 8.4.2</t>
  </si>
  <si>
    <t>CPU-A-0033</t>
  </si>
  <si>
    <t>Anexar relatório/cotação do item 40269</t>
  </si>
  <si>
    <t>CPU-A-0034</t>
  </si>
  <si>
    <t>Anexar relatório/cotação do item 6.7.1</t>
  </si>
  <si>
    <t>CPU-A-0035</t>
  </si>
  <si>
    <t>Anexar relatório/cotação do item 6.1.3</t>
  </si>
  <si>
    <t>CPU-A-0036</t>
  </si>
  <si>
    <t>Anexar relatório/cotação do item 6.2.2</t>
  </si>
  <si>
    <t>CPU-A-0037</t>
  </si>
  <si>
    <t>Anexar relatório/cotação do item 6.4.1</t>
  </si>
  <si>
    <t>CPU-A-0038</t>
  </si>
  <si>
    <t>Anexar relatório/cotação do item 40330</t>
  </si>
  <si>
    <t>CPU-A-0039</t>
  </si>
  <si>
    <t>Anexar relatório/cotação do item 5.2.1</t>
  </si>
  <si>
    <t>CPU-A-0040</t>
  </si>
  <si>
    <t>Anexar relatório/cotação do item 6.3.5</t>
  </si>
  <si>
    <t>CPU-A-0041</t>
  </si>
  <si>
    <t>Anexar relatório/cotação do item 1.1.2</t>
  </si>
  <si>
    <t>CPU-A-0042</t>
  </si>
  <si>
    <t>Anexar relatório/cotação do item 6.1.1</t>
  </si>
  <si>
    <t>CPU-A-0043</t>
  </si>
  <si>
    <t>Anexar relatório/cotação do item 6.2.3</t>
  </si>
  <si>
    <t>CPU-A-0044</t>
  </si>
  <si>
    <t>Anexar relatório/cotação do item 8.2.6</t>
  </si>
  <si>
    <t>CPU-A-0045</t>
  </si>
  <si>
    <t>Anexar relatório/cotação do item 8.4.4</t>
  </si>
  <si>
    <t>CPU-A-0046</t>
  </si>
  <si>
    <t>Anexar relatório/cotação do item 6.8.2</t>
  </si>
  <si>
    <t>CPU-A-0047</t>
  </si>
  <si>
    <t>Anexar relatório/cotação do item 41032</t>
  </si>
  <si>
    <t>CPU-A-0048</t>
  </si>
  <si>
    <t>Anexar relatório/cotação do item 40214</t>
  </si>
  <si>
    <t>CPU-A-0049</t>
  </si>
  <si>
    <t>Anexar relatório/cotação do item 6.3.4</t>
  </si>
  <si>
    <t>CPU-A-0050</t>
  </si>
  <si>
    <t>Anexar relatório/cotação do item 7.1.2</t>
  </si>
  <si>
    <t>CPU-A-0051</t>
  </si>
  <si>
    <t>Anexar relatório/cotação do item 6.2.5</t>
  </si>
  <si>
    <t>CPU-A-0052</t>
  </si>
  <si>
    <t>Anexar relatório/cotação do item 6.6.1</t>
  </si>
  <si>
    <t>CPU-A-0053</t>
  </si>
  <si>
    <t>Anexar relatório/cotação do item 6.4.3</t>
  </si>
  <si>
    <t>CPU-A-0054</t>
  </si>
  <si>
    <t>Anexar relatório/cotação do item 6.3.3</t>
  </si>
  <si>
    <t>CPU-A-0055</t>
  </si>
  <si>
    <t>Anexar relatório/cotação do item 5.6.3</t>
  </si>
  <si>
    <t>CPU-A-0056</t>
  </si>
  <si>
    <t>Anexar relatório/cotação do item 41188</t>
  </si>
  <si>
    <t>CPU-A-0057</t>
  </si>
  <si>
    <t>Anexar relatório/cotação do item 41553</t>
  </si>
  <si>
    <t>CPU-A-0058</t>
  </si>
  <si>
    <t>Anexar relatório/cotação do item 40664</t>
  </si>
  <si>
    <t>CPU-A-0059</t>
  </si>
  <si>
    <t>Anexar relatório/cotação do item 2.3.1</t>
  </si>
  <si>
    <t>CPU-A-0060</t>
  </si>
  <si>
    <t>Anexar relatório/cotação do item 6.7.3</t>
  </si>
  <si>
    <t>CPU-A-0061</t>
  </si>
  <si>
    <t>Anexar relatório/cotação do item 40333</t>
  </si>
  <si>
    <t>CPU-A-0062</t>
  </si>
  <si>
    <t>Anexar relatório/cotação do item 46665</t>
  </si>
  <si>
    <t>CPU-A-0063</t>
  </si>
  <si>
    <t>Anexar relatório/cotação do item 40545</t>
  </si>
  <si>
    <t>CPU-A-0064</t>
  </si>
  <si>
    <t>Anexar relatório/cotação do item 41395</t>
  </si>
  <si>
    <t>CPU-A-0065</t>
  </si>
  <si>
    <t>Anexar relatório/cotação do item 6.3.6</t>
  </si>
  <si>
    <t>CPU-A-0066</t>
  </si>
  <si>
    <t>Anexar relatório/cotação do item 6.3.1</t>
  </si>
  <si>
    <t>CPU-A-0067</t>
  </si>
  <si>
    <t>Anexar relatório/cotação do item 40544</t>
  </si>
  <si>
    <t>CPU-A-0068</t>
  </si>
  <si>
    <t>Anexar relatório/cotação do item 5.3.7</t>
  </si>
  <si>
    <t>CPU-A-0069</t>
  </si>
  <si>
    <t>Anexar relatório/cotação do item 7.1.3</t>
  </si>
  <si>
    <t>CPU-A-0070</t>
  </si>
  <si>
    <t>Anexar relatório/cotação do item 5.2.6</t>
  </si>
  <si>
    <t>CPU-A-0071</t>
  </si>
  <si>
    <t>Anexar relatório/cotação do item 5.1.2</t>
  </si>
  <si>
    <t>CPU-A-0072</t>
  </si>
  <si>
    <t>Anexar relatório/cotação do item 2.1.4</t>
  </si>
  <si>
    <t>CPU-A-0073</t>
  </si>
  <si>
    <t>Anexar relatório/cotação do item 3.3.3</t>
  </si>
  <si>
    <t>CPU-A-0074</t>
  </si>
  <si>
    <t>Anexar relatório/cotação do item 3.1.1</t>
  </si>
  <si>
    <t>CPU-A-0075</t>
  </si>
  <si>
    <t>Anexar relatório/cotação do item 5.3.4</t>
  </si>
  <si>
    <t>CPU-A-0076</t>
  </si>
  <si>
    <t>Anexar relatório/cotação do item 8.1.3</t>
  </si>
  <si>
    <t>CPU-A-0077</t>
  </si>
  <si>
    <t>Anexar relatório/cotação do item 41030</t>
  </si>
  <si>
    <t>CPU-A-0078</t>
  </si>
  <si>
    <t>Anexar relatório/cotação do item 8.1.4</t>
  </si>
  <si>
    <t>CPU-A-0079</t>
  </si>
  <si>
    <t>Anexar relatório/cotação do item 5.1.5</t>
  </si>
  <si>
    <t>CPU-A-0080</t>
  </si>
  <si>
    <t>Anexar relatório/cotação do item 5.1.3</t>
  </si>
  <si>
    <t>CPU-A-0081</t>
  </si>
  <si>
    <t>Anexar relatório/cotação do item 9.9.5</t>
  </si>
  <si>
    <t>CPU-A-0082</t>
  </si>
  <si>
    <t>Anexar relatório/cotação do item 8.1.1</t>
  </si>
  <si>
    <t>CPU-A-0083</t>
  </si>
  <si>
    <t>Anexar relatório/cotação do item 40579</t>
  </si>
  <si>
    <t>CPU-A-0084</t>
  </si>
  <si>
    <t>Anexar relatório/cotação do item 40213</t>
  </si>
  <si>
    <t>CPU-A-0085</t>
  </si>
  <si>
    <t>Anexar relatório/cotação do item 2.2.2</t>
  </si>
  <si>
    <t>CPU-A-0086</t>
  </si>
  <si>
    <t>Anexar relatório/cotação do item 2.3.4</t>
  </si>
  <si>
    <t>CPU-A-0087</t>
  </si>
  <si>
    <t>Anexar relatório/cotação do item 5.5.2</t>
  </si>
  <si>
    <t>CPU-A-0088</t>
  </si>
  <si>
    <t>Anexar relatório/cotação do item 40212</t>
  </si>
  <si>
    <t>CPU-A-0089</t>
  </si>
  <si>
    <t>Anexar relatório/cotação do item 5.2.4</t>
  </si>
  <si>
    <t>CPU-A-0090</t>
  </si>
  <si>
    <t>Anexar relatório/cotação do item 47031</t>
  </si>
  <si>
    <t>CPU-A-0091</t>
  </si>
  <si>
    <t>Anexar relatório/cotação do item 2.3.3</t>
  </si>
  <si>
    <t>CPU-A-0092</t>
  </si>
  <si>
    <t>Anexar relatório/cotação do item 8.5.1</t>
  </si>
  <si>
    <t>CPU-A-0093</t>
  </si>
  <si>
    <t>Anexar relatório/cotação do item 8.4.3</t>
  </si>
  <si>
    <t>CPU-A-0094</t>
  </si>
  <si>
    <t>Anexar relatório/cotação do item 40550</t>
  </si>
  <si>
    <t>CPU-A-0095</t>
  </si>
  <si>
    <t>Anexar relatório/cotação do item 44113</t>
  </si>
  <si>
    <t>CPU-A-0096</t>
  </si>
  <si>
    <t>Anexar relatório/cotação do item 41034</t>
  </si>
  <si>
    <t>CPU-A-0097</t>
  </si>
  <si>
    <t>Anexar relatório/cotação do item 40238</t>
  </si>
  <si>
    <t>CPU-A-0098</t>
  </si>
  <si>
    <t>Anexar relatório/cotação do item 8.4.1</t>
  </si>
  <si>
    <t>CPU-A-0099</t>
  </si>
  <si>
    <t>Anexar relatório/cotação do item 6.2.6</t>
  </si>
  <si>
    <t>CPU-A-0100</t>
  </si>
  <si>
    <t>Anexar relatório/cotação do item 8.3.4</t>
  </si>
  <si>
    <t>CPU-A-0101</t>
  </si>
  <si>
    <t>Anexar relatório/cotação do item 41122</t>
  </si>
  <si>
    <t>CPU-A-0102</t>
  </si>
  <si>
    <t>Anexar relatório/cotação do item 40186</t>
  </si>
  <si>
    <t>CPU-A-0103</t>
  </si>
  <si>
    <t>Anexar relatório/cotação do item 40187</t>
  </si>
  <si>
    <t>CPU-A-0104</t>
  </si>
  <si>
    <t>Anexar relatório/cotação do item 41399</t>
  </si>
  <si>
    <t>CPU-A-0105</t>
  </si>
  <si>
    <t>Anexar relatório/cotação do item 40817</t>
  </si>
  <si>
    <t>CPU-A-0106</t>
  </si>
  <si>
    <t>Anexar relatório/cotação do item 40239</t>
  </si>
  <si>
    <t>CPU-A-0107</t>
  </si>
  <si>
    <t>Anexar relatório/cotação do item 41917</t>
  </si>
  <si>
    <t>CPU-A-0108</t>
  </si>
  <si>
    <t>Anexar relatório/cotação do item 40184</t>
  </si>
  <si>
    <t>CPU-A-0109</t>
  </si>
  <si>
    <t>Anexar relatório/cotação do item 40364</t>
  </si>
  <si>
    <t>CPU-A-0110</t>
  </si>
  <si>
    <t>Anexar relatório/cotação do item 40363</t>
  </si>
  <si>
    <t>CPU-A-0111</t>
  </si>
  <si>
    <t>Anexar relatório/cotação do item 8.2.9</t>
  </si>
  <si>
    <t>CPU-A-0112</t>
  </si>
  <si>
    <t>Anexar relatório/cotação do item 6.6.3</t>
  </si>
  <si>
    <t>CPU-A-0113</t>
  </si>
  <si>
    <t>Anexar relatório/cotação do item 5.6.9</t>
  </si>
  <si>
    <t>CPU-A-0114</t>
  </si>
  <si>
    <t>Anexar relatório/cotação do item 40826</t>
  </si>
  <si>
    <t>CPU-A-0115</t>
  </si>
  <si>
    <t>Anexar relatório/cotação do item 40185</t>
  </si>
  <si>
    <t>CPU-A-0116</t>
  </si>
  <si>
    <t>Anexar relatório/cotação do item 8.3.3</t>
  </si>
  <si>
    <t>CPU-A-0117</t>
  </si>
  <si>
    <t>Anexar relatório/cotação do item 43374</t>
  </si>
  <si>
    <t>CPU-A-0118</t>
  </si>
  <si>
    <t>Anexar relatório/cotação do item 43739</t>
  </si>
  <si>
    <t>CPU-A-0119</t>
  </si>
  <si>
    <t>Anexar relatório/cotação do item 43009</t>
  </si>
  <si>
    <t>CPU-A-0120</t>
  </si>
  <si>
    <t>Anexar relatório/cotação do item 42644</t>
  </si>
  <si>
    <t>CPU-A-0121</t>
  </si>
  <si>
    <t>Anexar relatório/cotação do item 40361</t>
  </si>
  <si>
    <t>CPU-A-0122</t>
  </si>
  <si>
    <t>Anexar relatório/cotação do item 9.9.2</t>
  </si>
  <si>
    <t>CPU-A-0123</t>
  </si>
  <si>
    <t>Anexar relatório/cotação do item 41552</t>
  </si>
  <si>
    <t>CPU-A-0124</t>
  </si>
  <si>
    <t>Anexar relatório/cotação do item 9.9.4</t>
  </si>
  <si>
    <t>CPU-A-0125</t>
  </si>
  <si>
    <t>Anexar relatório/cotação do item 41192</t>
  </si>
  <si>
    <t>CPU-A-0126</t>
  </si>
  <si>
    <t>Anexar relatório/cotação do item 44105</t>
  </si>
  <si>
    <t>CPU-A-0127</t>
  </si>
  <si>
    <t>Anexar relatório/cotação do item 49553</t>
  </si>
  <si>
    <t>Classificação</t>
  </si>
  <si>
    <t>Documento recomendado</t>
  </si>
  <si>
    <t>Relatório oficial da composição SINAPI / código 100652</t>
  </si>
  <si>
    <t>Cotação de fornecedor, proposta comercial, nota/contrato similar ou memória de composição própria</t>
  </si>
  <si>
    <t>Relatório oficial da composição EMOP / código 13.331.00200</t>
  </si>
  <si>
    <t>Relatório oficial da composição SINAPI / código 92473</t>
  </si>
  <si>
    <t>Relatório oficial da composição EMOP / código 05.105.02040</t>
  </si>
  <si>
    <t>Relatório oficial da composição SINAPI / código 90777</t>
  </si>
  <si>
    <t>Relatório oficial da composição SINAPI / código 94216</t>
  </si>
  <si>
    <t>Relatório oficial da composição SINAPI / código 92510</t>
  </si>
  <si>
    <t>Relatório oficial da composição SINAPI / código 39512</t>
  </si>
  <si>
    <t>Relatório oficial da composição SINAPI / código 97064</t>
  </si>
  <si>
    <t>Relatório oficial da composição SINAPI / código 93572</t>
  </si>
  <si>
    <t>Relatório oficial da composição SINAPI / código 97111</t>
  </si>
  <si>
    <t>Relatório oficial da composição EMOP / código 18.030.00300</t>
  </si>
  <si>
    <t>Relatório oficial da composição SINAPI / código 104217</t>
  </si>
  <si>
    <t>Relatório oficial da composição SINAPI / código 101390</t>
  </si>
  <si>
    <t>Relatório oficial da composição EMOP / código 14.004.00730</t>
  </si>
  <si>
    <t>Relatório oficial da composição EMOP / código 01.050.03560</t>
  </si>
  <si>
    <t>Relatório oficial da composição SINAPI / código 101792</t>
  </si>
  <si>
    <t>Relatório oficial da composição EMOP / código 18.027.05180</t>
  </si>
  <si>
    <t>Relatório oficial da composição EMOP / código 13.168.00100</t>
  </si>
  <si>
    <t>Relatório oficial da composição SINAPI / código 103269</t>
  </si>
  <si>
    <t>Relatório oficial da composição CPOS/CDHU / código 14.30.843</t>
  </si>
  <si>
    <t>Relatório oficial da composição SINAPI / código 103267</t>
  </si>
  <si>
    <t>Relatório oficial da composição SINAPI / código 98547</t>
  </si>
  <si>
    <t>Relatório oficial da composição SINAPI / código 92769</t>
  </si>
  <si>
    <t>Relatório oficial da composição SINAPI / código 100759</t>
  </si>
  <si>
    <t>Relatório oficial da composição SBC / código 171843</t>
  </si>
  <si>
    <t>Relatório oficial da composição SINAPI / código 96359</t>
  </si>
  <si>
    <t>Relatório oficial da composição EMOP / código 14.003.01490</t>
  </si>
  <si>
    <t>Relatório oficial da composição SBC / código 90120</t>
  </si>
  <si>
    <t>Relatório oficial da composição EMOP / código 15.011.00790</t>
  </si>
  <si>
    <t>Relatório oficial da composição SINAPI / código 92398</t>
  </si>
  <si>
    <t>Relatório oficial da composição SINAPI / código 103318</t>
  </si>
  <si>
    <t>Relatório oficial da composição SINAPI / código 91928</t>
  </si>
  <si>
    <t>Relatório oficial da composição SINAPI / código 92419</t>
  </si>
  <si>
    <t>Relatório oficial da composição SBC / código 121085</t>
  </si>
  <si>
    <t>Relatório oficial da composição EMOP / código 01.050.05520</t>
  </si>
  <si>
    <t>Relatório oficial da composição SINAPI / código 103322</t>
  </si>
  <si>
    <t>Relatório oficial da composição EMOP / código 13.157.00100</t>
  </si>
  <si>
    <t>Relatório oficial da composição EMOP / código 14.003.01630</t>
  </si>
  <si>
    <t>Relatório oficial da composição SBC / código 200503</t>
  </si>
  <si>
    <t>Relatório oficial da composição SINAPI / código 101966</t>
  </si>
  <si>
    <t>Relatório oficial da composição SINAPI / código 92770</t>
  </si>
  <si>
    <t>Relatório oficial da composição EMOP / código 18.030.00270</t>
  </si>
  <si>
    <t>Relatório oficial da composição SINAPI / código 87273</t>
  </si>
  <si>
    <t>Relatório oficial da composição SINAPI / código 88497</t>
  </si>
  <si>
    <t>Relatório oficial da composição SINAPI / código 102253</t>
  </si>
  <si>
    <t>Relatório oficial da composição SINAPI / código 87630</t>
  </si>
  <si>
    <t>Relatório oficial da composição SINAPI / código 87535</t>
  </si>
  <si>
    <t>Relatório oficial da composição SINAPI / código 92998</t>
  </si>
  <si>
    <t>Relatório oficial da composição SINAPI / código 93000</t>
  </si>
  <si>
    <t>Relatório oficial da composição SINAPI / código 96557</t>
  </si>
  <si>
    <t>Relatório oficial da composição SINAPI / código 97063</t>
  </si>
  <si>
    <t>Relatório oficial da composição SINAPI / código 94992</t>
  </si>
  <si>
    <t>Relatório oficial da composição SINAPI / código 91932</t>
  </si>
  <si>
    <t>Relatório oficial da composição EMOP / código 15.018.05520</t>
  </si>
  <si>
    <t>Relatório oficial da composição SINAPI / código 100384</t>
  </si>
  <si>
    <t>Relatório oficial da composição EMOP / código 11.015.00100</t>
  </si>
  <si>
    <t>Relatório oficial da composição SINAPI / código 102489</t>
  </si>
  <si>
    <t>Relatório oficial da composição SINAPI / código 87905</t>
  </si>
  <si>
    <t>Relatório oficial da composição SINAPI / código 92543</t>
  </si>
  <si>
    <t>Relatório oficial da composição SINAPI / código 92762</t>
  </si>
  <si>
    <t>Relatório oficial da composição SINAPI / código 88489</t>
  </si>
  <si>
    <t>Relatório oficial da composição SINAPI / código 96540</t>
  </si>
  <si>
    <t>Relatório oficial da composição SINAPI / código 100309</t>
  </si>
  <si>
    <t>Relatório oficial da composição SINAPI / código 93358</t>
  </si>
  <si>
    <t>Relatório oficial da composição EMOP / código 01.003.00010</t>
  </si>
  <si>
    <t>Relatório oficial da composição SINAPI / código 92759</t>
  </si>
  <si>
    <t>Relatório oficial da composição SBC / código 110460</t>
  </si>
  <si>
    <t>Relatório oficial da composição SINAPI / código 98557</t>
  </si>
  <si>
    <t>Relatório oficial da composição SINAPI / código 96546</t>
  </si>
  <si>
    <t>Relatório oficial da composição SINAPI / código 96536</t>
  </si>
  <si>
    <t>Relatório oficial da composição SINAPI / código 90790</t>
  </si>
  <si>
    <t>Relatório oficial da composição SINAPI / código 98567</t>
  </si>
  <si>
    <t>Relatório oficial da composição SINAPI / código 103273</t>
  </si>
  <si>
    <t>Relatório oficial da composição EMOP / código 02.004.00050</t>
  </si>
  <si>
    <t>Relatório oficial da composição SINAPI / código 10527</t>
  </si>
  <si>
    <t>Relatório oficial da composição EMOP / código 11.004.00201</t>
  </si>
  <si>
    <t>Relatório oficial da composição SINAPI / código 103271</t>
  </si>
  <si>
    <t>Relatório oficial da composição EMOP / código 15.018.05550</t>
  </si>
  <si>
    <t>Relatório oficial da composição SINAPI / código 20193</t>
  </si>
  <si>
    <t>Relação de compromissos assumidos - modelo para atender subitens econômico-financeiros</t>
  </si>
  <si>
    <t>Contratante</t>
  </si>
  <si>
    <t>Contrato/Empenho</t>
  </si>
  <si>
    <t xml:space="preserve">Assinatura do Contrato </t>
  </si>
  <si>
    <t>Inicio da obra</t>
  </si>
  <si>
    <t>Valor contratado</t>
  </si>
  <si>
    <t>Valor executado/medido</t>
  </si>
  <si>
    <t>Saldo remanescente</t>
  </si>
  <si>
    <t>Vigência/Prazo</t>
  </si>
  <si>
    <t>Situação</t>
  </si>
  <si>
    <t>CEHAB/RJ - Petrópolis</t>
  </si>
  <si>
    <t>065/2022</t>
  </si>
  <si>
    <t>Serviços contínuos de manutenção, conservação e recuperação urbana e habitacional em áreas de comunidades de baixa renda e interesse social.</t>
  </si>
  <si>
    <t>EM andamento</t>
  </si>
  <si>
    <r>
      <rPr>
        <b/>
        <sz val="10"/>
        <color rgb="FF000000"/>
        <rFont val="Times New Roman"/>
        <family val="1"/>
      </rPr>
      <t xml:space="preserve">Esse contrato teve renovação </t>
    </r>
    <r>
      <rPr>
        <sz val="10"/>
        <color rgb="FF000000"/>
        <rFont val="Times New Roman"/>
        <family val="1"/>
      </rPr>
      <t>-Comprova gestão de serviços continuados, frentes múltiplas, mão de obra, equipamentos, medições e fiscalização pública.</t>
    </r>
  </si>
  <si>
    <t>Contrato 066/2022 - CEHAB/RJ - Rio Claro</t>
  </si>
  <si>
    <t>066/2022</t>
  </si>
  <si>
    <t>Construção de 32 unidades habitacionais e respectiva infraestrutura de urbanização, com administração local, serviços preliminares, terraplenagem, redes de água/esgoto, pavimentação, urbanismo, paisagismo, muros, projetos e as built.</t>
  </si>
  <si>
    <t xml:space="preserve">Obra no aguardo do pagamento das medições e entrando na fase de entrega </t>
  </si>
  <si>
    <t>Contrato - CEHAB/RJ - Village Brisamar</t>
  </si>
  <si>
    <t xml:space="preserve">078/2023 </t>
  </si>
  <si>
    <t>Recuperação de conjunto residencial com 24 blocos multifamiliares e 400 apartamentos, incluindo serviços preliminares, recuperação de fachadas, tratamento superficial, pisos, cobertura, drenagem, instalações e manutenção.</t>
  </si>
  <si>
    <t>10 meses</t>
  </si>
  <si>
    <t xml:space="preserve">Obra no aguardo do pagamento das medições.em fase de entrega e entrando na fase de entrega </t>
  </si>
  <si>
    <t>Contrato- Município de Itaguaí - CIEP 497</t>
  </si>
  <si>
    <t xml:space="preserve"> 066/2025 </t>
  </si>
  <si>
    <t>Reforma da quadra, vestiários e demais necessidades de infraestrutura escolar, com demolições, revestimentos, esquadrias, cobertura, instalações sanitárias, elétricas, pintura, incêndio e serviços correlatos.</t>
  </si>
  <si>
    <t>8 meses</t>
  </si>
  <si>
    <t>Paralizado a pedido da Prefeitura</t>
  </si>
  <si>
    <t xml:space="preserve">Colégio Naval </t>
  </si>
  <si>
    <t>662300/2025</t>
  </si>
  <si>
    <t xml:space="preserve"> recuperação da cobertura metálica e rede elétrica do GINÁSIO do Colégio Naval </t>
  </si>
  <si>
    <t>7 meses</t>
  </si>
  <si>
    <t>Detalhamento</t>
  </si>
  <si>
    <t>Fonte técnica</t>
  </si>
  <si>
    <t>CPU-FINAL-0001</t>
  </si>
  <si>
    <t>MÃO DE OBRA</t>
  </si>
  <si>
    <t>Equipe de fundação/perfuração, operador e ajudantes, com encargos</t>
  </si>
  <si>
    <t>Relatório oficial SINAPI 12/2025 - RJ, composição/insumo 100652</t>
  </si>
  <si>
    <t>Anexo CPU-4.2.1: relatório oficial da composição da base + planilha BDI/encargos</t>
  </si>
  <si>
    <t>ABERTO POR NATUREZA</t>
  </si>
  <si>
    <t>Custo direto aberto por natureza. Base de fechamento calculada a partir do preço unitário com BDI informado na proposta.</t>
  </si>
  <si>
    <t>INSUMOS</t>
  </si>
  <si>
    <t>Concreto, aço/armadura mínima, argamassa ou material incorporado</t>
  </si>
  <si>
    <t>EQUIPAMENTOS</t>
  </si>
  <si>
    <t>Perfuratriz, ferramentas de perfuração, compressor/equipamento de apoio</t>
  </si>
  <si>
    <t>TRANSPORTE / MOBILIZAÇÃO</t>
  </si>
  <si>
    <t>Deslocamento interno, carga/descarga e apoio logístico</t>
  </si>
  <si>
    <t>EPI / FERRAMENTAS / PERDAS</t>
  </si>
  <si>
    <t>EPI, desgaste de ferramentas e perdas operacionais</t>
  </si>
  <si>
    <t>SUBTOTAL CUSTO DIRETO</t>
  </si>
  <si>
    <t>Soma das parcelas analíticas acima</t>
  </si>
  <si>
    <t>Subtotal da CPU. VU s/BDI apresentado na planilha: R$ 210.705000; fechamento técnico pelo VU c/BDI.</t>
  </si>
  <si>
    <t>CPU-FINAL-0002</t>
  </si>
  <si>
    <t>Corte, dobra, montagem, lançamento ou instalação</t>
  </si>
  <si>
    <t>Composição própria / cotação de fornecedor / memória técnica, código COMP. MACAÉ 33</t>
  </si>
  <si>
    <t>Anexo CPU-41918: cotação de materiais elétricos/cabos + memória de mão de obra</t>
  </si>
  <si>
    <t>Aço/cabo/condutor e acessórios de fixação/conexão</t>
  </si>
  <si>
    <t>EQUIPAMENTOS / FERRAMENTAS</t>
  </si>
  <si>
    <t>Ferramentas manuais, equipamentos de corte/dobra e apoio</t>
  </si>
  <si>
    <t>EPI / PERDAS</t>
  </si>
  <si>
    <t>EPIs e perdas técnicas de montagem/instalação</t>
  </si>
  <si>
    <t>Subtotal da CPU. VU s/BDI apresentado na planilha: R$ 339.135000; fechamento técnico pelo VU c/BDI.</t>
  </si>
  <si>
    <t>CPU-FINAL-0003</t>
  </si>
  <si>
    <t>Equipe de lançamento, adensamento, acabamento e apoio</t>
  </si>
  <si>
    <t>Catálogo EMOP 12/2025 - RJ, composição 13.331.00200</t>
  </si>
  <si>
    <t>Anexo CPU-6.6.4: relatório oficial da composição da base + planilha BDI/encargos</t>
  </si>
  <si>
    <t>Concreto/argamassa, cimento, areia, brita, aditivos e materiais incorporados</t>
  </si>
  <si>
    <t>Betoneira, bomba, vibrador, ferramentas e equipamentos de apoio</t>
  </si>
  <si>
    <t>EPI / CONTROLE / PERDAS</t>
  </si>
  <si>
    <t>EPIs, perdas, controle tecnológico e limpeza</t>
  </si>
  <si>
    <t>Subtotal da CPU. VU s/BDI apresentado na planilha: R$ 135.427500; fechamento técnico pelo VU c/BDI.</t>
  </si>
  <si>
    <t>CPU-FINAL-0004</t>
  </si>
  <si>
    <t>Montagem, desmontagem, ajuste, reaproveitamento e limpeza</t>
  </si>
  <si>
    <t>Relatório oficial SINAPI 12/2025 - RJ, composição/insumo 92473</t>
  </si>
  <si>
    <t>Anexo CPU-5.3.1: relatório oficial da composição da base + planilha BDI/encargos</t>
  </si>
  <si>
    <t>Madeira, chapa, pregos, peças metálicas e materiais de fixação</t>
  </si>
  <si>
    <t>Equipamentos/ferramentas de montagem e movimentação</t>
  </si>
  <si>
    <t>EPIs, desgaste de ferramentas e perdas</t>
  </si>
  <si>
    <t>Subtotal da CPU. VU s/BDI apresentado na planilha: R$ 113.572500; fechamento técnico pelo VU c/BDI.</t>
  </si>
  <si>
    <t>CPU-FINAL-0005</t>
  </si>
  <si>
    <t>Salário/base mensal ou horária do profissional</t>
  </si>
  <si>
    <t>Catálogo EMOP 12/2025 - RJ, composição 05.105.02040</t>
  </si>
  <si>
    <t>Anexo CPU-2.1.5: relatório oficial da composição da base + planilha BDI/encargos</t>
  </si>
  <si>
    <t>ENCARGOS SOCIAIS E COMPLEMENTARES</t>
  </si>
  <si>
    <t>Encargos sociais não desonerados, benefícios e encargos complementares</t>
  </si>
  <si>
    <t>FERRAMENTAS / EPI / DESPESAS DE APOIO</t>
  </si>
  <si>
    <t>EPIs, uniformes, exames, comunicação e apoio operacional</t>
  </si>
  <si>
    <t>Subtotal da CPU. VU s/BDI apresentado na planilha: R$ 10762.275000; fechamento técnico pelo VU c/BDI.</t>
  </si>
  <si>
    <t>CPU-FINAL-0006</t>
  </si>
  <si>
    <t>Relatório oficial SINAPI 12/2025 - RJ, composição/insumo 90777</t>
  </si>
  <si>
    <t>Anexo CPU-2.1.2: relatório oficial da composição da base + planilha BDI/encargos</t>
  </si>
  <si>
    <t>Subtotal da CPU. VU s/BDI apresentado na planilha: R$ 109.582500; fechamento técnico pelo VU c/BDI.</t>
  </si>
  <si>
    <t>CPU-FINAL-0007</t>
  </si>
  <si>
    <t>Instalação, corte, montagem, fixação e testes</t>
  </si>
  <si>
    <t>Relatório oficial SINAPI 12/2025 - RJ, composição/insumo 94216</t>
  </si>
  <si>
    <t>Anexo CPU-40547: relatório oficial da composição da base + planilha BDI/encargos</t>
  </si>
  <si>
    <t>Tubos, conexões, cabos, peças, suportes, acessórios e materiais incorporados</t>
  </si>
  <si>
    <t>Ferramentas, andaimes leves, instrumentos de teste e apoio</t>
  </si>
  <si>
    <t>TRANSPORTE / EPI / PERDAS</t>
  </si>
  <si>
    <t>Transporte interno, EPIs e perdas técnicas</t>
  </si>
  <si>
    <t>Subtotal da CPU. VU s/BDI apresentado na planilha: R$ 133.290000; fechamento técnico pelo VU c/BDI.</t>
  </si>
  <si>
    <t>CPU-FINAL-0008</t>
  </si>
  <si>
    <t>Relatório oficial SINAPI 12/2025 - RJ, composição/insumo 92510</t>
  </si>
  <si>
    <t>Anexo CPU-5.3.2: relatório oficial da composição da base + planilha BDI/encargos</t>
  </si>
  <si>
    <t>Subtotal da CPU. VU s/BDI apresentado na planilha: R$ 57.885000; fechamento técnico pelo VU c/BDI.</t>
  </si>
  <si>
    <t>CPU-FINAL-0009</t>
  </si>
  <si>
    <t>Relatório oficial SINAPI 12/2025 - RJ, composição/insumo 39512</t>
  </si>
  <si>
    <t>Anexo CPU-6.5.1: relatório oficial da composição da base + planilha BDI/encargos</t>
  </si>
  <si>
    <t>Subtotal da CPU. VU s/BDI apresentado na planilha: R$ 92.970000; fechamento técnico pelo VU c/BDI.</t>
  </si>
  <si>
    <t>CPU-FINAL-0010</t>
  </si>
  <si>
    <t>Relatório oficial SINAPI 12/2025 - RJ, composição/insumo 97064</t>
  </si>
  <si>
    <t>Anexo CPU-2.3.2: relatório oficial da composição da base + planilha BDI/encargos</t>
  </si>
  <si>
    <t>Subtotal da CPU. VU s/BDI apresentado na planilha: R$ 32.040000; fechamento técnico pelo VU c/BDI.</t>
  </si>
  <si>
    <t>CPU-FINAL-0011</t>
  </si>
  <si>
    <t>Relatório oficial SINAPI 12/2025 - RJ, composição/insumo 93572</t>
  </si>
  <si>
    <t>Anexo CPU-2.1.1: relatório oficial da composição da base + planilha BDI/encargos</t>
  </si>
  <si>
    <t>Subtotal da CPU. VU s/BDI apresentado na planilha: R$ 7867.725000; fechamento técnico pelo VU c/BDI.</t>
  </si>
  <si>
    <t>CPU-FINAL-0012</t>
  </si>
  <si>
    <t>Relatório oficial SINAPI 12/2025 - RJ, composição/insumo 97111</t>
  </si>
  <si>
    <t>Anexo CPU-6.7.2: relatório oficial da composição da base + planilha BDI/encargos</t>
  </si>
  <si>
    <t>Subtotal da CPU. VU s/BDI apresentado na planilha: R$ 153.900000; fechamento técnico pelo VU c/BDI.</t>
  </si>
  <si>
    <t>CPU-FINAL-0013</t>
  </si>
  <si>
    <t>Catálogo EMOP 12/2025 - RJ, composição 18.030.00300</t>
  </si>
  <si>
    <t>Anexo CPU-40215: relatório oficial da composição da base + planilha BDI/encargos</t>
  </si>
  <si>
    <t>Subtotal da CPU. VU s/BDI apresentado na planilha: R$ 60936.967500; fechamento técnico pelo VU c/BDI.</t>
  </si>
  <si>
    <t>CPU-FINAL-0014</t>
  </si>
  <si>
    <t>Relatório oficial SINAPI 12/2025 - RJ, composição/insumo 104217</t>
  </si>
  <si>
    <t>Anexo CPU-6.3.2: relatório oficial da composição da base + planilha BDI/encargos</t>
  </si>
  <si>
    <t>Subtotal da CPU. VU s/BDI apresentado na planilha: R$ 50.722500; fechamento técnico pelo VU c/BDI.</t>
  </si>
  <si>
    <t>CPU-FINAL-0015</t>
  </si>
  <si>
    <t>Preparação, assentamento, fixação, rejuntamento, acabamento e limpeza</t>
  </si>
  <si>
    <t>Composição própria / cotação de fornecedor / memória técnica, código COMP. MACAÉ 17</t>
  </si>
  <si>
    <t>Anexo CPU-6.4.2: cotação do material principal + transporte + instalação</t>
  </si>
  <si>
    <t>Material principal, argamassa/cola, rejunte, ferragens, perfis e acessórios</t>
  </si>
  <si>
    <t>Ferramentas de corte, nivelamento, fixação e equipamentos de apoio</t>
  </si>
  <si>
    <t>TRANSPORTE / PERDAS / EPI</t>
  </si>
  <si>
    <t>Transporte interno, perdas técnicas, EPIs e limpeza</t>
  </si>
  <si>
    <t>Subtotal da CPU. VU s/BDI apresentado na planilha: R$ 175.582500; fechamento técnico pelo VU c/BDI.</t>
  </si>
  <si>
    <t>CPU-FINAL-0016</t>
  </si>
  <si>
    <t>Relatório oficial SINAPI 12/2025 - RJ, composição/insumo 101390</t>
  </si>
  <si>
    <t>Anexo CPU-2.1.3: relatório oficial da composição da base + planilha BDI/encargos</t>
  </si>
  <si>
    <t>Subtotal da CPU. VU s/BDI apresentado na planilha: R$ 6406.687500; fechamento técnico pelo VU c/BDI.</t>
  </si>
  <si>
    <t>CPU-FINAL-0017</t>
  </si>
  <si>
    <t>Catálogo EMOP 12/2025 - RJ, composição 14.004.00730</t>
  </si>
  <si>
    <t>Anexo CPU-8.2.5: relatório oficial da composição da base + planilha BDI/encargos</t>
  </si>
  <si>
    <t>Subtotal da CPU. VU s/BDI apresentado na planilha: R$ 485.122500; fechamento técnico pelo VU c/BDI.</t>
  </si>
  <si>
    <t>CPU-FINAL-0018</t>
  </si>
  <si>
    <t>MÃO DE OBRA TÉCNICA</t>
  </si>
  <si>
    <t>Equipe técnica: engenheiro/arquiteto/projetista, coordenação e compatibilização</t>
  </si>
  <si>
    <t>Catálogo EMOP 12/2025 - RJ, composição 01.050.03560</t>
  </si>
  <si>
    <t>Anexo CPU-1.1.1: relatório oficial da composição da base + planilha BDI/encargos</t>
  </si>
  <si>
    <t>ENCARGOS / DESPESAS TÉCNICAS</t>
  </si>
  <si>
    <t>Encargos, ART/RRT, legalizações, revisões e emissão documental</t>
  </si>
  <si>
    <t>DESPESAS OPERACIONAIS</t>
  </si>
  <si>
    <t>Impressões, softwares, plotagens, comunicação e controle documental</t>
  </si>
  <si>
    <t>Subtotal da CPU. VU s/BDI apresentado na planilha: R$ 64.792500; fechamento técnico pelo VU c/BDI.</t>
  </si>
  <si>
    <t>CPU-FINAL-0019</t>
  </si>
  <si>
    <t>Relatório oficial SINAPI 12/2025 - RJ, composição/insumo 101792</t>
  </si>
  <si>
    <t>Anexo CPU-5.3.3: relatório oficial da composição da base + planilha BDI/encargos</t>
  </si>
  <si>
    <t>Subtotal da CPU. VU s/BDI apresentado na planilha: R$ 15.900000; fechamento técnico pelo VU c/BDI.</t>
  </si>
  <si>
    <t>CPU-FINAL-0020</t>
  </si>
  <si>
    <t>Catálogo EMOP 12/2025 - RJ, composição 18.027.05180</t>
  </si>
  <si>
    <t>Anexo CPU-40399: relatório oficial da composição da base + planilha BDI/encargos</t>
  </si>
  <si>
    <t>Subtotal da CPU. VU s/BDI apresentado na planilha: R$ 225.367500; fechamento técnico pelo VU c/BDI.</t>
  </si>
  <si>
    <t>CPU-FINAL-0021</t>
  </si>
  <si>
    <t>Catálogo EMOP 12/2025 - RJ, composição 13.168.00100</t>
  </si>
  <si>
    <t>Anexo CPU-8.3.5: relatório oficial da composição da base + planilha BDI/encargos</t>
  </si>
  <si>
    <t>Subtotal da CPU. VU s/BDI apresentado na planilha: R$ 712.500000; fechamento técnico pelo VU c/BDI.</t>
  </si>
  <si>
    <t>CPU-FINAL-0022</t>
  </si>
  <si>
    <t>Instalação, fixação, ligação, testes e comissionamento</t>
  </si>
  <si>
    <t>Relatório oficial SINAPI 12/2025 - RJ, composição/insumo 103269</t>
  </si>
  <si>
    <t>Anexo CPU-40211: relatório oficial da composição da base + planilha BDI/encargos</t>
  </si>
  <si>
    <t>INSUMOS / EQUIPAMENTOS</t>
  </si>
  <si>
    <t>Equipamento/material principal e acessórios</t>
  </si>
  <si>
    <t>FERRAMENTAS / TESTES</t>
  </si>
  <si>
    <t>Ferramentas, instrumentos de teste e apoio</t>
  </si>
  <si>
    <t>Transporte, EPIs e perdas técnicas</t>
  </si>
  <si>
    <t>Subtotal da CPU. VU s/BDI apresentado na planilha: R$ 6224.715000; fechamento técnico pelo VU c/BDI.</t>
  </si>
  <si>
    <t>CPU-FINAL-0023</t>
  </si>
  <si>
    <t>Boletim CPOS/CDHU 09/2025 - SP, código 14.30.843</t>
  </si>
  <si>
    <t>Anexo CPU-6.2.4: relatório oficial da composição da base + planilha BDI/encargos</t>
  </si>
  <si>
    <t>Subtotal da CPU. VU s/BDI apresentado na planilha: R$ 1075.957500; fechamento técnico pelo VU c/BDI.</t>
  </si>
  <si>
    <t>CPU-FINAL-0024</t>
  </si>
  <si>
    <t>Relatório oficial SINAPI 12/2025 - RJ, composição/insumo 103267</t>
  </si>
  <si>
    <t>Anexo CPU-40210: relatório oficial da composição da base + planilha BDI/encargos</t>
  </si>
  <si>
    <t>Subtotal da CPU. VU s/BDI apresentado na planilha: R$ 5068.102500; fechamento técnico pelo VU c/BDI.</t>
  </si>
  <si>
    <t>CPU-FINAL-0025</t>
  </si>
  <si>
    <t>Composição própria / cotação de fornecedor / memória técnica, código COMP. MACAÉ 4</t>
  </si>
  <si>
    <t>Anexo CPU-42127: memória de composição própria + cotação do fornecedor</t>
  </si>
  <si>
    <t>Subtotal da CPU. VU s/BDI apresentado na planilha: R$ 521.820000; fechamento técnico pelo VU c/BDI.</t>
  </si>
  <si>
    <t>CPU-FINAL-0026</t>
  </si>
  <si>
    <t>Equipe de execução com encargos sociais e complementares</t>
  </si>
  <si>
    <t>Relatório oficial SINAPI 12/2025 - RJ, composição/insumo 98547</t>
  </si>
  <si>
    <t>Anexo CPU-40577: relatório oficial da composição da base + planilha BDI/encargos</t>
  </si>
  <si>
    <t>Materiais incorporados ao serviço</t>
  </si>
  <si>
    <t>Equipamentos, ferramentas, apoio e depreciação</t>
  </si>
  <si>
    <t>Transporte, EPIs, perdas e limpeza</t>
  </si>
  <si>
    <t>Subtotal da CPU. VU s/BDI apresentado na planilha: R$ 212.550000; fechamento técnico pelo VU c/BDI.</t>
  </si>
  <si>
    <t>CPU-FINAL-0027</t>
  </si>
  <si>
    <t>Relatório oficial SINAPI 12/2025 - RJ, composição/insumo 92769</t>
  </si>
  <si>
    <t>Anexo CPU-40666: relatório oficial da composição da base + planilha BDI/encargos</t>
  </si>
  <si>
    <t>Subtotal da CPU. VU s/BDI apresentado na planilha: R$ 10.080000; fechamento técnico pelo VU c/BDI.</t>
  </si>
  <si>
    <t>CPU-FINAL-0028</t>
  </si>
  <si>
    <t>Preparação de superfície, aplicação, lixamento e acabamento</t>
  </si>
  <si>
    <t>Relatório oficial SINAPI 12/2025 - RJ, composição/insumo 100759</t>
  </si>
  <si>
    <t>Anexo CPU-7.2.3: relatório oficial da composição da base + planilha BDI/encargos</t>
  </si>
  <si>
    <t>Tintas, massas, seladores, solventes e materiais incorporados</t>
  </si>
  <si>
    <t>EQUIPAMENTOS / FERRAMENTAS / EPI</t>
  </si>
  <si>
    <t>Rolos, pincéis, lixas, bandejas, EPIs e perdas</t>
  </si>
  <si>
    <t>Subtotal da CPU. VU s/BDI apresentado na planilha: R$ 50.662500; fechamento técnico pelo VU c/BDI.</t>
  </si>
  <si>
    <t>CPU-FINAL-0029</t>
  </si>
  <si>
    <t>Composição SBC 12/2025 - RJ, código 171843</t>
  </si>
  <si>
    <t>Anexo CPU-6.7.5: relatório oficial da composição da base + planilha BDI/encargos</t>
  </si>
  <si>
    <t>Subtotal da CPU. VU s/BDI apresentado na planilha: R$ 138.817500; fechamento técnico pelo VU c/BDI.</t>
  </si>
  <si>
    <t>CPU-FINAL-0030</t>
  </si>
  <si>
    <t>Relatório oficial SINAPI 12/2025 - RJ, composição/insumo 96359</t>
  </si>
  <si>
    <t>Anexo CPU-6.2.1: relatório oficial da composição da base + planilha BDI/encargos</t>
  </si>
  <si>
    <t>Subtotal da CPU. VU s/BDI apresentado na planilha: R$ 83.317500; fechamento técnico pelo VU c/BDI.</t>
  </si>
  <si>
    <t>CPU-FINAL-0031</t>
  </si>
  <si>
    <t>Catálogo EMOP 12/2025 - RJ, composição 14.003.01490</t>
  </si>
  <si>
    <t>Anexo CPU-40756: relatório oficial da composição da base + planilha BDI/encargos</t>
  </si>
  <si>
    <t>Subtotal da CPU. VU s/BDI apresentado na planilha: R$ 875.850000; fechamento técnico pelo VU c/BDI.</t>
  </si>
  <si>
    <t>CPU-FINAL-0032</t>
  </si>
  <si>
    <t>Composição SBC 12/2025 - RJ, código 90120</t>
  </si>
  <si>
    <t>Anexo CPU-8.4.2: relatório oficial da composição da base + planilha BDI/encargos</t>
  </si>
  <si>
    <t>Subtotal da CPU. VU s/BDI apresentado na planilha: R$ 369.075000; fechamento técnico pelo VU c/BDI.</t>
  </si>
  <si>
    <t>CPU-FINAL-0033</t>
  </si>
  <si>
    <t>Catálogo EMOP 12/2025 - RJ, composição 15.011.00790</t>
  </si>
  <si>
    <t>Anexo CPU-40269: relatório oficial da composição da base + planilha BDI/encargos</t>
  </si>
  <si>
    <t>Subtotal da CPU. VU s/BDI apresentado na planilha: R$ 63435.345000; fechamento técnico pelo VU c/BDI.</t>
  </si>
  <si>
    <t>CPU-FINAL-0034</t>
  </si>
  <si>
    <t>Relatório oficial SINAPI 12/2025 - RJ, composição/insumo 92398</t>
  </si>
  <si>
    <t>Anexo CPU-6.7.1: relatório oficial da composição da base + planilha BDI/encargos</t>
  </si>
  <si>
    <t>Subtotal da CPU. VU s/BDI apresentado na planilha: R$ 73.710000; fechamento técnico pelo VU c/BDI.</t>
  </si>
  <si>
    <t>CPU-FINAL-0035</t>
  </si>
  <si>
    <t>Relatório oficial SINAPI 12/2025 - RJ, composição/insumo 103318</t>
  </si>
  <si>
    <t>Anexo CPU-6.1.3: relatório oficial da composição da base + planilha BDI/encargos</t>
  </si>
  <si>
    <t>Subtotal da CPU. VU s/BDI apresentado na planilha: R$ 82.717500; fechamento técnico pelo VU c/BDI.</t>
  </si>
  <si>
    <t>CPU-FINAL-0036</t>
  </si>
  <si>
    <t>Composição própria / cotação de fornecedor / memória técnica, código COMP. MACAÉ 18</t>
  </si>
  <si>
    <t>Anexo CPU-6.2.2: memória de composição própria + cotação do fornecedor</t>
  </si>
  <si>
    <t>Subtotal da CPU. VU s/BDI apresentado na planilha: R$ 95.475000; fechamento técnico pelo VU c/BDI.</t>
  </si>
  <si>
    <t>CPU-FINAL-0037</t>
  </si>
  <si>
    <t>Composição própria / cotação de fornecedor / memória técnica, código COMP. MACAÉ 20</t>
  </si>
  <si>
    <t>Anexo CPU-6.4.1: cotação do material principal + transporte + instalação</t>
  </si>
  <si>
    <t>Subtotal da CPU. VU s/BDI apresentado na planilha: R$ 447.855000; fechamento técnico pelo VU c/BDI.</t>
  </si>
  <si>
    <t>CPU-FINAL-0038</t>
  </si>
  <si>
    <t>Relatório oficial SINAPI 12/2025 - RJ, composição/insumo 91928</t>
  </si>
  <si>
    <t>Anexo CPU-40330: relatório oficial da composição da base + planilha BDI/encargos</t>
  </si>
  <si>
    <t>Subtotal da CPU. VU s/BDI apresentado na planilha: R$ 5.760000; fechamento técnico pelo VU c/BDI.</t>
  </si>
  <si>
    <t>CPU-FINAL-0039</t>
  </si>
  <si>
    <t>Relatório oficial SINAPI 12/2025 - RJ, composição/insumo 92419</t>
  </si>
  <si>
    <t>Anexo CPU-5.2.1: relatório oficial da composição da base + planilha BDI/encargos</t>
  </si>
  <si>
    <t>Subtotal da CPU. VU s/BDI apresentado na planilha: R$ 83.595000; fechamento técnico pelo VU c/BDI.</t>
  </si>
  <si>
    <t>CPU-FINAL-0040</t>
  </si>
  <si>
    <t>Relatório oficial SINAPI 12/2025 - RJ, composição/insumo 92768</t>
  </si>
  <si>
    <t>Anexo CPU-40301: relatório oficial da composição da base + planilha BDI/encargos</t>
  </si>
  <si>
    <t>Subtotal da CPU. VU s/BDI apresentado na planilha: R$ 11.280000; fechamento técnico pelo VU c/BDI.</t>
  </si>
  <si>
    <t>CPU-FINAL-0041</t>
  </si>
  <si>
    <t>Composição SBC 12/2025 - RJ, código 121085</t>
  </si>
  <si>
    <t>Anexo CPU-6.3.5: relatório oficial da composição da base + planilha BDI/encargos</t>
  </si>
  <si>
    <t>Subtotal da CPU. VU s/BDI apresentado na planilha: R$ 41.467500; fechamento técnico pelo VU c/BDI.</t>
  </si>
  <si>
    <t>CPU-FINAL-0042</t>
  </si>
  <si>
    <t>Catálogo EMOP 12/2025 - RJ, composição 01.050.05520</t>
  </si>
  <si>
    <t>Anexo CPU-1.1.2: relatório oficial da composição da base + planilha BDI/encargos</t>
  </si>
  <si>
    <t>Subtotal da CPU. VU s/BDI apresentado na planilha: R$ 36.255000; fechamento técnico pelo VU c/BDI.</t>
  </si>
  <si>
    <t>CPU-FINAL-0043</t>
  </si>
  <si>
    <t>Relatório oficial SINAPI 12/2025 - RJ, composição/insumo 103322</t>
  </si>
  <si>
    <t>Anexo CPU-6.1.1: relatório oficial da composição da base + planilha BDI/encargos</t>
  </si>
  <si>
    <t>Subtotal da CPU. VU s/BDI apresentado na planilha: R$ 54.157500; fechamento técnico pelo VU c/BDI.</t>
  </si>
  <si>
    <t>CPU-FINAL-0044</t>
  </si>
  <si>
    <t>Catálogo EMOP 12/2025 - RJ, composição 13.157.00100</t>
  </si>
  <si>
    <t>Anexo CPU-6.2.3: relatório oficial da composição da base + planilha BDI/encargos</t>
  </si>
  <si>
    <t>Subtotal da CPU. VU s/BDI apresentado na planilha: R$ 34.507500; fechamento técnico pelo VU c/BDI.</t>
  </si>
  <si>
    <t>CPU-FINAL-0045</t>
  </si>
  <si>
    <t>Catálogo EMOP 12/2025 - RJ, composição 14.003.01630</t>
  </si>
  <si>
    <t>Anexo CPU-8.2.6: relatório oficial da composição da base + planilha BDI/encargos</t>
  </si>
  <si>
    <t>Subtotal da CPU. VU s/BDI apresentado na planilha: R$ 321.472500; fechamento técnico pelo VU c/BDI.</t>
  </si>
  <si>
    <t>CPU-FINAL-0046</t>
  </si>
  <si>
    <t>Composição SBC 12/2025 - RJ, código 200503</t>
  </si>
  <si>
    <t>Anexo CPU-8.4.4: relatório oficial da composição da base + planilha BDI/encargos</t>
  </si>
  <si>
    <t>Subtotal da CPU. VU s/BDI apresentado na planilha: R$ 215.715000; fechamento técnico pelo VU c/BDI.</t>
  </si>
  <si>
    <t>CPU-FINAL-0047</t>
  </si>
  <si>
    <t>Relatório oficial SINAPI 12/2025 - RJ, composição/insumo 101966</t>
  </si>
  <si>
    <t>Anexo CPU-6.8.2: relatório oficial da composição da base + planilha BDI/encargos</t>
  </si>
  <si>
    <t>Subtotal da CPU. VU s/BDI apresentado na planilha: R$ 132.037500; fechamento técnico pelo VU c/BDI.</t>
  </si>
  <si>
    <t>CPU-FINAL-0048</t>
  </si>
  <si>
    <t>Relatório oficial SINAPI 12/2025 - RJ, composição/insumo 92770</t>
  </si>
  <si>
    <t>Anexo CPU-41032: relatório oficial da composição da base + planilha BDI/encargos</t>
  </si>
  <si>
    <t>Subtotal da CPU. VU s/BDI apresentado na planilha: R$ 9.082500; fechamento técnico pelo VU c/BDI.</t>
  </si>
  <si>
    <t>CPU-FINAL-0049</t>
  </si>
  <si>
    <t>Catálogo EMOP 12/2025 - RJ, composição 18.030.00270</t>
  </si>
  <si>
    <t>Anexo CPU-40214: relatório oficial da composição da base + planilha BDI/encargos</t>
  </si>
  <si>
    <t>Subtotal da CPU. VU s/BDI apresentado na planilha: R$ 44898.210000; fechamento técnico pelo VU c/BDI.</t>
  </si>
  <si>
    <t>CPU-FINAL-0050</t>
  </si>
  <si>
    <t>Relatório oficial SINAPI 12/2025 - RJ, composição/insumo 87273</t>
  </si>
  <si>
    <t>Anexo CPU-6.3.4: relatório oficial da composição da base + planilha BDI/encargos</t>
  </si>
  <si>
    <t>Subtotal da CPU. VU s/BDI apresentado na planilha: R$ 60.120000; fechamento técnico pelo VU c/BDI.</t>
  </si>
  <si>
    <t>CPU-FINAL-0051</t>
  </si>
  <si>
    <t>Relatório oficial SINAPI 12/2025 - RJ, composição/insumo 88497</t>
  </si>
  <si>
    <t>Anexo CPU-7.1.2: relatório oficial da composição da base + planilha BDI/encargos</t>
  </si>
  <si>
    <t>Subtotal da CPU. VU s/BDI apresentado na planilha: R$ 18.037500; fechamento técnico pelo VU c/BDI.</t>
  </si>
  <si>
    <t>CPU-FINAL-0052</t>
  </si>
  <si>
    <t>Relatório oficial SINAPI 12/2025 - RJ, composição/insumo 102253</t>
  </si>
  <si>
    <t>Anexo CPU-6.2.5: relatório oficial da composição da base + planilha BDI/encargos</t>
  </si>
  <si>
    <t>Subtotal da CPU. VU s/BDI apresentado na planilha: R$ 805.417500; fechamento técnico pelo VU c/BDI.</t>
  </si>
  <si>
    <t>CPU-FINAL-0053</t>
  </si>
  <si>
    <t>Relatório oficial SINAPI 12/2025 - RJ, composição/insumo 87630</t>
  </si>
  <si>
    <t>Anexo CPU-6.6.1: relatório oficial da composição da base + planilha BDI/encargos</t>
  </si>
  <si>
    <t>Subtotal da CPU. VU s/BDI apresentado na planilha: R$ 34.072500; fechamento técnico pelo VU c/BDI.</t>
  </si>
  <si>
    <t>CPU-FINAL-0054</t>
  </si>
  <si>
    <t>Composição própria / cotação de fornecedor / memória técnica, código COMP.MACAÉ 29</t>
  </si>
  <si>
    <t>Anexo CPU-6.4.3: cotação do material principal + transporte + instalação</t>
  </si>
  <si>
    <t>Subtotal da CPU. VU s/BDI apresentado na planilha: R$ 281.805000; fechamento técnico pelo VU c/BDI.</t>
  </si>
  <si>
    <t>CPU-FINAL-0055</t>
  </si>
  <si>
    <t>Relatório oficial SINAPI 12/2025 - RJ, composição/insumo 87535</t>
  </si>
  <si>
    <t>Anexo CPU-6.3.3: relatório oficial da composição da base + planilha BDI/encargos</t>
  </si>
  <si>
    <t>Subtotal da CPU. VU s/BDI apresentado na planilha: R$ 31.807500; fechamento técnico pelo VU c/BDI.</t>
  </si>
  <si>
    <t>CPU-FINAL-0056</t>
  </si>
  <si>
    <t>Anexo CPU-5.6.3: relatório oficial da composição da base + planilha BDI/encargos</t>
  </si>
  <si>
    <t>CPU-FINAL-0057</t>
  </si>
  <si>
    <t>Relatório oficial SINAPI 12/2025 - RJ, composição/insumo 92998</t>
  </si>
  <si>
    <t>Anexo CPU-41188: relatório oficial da composição da base + planilha BDI/encargos</t>
  </si>
  <si>
    <t>Subtotal da CPU. VU s/BDI apresentado na planilha: R$ 149.167500; fechamento técnico pelo VU c/BDI.</t>
  </si>
  <si>
    <t>CPU-FINAL-0058</t>
  </si>
  <si>
    <t>Relatório oficial SINAPI 12/2025 - RJ, composição/insumo 93000</t>
  </si>
  <si>
    <t>Anexo CPU-41553: relatório oficial da composição da base + planilha BDI/encargos</t>
  </si>
  <si>
    <t>Subtotal da CPU. VU s/BDI apresentado na planilha: R$ 197.212500; fechamento técnico pelo VU c/BDI.</t>
  </si>
  <si>
    <t>CPU-FINAL-0059</t>
  </si>
  <si>
    <t>Relatório oficial SINAPI 12/2025 - RJ, composição/insumo 96557</t>
  </si>
  <si>
    <t>Anexo CPU-40664: relatório oficial da composição da base + planilha BDI/encargos</t>
  </si>
  <si>
    <t>Subtotal da CPU. VU s/BDI apresentado na planilha: R$ 551.955000; fechamento técnico pelo VU c/BDI.</t>
  </si>
  <si>
    <t>CPU-FINAL-0060</t>
  </si>
  <si>
    <t>Relatório oficial SINAPI 12/2025 - RJ, composição/insumo 97063</t>
  </si>
  <si>
    <t>Anexo CPU-2.3.1: relatório oficial da composição da base + planilha BDI/encargos</t>
  </si>
  <si>
    <t>Subtotal da CPU. VU s/BDI apresentado na planilha: R$ 23.242500; fechamento técnico pelo VU c/BDI.</t>
  </si>
  <si>
    <t>CPU-FINAL-0061</t>
  </si>
  <si>
    <t>Relatório oficial SINAPI 12/2025 - RJ, composição/insumo 94992</t>
  </si>
  <si>
    <t>Anexo CPU-6.7.3: relatório oficial da composição da base + planilha BDI/encargos</t>
  </si>
  <si>
    <t>Subtotal da CPU. VU s/BDI apresentado na planilha: R$ 60.382500; fechamento técnico pelo VU c/BDI.</t>
  </si>
  <si>
    <t>CPU-FINAL-0062</t>
  </si>
  <si>
    <t>Relatório oficial SINAPI 12/2025 - RJ, composição/insumo 91932</t>
  </si>
  <si>
    <t>Anexo CPU-40333: relatório oficial da composição da base + planilha BDI/encargos</t>
  </si>
  <si>
    <t>Subtotal da CPU. VU s/BDI apresentado na planilha: R$ 13.995000; fechamento técnico pelo VU c/BDI.</t>
  </si>
  <si>
    <t>CPU-FINAL-0063</t>
  </si>
  <si>
    <t>Catálogo EMOP 12/2025 - RJ, composição 15.018.05520</t>
  </si>
  <si>
    <t>Anexo CPU-46665: relatório oficial da composição da base + planilha BDI/encargos</t>
  </si>
  <si>
    <t>Subtotal da CPU. VU s/BDI apresentado na planilha: R$ 83.700000; fechamento técnico pelo VU c/BDI.</t>
  </si>
  <si>
    <t>CPU-FINAL-0064</t>
  </si>
  <si>
    <t>Relatório oficial SINAPI 12/2025 - RJ, composição/insumo 100384</t>
  </si>
  <si>
    <t>Anexo CPU-40545: relatório oficial da composição da base + planilha BDI/encargos</t>
  </si>
  <si>
    <t>Subtotal da CPU. VU s/BDI apresentado na planilha: R$ 27.285000; fechamento técnico pelo VU c/BDI.</t>
  </si>
  <si>
    <t>CPU-FINAL-0065</t>
  </si>
  <si>
    <t>Catálogo EMOP 12/2025 - RJ, composição 11.015.00100</t>
  </si>
  <si>
    <t>Anexo CPU-41395: relatório oficial da composição da base + planilha BDI/encargos</t>
  </si>
  <si>
    <t>Subtotal da CPU. VU s/BDI apresentado na planilha: R$ 23.130000; fechamento técnico pelo VU c/BDI.</t>
  </si>
  <si>
    <t>CPU-FINAL-0066</t>
  </si>
  <si>
    <t>Relatório oficial SINAPI 12/2025 - RJ, composição/insumo 102489</t>
  </si>
  <si>
    <t>Anexo CPU-6.3.6: relatório oficial da composição da base + planilha BDI/encargos</t>
  </si>
  <si>
    <t>Subtotal da CPU. VU s/BDI apresentado na planilha: R$ 23.565000; fechamento técnico pelo VU c/BDI.</t>
  </si>
  <si>
    <t>CPU-FINAL-0067</t>
  </si>
  <si>
    <t>Relatório oficial SINAPI 12/2025 - RJ, composição/insumo 87905</t>
  </si>
  <si>
    <t>Anexo CPU-6.3.1: relatório oficial da composição da base + planilha BDI/encargos</t>
  </si>
  <si>
    <t>Subtotal da CPU. VU s/BDI apresentado na planilha: R$ 8.175000; fechamento técnico pelo VU c/BDI.</t>
  </si>
  <si>
    <t>CPU-FINAL-0068</t>
  </si>
  <si>
    <t>Relatório oficial SINAPI 12/2025 - RJ, composição/insumo 92543</t>
  </si>
  <si>
    <t>Anexo CPU-40544: relatório oficial da composição da base + planilha BDI/encargos</t>
  </si>
  <si>
    <t>Subtotal da CPU. VU s/BDI apresentado na planilha: R$ 25.102500; fechamento técnico pelo VU c/BDI.</t>
  </si>
  <si>
    <t>CPU-FINAL-0069</t>
  </si>
  <si>
    <t>Relatório oficial SINAPI 12/2025 - RJ, composição/insumo 92762</t>
  </si>
  <si>
    <t>Anexo CPU-5.3.7: relatório oficial da composição da base + planilha BDI/encargos</t>
  </si>
  <si>
    <t>Subtotal da CPU. VU s/BDI apresentado na planilha: R$ 8.392500; fechamento técnico pelo VU c/BDI.</t>
  </si>
  <si>
    <t>CPU-FINAL-0070</t>
  </si>
  <si>
    <t>Relatório oficial SINAPI 12/2025 - RJ, composição/insumo 88489</t>
  </si>
  <si>
    <t>Anexo CPU-7.1.3: relatório oficial da composição da base + planilha BDI/encargos</t>
  </si>
  <si>
    <t>Subtotal da CPU. VU s/BDI apresentado na planilha: R$ 12.375000; fechamento técnico pelo VU c/BDI.</t>
  </si>
  <si>
    <t>CPU-FINAL-0071</t>
  </si>
  <si>
    <t>Composição própria / cotação de fornecedor / memória técnica, código COMP. MACAÉ 5</t>
  </si>
  <si>
    <t>Anexo CPU-5.2.6: memória de composição própria + cotação do fornecedor</t>
  </si>
  <si>
    <t>Subtotal da CPU. VU s/BDI apresentado na planilha: R$ 520.935000; fechamento técnico pelo VU c/BDI.</t>
  </si>
  <si>
    <t>CPU-FINAL-0072</t>
  </si>
  <si>
    <t>Relatório oficial SINAPI 12/2025 - RJ, composição/insumo 96540</t>
  </si>
  <si>
    <t>Anexo CPU-5.1.2: relatório oficial da composição da base + planilha BDI/encargos</t>
  </si>
  <si>
    <t>Subtotal da CPU. VU s/BDI apresentado na planilha: R$ 124.462500; fechamento técnico pelo VU c/BDI.</t>
  </si>
  <si>
    <t>CPU-FINAL-0073</t>
  </si>
  <si>
    <t>Relatório oficial SINAPI 12/2025 - RJ, composição/insumo 100309</t>
  </si>
  <si>
    <t>Anexo CPU-2.1.4: relatório oficial da composição da base + planilha BDI/encargos</t>
  </si>
  <si>
    <t>Subtotal da CPU. VU s/BDI apresentado na planilha: R$ 42.412500; fechamento técnico pelo VU c/BDI.</t>
  </si>
  <si>
    <t>CPU-FINAL-0074</t>
  </si>
  <si>
    <t>Equipe de execução, acabamento e apoio</t>
  </si>
  <si>
    <t>Relatório oficial SINAPI 12/2025 - RJ, composição/insumo 93358</t>
  </si>
  <si>
    <t>Anexo CPU-3.3.3: relatório oficial da composição da base + planilha BDI/encargos</t>
  </si>
  <si>
    <t>Material incorporado, solo, brita, blocos, peças, concreto ou vegetação</t>
  </si>
  <si>
    <t>Máquinas, compactadores, caminhões, ferramentas e apoio mecanizado</t>
  </si>
  <si>
    <t>Transporte, carga/descarga, EPIs, perdas e limpeza</t>
  </si>
  <si>
    <t>Subtotal da CPU. VU s/BDI apresentado na planilha: R$ 94.605000; fechamento técnico pelo VU c/BDI.</t>
  </si>
  <si>
    <t>CPU-FINAL-0075</t>
  </si>
  <si>
    <t>Catálogo EMOP 12/2025 - RJ, composição 01.003.00010</t>
  </si>
  <si>
    <t>Anexo CPU-3.1.1: relatório oficial da composição da base + planilha BDI/encargos</t>
  </si>
  <si>
    <t>Subtotal da CPU. VU s/BDI apresentado na planilha: R$ 114.435000; fechamento técnico pelo VU c/BDI.</t>
  </si>
  <si>
    <t>CPU-FINAL-0076</t>
  </si>
  <si>
    <t>Relatório oficial SINAPI 12/2025 - RJ, composição/insumo 92759</t>
  </si>
  <si>
    <t>Anexo CPU-5.3.4: relatório oficial da composição da base + planilha BDI/encargos</t>
  </si>
  <si>
    <t>Subtotal da CPU. VU s/BDI apresentado na planilha: R$ 11.925000; fechamento técnico pelo VU c/BDI.</t>
  </si>
  <si>
    <t>CPU-FINAL-0077</t>
  </si>
  <si>
    <t>Composição SBC 12/2025 - RJ, código 110460</t>
  </si>
  <si>
    <t>Anexo CPU-8.1.3: relatório oficial da composição da base + planilha BDI/encargos</t>
  </si>
  <si>
    <t>Subtotal da CPU. VU s/BDI apresentado na planilha: R$ 2082.502500; fechamento técnico pelo VU c/BDI.</t>
  </si>
  <si>
    <t>CPU-FINAL-0078</t>
  </si>
  <si>
    <t>Relatório oficial SINAPI 12/2025 - RJ, composição/insumo 98557</t>
  </si>
  <si>
    <t>Anexo CPU-41030: relatório oficial da composição da base + planilha BDI/encargos</t>
  </si>
  <si>
    <t>Subtotal da CPU. VU s/BDI apresentado na planilha: R$ 43.852500; fechamento técnico pelo VU c/BDI.</t>
  </si>
  <si>
    <t>CPU-FINAL-0079</t>
  </si>
  <si>
    <t>Composição própria / cotação de fornecedor / memória técnica, código COMP. MACAÉ 45</t>
  </si>
  <si>
    <t>Anexo CPU-8.1.4: cotação de fornecedor de esquadrias/vidros/alumínio + memória de instalação</t>
  </si>
  <si>
    <t>Subtotal da CPU. VU s/BDI apresentado na planilha: R$ 2009.730000; fechamento técnico pelo VU c/BDI.</t>
  </si>
  <si>
    <t>CPU-FINAL-0080</t>
  </si>
  <si>
    <t>Relatório oficial SINAPI 12/2025 - RJ, composição/insumo 96546</t>
  </si>
  <si>
    <t>Anexo CPU-5.1.5: relatório oficial da composição da base + planilha BDI/encargos</t>
  </si>
  <si>
    <t>Subtotal da CPU. VU s/BDI apresentado na planilha: R$ 11.602500; fechamento técnico pelo VU c/BDI.</t>
  </si>
  <si>
    <t>CPU-FINAL-0081</t>
  </si>
  <si>
    <t>Relatório oficial SINAPI 12/2025 - RJ, composição/insumo 96536</t>
  </si>
  <si>
    <t>Anexo CPU-5.1.3: relatório oficial da composição da base + planilha BDI/encargos</t>
  </si>
  <si>
    <t>Subtotal da CPU. VU s/BDI apresentado na planilha: R$ 65.760000; fechamento técnico pelo VU c/BDI.</t>
  </si>
  <si>
    <t>CPU-FINAL-0082</t>
  </si>
  <si>
    <t>Composição própria / cotação de fornecedor / memória técnica, código COMP. MACAÉ 59</t>
  </si>
  <si>
    <t>Anexo CPU-9.9.5: cotação do material principal + transporte + instalação</t>
  </si>
  <si>
    <t>Subtotal da CPU. VU s/BDI apresentado na planilha: R$ 745.440000; fechamento técnico pelo VU c/BDI.</t>
  </si>
  <si>
    <t>CPU-FINAL-0083</t>
  </si>
  <si>
    <t>Relatório oficial SINAPI 12/2025 - RJ, composição/insumo 90790</t>
  </si>
  <si>
    <t>Anexo CPU-8.1.1: relatório oficial da composição da base + planilha BDI/encargos</t>
  </si>
  <si>
    <t>Subtotal da CPU. VU s/BDI apresentado na planilha: R$ 740.512500; fechamento técnico pelo VU c/BDI.</t>
  </si>
  <si>
    <t>CPU-FINAL-0084</t>
  </si>
  <si>
    <t>Relatório oficial SINAPI 12/2025 - RJ, composição/insumo 98567</t>
  </si>
  <si>
    <t>Anexo CPU-40579: relatório oficial da composição da base + planilha BDI/encargos</t>
  </si>
  <si>
    <t>Subtotal da CPU. VU s/BDI apresentado na planilha: R$ 64.755000; fechamento técnico pelo VU c/BDI.</t>
  </si>
  <si>
    <t>CPU-FINAL-0085</t>
  </si>
  <si>
    <t>Relatório oficial SINAPI 12/2025 - RJ, composição/insumo 103273</t>
  </si>
  <si>
    <t>Anexo CPU-40213: relatório oficial da composição da base + planilha BDI/encargos</t>
  </si>
  <si>
    <t>Subtotal da CPU. VU s/BDI apresentado na planilha: R$ 9726.202500; fechamento técnico pelo VU c/BDI.</t>
  </si>
  <si>
    <t>CPU-FINAL-0086</t>
  </si>
  <si>
    <t>Catálogo EMOP 12/2025 - RJ, composição 02.004.00050</t>
  </si>
  <si>
    <t>Anexo CPU-2.2.2: relatório oficial da composição da base + planilha BDI/encargos</t>
  </si>
  <si>
    <t>Subtotal da CPU. VU s/BDI apresentado na planilha: R$ 428.062500; fechamento técnico pelo VU c/BDI.</t>
  </si>
  <si>
    <t>CPU-FINAL-0087</t>
  </si>
  <si>
    <t>Relatório oficial SINAPI 12/2025 - RJ, composição/insumo 10527</t>
  </si>
  <si>
    <t>Anexo CPU-2.3.4: relatório oficial da composição da base + planilha BDI/encargos</t>
  </si>
  <si>
    <t>Subtotal da CPU. VU s/BDI apresentado na planilha: R$ 24.000000; fechamento técnico pelo VU c/BDI.</t>
  </si>
  <si>
    <t>CPU-FINAL-0088</t>
  </si>
  <si>
    <t>Catálogo EMOP 12/2025 - RJ, composição 11.004.00201</t>
  </si>
  <si>
    <t>Anexo CPU-5.5.2: relatório oficial da composição da base + planilha BDI/encargos</t>
  </si>
  <si>
    <t>Subtotal da CPU. VU s/BDI apresentado na planilha: R$ 59.872500; fechamento técnico pelo VU c/BDI.</t>
  </si>
  <si>
    <t>CPU-FINAL-0089</t>
  </si>
  <si>
    <t>Relatório oficial SINAPI 12/2025 - RJ, composição/insumo 103271</t>
  </si>
  <si>
    <t>Anexo CPU-40212: relatório oficial da composição da base + planilha BDI/encargos</t>
  </si>
  <si>
    <t>Subtotal da CPU. VU s/BDI apresentado na planilha: R$ 9147.067500; fechamento técnico pelo VU c/BDI.</t>
  </si>
  <si>
    <t>CPU-FINAL-0090</t>
  </si>
  <si>
    <t>Anexo CPU-5.2.4: relatório oficial da composição da base + planilha BDI/encargos</t>
  </si>
  <si>
    <t>CPU-FINAL-0091</t>
  </si>
  <si>
    <t>Catálogo EMOP 12/2025 - RJ, composição 15.018.05550</t>
  </si>
  <si>
    <t>Anexo CPU-47031: relatório oficial da composição da base + planilha BDI/encargos</t>
  </si>
  <si>
    <t>Subtotal da CPU. VU s/BDI apresentado na planilha: R$ 169.500000; fechamento técnico pelo VU c/BDI.</t>
  </si>
  <si>
    <t>CPU-FINAL-0092</t>
  </si>
  <si>
    <t>Relatório oficial SINAPI 12/2025 - RJ, composição/insumo 20193</t>
  </si>
  <si>
    <t>Anexo CPU-2.3.3: relatório oficial da composição da base + planilha BDI/encargos</t>
  </si>
  <si>
    <t>Subtotal da CPU. VU s/BDI apresentado na planilha: R$ 18.000000; fechamento técnico pelo VU c/BDI.</t>
  </si>
  <si>
    <t>CPU-FINAL-0093</t>
  </si>
  <si>
    <t>Composição própria / cotação de fornecedor / memória técnica, código COMP. MACAÉ 8</t>
  </si>
  <si>
    <t>Anexo CPU-8.5.1: cotação do material principal + transporte + instalação</t>
  </si>
  <si>
    <t>Subtotal da CPU. VU s/BDI apresentado na planilha: R$ 961.447500; fechamento técnico pelo VU c/BDI.</t>
  </si>
  <si>
    <t>CPU-FINAL-0094</t>
  </si>
  <si>
    <t>Composição própria / cotação de fornecedor / memória técnica, código COMP. MACAÉ 16</t>
  </si>
  <si>
    <t>Anexo CPU-8.4.3: cotação do material principal + transporte + instalação</t>
  </si>
  <si>
    <t>Subtotal da CPU. VU s/BDI apresentado na planilha: R$ 43.125000; fechamento técnico pelo VU c/BDI.</t>
  </si>
  <si>
    <t>CPU-FINAL-0095</t>
  </si>
  <si>
    <t>Composição própria / cotação de fornecedor / memória técnica, código COMP. MACAÉ 31</t>
  </si>
  <si>
    <t>Anexo CPU-40391: cotação de fornecedor de esquadrias/vidros/alumínio + memória de instalação</t>
  </si>
  <si>
    <t>Subtotal da CPU. VU s/BDI apresentado na planilha: R$ 754.582500; fechamento técnico pelo VU c/BDI.</t>
  </si>
  <si>
    <t>CPU-FINAL-0096</t>
  </si>
  <si>
    <t>Composição própria / cotação de fornecedor / memória técnica, código COMP. MACAÉ 61</t>
  </si>
  <si>
    <t>Anexo CPU-40550: cotação de fornecedor de esquadrias/vidros/alumínio + memória de instalação</t>
  </si>
  <si>
    <t>Subtotal da CPU. VU s/BDI apresentado na planilha: R$ 261.300000; fechamento técnico pelo VU c/BDI.</t>
  </si>
  <si>
    <t>CPU-FINAL-0097</t>
  </si>
  <si>
    <t>Composição própria / cotação de fornecedor / memória técnica, código COMP. MACAÉ 41</t>
  </si>
  <si>
    <t>Anexo CPU-44113: memória de composição própria + cotação do fornecedor</t>
  </si>
  <si>
    <t>Subtotal da CPU. VU s/BDI apresentado na planilha: R$ 45.292500; fechamento técnico pelo VU c/BDI.</t>
  </si>
  <si>
    <t>CPU-FINAL-0098</t>
  </si>
  <si>
    <t>Anexo CPU-41034: memória de composição própria + cotação do fornecedor</t>
  </si>
  <si>
    <t>CPU-FINAL-0099</t>
  </si>
  <si>
    <t>Composição própria / cotação de fornecedor / memória técnica, código COMP.MACAÉ 52</t>
  </si>
  <si>
    <t>Anexo CPU-40238: memória de composição própria + cotação do fornecedor</t>
  </si>
  <si>
    <t>Subtotal da CPU. VU s/BDI apresentado na planilha: R$ 1497.502500; fechamento técnico pelo VU c/BDI.</t>
  </si>
  <si>
    <t>CPU-FINAL-0100</t>
  </si>
  <si>
    <t>Composição própria / cotação de fornecedor / memória técnica, código COMP. MACAÉ 12</t>
  </si>
  <si>
    <t>Anexo CPU-8.4.1: cotação do material principal + transporte + instalação</t>
  </si>
  <si>
    <t>Subtotal da CPU. VU s/BDI apresentado na planilha: R$ 341.662500; fechamento técnico pelo VU c/BDI.</t>
  </si>
  <si>
    <t>CPU-FINAL-0101</t>
  </si>
  <si>
    <t>Anexo CPU-40304: memória de composição própria + cotação do fornecedor</t>
  </si>
  <si>
    <t>CPU-FINAL-0102</t>
  </si>
  <si>
    <t>Composição própria / cotação de fornecedor / memória técnica, código COMP. MACAÉ 26</t>
  </si>
  <si>
    <t>Anexo CPU-6.2.6: cotação de fornecedor de esquadrias/vidros/alumínio + memória de instalação</t>
  </si>
  <si>
    <t>Subtotal da CPU. VU s/BDI apresentado na planilha: R$ 574.357500; fechamento técnico pelo VU c/BDI.</t>
  </si>
  <si>
    <t>CPU-FINAL-0103</t>
  </si>
  <si>
    <t>Composição própria / cotação de fornecedor / memória técnica, código COMP. MACAÉ 10</t>
  </si>
  <si>
    <t>Anexo CPU-8.3.4: memória de composição própria + cotação do fornecedor</t>
  </si>
  <si>
    <t>Subtotal da CPU. VU s/BDI apresentado na planilha: R$ 8255.910000; fechamento técnico pelo VU c/BDI.</t>
  </si>
  <si>
    <t>CPU-FINAL-0104</t>
  </si>
  <si>
    <t>Composição própria / cotação de fornecedor / memória técnica, código COMP. MACAÉ 60</t>
  </si>
  <si>
    <t>Anexo CPU-41122: cotação de fornecedor de esquadrias/vidros/alumínio + memória de instalação</t>
  </si>
  <si>
    <t>Subtotal da CPU. VU s/BDI apresentado na planilha: R$ 8206.372500; fechamento técnico pelo VU c/BDI.</t>
  </si>
  <si>
    <t>CPU-FINAL-0105</t>
  </si>
  <si>
    <t>Composição própria / cotação de fornecedor / memória técnica, código COMP. MACAÉ 47</t>
  </si>
  <si>
    <t>Anexo CPU-40186: memória de composição própria + cotação do fornecedor</t>
  </si>
  <si>
    <t>Subtotal da CPU. VU s/BDI apresentado na planilha: R$ 160.230000; fechamento técnico pelo VU c/BDI.</t>
  </si>
  <si>
    <t>CPU-FINAL-0106</t>
  </si>
  <si>
    <t>Composição própria / cotação de fornecedor / memória técnica, código COMP. MACAÉ 48</t>
  </si>
  <si>
    <t>Anexo CPU-40187: memória de composição própria + cotação do fornecedor</t>
  </si>
  <si>
    <t>Subtotal da CPU. VU s/BDI apresentado na planilha: R$ 200.010000; fechamento técnico pelo VU c/BDI.</t>
  </si>
  <si>
    <t>CPU-FINAL-0107</t>
  </si>
  <si>
    <t>Composição própria / cotação de fornecedor / memória técnica, código COMP. MACAÉ 6</t>
  </si>
  <si>
    <t>Anexo CPU-41399: memória de composição própria + cotação do fornecedor</t>
  </si>
  <si>
    <t>Subtotal da CPU. VU s/BDI apresentado na planilha: R$ 540.855000; fechamento técnico pelo VU c/BDI.</t>
  </si>
  <si>
    <t>CPU-FINAL-0108</t>
  </si>
  <si>
    <t>Composição própria / cotação de fornecedor / memória técnica, código COMP. MACAÉ 50</t>
  </si>
  <si>
    <t>Anexo CPU-40817: memória de composição própria + cotação do fornecedor</t>
  </si>
  <si>
    <t>Subtotal da CPU. VU s/BDI apresentado na planilha: R$ 340.852500; fechamento técnico pelo VU c/BDI.</t>
  </si>
  <si>
    <t>CPU-FINAL-0109</t>
  </si>
  <si>
    <t>Composição própria / cotação de fornecedor / memória técnica, código COMP. MACAÉ 53</t>
  </si>
  <si>
    <t>Anexo CPU-40239: memória de composição própria + cotação do fornecedor</t>
  </si>
  <si>
    <t>Subtotal da CPU. VU s/BDI apresentado na planilha: R$ 2238.120000; fechamento técnico pelo VU c/BDI.</t>
  </si>
  <si>
    <t>CPU-FINAL-0110</t>
  </si>
  <si>
    <t>Composição própria / cotação de fornecedor / memória técnica, código COMP. MACAÉ 40</t>
  </si>
  <si>
    <t>Anexo CPU-41917: cotação de materiais elétricos/cabos + memória de mão de obra</t>
  </si>
  <si>
    <t>Subtotal da CPU. VU s/BDI apresentado na planilha: R$ 80.895000; fechamento técnico pelo VU c/BDI.</t>
  </si>
  <si>
    <t>CPU-FINAL-0111</t>
  </si>
  <si>
    <t>Composição própria / cotação de fornecedor / memória técnica, código COMP. MACAÉ 51</t>
  </si>
  <si>
    <t>Anexo CPU-40184: memória de composição própria + cotação do fornecedor</t>
  </si>
  <si>
    <t>Subtotal da CPU. VU s/BDI apresentado na planilha: R$ 84.292500; fechamento técnico pelo VU c/BDI.</t>
  </si>
  <si>
    <t>CPU-FINAL-0112</t>
  </si>
  <si>
    <t>Composição própria / cotação de fornecedor / memória técnica, código COMP. MACAÉ 38</t>
  </si>
  <si>
    <t>Anexo CPU-40364: cotação de materiais elétricos/cabos + memória de mão de obra</t>
  </si>
  <si>
    <t>Subtotal da CPU. VU s/BDI apresentado na planilha: R$ 2546.317500; fechamento técnico pelo VU c/BDI.</t>
  </si>
  <si>
    <t>CPU-FINAL-0113</t>
  </si>
  <si>
    <t>Composição própria / cotação de fornecedor / memória técnica, código COMP. MACAÉ 35</t>
  </si>
  <si>
    <t>Anexo CPU-40363: cotação de materiais elétricos/cabos + memória de mão de obra</t>
  </si>
  <si>
    <t>Subtotal da CPU. VU s/BDI apresentado na planilha: R$ 4900.830000; fechamento técnico pelo VU c/BDI.</t>
  </si>
  <si>
    <t>CPU-FINAL-0114</t>
  </si>
  <si>
    <t>Composição própria / cotação de fornecedor / memória técnica, código COMP.MACAÉ 32</t>
  </si>
  <si>
    <t>Anexo CPU-8.2.9: cotação de fornecedor de esquadrias/vidros/alumínio + memória de instalação</t>
  </si>
  <si>
    <t>Subtotal da CPU. VU s/BDI apresentado na planilha: R$ 4827.795000; fechamento técnico pelo VU c/BDI.</t>
  </si>
  <si>
    <t>CPU-FINAL-0115</t>
  </si>
  <si>
    <t>Composição própria / cotação de fornecedor / memória técnica, código COMP. MACAÉ 25</t>
  </si>
  <si>
    <t>Anexo CPU-6.6.3: memória de composição própria + cotação do fornecedor</t>
  </si>
  <si>
    <t>Subtotal da CPU. VU s/BDI apresentado na planilha: R$ 327.825000; fechamento técnico pelo VU c/BDI.</t>
  </si>
  <si>
    <t>CPU-FINAL-0116</t>
  </si>
  <si>
    <t>Anexo CPU-5.6.9: memória de composição própria + cotação do fornecedor</t>
  </si>
  <si>
    <t>CPU-FINAL-0117</t>
  </si>
  <si>
    <t>Composição própria / cotação de fornecedor / memória técnica, código COMP.MACAÉ 36</t>
  </si>
  <si>
    <t>Anexo CPU-40826: memória de composição própria + cotação do fornecedor</t>
  </si>
  <si>
    <t>Subtotal da CPU. VU s/BDI apresentado na planilha: R$ 24.427500; fechamento técnico pelo VU c/BDI.</t>
  </si>
  <si>
    <t>CPU-FINAL-0118</t>
  </si>
  <si>
    <t>Composição própria / cotação de fornecedor / memória técnica, código COMP. MACAÉ 46</t>
  </si>
  <si>
    <t>Anexo CPU-40185: memória de composição própria + cotação do fornecedor</t>
  </si>
  <si>
    <t>Subtotal da CPU. VU s/BDI apresentado na planilha: R$ 115.770000; fechamento técnico pelo VU c/BDI.</t>
  </si>
  <si>
    <t>CPU-FINAL-0119</t>
  </si>
  <si>
    <t>Composição própria / cotação de fornecedor / memória técnica, código COMP. MACAÉ 11</t>
  </si>
  <si>
    <t>Anexo CPU-8.3.3: memória de composição própria + cotação do fornecedor</t>
  </si>
  <si>
    <t>Subtotal da CPU. VU s/BDI apresentado na planilha: R$ 285.907500; fechamento técnico pelo VU c/BDI.</t>
  </si>
  <si>
    <t>CPU-FINAL-0120</t>
  </si>
  <si>
    <t>Composição própria / cotação de fornecedor / memória técnica, código COMP. MACAÉ 56</t>
  </si>
  <si>
    <t>Anexo CPU-43374: memória de composição própria + cotação do fornecedor</t>
  </si>
  <si>
    <t>Subtotal da CPU. VU s/BDI apresentado na planilha: R$ 170.265000; fechamento técnico pelo VU c/BDI.</t>
  </si>
  <si>
    <t>CPU-FINAL-0121</t>
  </si>
  <si>
    <t>Composição própria / cotação de fornecedor / memória técnica, código COMP.MACAÉ 57</t>
  </si>
  <si>
    <t>Anexo CPU-43739: memória de composição própria + cotação do fornecedor</t>
  </si>
  <si>
    <t>Subtotal da CPU. VU s/BDI apresentado na planilha: R$ 174.915000; fechamento técnico pelo VU c/BDI.</t>
  </si>
  <si>
    <t>CPU-FINAL-0122</t>
  </si>
  <si>
    <t>Composição própria / cotação de fornecedor / memória técnica, código COMP. MACAÉ 55</t>
  </si>
  <si>
    <t>Anexo CPU-43009: memória de composição própria + cotação do fornecedor</t>
  </si>
  <si>
    <t>Subtotal da CPU. VU s/BDI apresentado na planilha: R$ 168.202500; fechamento técnico pelo VU c/BDI.</t>
  </si>
  <si>
    <t>CPU-FINAL-0123</t>
  </si>
  <si>
    <t>Composição própria / cotação de fornecedor / memória técnica, código COMP. MACAÉ 54</t>
  </si>
  <si>
    <t>Anexo CPU-42644: memória de composição própria + cotação do fornecedor</t>
  </si>
  <si>
    <t>Subtotal da CPU. VU s/BDI apresentado na planilha: R$ 167.085000; fechamento técnico pelo VU c/BDI.</t>
  </si>
  <si>
    <t>CPU-FINAL-0124</t>
  </si>
  <si>
    <t>Composição própria / cotação de fornecedor / memória técnica, código COMP. MACAÉ 49</t>
  </si>
  <si>
    <t>Anexo CPU-40452: memória de composição própria + cotação do fornecedor</t>
  </si>
  <si>
    <t>Subtotal da CPU. VU s/BDI apresentado na planilha: R$ 259.387500; fechamento técnico pelo VU c/BDI.</t>
  </si>
  <si>
    <t>CPU-FINAL-0125</t>
  </si>
  <si>
    <t>Composição própria / cotação de fornecedor / memória técnica, código COMP. MACAÉ 34</t>
  </si>
  <si>
    <t>Anexo CPU-40361: cotação de materiais elétricos/cabos + memória de mão de obra</t>
  </si>
  <si>
    <t>Subtotal da CPU. VU s/BDI apresentado na planilha: R$ 1013.392500; fechamento técnico pelo VU c/BDI.</t>
  </si>
  <si>
    <t>CPU-FINAL-0126</t>
  </si>
  <si>
    <t>Composição própria / cotação de fornecedor / memória técnica, código COMP. MACAÉ 42</t>
  </si>
  <si>
    <t>Anexo CPU-9.9.2: memória de composição própria + cotação do fornecedor</t>
  </si>
  <si>
    <t>Subtotal da CPU. VU s/BDI apresentado na planilha: R$ 752.955000; fechamento técnico pelo VU c/BDI.</t>
  </si>
  <si>
    <t>CPU-FINAL-0127</t>
  </si>
  <si>
    <t>Composição própria / cotação de fornecedor / memória técnica, código COMP. MACAÉ 39</t>
  </si>
  <si>
    <t>Anexo CPU-41552: cotação de materiais elétricos/cabos + memória de mão de obra</t>
  </si>
  <si>
    <t>Subtotal da CPU. VU s/BDI apresentado na planilha: R$ 54.352500; fechamento técnico pelo VU c/BDI.</t>
  </si>
  <si>
    <t>CPU-FINAL-0128</t>
  </si>
  <si>
    <t>Composição própria / cotação de fornecedor / memória técnica, código COMP. MACAÉ 43</t>
  </si>
  <si>
    <t>Anexo CPU-9.9.4: memória de composição própria + cotação do fornecedor</t>
  </si>
  <si>
    <t>Subtotal da CPU. VU s/BDI apresentado na planilha: R$ 545.655000; fechamento técnico pelo VU c/BDI.</t>
  </si>
  <si>
    <t>CPU-FINAL-0129</t>
  </si>
  <si>
    <t>Composição própria / cotação de fornecedor / memória técnica, código COMP. MACAÉ 37</t>
  </si>
  <si>
    <t>Anexo CPU-41192: memória de composição própria + cotação do fornecedor</t>
  </si>
  <si>
    <t>Subtotal da CPU. VU s/BDI apresentado na planilha: R$ 486.127500; fechamento técnico pelo VU c/BDI.</t>
  </si>
  <si>
    <t>CPU-FINAL-0130</t>
  </si>
  <si>
    <t>Composição própria / cotação de fornecedor / memória técnica, código COMP.MACAÉ 58</t>
  </si>
  <si>
    <t>Anexo CPU-44105: memória de composição própria + cotação do fornecedor</t>
  </si>
  <si>
    <t>Subtotal da CPU. VU s/BDI apresentado na planilha: R$ 233.385000; fechamento técnico pelo VU c/BDI.</t>
  </si>
  <si>
    <t>CPU-FINAL-0131</t>
  </si>
  <si>
    <t>Composição própria / cotação de fornecedor / memória técnica, código COMP. MACAÉ 1</t>
  </si>
  <si>
    <t>Anexo CPU-49553: memória de composição própria + cotação do fornecedor</t>
  </si>
  <si>
    <t>Subtotal da CPU. VU s/BDI apresentado na planilha: R$ 306.540000; fechamento técnico pelo VU c/BDI.</t>
  </si>
  <si>
    <t>Total planilha</t>
  </si>
  <si>
    <t>Total CPU</t>
  </si>
  <si>
    <t>Documento técnico mínimo</t>
  </si>
  <si>
    <t>Tipo de suporte</t>
  </si>
  <si>
    <t>Documento a juntar na resposta</t>
  </si>
  <si>
    <t>Finalidade técnica</t>
  </si>
  <si>
    <t>Prioridade</t>
  </si>
  <si>
    <t>COMPOSIÇÃO OFICIAL SINAPI</t>
  </si>
  <si>
    <t>Comprovar custo efetivo de mão de obra, insumos, equipamentos, fornecedores/encargos e compatibilidade do preço ofertado.</t>
  </si>
  <si>
    <t>CRÍTICA</t>
  </si>
  <si>
    <t>COTAÇÃO / MEMÓRIA PRÓPRIA</t>
  </si>
  <si>
    <t>COMPOSIÇÃO OFICIAL EMOP</t>
  </si>
  <si>
    <t>COMPOSIÇÃO CPOS/CDHU</t>
  </si>
  <si>
    <t>COMPOSIÇÃO SBC</t>
  </si>
  <si>
    <t>ALTA</t>
  </si>
  <si>
    <t>GERAL-01</t>
  </si>
  <si>
    <t>-</t>
  </si>
  <si>
    <t>Composição do BDI aplicado</t>
  </si>
  <si>
    <t>Geral</t>
  </si>
  <si>
    <t>BDI</t>
  </si>
  <si>
    <t>Composição de BDI assinada/identificada</t>
  </si>
  <si>
    <t>Demonstrar que o BDI foi aplicado de forma uniforme e sem omissão de tributos/despesas indiretas.</t>
  </si>
  <si>
    <t>GERAL-02</t>
  </si>
  <si>
    <t>Encargos sociais não desonerados</t>
  </si>
  <si>
    <t>ENCARGOS</t>
  </si>
  <si>
    <t>Tabela de encargos sociais da proposta/base de referência</t>
  </si>
  <si>
    <t>Demonstrar mão de obra com encargos sociais e complementares.</t>
  </si>
  <si>
    <t>GERAL-03</t>
  </si>
  <si>
    <t>Equipamentos próprios e/ou disponibilizados</t>
  </si>
  <si>
    <t>CRLV, notas fiscais, contrato de locação, disponibilidade operacional ou declaração de frota</t>
  </si>
  <si>
    <t>Comprovar suporte para execução dos serviços com equipamentos.</t>
  </si>
  <si>
    <t>GERAL-04</t>
  </si>
  <si>
    <t>Relação de compromissos assumidos</t>
  </si>
  <si>
    <t>ECONÔMICO-FINANCEIRO</t>
  </si>
  <si>
    <t>Relação de contratos em execução com saldos remanescentes</t>
  </si>
  <si>
    <t>Atender apontamento da contabilidade sobre subitens 9.13.1.11 e 9.13.1.13.</t>
  </si>
  <si>
    <t>GERAL-05</t>
  </si>
  <si>
    <t>Estacas profundas / fundações</t>
  </si>
  <si>
    <t>QUALIFICAÇÃO TÉCNICA</t>
  </si>
  <si>
    <t>CAT/atestado registrado, ART, medição ou documento complementar de fundações profundas</t>
  </si>
  <si>
    <t>Atender apontamento técnico da alínea c do item 9.2.1.</t>
  </si>
  <si>
    <t>GERAL-06</t>
  </si>
  <si>
    <t>Declaração de integralidade dos custos</t>
  </si>
  <si>
    <t>DECLARAÇÃO</t>
  </si>
  <si>
    <t>Declaração assinada pela representante legal</t>
  </si>
  <si>
    <t>Declarar cobertura de mão de obra, encargos, insumos, equipamentos, EPIs, tributos, transporte e administração.</t>
  </si>
  <si>
    <t>DECLARAÇÃO DE INTEGRALIDADE DOS CUSTOS E EXEQUIBILIDADE</t>
  </si>
  <si>
    <t>SANTA RITA ENGENHARIA LTDA, inscrita no CNPJ nº 09.005.255/0001-11, declara, para fins de atendimento à diligência no âmbito da Concorrência Eletrônica nº 90001/2026, Processo nº E-20/001.009307/2025, que os preços ofertados na proposta contemplam integralmente todos os custos necessários à execução do objeto.</t>
  </si>
  <si>
    <t>Declara-se que estão compreendidos nos preços: mão de obra, encargos sociais e complementares, insumos, materiais, equipamentos, ferramentas, transporte, EPIs, perdas técnicas, administração local, tributos, seguros, garantias, despesas indiretas e BDI, conforme planilha orçamentária, cronograma físico-financeiro e composições analíticas anexas.</t>
  </si>
  <si>
    <t>Declara-se, ainda, que a abertura analítica apresentada nesta planilha tem por finalidade demonstrar objetivamente a compatibilidade dos valores ofertados com os custos efetivos da contratação, sem alteração dos quantitativos, do valor global da proposta ou das condições assumidas.</t>
  </si>
  <si>
    <t>____________________________________________</t>
  </si>
  <si>
    <t>Representante legal</t>
  </si>
  <si>
    <t>RESUMO TÉCNICO DE SANEAMENTO DA DILIGÊNCIA</t>
  </si>
  <si>
    <t>Projeto Executivo e Construção da Nova Sede da DPRJ em Macaé</t>
  </si>
  <si>
    <t>Finalidade</t>
  </si>
  <si>
    <t>Complementar a demonstração objetiva da exequibilidade com CPU aberta por natureza de custo e indicação de anexos técnicos.</t>
  </si>
  <si>
    <t>Valor de referência extraído da planilha</t>
  </si>
  <si>
    <t>Desconto global aproximado</t>
  </si>
  <si>
    <t>BDI adotado</t>
  </si>
  <si>
    <t>Itens totais da planilha</t>
  </si>
  <si>
    <t>Itens com CPU aberta nesta versão</t>
  </si>
  <si>
    <t>Cobertura financeira das CPUs</t>
  </si>
  <si>
    <t>Percentual coberto da proposta</t>
  </si>
  <si>
    <t>Itens Curva A</t>
  </si>
  <si>
    <t>Valor Curva A</t>
  </si>
  <si>
    <t>Itens próprios identificados</t>
  </si>
  <si>
    <t>Critério de abertura</t>
  </si>
  <si>
    <t>Observação técnica 1</t>
  </si>
  <si>
    <t>As CPUs foram abertas por natureza de custo: mão de obra/encargos, insumos, equipamentos, transporte, EPIs/perdas e BDI.</t>
  </si>
  <si>
    <t>Observação técnica 2</t>
  </si>
  <si>
    <t>Os anexos indicados devem acompanhar a resposta: relatórios oficiais de bases, cotações, BDI, encargos, equipamentos, compromissos e documentação de estacas.</t>
  </si>
  <si>
    <t>Observação técnica 3</t>
  </si>
  <si>
    <t>A planilha não altera quantitativos, preço global nem cronograma; apenas evidencia a formação analítica do preço ofertado.</t>
  </si>
  <si>
    <t>Ponto da diligência</t>
  </si>
  <si>
    <t>Situação nesta versão</t>
  </si>
  <si>
    <t>Aba/Documento</t>
  </si>
  <si>
    <t>Risco residual</t>
  </si>
  <si>
    <t>Ação técnica</t>
  </si>
  <si>
    <t>Composições analíticas dos itens relevantes</t>
  </si>
  <si>
    <t>SANEADO NA PLANILHA</t>
  </si>
  <si>
    <t>CPU_ABERTA_FINAL</t>
  </si>
  <si>
    <t>MÉDIO</t>
  </si>
  <si>
    <t>Enviar com relatórios oficiais das bases/cotações.</t>
  </si>
  <si>
    <t>Curva ABC e itens de maior impacto</t>
  </si>
  <si>
    <t>SANEADO</t>
  </si>
  <si>
    <t>ANALITICA_ITENS / CURVA_ABC / CPU_ABERTA_FINAL</t>
  </si>
  <si>
    <t>BAIXO</t>
  </si>
  <si>
    <t>Usar como índice da resposta técnica.</t>
  </si>
  <si>
    <t>Mão de obra e encargos</t>
  </si>
  <si>
    <t>CPU_ABERTA_FINAL / DECL_CUSTOS</t>
  </si>
  <si>
    <t>Anexar tabela de encargos não desonerados.</t>
  </si>
  <si>
    <t>Insumos e fornecedores</t>
  </si>
  <si>
    <t>CPU_ABERTA_FINAL / ANEXOS_SUPORTE_FINAL</t>
  </si>
  <si>
    <t>Anexar cotações dos itens próprios e de maior impacto.</t>
  </si>
  <si>
    <t>Equipamentos</t>
  </si>
  <si>
    <t>Anexar comprovação de frota, locação ou disponibilidade.</t>
  </si>
  <si>
    <t>INCLUÍDO</t>
  </si>
  <si>
    <t>CPU_ABERTA_FINAL / RESUMO_SANEADO</t>
  </si>
  <si>
    <t>Anexar composição de BDI já apresentada.</t>
  </si>
  <si>
    <t>MODELO DISPONÍVEL</t>
  </si>
  <si>
    <t>COMPROMISSOS</t>
  </si>
  <si>
    <t>Preencher com contratos, saldos remanescentes e assinar.</t>
  </si>
  <si>
    <t>Estacas profundas</t>
  </si>
  <si>
    <t>NÃO É RESOLVIDO PELA PLANILHA</t>
  </si>
  <si>
    <t>ANEXOS_SUPORTE_FINAL</t>
  </si>
  <si>
    <t>CRÍTICO</t>
  </si>
  <si>
    <t>Juntar CAT/atestado registrado/ART/medição que complete a exigência.</t>
  </si>
  <si>
    <t>RESUMO CORRIGIDO - CPU ANALÍTICA 100% DA PROPOSTA</t>
  </si>
  <si>
    <t>Motivo da correção</t>
  </si>
  <si>
    <t>A versão anterior abria apenas os itens críticos/Curva A, por isso a cobertura financeira ficava menor que o valor global.</t>
  </si>
  <si>
    <t>Valor global ofertado</t>
  </si>
  <si>
    <t>Valor exigido/cronograma</t>
  </si>
  <si>
    <t>Total das CPUs abertas 100%</t>
  </si>
  <si>
    <t>FECHA 100% DA PROPOSTA</t>
  </si>
  <si>
    <t>BDI base predominante</t>
  </si>
  <si>
    <t>Alguns itens usam BDI efetivo por arredondamento unitário do total lançado.</t>
  </si>
  <si>
    <t>Atenção técnica</t>
  </si>
  <si>
    <t>Os relatórios oficiais das bases e cotações dos itens próprios continuam necessários como anexos de comprovação.</t>
  </si>
  <si>
    <t>Custo unit. direto base</t>
  </si>
  <si>
    <t>Parcela unit. direta</t>
  </si>
  <si>
    <t>BDI efetivo</t>
  </si>
  <si>
    <t>CPU-100-0001</t>
  </si>
  <si>
    <t>Equipe técnica, responsável técnico, projetistas, laboratório ou topografia, com encargos</t>
  </si>
  <si>
    <t>Relatório oficial EMOP 12/2025 - RJ, composição 01.050.03560</t>
  </si>
  <si>
    <t>Anexo CPU-1.1.1: relatório oficial EMOP + BDI/encargos</t>
  </si>
  <si>
    <t>Parcela analítica do custo direto. A comprovação documental deve acompanhar a resposta.</t>
  </si>
  <si>
    <t>INSUMOS / TAXAS / DOCUMENTAÇÃO</t>
  </si>
  <si>
    <t>Materiais técnicos, legalizações, taxas, relatórios, ensaios e documentação</t>
  </si>
  <si>
    <t>EQUIPAMENTOS / SOFTWARES</t>
  </si>
  <si>
    <t>Equipamentos técnicos, instrumentos, softwares, estação/sonda/laboratório</t>
  </si>
  <si>
    <t>Transporte, ART/RRT, reprodução, EPI e despesas auxiliares</t>
  </si>
  <si>
    <t>FECHA COM PLANILHA</t>
  </si>
  <si>
    <t>Subtotal da CPU. Total travado pelo valor original da planilha para eliminar divergência de arredondamento.</t>
  </si>
  <si>
    <t>CPU-100-0002</t>
  </si>
  <si>
    <t>Relatório oficial EMOP 12/2025 - RJ, composição 01.050.05520</t>
  </si>
  <si>
    <t>Anexo CPU-1.1.2: relatório oficial EMOP + BDI/encargos</t>
  </si>
  <si>
    <t>CPU-100-0003</t>
  </si>
  <si>
    <t>Relatório oficial EMOP 12/2025 - RJ, composição 01.050.04780</t>
  </si>
  <si>
    <t>Anexo CPU-1.2.1: relatório oficial EMOP + BDI/encargos</t>
  </si>
  <si>
    <t>CPU-100-0004</t>
  </si>
  <si>
    <t>Relatório oficial EMOP 12/2025 - RJ, composição 01.050.04520</t>
  </si>
  <si>
    <t>Anexo CPU-1.2.2: relatório oficial EMOP + BDI/encargos</t>
  </si>
  <si>
    <t>CPU-100-0005</t>
  </si>
  <si>
    <t>Relatório oficial EMOP 12/2025 - RJ, composição 01.050.05150</t>
  </si>
  <si>
    <t>Anexo CPU-1.2.3: relatório oficial EMOP + BDI/encargos</t>
  </si>
  <si>
    <t>CPU-100-0006</t>
  </si>
  <si>
    <t>Relatório oficial EMOP 12/2025 - RJ, composição 01.050.03760</t>
  </si>
  <si>
    <t>Anexo CPU-1.2.4: relatório oficial EMOP + BDI/encargos</t>
  </si>
  <si>
    <t>CPU-100-0007</t>
  </si>
  <si>
    <t>Relatório oficial EMOP 12/2025 - RJ, composição 01.050.05300</t>
  </si>
  <si>
    <t>Anexo CPU-1.2.5: relatório oficial EMOP + BDI/encargos</t>
  </si>
  <si>
    <t>CPU-100-0008</t>
  </si>
  <si>
    <t>Relatório oficial EMOP 12/2025 - RJ, composição 01.050.04330</t>
  </si>
  <si>
    <t>Anexo CPU-1.2.6: relatório oficial EMOP + BDI/encargos</t>
  </si>
  <si>
    <t>CPU-100-0009</t>
  </si>
  <si>
    <t>Salário/remuneração da equipe alocada ao serviço</t>
  </si>
  <si>
    <t>Anexo CPU-2.1.1: relatório oficial SINAPI + BDI/encargos</t>
  </si>
  <si>
    <t>Encargos sociais, benefícios e custos complementares embutidos na base não desonerada</t>
  </si>
  <si>
    <t>EPI / FERRAMENTAS / APOIO</t>
  </si>
  <si>
    <t>EPI, uniformes, ferramentas, deslocamento e apoio administrativo</t>
  </si>
  <si>
    <t>CPU-100-0010</t>
  </si>
  <si>
    <t>Anexo CPU-2.1.2: relatório oficial SINAPI + BDI/encargos</t>
  </si>
  <si>
    <t>CPU-100-0011</t>
  </si>
  <si>
    <t>Anexo CPU-2.1.3: relatório oficial SINAPI + BDI/encargos</t>
  </si>
  <si>
    <t>CPU-100-0012</t>
  </si>
  <si>
    <t>Anexo CPU-2.1.4: relatório oficial SINAPI + BDI/encargos</t>
  </si>
  <si>
    <t>CPU-100-0013</t>
  </si>
  <si>
    <t>Relatório oficial EMOP 12/2025 - RJ, composição 05.105.02040</t>
  </si>
  <si>
    <t>Anexo CPU-2.1.5: relatório oficial EMOP + BDI/encargos</t>
  </si>
  <si>
    <t>CPU-100-0014</t>
  </si>
  <si>
    <t>DESPESAS ADMINISTRATIVAS DE OBRA</t>
  </si>
  <si>
    <t>Água, energia, telefonia, licença, ART/RRT, apoio de escritório e utilidades</t>
  </si>
  <si>
    <t>Relatório oficial EMOP 12/2025 - RJ, composição 05.100.09000</t>
  </si>
  <si>
    <t>Anexo CPU-2.1.6: relatório oficial EMOP + BDI/encargos</t>
  </si>
  <si>
    <t>MÃO DE OBRA / APOIO</t>
  </si>
  <si>
    <t>Equipe de apoio administrativo e operacional</t>
  </si>
  <si>
    <t>Materiais de limpeza, computadores, móveis, utensílios e equipamentos</t>
  </si>
  <si>
    <t>EPI / TREINAMENTOS / PERDAS</t>
  </si>
  <si>
    <t>Uniformes, exames, capacitações, EPIs e despesas auxiliares</t>
  </si>
  <si>
    <t>CPU-100-0015</t>
  </si>
  <si>
    <t>Montagem, desmontagem, ajustes, reaproveitamento e equipe de apoio</t>
  </si>
  <si>
    <t>Relatório oficial EMOP 12/2025 - RJ, composição 02.002.00120</t>
  </si>
  <si>
    <t>Anexo CPU-2.2.1: relatório oficial EMOP + BDI/encargos</t>
  </si>
  <si>
    <t>Madeira, chapas, escoras, pregos, fixadores, andaimes ou materiais incorporados</t>
  </si>
  <si>
    <t>Ferramentas, equipamentos de montagem, travamentos e acessórios</t>
  </si>
  <si>
    <t>Transporte interno, EPIs, perdas técnicas e desgaste de ferramentas</t>
  </si>
  <si>
    <t>CPU-100-0016</t>
  </si>
  <si>
    <t>Relatório oficial EMOP 12/2025 - RJ, composição 02.004.00050</t>
  </si>
  <si>
    <t>Anexo CPU-2.2.2: relatório oficial EMOP + BDI/encargos</t>
  </si>
  <si>
    <t>CPU-100-0017</t>
  </si>
  <si>
    <t>Relatório oficial EMOP 12/2025 - RJ, composição 02.004.00130</t>
  </si>
  <si>
    <t>Anexo CPU-2.2.3: relatório oficial EMOP + BDI/encargos</t>
  </si>
  <si>
    <t>CPU-100-0018</t>
  </si>
  <si>
    <t>Relatório oficial SINAPI 12/2025 - RJ, composição/insumo 103689</t>
  </si>
  <si>
    <t>Anexo CPU-2.2.4: relatório oficial SINAPI + BDI/encargos</t>
  </si>
  <si>
    <t>CPU-100-0019</t>
  </si>
  <si>
    <t>Relatório oficial EMOP 12/2025 - RJ, composição 02.015.00010</t>
  </si>
  <si>
    <t>Anexo CPU-2.2.5: relatório oficial EMOP + BDI/encargos</t>
  </si>
  <si>
    <t>CPU-100-0020</t>
  </si>
  <si>
    <t>Equipe de operação, escavação, regularização, apoio e acabamento</t>
  </si>
  <si>
    <t>Relatório oficial EMOP 12/2025 - RJ, composição 02.016.00010</t>
  </si>
  <si>
    <t>Anexo CPU-2.2.6: relatório oficial EMOP + BDI/encargos</t>
  </si>
  <si>
    <t>Máquinas, compactadores, escavadeiras, ferramentas e equipamentos de apoio</t>
  </si>
  <si>
    <t>TRANSPORTE / DESTINAÇÃO</t>
  </si>
  <si>
    <t>Carga, descarga, transporte interno/externo e destinação</t>
  </si>
  <si>
    <t>EPI / PERDAS / APOIO</t>
  </si>
  <si>
    <t>EPIs, sinalização, perdas e apoio operacional</t>
  </si>
  <si>
    <t>CPU-100-0021</t>
  </si>
  <si>
    <t>Anexo CPU-2.3.1: relatório oficial SINAPI + BDI/encargos</t>
  </si>
  <si>
    <t>CPU-100-0022</t>
  </si>
  <si>
    <t>Anexo CPU-2.3.2: relatório oficial SINAPI + BDI/encargos</t>
  </si>
  <si>
    <t>CPU-100-0023</t>
  </si>
  <si>
    <t>Anexo CPU-2.3.3: relatório oficial SINAPI + BDI/encargos</t>
  </si>
  <si>
    <t>CPU-100-0024</t>
  </si>
  <si>
    <t>Anexo CPU-2.3.4: relatório oficial SINAPI + BDI/encargos</t>
  </si>
  <si>
    <t>CPU-100-0025</t>
  </si>
  <si>
    <t>Relatório oficial EMOP 12/2025 - RJ, composição 01.003.00010</t>
  </si>
  <si>
    <t>Anexo CPU-3.1.1: relatório oficial EMOP + BDI/encargos</t>
  </si>
  <si>
    <t>CPU-100-0026</t>
  </si>
  <si>
    <t>Relatório oficial EMOP 12/2025 - RJ, composição 01.016.02100</t>
  </si>
  <si>
    <t>Anexo CPU-3.1.2: relatório oficial EMOP + BDI/encargos</t>
  </si>
  <si>
    <t>CPU-100-0027</t>
  </si>
  <si>
    <t>Relatório oficial EMOP 12/2025 - RJ, composição 01.001.01510</t>
  </si>
  <si>
    <t>Anexo CPU-3.1.3: relatório oficial EMOP + BDI/encargos</t>
  </si>
  <si>
    <t>CPU-100-0028</t>
  </si>
  <si>
    <t>Relatório oficial EMOP 12/2025 - RJ, composição 01.006.00040</t>
  </si>
  <si>
    <t>Anexo CPU-3.2.1: relatório oficial EMOP + BDI/encargos</t>
  </si>
  <si>
    <t>CPU-100-0029</t>
  </si>
  <si>
    <t>Relatório oficial EMOP 12/2025 - RJ, composição 01.006.00100</t>
  </si>
  <si>
    <t>Anexo CPU-3.2.2: relatório oficial EMOP + BDI/encargos</t>
  </si>
  <si>
    <t>CPU-100-0030</t>
  </si>
  <si>
    <t>Relatório oficial EMOP 12/2025 - RJ, composição 01.018.00020</t>
  </si>
  <si>
    <t>Anexo CPU-3.2.3: relatório oficial EMOP + BDI/encargos</t>
  </si>
  <si>
    <t>CPU-100-0031</t>
  </si>
  <si>
    <t>Relatório oficial EMOP 12/2025 - RJ, composição 22.030.00650</t>
  </si>
  <si>
    <t>Anexo CPU-3.2.4: relatório oficial EMOP + BDI/encargos</t>
  </si>
  <si>
    <t>CPU-100-0032</t>
  </si>
  <si>
    <t>Relatório oficial EMOP 12/2025 - RJ, composição 22.030.00500</t>
  </si>
  <si>
    <t>Anexo CPU-3.2.5: relatório oficial EMOP + BDI/encargos</t>
  </si>
  <si>
    <t>CPU-100-0033</t>
  </si>
  <si>
    <t>Relatório oficial SINAPI 12/2025 - RJ, composição/insumo 96522</t>
  </si>
  <si>
    <t>Anexo CPU-3.3.1: relatório oficial SINAPI + BDI/encargos</t>
  </si>
  <si>
    <t>CPU-100-0034</t>
  </si>
  <si>
    <t>Relatório oficial SINAPI 12/2025 - RJ, composição/insumo 101616</t>
  </si>
  <si>
    <t>Anexo CPU-3.3.2: relatório oficial SINAPI + BDI/encargos</t>
  </si>
  <si>
    <t>CPU-100-0035</t>
  </si>
  <si>
    <t>Anexo CPU-3.3.3: relatório oficial SINAPI + BDI/encargos</t>
  </si>
  <si>
    <t>CPU-100-0036</t>
  </si>
  <si>
    <t>Relatório oficial SINAPI 12/2025 - RJ, composição/insumo 93382</t>
  </si>
  <si>
    <t>Anexo CPU-3.3.4: relatório oficial SINAPI + BDI/encargos</t>
  </si>
  <si>
    <t>CPU-100-0037</t>
  </si>
  <si>
    <t>Relatório oficial SINAPI 12/2025 - RJ, composição/insumo 102281</t>
  </si>
  <si>
    <t>Anexo CPU-3.3.5: relatório oficial SINAPI + BDI/encargos</t>
  </si>
  <si>
    <t>CPU-100-0038</t>
  </si>
  <si>
    <t>Relatório oficial SINAPI 12/2025 - RJ, composição/insumo 101624</t>
  </si>
  <si>
    <t>Anexo CPU-3.3.6: relatório oficial SINAPI + BDI/encargos</t>
  </si>
  <si>
    <t>CPU-100-0039</t>
  </si>
  <si>
    <t>Relatório oficial SINAPI 12/2025 - RJ, composição/insumo 94319</t>
  </si>
  <si>
    <t>Anexo CPU-3.3.7: relatório oficial SINAPI + BDI/encargos</t>
  </si>
  <si>
    <t>CPU-100-0040</t>
  </si>
  <si>
    <t>Relatório oficial SINAPI 12/2025 - RJ, composição/insumo 101585</t>
  </si>
  <si>
    <t>Anexo CPU-3.3.8: relatório oficial SINAPI + BDI/encargos</t>
  </si>
  <si>
    <t>CPU-100-0041</t>
  </si>
  <si>
    <t>Relatório oficial EMOP 12/2025 - RJ, composição 01.009.00500</t>
  </si>
  <si>
    <t>Anexo CPU-4.1.1: relatório oficial EMOP + BDI/encargos</t>
  </si>
  <si>
    <t>Concreto, aço/armadura, calda/argamassa ou material incorporado</t>
  </si>
  <si>
    <t>Perfuratriz, bomba, ferramentas de perfuração e equipamento de apoio</t>
  </si>
  <si>
    <t>Mobilização, deslocamento interno, carga/descarga e apoio logístico</t>
  </si>
  <si>
    <t>CPU-100-0042</t>
  </si>
  <si>
    <t>Equipe de execução, lançamento, acabamento, adensamento e apoio</t>
  </si>
  <si>
    <t>Relatório oficial EMOP 12/2025 - RJ, composição 11.046.0180</t>
  </si>
  <si>
    <t>Anexo CPU-4.1.2: relatório oficial EMOP + BDI/encargos</t>
  </si>
  <si>
    <t>Concreto, cimento, areia, brita, aditivos, argamassa e materiais incorporados</t>
  </si>
  <si>
    <t>Betoneira, bomba, vibrador, compactador, ferramentas e equipamentos auxiliares</t>
  </si>
  <si>
    <t>Transporte interno, EPIs, perdas técnicas e limpeza</t>
  </si>
  <si>
    <t>CPU-100-0043</t>
  </si>
  <si>
    <t>Anexo CPU-4.2.1: relatório oficial SINAPI + BDI/encargos</t>
  </si>
  <si>
    <t>CPU-100-0044</t>
  </si>
  <si>
    <t>Relatório oficial SINAPI 12/2025 - RJ, composição/insumo 95602</t>
  </si>
  <si>
    <t>Anexo CPU-4.2.2: relatório oficial SINAPI + BDI/encargos</t>
  </si>
  <si>
    <t>CPU-100-0045</t>
  </si>
  <si>
    <t>Relatório oficial SINAPI 12/2025 - RJ, composição/insumo 102473</t>
  </si>
  <si>
    <t>Anexo CPU-5.1.1: relatório oficial SINAPI + BDI/encargos</t>
  </si>
  <si>
    <t>CPU-100-0046</t>
  </si>
  <si>
    <t>Anexo CPU-5.1.2: relatório oficial SINAPI + BDI/encargos</t>
  </si>
  <si>
    <t>CPU-100-0047</t>
  </si>
  <si>
    <t>Anexo CPU-5.1.3: relatório oficial SINAPI + BDI/encargos</t>
  </si>
  <si>
    <t>CPU-100-0048</t>
  </si>
  <si>
    <t>Equipe de instalação, montagem, corte, dobra, lançamento ou conexão</t>
  </si>
  <si>
    <t>Relatório oficial SINAPI 12/2025 - RJ, composição/insumo 96545</t>
  </si>
  <si>
    <t>Anexo CPU-5.1.4: relatório oficial SINAPI + BDI/encargos</t>
  </si>
  <si>
    <t>Aço, cabos, condutores, eletrodutos, acessórios, quadros, conectores e materiais incorporados</t>
  </si>
  <si>
    <t>Ferramentas de corte, dobra, lançamento, teste e apoio</t>
  </si>
  <si>
    <t>CPU-100-0049</t>
  </si>
  <si>
    <t>Anexo CPU-5.1.5: relatório oficial SINAPI + BDI/encargos</t>
  </si>
  <si>
    <t>CPU-100-0050</t>
  </si>
  <si>
    <t>Relatório oficial SINAPI 12/2025 - RJ, composição/insumo 104920</t>
  </si>
  <si>
    <t>Anexo CPU-5.1.6: relatório oficial SINAPI + BDI/encargos</t>
  </si>
  <si>
    <t>CPU-100-0051</t>
  </si>
  <si>
    <t>Relatório oficial SINAPI 12/2025 - RJ, composição/insumo 104916</t>
  </si>
  <si>
    <t>Anexo CPU-5.1.7: relatório oficial SINAPI + BDI/encargos</t>
  </si>
  <si>
    <t>CPU-100-0052</t>
  </si>
  <si>
    <t>Relatório oficial SINAPI 12/2025 - RJ, composição/insumo 104918</t>
  </si>
  <si>
    <t>Anexo CPU-5.1.8: relatório oficial SINAPI + BDI/encargos</t>
  </si>
  <si>
    <t>CPU-100-0053</t>
  </si>
  <si>
    <t>Relatório oficial SINAPI 12/2025 - RJ, composição/insumo 104919</t>
  </si>
  <si>
    <t>Anexo CPU-5.1.9: relatório oficial SINAPI + BDI/encargos</t>
  </si>
  <si>
    <t>CPU-100-0054</t>
  </si>
  <si>
    <t>Anexo CPU-40299: relatório oficial SINAPI + BDI/encargos</t>
  </si>
  <si>
    <t>CPU-100-0055</t>
  </si>
  <si>
    <t>Anexo CPU-40664: relatório oficial SINAPI + BDI/encargos</t>
  </si>
  <si>
    <t>CPU-100-0056</t>
  </si>
  <si>
    <t>Equipe de instalação, aplicação, regularização, fixação e acabamento</t>
  </si>
  <si>
    <t>Anexo CPU-41030: relatório oficial SINAPI + BDI/encargos</t>
  </si>
  <si>
    <t>Telhas, mantas, emulsões, fixadores, aditivos e materiais incorporados</t>
  </si>
  <si>
    <t>Içamento, ferramentas, maçarico/equipamentos de aplicação e apoio</t>
  </si>
  <si>
    <t>Transporte, EPIs, perdas técnicas e limpeza</t>
  </si>
  <si>
    <t>CPU-100-0057</t>
  </si>
  <si>
    <t>Relatório oficial EMOP 12/2025 - RJ, composição 11.015.00100</t>
  </si>
  <si>
    <t>Anexo CPU-41395: relatório oficial EMOP + BDI/encargos</t>
  </si>
  <si>
    <t>CPU-100-0058</t>
  </si>
  <si>
    <t>Anexo CPU-5.2.1: relatório oficial SINAPI + BDI/encargos</t>
  </si>
  <si>
    <t>CPU-100-0059</t>
  </si>
  <si>
    <t>Anexo CPU-5.2.2: relatório oficial SINAPI + BDI/encargos</t>
  </si>
  <si>
    <t>CPU-100-0060</t>
  </si>
  <si>
    <t>Relatório oficial SINAPI 12/2025 - RJ, composição/insumo 92760</t>
  </si>
  <si>
    <t>Anexo CPU-5.2.3: relatório oficial SINAPI + BDI/encargos</t>
  </si>
  <si>
    <t>CPU-100-0061</t>
  </si>
  <si>
    <t>Anexo CPU-5.2.4: relatório oficial SINAPI + BDI/encargos</t>
  </si>
  <si>
    <t>CPU-100-0062</t>
  </si>
  <si>
    <t>Relatório oficial SINAPI 12/2025 - RJ, composição/insumo 92763</t>
  </si>
  <si>
    <t>Anexo CPU-5.2.5: relatório oficial SINAPI + BDI/encargos</t>
  </si>
  <si>
    <t>CPU-100-0063</t>
  </si>
  <si>
    <t>CPU-100-0064</t>
  </si>
  <si>
    <t>Anexo CPU-5.3.1: relatório oficial SINAPI + BDI/encargos</t>
  </si>
  <si>
    <t>CPU-100-0065</t>
  </si>
  <si>
    <t>Anexo CPU-5.3.2: relatório oficial SINAPI + BDI/encargos</t>
  </si>
  <si>
    <t>CPU-100-0066</t>
  </si>
  <si>
    <t>Anexo CPU-5.3.3: relatório oficial SINAPI + BDI/encargos</t>
  </si>
  <si>
    <t>CPU-100-0067</t>
  </si>
  <si>
    <t>Anexo CPU-5.3.4: relatório oficial SINAPI + BDI/encargos</t>
  </si>
  <si>
    <t>CPU-100-0068</t>
  </si>
  <si>
    <t>Anexo CPU-5.3.5: relatório oficial SINAPI + BDI/encargos</t>
  </si>
  <si>
    <t>CPU-100-0069</t>
  </si>
  <si>
    <t>Relatório oficial SINAPI 12/2025 - RJ, composição/insumo 92761</t>
  </si>
  <si>
    <t>Anexo CPU-5.3.6: relatório oficial SINAPI + BDI/encargos</t>
  </si>
  <si>
    <t>CPU-100-0070</t>
  </si>
  <si>
    <t>Anexo CPU-5.3.7: relatório oficial SINAPI + BDI/encargos</t>
  </si>
  <si>
    <t>CPU-100-0071</t>
  </si>
  <si>
    <t>Anexo CPU-5.3.8: relatório oficial SINAPI + BDI/encargos</t>
  </si>
  <si>
    <t>CPU-100-0072</t>
  </si>
  <si>
    <t>Relatório oficial SINAPI 12/2025 - RJ, composição/insumo 104106</t>
  </si>
  <si>
    <t>Anexo CPU-5.3.9: relatório oficial SINAPI + BDI/encargos</t>
  </si>
  <si>
    <t>CPU-100-0073</t>
  </si>
  <si>
    <t>Anexo CPU-40301: relatório oficial SINAPI + BDI/encargos</t>
  </si>
  <si>
    <t>CPU-100-0074</t>
  </si>
  <si>
    <t>Anexo CPU-40666: relatório oficial SINAPI + BDI/encargos</t>
  </si>
  <si>
    <t>CPU-100-0075</t>
  </si>
  <si>
    <t>Anexo CPU-41032: relatório oficial SINAPI + BDI/encargos</t>
  </si>
  <si>
    <t>CPU-100-0076</t>
  </si>
  <si>
    <t>Relatório oficial SINAPI 12/2025 - RJ, composição/insumo 92771</t>
  </si>
  <si>
    <t>Anexo CPU-41397: relatório oficial SINAPI + BDI/encargos</t>
  </si>
  <si>
    <t>CPU-100-0077</t>
  </si>
  <si>
    <t>Relatório oficial SINAPI 12/2025 - RJ, composição/insumo 92772</t>
  </si>
  <si>
    <t>Anexo CPU-41762: relatório oficial SINAPI + BDI/encargos</t>
  </si>
  <si>
    <t>CPU-100-0078</t>
  </si>
  <si>
    <t>CPU-100-0079</t>
  </si>
  <si>
    <t>Relatório oficial SINAPI 12/2025 - RJ, composição/insumo 103076</t>
  </si>
  <si>
    <t>Anexo CPU-5.4.1: relatório oficial SINAPI + BDI/encargos</t>
  </si>
  <si>
    <t>CPU-100-0080</t>
  </si>
  <si>
    <t>Relatório oficial SINAPI 12/2025 - RJ, composição/insumo 101995</t>
  </si>
  <si>
    <t>Anexo CPU-5.4.2: relatório oficial SINAPI + BDI/encargos</t>
  </si>
  <si>
    <t>CPU-100-0081</t>
  </si>
  <si>
    <t>Relatório oficial SINAPI 12/2025 - RJ, composição/insumo 95943</t>
  </si>
  <si>
    <t>Anexo CPU-5.4.3: relatório oficial SINAPI + BDI/encargos</t>
  </si>
  <si>
    <t>CPU-100-0082</t>
  </si>
  <si>
    <t>Relatório oficial SINAPI 12/2025 - RJ, composição/insumo 95944</t>
  </si>
  <si>
    <t>Anexo CPU-5.4.4: relatório oficial SINAPI + BDI/encargos</t>
  </si>
  <si>
    <t>CPU-100-0083</t>
  </si>
  <si>
    <t>Relatório oficial SINAPI 12/2025 - RJ, composição/insumo 95945</t>
  </si>
  <si>
    <t>Anexo CPU-5.4.5: relatório oficial SINAPI + BDI/encargos</t>
  </si>
  <si>
    <t>CPU-100-0084</t>
  </si>
  <si>
    <t>Relatório oficial SINAPI 12/2025 - RJ, composição/insumo 103686</t>
  </si>
  <si>
    <t>Anexo CPU-5.4.6: relatório oficial SINAPI + BDI/encargos</t>
  </si>
  <si>
    <t>CPU-100-0085</t>
  </si>
  <si>
    <t>Anexo CPU-5.5.1: relatório oficial SINAPI + BDI/encargos</t>
  </si>
  <si>
    <t>CPU-100-0086</t>
  </si>
  <si>
    <t>Relatório oficial EMOP 12/2025 - RJ, composição 11.004.00201</t>
  </si>
  <si>
    <t>Anexo CPU-5.5.2: relatório oficial EMOP + BDI/encargos</t>
  </si>
  <si>
    <t>CPU-100-0087</t>
  </si>
  <si>
    <t>Anexo CPU-5.5.3: relatório oficial SINAPI + BDI/encargos</t>
  </si>
  <si>
    <t>CPU-100-0088</t>
  </si>
  <si>
    <t>Anexo CPU-5.5.4: relatório oficial SINAPI + BDI/encargos</t>
  </si>
  <si>
    <t>CPU-100-0089</t>
  </si>
  <si>
    <t>Anexo CPU-5.5.5: relatório oficial SINAPI + BDI/encargos</t>
  </si>
  <si>
    <t>CPU-100-0090</t>
  </si>
  <si>
    <t>Anexo CPU-5.5.6: relatório oficial SINAPI + BDI/encargos</t>
  </si>
  <si>
    <t>CPU-100-0091</t>
  </si>
  <si>
    <t>Anexo CPU-5.5.7: relatório oficial SINAPI + BDI/encargos</t>
  </si>
  <si>
    <t>CPU-100-0092</t>
  </si>
  <si>
    <t>Relatório oficial SINAPI 12/2025 - RJ, composição/insumo 100067</t>
  </si>
  <si>
    <t>Anexo CPU-5.5.8: relatório oficial SINAPI + BDI/encargos</t>
  </si>
  <si>
    <t>CPU-100-0093</t>
  </si>
  <si>
    <t>Relatório oficial SINAPI 12/2025 - RJ, composição/insumo 91602</t>
  </si>
  <si>
    <t>Anexo CPU-5.5.9: relatório oficial SINAPI + BDI/encargos</t>
  </si>
  <si>
    <t>CPU-100-0094</t>
  </si>
  <si>
    <t>Relatório oficial SINAPI 12/2025 - RJ, composição/insumo 91603</t>
  </si>
  <si>
    <t>Anexo CPU-40303: relatório oficial SINAPI + BDI/encargos</t>
  </si>
  <si>
    <t>CPU-100-0095</t>
  </si>
  <si>
    <t>Relatório oficial SINAPI 12/2025 - RJ, composição/insumo 100068</t>
  </si>
  <si>
    <t>Anexo CPU-40668: relatório oficial SINAPI + BDI/encargos</t>
  </si>
  <si>
    <t>CPU-100-0096</t>
  </si>
  <si>
    <t>CPU-100-0097</t>
  </si>
  <si>
    <t>CPU-100-0098</t>
  </si>
  <si>
    <t>Anexo CPU-41764: relatório oficial EMOP + BDI/encargos</t>
  </si>
  <si>
    <t>CPU-100-0099</t>
  </si>
  <si>
    <t>Relatório oficial SINAPI 12/2025 - RJ, composição/insumo 104927</t>
  </si>
  <si>
    <t>Anexo CPU-5.6.1: relatório oficial SINAPI + BDI/encargos</t>
  </si>
  <si>
    <t>CPU-100-0100</t>
  </si>
  <si>
    <t>Anexo CPU-5.6.2: relatório oficial SINAPI + BDI/encargos</t>
  </si>
  <si>
    <t>CPU-100-0101</t>
  </si>
  <si>
    <t>Anexo CPU-5.6.3: relatório oficial SINAPI + BDI/encargos</t>
  </si>
  <si>
    <t>CPU-100-0102</t>
  </si>
  <si>
    <t>Anexo CPU-5.6.4: relatório oficial SINAPI + BDI/encargos</t>
  </si>
  <si>
    <t>CPU-100-0103</t>
  </si>
  <si>
    <t>Anexo CPU-5.6.5: relatório oficial SINAPI + BDI/encargos</t>
  </si>
  <si>
    <t>CPU-100-0104</t>
  </si>
  <si>
    <t>Anexo CPU-5.6.6: relatório oficial SINAPI + BDI/encargos</t>
  </si>
  <si>
    <t>CPU-100-0105</t>
  </si>
  <si>
    <t>Anexo CPU-5.6.7: relatório oficial SINAPI + BDI/encargos</t>
  </si>
  <si>
    <t>CPU-100-0106</t>
  </si>
  <si>
    <t>Relatório oficial SINAPI 12/2025 - RJ, composição/insumo 104924</t>
  </si>
  <si>
    <t>Anexo CPU-5.6.8: relatório oficial SINAPI + BDI/encargos</t>
  </si>
  <si>
    <t>CPU-100-0107</t>
  </si>
  <si>
    <t>CPU-100-0108</t>
  </si>
  <si>
    <t>CPU-100-0109</t>
  </si>
  <si>
    <t>Anexo CPU-40669: relatório oficial SINAPI + BDI/encargos</t>
  </si>
  <si>
    <t>CPU-100-0110</t>
  </si>
  <si>
    <t>Anexo CPU-6.1.1: relatório oficial SINAPI + BDI/encargos</t>
  </si>
  <si>
    <t>CPU-100-0111</t>
  </si>
  <si>
    <t>Relatório oficial SINAPI 12/2025 - RJ, composição/insumo 103371</t>
  </si>
  <si>
    <t>Anexo CPU-6.1.2: relatório oficial SINAPI + BDI/encargos</t>
  </si>
  <si>
    <t>CPU-100-0112</t>
  </si>
  <si>
    <t>Anexo CPU-6.1.3: relatório oficial SINAPI + BDI/encargos</t>
  </si>
  <si>
    <t>CPU-100-0113</t>
  </si>
  <si>
    <t>Relatório oficial SINAPI 12/2025 - RJ, composição/insumo 93203</t>
  </si>
  <si>
    <t>Anexo CPU-6.1.4: relatório oficial SINAPI + BDI/encargos</t>
  </si>
  <si>
    <t>CPU-100-0114</t>
  </si>
  <si>
    <t>Relatório oficial SINAPI 12/2025 - RJ, composição/insumo 93187</t>
  </si>
  <si>
    <t>Anexo CPU-6.1.5: relatório oficial SINAPI + BDI/encargos</t>
  </si>
  <si>
    <t>CPU-100-0115</t>
  </si>
  <si>
    <t>Relatório oficial SINAPI 12/2025 - RJ, composição/insumo 93197</t>
  </si>
  <si>
    <t>Anexo CPU-6.1.6: relatório oficial SINAPI + BDI/encargos</t>
  </si>
  <si>
    <t>CPU-100-0116</t>
  </si>
  <si>
    <t>Relatório oficial SINAPI 12/2025 - RJ, composição/insumo 98575</t>
  </si>
  <si>
    <t>Anexo CPU-6.1.7: relatório oficial SINAPI + BDI/encargos</t>
  </si>
  <si>
    <t>CPU-100-0117</t>
  </si>
  <si>
    <t>Assentamento, fixação, montagem, acabamento e equipe de apoio</t>
  </si>
  <si>
    <t>Anexo CPU-6.2.1: relatório oficial SINAPI + BDI/encargos</t>
  </si>
  <si>
    <t>Placas, argamassa, rejunte, perfis, painéis, granito, porcelanato, MDF e materiais incorporados</t>
  </si>
  <si>
    <t>Ferramentas de corte, nivelamento, fixação e acabamento</t>
  </si>
  <si>
    <t>CPU-100-0118</t>
  </si>
  <si>
    <t>CPU-100-0119</t>
  </si>
  <si>
    <t>Relatório oficial EMOP 12/2025 - RJ, composição 13.157.00100</t>
  </si>
  <si>
    <t>Anexo CPU-6.2.3: relatório oficial EMOP + BDI/encargos</t>
  </si>
  <si>
    <t>CPU-100-0120</t>
  </si>
  <si>
    <t>Relatório CPOS/CDHU 09/2025 - SP, composição 14.30.843</t>
  </si>
  <si>
    <t>Anexo CPU-6.2.4: relatório CPOS/CDHU + justificativa de referência</t>
  </si>
  <si>
    <t>CPU-100-0121</t>
  </si>
  <si>
    <t>Anexo CPU-6.2.5: relatório oficial SINAPI + BDI/encargos</t>
  </si>
  <si>
    <t>CPU-100-0122</t>
  </si>
  <si>
    <t>Anexo CPU-6.2.6: memória de composição própria + cotação do fornecedor</t>
  </si>
  <si>
    <t>CPU-100-0123</t>
  </si>
  <si>
    <t>Anexo CPU-6.3.1: relatório oficial SINAPI + BDI/encargos</t>
  </si>
  <si>
    <t>CPU-100-0124</t>
  </si>
  <si>
    <t>Anexo CPU-6.3.2: relatório oficial SINAPI + BDI/encargos</t>
  </si>
  <si>
    <t>CPU-100-0125</t>
  </si>
  <si>
    <t>Anexo CPU-6.3.3: relatório oficial SINAPI + BDI/encargos</t>
  </si>
  <si>
    <t>CPU-100-0126</t>
  </si>
  <si>
    <t>Anexo CPU-6.3.4: relatório oficial SINAPI + BDI/encargos</t>
  </si>
  <si>
    <t>CPU-100-0127</t>
  </si>
  <si>
    <t>Relatório oficial SBC 12/2025 - RJ, composição/insumo 121085</t>
  </si>
  <si>
    <t>Anexo CPU-6.3.5: relatório SBC + pesquisa/cotação quando aplicável</t>
  </si>
  <si>
    <t>CPU-100-0128</t>
  </si>
  <si>
    <t>Anexo CPU-6.3.6: relatório oficial SINAPI + BDI/encargos</t>
  </si>
  <si>
    <t>CPU-100-0129</t>
  </si>
  <si>
    <t>Relatório CPOS/CDHU 09/2025 - SP, composição 32.07.250</t>
  </si>
  <si>
    <t>Anexo CPU-6.3.7: relatório CPOS/CDHU + justificativa de referência</t>
  </si>
  <si>
    <t>CPU-100-0130</t>
  </si>
  <si>
    <t>Anexo CPU-6.4.1: memória de composição própria + cotação do fornecedor</t>
  </si>
  <si>
    <t>CPU-100-0131</t>
  </si>
  <si>
    <t>Anexo CPU-6.4.2: memória de composição própria + cotação do fornecedor</t>
  </si>
  <si>
    <t>CPU-100-0132</t>
  </si>
  <si>
    <t>Anexo CPU-6.4.3: memória de composição própria + cotação do fornecedor</t>
  </si>
  <si>
    <t>CPU-100-0133</t>
  </si>
  <si>
    <t>Anexo CPU-6.5.1: relatório oficial SINAPI + BDI/encargos</t>
  </si>
  <si>
    <t>CPU-100-0134</t>
  </si>
  <si>
    <t>Relatório oficial SINAPI 12/2025 - RJ, composição/insumo 96114</t>
  </si>
  <si>
    <t>Anexo CPU-6.5.2: relatório oficial SINAPI + BDI/encargos</t>
  </si>
  <si>
    <t>CPU-100-0135</t>
  </si>
  <si>
    <t>Relatório oficial SINAPI 12/2025 - RJ, composição/insumo 99054</t>
  </si>
  <si>
    <t>Anexo CPU-6.5.3: relatório oficial SINAPI + BDI/encargos</t>
  </si>
  <si>
    <t>CPU-100-0136</t>
  </si>
  <si>
    <t>Anexo CPU-6.6.1: relatório oficial SINAPI + BDI/encargos</t>
  </si>
  <si>
    <t>CPU-100-0137</t>
  </si>
  <si>
    <t>Relatório oficial SINAPI 12/2025 - RJ, composição/insumo 87745</t>
  </si>
  <si>
    <t>Anexo CPU-6.6.2: relatório oficial SINAPI + BDI/encargos</t>
  </si>
  <si>
    <t>CPU-100-0138</t>
  </si>
  <si>
    <t>CPU-100-0139</t>
  </si>
  <si>
    <t>Relatório oficial EMOP 12/2025 - RJ, composição 13.331.00200</t>
  </si>
  <si>
    <t>Anexo CPU-6.6.4: relatório oficial EMOP + BDI/encargos</t>
  </si>
  <si>
    <t>CPU-100-0140</t>
  </si>
  <si>
    <t>Relatório oficial SINAPI 12/2025 - RJ, composição/insumo 101727</t>
  </si>
  <si>
    <t>Anexo CPU-6.6.5: relatório oficial SINAPI + BDI/encargos</t>
  </si>
  <si>
    <t>CPU-100-0141</t>
  </si>
  <si>
    <t>Relatório oficial SINAPI 12/2025 - RJ, composição/insumo 101092</t>
  </si>
  <si>
    <t>Anexo CPU-6.6.6: relatório oficial SINAPI + BDI/encargos</t>
  </si>
  <si>
    <t>CPU-100-0142</t>
  </si>
  <si>
    <t>Relatório oficial SINAPI 12/2025 - RJ, composição/insumo 104658</t>
  </si>
  <si>
    <t>Anexo CPU-6.6.7: relatório oficial SINAPI + BDI/encargos</t>
  </si>
  <si>
    <t>CPU-100-0143</t>
  </si>
  <si>
    <t>Relatório oficial SBC 12/2025 - RJ, composição/insumo 170021</t>
  </si>
  <si>
    <t>Anexo CPU-6.6.8: relatório SBC + pesquisa/cotação quando aplicável</t>
  </si>
  <si>
    <t>CPU-100-0144</t>
  </si>
  <si>
    <t>Relatório CPOS/CDHU 09/2025 - SP, composição 32.07.230</t>
  </si>
  <si>
    <t>Anexo CPU-6.6.9: relatório CPOS/CDHU + justificativa de referência</t>
  </si>
  <si>
    <t>CPU-100-0145</t>
  </si>
  <si>
    <t>Relatório CPOS/CDHU 09/2025 - SP, composição 21.10.050</t>
  </si>
  <si>
    <t>Anexo CPU-40335: relatório CPOS/CDHU + justificativa de referência</t>
  </si>
  <si>
    <t>CPU-100-0146</t>
  </si>
  <si>
    <t>Relatório oficial SINAPI 12/2025 - RJ, composição/insumo 98689</t>
  </si>
  <si>
    <t>Anexo CPU-40700: relatório oficial SINAPI + BDI/encargos</t>
  </si>
  <si>
    <t>CPU-100-0147</t>
  </si>
  <si>
    <t>Relatório oficial SBC 12/2025 - RJ, composição/insumo 130302</t>
  </si>
  <si>
    <t>Anexo CPU-41066: relatório SBC + pesquisa/cotação quando aplicável</t>
  </si>
  <si>
    <t>CPU-100-0148</t>
  </si>
  <si>
    <t>Anexo CPU-6.7.1: relatório oficial SINAPI + BDI/encargos</t>
  </si>
  <si>
    <t>CPU-100-0149</t>
  </si>
  <si>
    <t>Anexo CPU-6.7.2: relatório oficial SINAPI + BDI/encargos</t>
  </si>
  <si>
    <t>CPU-100-0150</t>
  </si>
  <si>
    <t>Anexo CPU-6.7.3: relatório oficial SINAPI + BDI/encargos</t>
  </si>
  <si>
    <t>CPU-100-0151</t>
  </si>
  <si>
    <t>Relatório oficial SINAPI 12/2025 - RJ, composição/insumo 94279</t>
  </si>
  <si>
    <t>Anexo CPU-6.7.4: relatório oficial SINAPI + BDI/encargos</t>
  </si>
  <si>
    <t>CPU-100-0152</t>
  </si>
  <si>
    <t>Relatório oficial SBC 12/2025 - RJ, composição/insumo 171843</t>
  </si>
  <si>
    <t>Anexo CPU-6.7.5: relatório SBC + pesquisa/cotação quando aplicável</t>
  </si>
  <si>
    <t>CPU-100-0153</t>
  </si>
  <si>
    <t>Relatório oficial SINAPI 12/2025 - RJ, composição/insumo 101965</t>
  </si>
  <si>
    <t>Anexo CPU-6.8.1: relatório oficial SINAPI + BDI/encargos</t>
  </si>
  <si>
    <t>CPU-100-0154</t>
  </si>
  <si>
    <t>Anexo CPU-6.8.2: relatório oficial SINAPI + BDI/encargos</t>
  </si>
  <si>
    <t>CPU-100-0155</t>
  </si>
  <si>
    <t>Relatório oficial EMOP 12/2025 - RJ, composição 11.013.00060</t>
  </si>
  <si>
    <t>Anexo CPU-6.8.3: relatório oficial EMOP + BDI/encargos</t>
  </si>
  <si>
    <t>CPU-100-0156</t>
  </si>
  <si>
    <t>Relatório oficial SINAPI 12/2025 - RJ, composição/insumo 97736</t>
  </si>
  <si>
    <t>Anexo CPU-6.8.4: relatório oficial SINAPI + BDI/encargos</t>
  </si>
  <si>
    <t>CPU-100-0157</t>
  </si>
  <si>
    <t>Preparação, lixamento, aplicação e acabamento</t>
  </si>
  <si>
    <t>Relatório oficial SINAPI 12/2025 - RJ, composição/insumo 88485</t>
  </si>
  <si>
    <t>Anexo CPU-7.1.1: relatório oficial SINAPI + BDI/encargos</t>
  </si>
  <si>
    <t>Tintas, massas, seladores, solventes, abrasivos e materiais incorporados</t>
  </si>
  <si>
    <t>Rolos, pincéis, pistolas, bandejas, lixas e equipamentos de aplicação</t>
  </si>
  <si>
    <t>CPU-100-0158</t>
  </si>
  <si>
    <t>Anexo CPU-7.1.2: relatório oficial SINAPI + BDI/encargos</t>
  </si>
  <si>
    <t>CPU-100-0159</t>
  </si>
  <si>
    <t>Anexo CPU-7.1.3: relatório oficial SINAPI + BDI/encargos</t>
  </si>
  <si>
    <t>CPU-100-0160</t>
  </si>
  <si>
    <t>Relatório oficial SINAPI 12/2025 - RJ, composição/insumo 100717</t>
  </si>
  <si>
    <t>Anexo CPU-7.2.1: relatório oficial SINAPI + BDI/encargos</t>
  </si>
  <si>
    <t>CPU-100-0161</t>
  </si>
  <si>
    <t>Relatório oficial SINAPI 12/2025 - RJ, composição/insumo 100720</t>
  </si>
  <si>
    <t>Anexo CPU-7.2.2: relatório oficial SINAPI + BDI/encargos</t>
  </si>
  <si>
    <t>CPU-100-0162</t>
  </si>
  <si>
    <t>Anexo CPU-7.2.3: relatório oficial SINAPI + BDI/encargos</t>
  </si>
  <si>
    <t>CPU-100-0163</t>
  </si>
  <si>
    <t>Fabricação, montagem, instalação, ajuste e acabamento</t>
  </si>
  <si>
    <t>Relatório oficial EMOP 12/2025 - RJ, composição 17.014.0015</t>
  </si>
  <si>
    <t>Anexo CPU-7.2.4: relatório oficial EMOP + BDI/encargos</t>
  </si>
  <si>
    <t>Vidros, alumínio, aço, ferragens, perfis, painéis, fechaduras e materiais incorporados</t>
  </si>
  <si>
    <t>Ferramentas de instalação, corte, solda, fixação e apoio</t>
  </si>
  <si>
    <t>Transporte, içamento, EPIs, perdas e limpeza</t>
  </si>
  <si>
    <t>CPU-100-0164</t>
  </si>
  <si>
    <t>Relatório oficial SINAPI 12/2025 - RJ, composição/insumo 102507</t>
  </si>
  <si>
    <t>Anexo CPU-7.3.1: relatório oficial SINAPI + BDI/encargos</t>
  </si>
  <si>
    <t>CPU-100-0165</t>
  </si>
  <si>
    <t>Relatório oficial SINAPI 12/2025 - RJ, composição/insumo 102491</t>
  </si>
  <si>
    <t>Anexo CPU-7.3.2: relatório oficial SINAPI + BDI/encargos</t>
  </si>
  <si>
    <t>CPU-100-0166</t>
  </si>
  <si>
    <t>Relatório oficial SINAPI 12/2025 - RJ, composição/insumo 88484</t>
  </si>
  <si>
    <t>Anexo CPU-7.4.1: relatório oficial SINAPI + BDI/encargos</t>
  </si>
  <si>
    <t>CPU-100-0167</t>
  </si>
  <si>
    <t>Relatório oficial SINAPI 12/2025 - RJ, composição/insumo 88496</t>
  </si>
  <si>
    <t>Anexo CPU-7.4.2: relatório oficial SINAPI + BDI/encargos</t>
  </si>
  <si>
    <t>CPU-100-0168</t>
  </si>
  <si>
    <t>Relatório oficial SINAPI 12/2025 - RJ, composição/insumo 88488</t>
  </si>
  <si>
    <t>Anexo CPU-7.4.3: relatório oficial SINAPI + BDI/encargos</t>
  </si>
  <si>
    <t>CPU-100-0169</t>
  </si>
  <si>
    <t>Anexo CPU-8.1.1: relatório oficial SINAPI + BDI/encargos</t>
  </si>
  <si>
    <t>CPU-100-0170</t>
  </si>
  <si>
    <t>Relatório oficial SINAPI 12/2025 - RJ, composição/insumo 90793</t>
  </si>
  <si>
    <t>Anexo CPU-8.1.2: relatório oficial SINAPI + BDI/encargos</t>
  </si>
  <si>
    <t>CPU-100-0171</t>
  </si>
  <si>
    <t>Relatório oficial SBC 12/2025 - RJ, composição/insumo 110460</t>
  </si>
  <si>
    <t>Anexo CPU-8.1.3: relatório SBC + pesquisa/cotação quando aplicável</t>
  </si>
  <si>
    <t>CPU-100-0172</t>
  </si>
  <si>
    <t>Anexo CPU-8.1.4: memória de composição própria + cotação do fornecedor</t>
  </si>
  <si>
    <t>CPU-100-0173</t>
  </si>
  <si>
    <t>Relatório oficial SINAPI 12/2025 - RJ, composição/insumo 91341</t>
  </si>
  <si>
    <t>Anexo CPU-8.1.5: relatório oficial SINAPI + BDI/encargos</t>
  </si>
  <si>
    <t>CPU-100-0174</t>
  </si>
  <si>
    <t>Relatório oficial SINAPI 12/2025 - RJ, composição/insumo 90838</t>
  </si>
  <si>
    <t>Anexo CPU-8.1.6: relatório oficial SINAPI + BDI/encargos</t>
  </si>
  <si>
    <t>CPU-100-0175</t>
  </si>
  <si>
    <t>Relatório oficial SINAPI 12/2025 - RJ, composição/insumo 90830</t>
  </si>
  <si>
    <t>Anexo CPU-8.1.7: relatório oficial SINAPI + BDI/encargos</t>
  </si>
  <si>
    <t>CPU-100-0176</t>
  </si>
  <si>
    <t>Relatório oficial SINAPI 12/2025 - RJ, composição/insumo 90831</t>
  </si>
  <si>
    <t>Anexo CPU-8.1.8: relatório oficial SINAPI + BDI/encargos</t>
  </si>
  <si>
    <t>CPU-100-0177</t>
  </si>
  <si>
    <t>Relatório oficial EMOP 12/2025 - RJ, composição 14.002.02400</t>
  </si>
  <si>
    <t>Anexo CPU-8.1.9: relatório oficial EMOP + BDI/encargos</t>
  </si>
  <si>
    <t>CPU-100-0178</t>
  </si>
  <si>
    <t>Anexo CPU-40391: memória de composição própria + cotação do fornecedor</t>
  </si>
  <si>
    <t>CPU-100-0179</t>
  </si>
  <si>
    <t>Relatório oficial EMOP 12/2025 - RJ, composição 14.003.01490</t>
  </si>
  <si>
    <t>Anexo CPU-40756: relatório oficial EMOP + BDI/encargos</t>
  </si>
  <si>
    <t>CPU-100-0180</t>
  </si>
  <si>
    <t>Anexo CPU-41122: memória de composição própria + cotação do fornecedor</t>
  </si>
  <si>
    <t>CPU-100-0181</t>
  </si>
  <si>
    <t>Relatório oficial EMOP 12/2025 - RJ, composição 14.004.01200</t>
  </si>
  <si>
    <t>Anexo CPU-8.2.1: relatório oficial EMOP + BDI/encargos</t>
  </si>
  <si>
    <t>CPU-100-0182</t>
  </si>
  <si>
    <t>Relatório oficial EMOP 12/2025 - RJ, composição 14.007.01950</t>
  </si>
  <si>
    <t>Anexo CPU-8.2.2: relatório oficial EMOP + BDI/encargos</t>
  </si>
  <si>
    <t>CPU-100-0183</t>
  </si>
  <si>
    <t>Relatório oficial SINAPI 12/2025 - RJ, composição/insumo 102185</t>
  </si>
  <si>
    <t>Anexo CPU-8.2.3: relatório oficial SINAPI + BDI/encargos</t>
  </si>
  <si>
    <t>CPU-100-0184</t>
  </si>
  <si>
    <t>Relatório oficial SINAPI 12/2025 - RJ, composição/insumo 102184</t>
  </si>
  <si>
    <t>Anexo CPU-8.2.4: relatório oficial SINAPI + BDI/encargos</t>
  </si>
  <si>
    <t>CPU-100-0185</t>
  </si>
  <si>
    <t>Relatório oficial EMOP 12/2025 - RJ, composição 14.004.00730</t>
  </si>
  <si>
    <t>Anexo CPU-8.2.5: relatório oficial EMOP + BDI/encargos</t>
  </si>
  <si>
    <t>CPU-100-0186</t>
  </si>
  <si>
    <t>Relatório oficial EMOP 12/2025 - RJ, composição 14.003.01630</t>
  </si>
  <si>
    <t>Anexo CPU-8.2.6: relatório oficial EMOP + BDI/encargos</t>
  </si>
  <si>
    <t>CPU-100-0187</t>
  </si>
  <si>
    <t>Relatório oficial EMOP 12/2025 - RJ, composição 14.003.02110</t>
  </si>
  <si>
    <t>Anexo CPU-8.2.7: relatório oficial EMOP + BDI/encargos</t>
  </si>
  <si>
    <t>CPU-100-0188</t>
  </si>
  <si>
    <t>Relatório oficial EMOP 12/2025 - RJ, composição 14.003.02010</t>
  </si>
  <si>
    <t>Anexo CPU-8.2.8: relatório oficial EMOP + BDI/encargos</t>
  </si>
  <si>
    <t>CPU-100-0189</t>
  </si>
  <si>
    <t>Anexo CPU-8.2.9: memória de composição própria + cotação do fornecedor</t>
  </si>
  <si>
    <t>CPU-100-0190</t>
  </si>
  <si>
    <t>Relatório oficial SBC 12/2025 - RJ, composição/insumo 140561</t>
  </si>
  <si>
    <t>Anexo CPU-40392: relatório SBC + pesquisa/cotação quando aplicável</t>
  </si>
  <si>
    <t>CPU-100-0191</t>
  </si>
  <si>
    <t>Relatório oficial EMOP 12/2025 - RJ, composição 18.016.02050</t>
  </si>
  <si>
    <t>Anexo CPU-8.3.1: relatório oficial EMOP + BDI/encargos</t>
  </si>
  <si>
    <t>CPU-100-0192</t>
  </si>
  <si>
    <t>Relatório oficial SBC 12/2025 - RJ, composição/insumo 111700</t>
  </si>
  <si>
    <t>Anexo CPU-8.3.2: relatório SBC + pesquisa/cotação quando aplicável</t>
  </si>
  <si>
    <t>CPU-100-0193</t>
  </si>
  <si>
    <t>CPU-100-0194</t>
  </si>
  <si>
    <t>CPU-100-0195</t>
  </si>
  <si>
    <t>Relatório oficial EMOP 12/2025 - RJ, composição 13.168.00100</t>
  </si>
  <si>
    <t>Anexo CPU-8.3.5: relatório oficial EMOP + BDI/encargos</t>
  </si>
  <si>
    <t>CPU-100-0196</t>
  </si>
  <si>
    <t>Relatório oficial EMOP 12/2025 - RJ, composição 14.002.02071</t>
  </si>
  <si>
    <t>Anexo CPU-8.3.6: relatório oficial EMOP + BDI/encargos</t>
  </si>
  <si>
    <t>CPU-100-0197</t>
  </si>
  <si>
    <t>Relatório oficial EMOP 12/2025 - RJ, composição 05.055.00100</t>
  </si>
  <si>
    <t>Anexo CPU-8.3.7: relatório oficial EMOP + BDI/encargos</t>
  </si>
  <si>
    <t>CPU-100-0198</t>
  </si>
  <si>
    <t>Relatório oficial EMOP 12/2025 - RJ, composição 14.002.01320</t>
  </si>
  <si>
    <t>Anexo CPU-8.3.8: relatório oficial EMOP + BDI/encargos</t>
  </si>
  <si>
    <t>CPU-100-0199</t>
  </si>
  <si>
    <t>Relatório oficial SINAPI 12/2025 - RJ, composição/insumo 100701</t>
  </si>
  <si>
    <t>Anexo CPU-8.3.9: relatório oficial SINAPI + BDI/encargos</t>
  </si>
  <si>
    <t>CPU-100-0200</t>
  </si>
  <si>
    <t>Relatório oficial SBC 12/2025 - RJ, composição/insumo 111034</t>
  </si>
  <si>
    <t>Anexo CPU-40393: relatório SBC + pesquisa/cotação quando aplicável</t>
  </si>
  <si>
    <t>CPU-100-0201</t>
  </si>
  <si>
    <t>Relatório oficial SBC 12/2025 - RJ, composição/insumo 112564</t>
  </si>
  <si>
    <t>Anexo CPU-40758: relatório SBC + pesquisa/cotação quando aplicável</t>
  </si>
  <si>
    <t>CPU-100-0202</t>
  </si>
  <si>
    <t>Relatório oficial EMOP 12/2025 - RJ, composição 14.007.0276</t>
  </si>
  <si>
    <t>Anexo CPU-41124: relatório oficial EMOP + BDI/encargos</t>
  </si>
  <si>
    <t>CPU-100-0203</t>
  </si>
  <si>
    <t>Instalação, montagem, conexão, chumbamento, fixação e testes</t>
  </si>
  <si>
    <t>Anexo CPU-8.4.1: memória de composição própria + cotação do fornecedor</t>
  </si>
  <si>
    <t>Tubos, conexões, registros, válvulas, louças, metais, bombas e acessórios</t>
  </si>
  <si>
    <t>Ferramentas de corte, solda, rosca, teste e apoio</t>
  </si>
  <si>
    <t>CPU-100-0204</t>
  </si>
  <si>
    <t>Relatório oficial SBC 12/2025 - RJ, composição/insumo 90120</t>
  </si>
  <si>
    <t>Anexo CPU-8.4.2: relatório SBC + pesquisa/cotação quando aplicável</t>
  </si>
  <si>
    <t>CPU-100-0205</t>
  </si>
  <si>
    <t>Anexo CPU-8.4.3: memória de composição própria + cotação do fornecedor</t>
  </si>
  <si>
    <t>CPU-100-0206</t>
  </si>
  <si>
    <t>Relatório oficial SBC 12/2025 - RJ, composição/insumo 200503</t>
  </si>
  <si>
    <t>Anexo CPU-8.4.4: relatório SBC + pesquisa/cotação quando aplicável</t>
  </si>
  <si>
    <t>CPU-100-0207</t>
  </si>
  <si>
    <t>Anexo CPU-8.5.1: memória de composição própria + cotação do fornecedor</t>
  </si>
  <si>
    <t>CPU-100-0208</t>
  </si>
  <si>
    <t>Relatório oficial SINAPI 12/2025 - RJ, composição/insumo 12774</t>
  </si>
  <si>
    <t>Anexo CPU-9.1.1: relatório oficial SINAPI + BDI/encargos</t>
  </si>
  <si>
    <t>CPU-100-0209</t>
  </si>
  <si>
    <t>Relatório oficial SINAPI 12/2025 - RJ, composição/insumo 95635</t>
  </si>
  <si>
    <t>Anexo CPU-9.1.2: relatório oficial SINAPI + BDI/encargos</t>
  </si>
  <si>
    <t>CPU-100-0210</t>
  </si>
  <si>
    <t>Relatório oficial EMOP 12/2025 - RJ, composição 15.001.00690</t>
  </si>
  <si>
    <t>Anexo CPU-9.1.3: relatório oficial EMOP + BDI/encargos</t>
  </si>
  <si>
    <t>CPU-100-0211</t>
  </si>
  <si>
    <t>Relatório oficial SINAPI 12/2025 - RJ, composição/insumo 102113</t>
  </si>
  <si>
    <t>Anexo CPU-9.1.4: relatório oficial SINAPI + BDI/encargos</t>
  </si>
  <si>
    <t>CPU-100-0212</t>
  </si>
  <si>
    <t>Relatório oficial SINAPI 12/2025 - RJ, composição/insumo 102116</t>
  </si>
  <si>
    <t>Anexo CPU-9.1.5: relatório oficial SINAPI + BDI/encargos</t>
  </si>
  <si>
    <t>CPU-100-0213</t>
  </si>
  <si>
    <t>Relatório oficial SINAPI 12/2025 - RJ, composição/insumo 99629</t>
  </si>
  <si>
    <t>Anexo CPU-9.1.6: relatório oficial SINAPI + BDI/encargos</t>
  </si>
  <si>
    <t>CPU-100-0214</t>
  </si>
  <si>
    <t>Relatório oficial SINAPI 12/2025 - RJ, composição/insumo 99632</t>
  </si>
  <si>
    <t>Anexo CPU-9.1.7: relatório oficial SINAPI + BDI/encargos</t>
  </si>
  <si>
    <t>CPU-100-0215</t>
  </si>
  <si>
    <t>Relatório oficial SINAPI 12/2025 - RJ, composição/insumo 104031</t>
  </si>
  <si>
    <t>Anexo CPU-9.1.8: relatório oficial SINAPI + BDI/encargos</t>
  </si>
  <si>
    <t>CPU-100-0216</t>
  </si>
  <si>
    <t>Relatório oficial SINAPI 12/2025 - RJ, composição/insumo 103979</t>
  </si>
  <si>
    <t>Anexo CPU-9.1.9: relatório oficial SINAPI + BDI/encargos</t>
  </si>
  <si>
    <t>CPU-100-0217</t>
  </si>
  <si>
    <t>Relatório oficial SINAPI 12/2025 - RJ, composição/insumo 103978</t>
  </si>
  <si>
    <t>Anexo CPU-40422: relatório oficial SINAPI + BDI/encargos</t>
  </si>
  <si>
    <t>CPU-100-0218</t>
  </si>
  <si>
    <t>Relatório oficial SINAPI 12/2025 - RJ, composição/insumo 89357</t>
  </si>
  <si>
    <t>Anexo CPU-40787: relatório oficial SINAPI + BDI/encargos</t>
  </si>
  <si>
    <t>CPU-100-0219</t>
  </si>
  <si>
    <t>Relatório oficial SINAPI 12/2025 - RJ, composição/insumo 89356</t>
  </si>
  <si>
    <t>Anexo CPU-41153: relatório oficial SINAPI + BDI/encargos</t>
  </si>
  <si>
    <t>CPU-100-0220</t>
  </si>
  <si>
    <t>Relatório oficial SINAPI 12/2025 - RJ, composição/insumo 103042</t>
  </si>
  <si>
    <t>Anexo CPU-41518: relatório oficial SINAPI + BDI/encargos</t>
  </si>
  <si>
    <t>CPU-100-0221</t>
  </si>
  <si>
    <t>Relatório oficial SINAPI 12/2025 - RJ, composição/insumo 94489</t>
  </si>
  <si>
    <t>Anexo CPU-41883: relatório oficial SINAPI + BDI/encargos</t>
  </si>
  <si>
    <t>CPU-100-0222</t>
  </si>
  <si>
    <t>Relatório oficial SINAPI 12/2025 - RJ, composição/insumo 94490</t>
  </si>
  <si>
    <t>Anexo CPU-42248: relatório oficial SINAPI + BDI/encargos</t>
  </si>
  <si>
    <t>CPU-100-0223</t>
  </si>
  <si>
    <t>Relatório oficial SINAPI 12/2025 - RJ, composição/insumo 94492</t>
  </si>
  <si>
    <t>Anexo CPU-42614: relatório oficial SINAPI + BDI/encargos</t>
  </si>
  <si>
    <t>CPU-100-0224</t>
  </si>
  <si>
    <t>Relatório oficial SINAPI 12/2025 - RJ, composição/insumo 94664</t>
  </si>
  <si>
    <t>Anexo CPU-42979: relatório oficial SINAPI + BDI/encargos</t>
  </si>
  <si>
    <t>CPU-100-0225</t>
  </si>
  <si>
    <t>Relatório oficial SINAPI 12/2025 - RJ, composição/insumo 94658</t>
  </si>
  <si>
    <t>Anexo CPU-43344: relatório oficial SINAPI + BDI/encargos</t>
  </si>
  <si>
    <t>CPU-100-0226</t>
  </si>
  <si>
    <t>Relatório oficial SINAPI 12/2025 - RJ, composição/insumo 89429</t>
  </si>
  <si>
    <t>Anexo CPU-43709: relatório oficial SINAPI + BDI/encargos</t>
  </si>
  <si>
    <t>CPU-100-0227</t>
  </si>
  <si>
    <t>Relatório oficial SINAPI 12/2025 - RJ, composição/insumo 104009</t>
  </si>
  <si>
    <t>Anexo CPU-44075: relatório oficial SINAPI + BDI/encargos</t>
  </si>
  <si>
    <t>CPU-100-0228</t>
  </si>
  <si>
    <t>Relatório oficial SINAPI 12/2025 - RJ, composição/insumo 89368</t>
  </si>
  <si>
    <t>Anexo CPU-44440: relatório oficial SINAPI + BDI/encargos</t>
  </si>
  <si>
    <t>CPU-100-0229</t>
  </si>
  <si>
    <t>Relatório oficial SINAPI 12/2025 - RJ, composição/insumo 89362</t>
  </si>
  <si>
    <t>Anexo CPU-44805: relatório oficial SINAPI + BDI/encargos</t>
  </si>
  <si>
    <t>CPU-100-0230</t>
  </si>
  <si>
    <t>Relatório oficial SINAPI 12/2025 - RJ, composição/insumo 89367</t>
  </si>
  <si>
    <t>Anexo CPU-45170: relatório oficial SINAPI + BDI/encargos</t>
  </si>
  <si>
    <t>CPU-100-0231</t>
  </si>
  <si>
    <t>Relatório oficial SINAPI 12/2025 - RJ, composição/insumo 103980</t>
  </si>
  <si>
    <t>Anexo CPU-45536: relatório oficial SINAPI + BDI/encargos</t>
  </si>
  <si>
    <t>CPU-100-0232</t>
  </si>
  <si>
    <t>Relatório oficial SINAPI 12/2025 - RJ, composição/insumo 103984</t>
  </si>
  <si>
    <t>Anexo CPU-45901: relatório oficial SINAPI + BDI/encargos</t>
  </si>
  <si>
    <t>CPU-100-0233</t>
  </si>
  <si>
    <t>Relatório oficial SINAPI 12/2025 - RJ, composição/insumo 103951</t>
  </si>
  <si>
    <t>Anexo CPU-46266: relatório oficial SINAPI + BDI/encargos</t>
  </si>
  <si>
    <t>CPU-100-0234</t>
  </si>
  <si>
    <t>Relatório oficial SINAPI 12/2025 - RJ, composição/insumo 89431</t>
  </si>
  <si>
    <t>Anexo CPU-46631: relatório oficial SINAPI + BDI/encargos</t>
  </si>
  <si>
    <t>CPU-100-0235</t>
  </si>
  <si>
    <t>Relatório oficial SINAPI 12/2025 - RJ, composição/insumo 103995</t>
  </si>
  <si>
    <t>Anexo CPU-46997: relatório oficial SINAPI + BDI/encargos</t>
  </si>
  <si>
    <t>CPU-100-0236</t>
  </si>
  <si>
    <t>Relatório oficial SINAPI 12/2025 - RJ, composição/insumo 89398</t>
  </si>
  <si>
    <t>Anexo CPU-47362: relatório oficial SINAPI + BDI/encargos</t>
  </si>
  <si>
    <t>CPU-100-0237</t>
  </si>
  <si>
    <t>Relatório oficial SINAPI 12/2025 - RJ, composição/insumo 104004</t>
  </si>
  <si>
    <t>Anexo CPU-47727: relatório oficial SINAPI + BDI/encargos</t>
  </si>
  <si>
    <t>CPU-100-0238</t>
  </si>
  <si>
    <t>Relatório oficial SINAPI 12/2025 - RJ, composição/insumo 89626</t>
  </si>
  <si>
    <t>Anexo CPU-48092: relatório oficial SINAPI + BDI/encargos</t>
  </si>
  <si>
    <t>CPU-100-0239</t>
  </si>
  <si>
    <t>Relatório oficial SINAPI 12/2025 - RJ, composição/insumo 89552</t>
  </si>
  <si>
    <t>Anexo CPU-48458: relatório oficial SINAPI + BDI/encargos</t>
  </si>
  <si>
    <t>CPU-100-0240</t>
  </si>
  <si>
    <t>Relatório oficial SINAPI 12/2025 - RJ, composição/insumo 89568</t>
  </si>
  <si>
    <t>Anexo CPU-48823: relatório oficial SINAPI + BDI/encargos</t>
  </si>
  <si>
    <t>CPU-100-0241</t>
  </si>
  <si>
    <t>Relatório oficial SINAPI 12/2025 - RJ, composição/insumo 89594</t>
  </si>
  <si>
    <t>Anexo CPU-49188: relatório oficial SINAPI + BDI/encargos</t>
  </si>
  <si>
    <t>CPU-100-0242</t>
  </si>
  <si>
    <t>CPU-100-0243</t>
  </si>
  <si>
    <t>Relatório oficial SINAPI 12/2025 - RJ, composição/insumo 89412</t>
  </si>
  <si>
    <t>Anexo CPU-49919: relatório oficial SINAPI + BDI/encargos</t>
  </si>
  <si>
    <t>CPU-100-0244</t>
  </si>
  <si>
    <t>Relatório oficial SINAPI 12/2025 - RJ, composição/insumo 94797</t>
  </si>
  <si>
    <t>Anexo CPU-50284: relatório oficial SINAPI + BDI/encargos</t>
  </si>
  <si>
    <t>CPU-100-0245</t>
  </si>
  <si>
    <t>Relatório oficial SBC 12/2025 - RJ, composição/insumo 111221</t>
  </si>
  <si>
    <t>Anexo CPU-50649: relatório SBC + pesquisa/cotação quando aplicável</t>
  </si>
  <si>
    <t>CPU-100-0246</t>
  </si>
  <si>
    <t>Relatório oficial SINAPI 12/2025 - RJ, composição/insumo 102137</t>
  </si>
  <si>
    <t>Anexo CPU-51014: relatório oficial SINAPI + BDI/encargos</t>
  </si>
  <si>
    <t>CPU-100-0247</t>
  </si>
  <si>
    <t>Anexo CPU-9.2.1: relatório oficial SINAPI + BDI/encargos</t>
  </si>
  <si>
    <t>CPU-100-0248</t>
  </si>
  <si>
    <t>Anexo CPU-9.2.2: relatório oficial SINAPI + BDI/encargos</t>
  </si>
  <si>
    <t>CPU-100-0249</t>
  </si>
  <si>
    <t>Anexo CPU-9.2.3: relatório oficial SINAPI + BDI/encargos</t>
  </si>
  <si>
    <t>CPU-100-0250</t>
  </si>
  <si>
    <t>Relatório oficial SINAPI 12/2025 - RJ, composição/insumo 94491</t>
  </si>
  <si>
    <t>Anexo CPU-9.2.4: relatório oficial SINAPI + BDI/encargos</t>
  </si>
  <si>
    <t>CPU-100-0251</t>
  </si>
  <si>
    <t>Anexo CPU-9.2.5: relatório oficial SINAPI + BDI/encargos</t>
  </si>
  <si>
    <t>CPU-100-0252</t>
  </si>
  <si>
    <t>Relatório oficial SINAPI 12/2025 - RJ, composição/insumo 89987</t>
  </si>
  <si>
    <t>Anexo CPU-9.2.6: relatório oficial SINAPI + BDI/encargos</t>
  </si>
  <si>
    <t>CPU-100-0253</t>
  </si>
  <si>
    <t>Relatório oficial SINAPI 12/2025 - RJ, composição/insumo 89985</t>
  </si>
  <si>
    <t>Anexo CPU-9.2.7: relatório oficial SINAPI + BDI/encargos</t>
  </si>
  <si>
    <t>CPU-100-0254</t>
  </si>
  <si>
    <t>Anexo CPU-9.2.8: relatório oficial SINAPI + BDI/encargos</t>
  </si>
  <si>
    <t>CPU-100-0255</t>
  </si>
  <si>
    <t>Relatório oficial SINAPI 12/2025 - RJ, composição/insumo 89497</t>
  </si>
  <si>
    <t>Anexo CPU-9.2.9: relatório oficial SINAPI + BDI/encargos</t>
  </si>
  <si>
    <t>CPU-100-0256</t>
  </si>
  <si>
    <t>Anexo CPU-40423: relatório oficial SINAPI + BDI/encargos</t>
  </si>
  <si>
    <t>CPU-100-0257</t>
  </si>
  <si>
    <t>Relatório oficial SINAPI 12/2025 - RJ, composição/insumo 89363</t>
  </si>
  <si>
    <t>Anexo CPU-40788: relatório oficial SINAPI + BDI/encargos</t>
  </si>
  <si>
    <t>CPU-100-0258</t>
  </si>
  <si>
    <t>Relatório oficial SINAPI 12/2025 - RJ, composição/insumo 103981</t>
  </si>
  <si>
    <t>Anexo CPU-41154: relatório oficial SINAPI + BDI/encargos</t>
  </si>
  <si>
    <t>CPU-100-0259</t>
  </si>
  <si>
    <t>Relatório oficial SINAPI 12/2025 - RJ, composição/insumo 89502</t>
  </si>
  <si>
    <t>Anexo CPU-41519: relatório oficial SINAPI + BDI/encargos</t>
  </si>
  <si>
    <t>CPU-100-0260</t>
  </si>
  <si>
    <t>Relatório oficial SINAPI 12/2025 - RJ, composição/insumo 103987</t>
  </si>
  <si>
    <t>Anexo CPU-41884: relatório oficial SINAPI + BDI/encargos</t>
  </si>
  <si>
    <t>CPU-100-0261</t>
  </si>
  <si>
    <t>Anexo CPU-42249: relatório oficial SINAPI + BDI/encargos</t>
  </si>
  <si>
    <t>CPU-100-0262</t>
  </si>
  <si>
    <t>Relatório oficial SINAPI 12/2025 - RJ, composição/insumo 104159</t>
  </si>
  <si>
    <t>Anexo CPU-42615: relatório oficial SINAPI + BDI/encargos</t>
  </si>
  <si>
    <t>CPU-100-0263</t>
  </si>
  <si>
    <t>Relatório oficial SINAPI 12/2025 - RJ, composição/insumo 103988</t>
  </si>
  <si>
    <t>Anexo CPU-42980: relatório oficial SINAPI + BDI/encargos</t>
  </si>
  <si>
    <t>CPU-100-0264</t>
  </si>
  <si>
    <t>Relatório oficial SINAPI 12/2025 - RJ, composição/insumo 89378</t>
  </si>
  <si>
    <t>Anexo CPU-43345: relatório oficial SINAPI + BDI/encargos</t>
  </si>
  <si>
    <t>CPU-100-0265</t>
  </si>
  <si>
    <t>Anexo CPU-43710: relatório oficial SINAPI + BDI/encargos</t>
  </si>
  <si>
    <t>CPU-100-0266</t>
  </si>
  <si>
    <t>Relatório oficial SINAPI 12/2025 - RJ, composição/insumo 94692</t>
  </si>
  <si>
    <t>Anexo CPU-44076: relatório oficial SINAPI + BDI/encargos</t>
  </si>
  <si>
    <t>CPU-100-0267</t>
  </si>
  <si>
    <t>Relatório oficial SINAPI 12/2025 - RJ, composição/insumo 89440</t>
  </si>
  <si>
    <t>Anexo CPU-44441: relatório oficial SINAPI + BDI/encargos</t>
  </si>
  <si>
    <t>CPU-100-0268</t>
  </si>
  <si>
    <t>Anexo CPU-44806: relatório oficial SINAPI + BDI/encargos</t>
  </si>
  <si>
    <t>CPU-100-0269</t>
  </si>
  <si>
    <t>Relatório oficial SINAPI 12/2025 - RJ, composição/insumo 105189</t>
  </si>
  <si>
    <t>Anexo CPU-45171: relatório oficial SINAPI + BDI/encargos</t>
  </si>
  <si>
    <t>CPU-100-0270</t>
  </si>
  <si>
    <t>Relatório oficial SINAPI 12/2025 - RJ, composição/insumo 103999</t>
  </si>
  <si>
    <t>Anexo CPU-45537: relatório oficial SINAPI + BDI/encargos</t>
  </si>
  <si>
    <t>CPU-100-0271</t>
  </si>
  <si>
    <t>Relatório oficial SINAPI 12/2025 - RJ, composição/insumo 104014</t>
  </si>
  <si>
    <t>Anexo CPU-45902: relatório oficial SINAPI + BDI/encargos</t>
  </si>
  <si>
    <t>CPU-100-0272</t>
  </si>
  <si>
    <t>Anexo CPU-46267: relatório oficial SINAPI + BDI/encargos</t>
  </si>
  <si>
    <t>CPU-100-0273</t>
  </si>
  <si>
    <t>Relatório oficial SINAPI 12/2025 - RJ, composição/insumo 94706</t>
  </si>
  <si>
    <t>Anexo CPU-46632: relatório oficial SINAPI + BDI/encargos</t>
  </si>
  <si>
    <t>CPU-100-0274</t>
  </si>
  <si>
    <t>Relatório oficial SINAPI 12/2025 - RJ, composição/insumo 89383</t>
  </si>
  <si>
    <t>Anexo CPU-46998: relatório oficial SINAPI + BDI/encargos</t>
  </si>
  <si>
    <t>CPU-100-0275</t>
  </si>
  <si>
    <t>Relatório oficial SINAPI 12/2025 - RJ, composição/insumo 94672</t>
  </si>
  <si>
    <t>Anexo CPU-47363: relatório oficial SINAPI + BDI/encargos</t>
  </si>
  <si>
    <t>CPU-100-0276</t>
  </si>
  <si>
    <t>Relatório oficial SINAPI 12/2025 - RJ, composição/insumo 90373</t>
  </si>
  <si>
    <t>Anexo CPU-47728: relatório oficial SINAPI + BDI/encargos</t>
  </si>
  <si>
    <t>CPU-100-0277</t>
  </si>
  <si>
    <t>Relatório oficial SINAPI 12/2025 - RJ, composição/insumo 89396</t>
  </si>
  <si>
    <t>Anexo CPU-48093: relatório oficial SINAPI + BDI/encargos</t>
  </si>
  <si>
    <t>CPU-100-0278</t>
  </si>
  <si>
    <t>Relatório oficial SINAPI 12/2025 - RJ, composição/insumo 89536</t>
  </si>
  <si>
    <t>Anexo CPU-48459: relatório oficial SINAPI + BDI/encargos</t>
  </si>
  <si>
    <t>CPU-100-0279</t>
  </si>
  <si>
    <t>Relatório oficial SINAPI 12/2025 - RJ, composição/insumo 104779</t>
  </si>
  <si>
    <t>Anexo CPU-48824: relatório oficial SINAPI + BDI/encargos</t>
  </si>
  <si>
    <t>CPU-100-0280</t>
  </si>
  <si>
    <t>Relatório oficial SINAPI 12/2025 - RJ, composição/insumo 90466</t>
  </si>
  <si>
    <t>Anexo CPU-49189: relatório oficial SINAPI + BDI/encargos</t>
  </si>
  <si>
    <t>CPU-100-0281</t>
  </si>
  <si>
    <t>Anexo CPU-9.3.1: relatório oficial SINAPI + BDI/encargos</t>
  </si>
  <si>
    <t>CPU-100-0282</t>
  </si>
  <si>
    <t>Relatório oficial SINAPI 12/2025 - RJ, composição/insumo 89403</t>
  </si>
  <si>
    <t>Anexo CPU-9.3.2: relatório oficial SINAPI + BDI/encargos</t>
  </si>
  <si>
    <t>CPU-100-0283</t>
  </si>
  <si>
    <t>Anexo CPU-9.3.3: relatório oficial SINAPI + BDI/encargos</t>
  </si>
  <si>
    <t>CPU-100-0284</t>
  </si>
  <si>
    <t>Anexo CPU-9.3.4: relatório oficial SINAPI + BDI/encargos</t>
  </si>
  <si>
    <t>CPU-100-0285</t>
  </si>
  <si>
    <t>Anexo CPU-9.3.5: relatório oficial SINAPI + BDI/encargos</t>
  </si>
  <si>
    <t>CPU-100-0286</t>
  </si>
  <si>
    <t>Anexo CPU-9.3.6: relatório oficial SINAPI + BDI/encargos</t>
  </si>
  <si>
    <t>CPU-100-0287</t>
  </si>
  <si>
    <t>Anexo CPU-9.3.7: relatório oficial SINAPI + BDI/encargos</t>
  </si>
  <si>
    <t>CPU-100-0288</t>
  </si>
  <si>
    <t>Relatório oficial SINAPI 12/2025 - RJ, composição/insumo 89413</t>
  </si>
  <si>
    <t>Anexo CPU-9.3.8: relatório oficial SINAPI + BDI/encargos</t>
  </si>
  <si>
    <t>CPU-100-0289</t>
  </si>
  <si>
    <t>Anexo CPU-9.3.9: relatório oficial SINAPI + BDI/encargos</t>
  </si>
  <si>
    <t>CPU-100-0290</t>
  </si>
  <si>
    <t>Anexo CPU-40424: relatório oficial SINAPI + BDI/encargos</t>
  </si>
  <si>
    <t>CPU-100-0291</t>
  </si>
  <si>
    <t>Anexo CPU-40789: relatório oficial SINAPI + BDI/encargos</t>
  </si>
  <si>
    <t>CPU-100-0292</t>
  </si>
  <si>
    <t>Relatório oficial SINAPI 12/2025 - RJ, composição/insumo 103974</t>
  </si>
  <si>
    <t>Anexo CPU-41155: relatório oficial SINAPI + BDI/encargos</t>
  </si>
  <si>
    <t>CPU-100-0293</t>
  </si>
  <si>
    <t>Relatório oficial SINAPI 12/2025 - RJ, composição/insumo 89432</t>
  </si>
  <si>
    <t>Anexo CPU-41520: relatório oficial SINAPI + BDI/encargos</t>
  </si>
  <si>
    <t>CPU-100-0294</t>
  </si>
  <si>
    <t>Anexo CPU-41885: relatório oficial SINAPI + BDI/encargos</t>
  </si>
  <si>
    <t>CPU-100-0295</t>
  </si>
  <si>
    <t>Relatório oficial SINAPI 12/2025 - RJ, composição/insumo 94690</t>
  </si>
  <si>
    <t>Anexo CPU-42250: relatório oficial SINAPI + BDI/encargos</t>
  </si>
  <si>
    <t>CPU-100-0296</t>
  </si>
  <si>
    <t>Anexo CPU-42616: relatório oficial SINAPI + BDI/encargos</t>
  </si>
  <si>
    <t>CPU-100-0297</t>
  </si>
  <si>
    <t>Relatório oficial SINAPI 12/2025 - RJ, composição/insumo 89627</t>
  </si>
  <si>
    <t>Anexo CPU-42981: relatório oficial SINAPI + BDI/encargos</t>
  </si>
  <si>
    <t>CPU-100-0298</t>
  </si>
  <si>
    <t>Relatório oficial SINAPI 12/2025 - RJ, composição/insumo 103953</t>
  </si>
  <si>
    <t>Anexo CPU-43346: relatório oficial SINAPI + BDI/encargos</t>
  </si>
  <si>
    <t>CPU-100-0299</t>
  </si>
  <si>
    <t>Anexo CPU-43711: relatório oficial SINAPI + BDI/encargos</t>
  </si>
  <si>
    <t>CPU-100-0300</t>
  </si>
  <si>
    <t>Anexo CPU-44077: relatório oficial SINAPI + BDI/encargos</t>
  </si>
  <si>
    <t>CPU-100-0301</t>
  </si>
  <si>
    <t>Relatório oficial SINAPI 12/2025 - RJ, composição/insumo 90374</t>
  </si>
  <si>
    <t>Anexo CPU-44442: relatório oficial SINAPI + BDI/encargos</t>
  </si>
  <si>
    <t>CPU-100-0302</t>
  </si>
  <si>
    <t>Anexo CPU-44807: relatório oficial SINAPI + BDI/encargos</t>
  </si>
  <si>
    <t>CPU-100-0303</t>
  </si>
  <si>
    <t>Anexo CPU-45172: relatório oficial SINAPI + BDI/encargos</t>
  </si>
  <si>
    <t>CPU-100-0304</t>
  </si>
  <si>
    <t>Relatório oficial SINAPI 12/2025 - RJ, composição/insumo 98114</t>
  </si>
  <si>
    <t>Anexo CPU-45538: relatório oficial SINAPI + BDI/encargos</t>
  </si>
  <si>
    <t>CPU-100-0305</t>
  </si>
  <si>
    <t>Relatório oficial SINAPI 12/2025 - RJ, composição/insumo 98102</t>
  </si>
  <si>
    <t>Anexo CPU-9.4.1: relatório oficial SINAPI + BDI/encargos</t>
  </si>
  <si>
    <t>CPU-100-0306</t>
  </si>
  <si>
    <t>Relatório oficial SINAPI 12/2025 - RJ, composição/insumo 97974</t>
  </si>
  <si>
    <t>Anexo CPU-9.4.2: relatório oficial SINAPI + BDI/encargos</t>
  </si>
  <si>
    <t>CPU-100-0307</t>
  </si>
  <si>
    <t>Anexo CPU-9.4.3: relatório oficial SINAPI + BDI/encargos</t>
  </si>
  <si>
    <t>CPU-100-0308</t>
  </si>
  <si>
    <t>Relatório oficial SINAPI 12/2025 - RJ, composição/insumo 89707</t>
  </si>
  <si>
    <t>Anexo CPU-9.4.4: relatório oficial SINAPI + BDI/encargos</t>
  </si>
  <si>
    <t>CPU-100-0309</t>
  </si>
  <si>
    <t>Relatório oficial SINAPI 12/2025 - RJ, composição/insumo 89708</t>
  </si>
  <si>
    <t>Anexo CPU-9.4.5: relatório oficial SINAPI + BDI/encargos</t>
  </si>
  <si>
    <t>CPU-100-0310</t>
  </si>
  <si>
    <t>Relatório oficial SINAPI 12/2025 - RJ, composição/insumo 89711</t>
  </si>
  <si>
    <t>Anexo CPU-9.4.6: relatório oficial SINAPI + BDI/encargos</t>
  </si>
  <si>
    <t>CPU-100-0311</t>
  </si>
  <si>
    <t>Relatório oficial SINAPI 12/2025 - RJ, composição/insumo 89712</t>
  </si>
  <si>
    <t>Anexo CPU-9.4.7: relatório oficial SINAPI + BDI/encargos</t>
  </si>
  <si>
    <t>CPU-100-0312</t>
  </si>
  <si>
    <t>Relatório oficial SINAPI 12/2025 - RJ, composição/insumo 89713</t>
  </si>
  <si>
    <t>Anexo CPU-9.4.8: relatório oficial SINAPI + BDI/encargos</t>
  </si>
  <si>
    <t>CPU-100-0313</t>
  </si>
  <si>
    <t>Relatório oficial SINAPI 12/2025 - RJ, composição/insumo 89714</t>
  </si>
  <si>
    <t>Anexo CPU-9.4.9: relatório oficial SINAPI + BDI/encargos</t>
  </si>
  <si>
    <t>CPU-100-0314</t>
  </si>
  <si>
    <t>Relatório oficial SINAPI 12/2025 - RJ, composição/insumo 104086</t>
  </si>
  <si>
    <t>Anexo CPU-40425: relatório oficial SINAPI + BDI/encargos</t>
  </si>
  <si>
    <t>CPU-100-0315</t>
  </si>
  <si>
    <t>Relatório oficial SINAPI 12/2025 - RJ, composição/insumo 104063</t>
  </si>
  <si>
    <t>Anexo CPU-40790: relatório oficial SINAPI + BDI/encargos</t>
  </si>
  <si>
    <t>CPU-100-0316</t>
  </si>
  <si>
    <t>Relatório oficial SINAPI 12/2025 - RJ, composição/insumo 89746</t>
  </si>
  <si>
    <t>Anexo CPU-41156: relatório oficial SINAPI + BDI/encargos</t>
  </si>
  <si>
    <t>CPU-100-0317</t>
  </si>
  <si>
    <t>Relatório oficial SINAPI 12/2025 - RJ, composição/insumo 89739</t>
  </si>
  <si>
    <t>Anexo CPU-41521: relatório oficial SINAPI + BDI/encargos</t>
  </si>
  <si>
    <t>CPU-100-0318</t>
  </si>
  <si>
    <t>Relatório oficial SINAPI 12/2025 - RJ, composição/insumo 89732</t>
  </si>
  <si>
    <t>Anexo CPU-41886: relatório oficial SINAPI + BDI/encargos</t>
  </si>
  <si>
    <t>CPU-100-0319</t>
  </si>
  <si>
    <t>Relatório oficial SINAPI 12/2025 - RJ, composição/insumo 89726</t>
  </si>
  <si>
    <t>Anexo CPU-42251: relatório oficial SINAPI + BDI/encargos</t>
  </si>
  <si>
    <t>CPU-100-0320</t>
  </si>
  <si>
    <t>Relatório oficial SINAPI 12/2025 - RJ, composição/insumo 89744</t>
  </si>
  <si>
    <t>Anexo CPU-42617: relatório oficial SINAPI + BDI/encargos</t>
  </si>
  <si>
    <t>CPU-100-0321</t>
  </si>
  <si>
    <t>Relatório oficial SINAPI 12/2025 - RJ, composição/insumo 89731</t>
  </si>
  <si>
    <t>Anexo CPU-42982: relatório oficial SINAPI + BDI/encargos</t>
  </si>
  <si>
    <t>CPU-100-0322</t>
  </si>
  <si>
    <t>Relatório oficial SINAPI 12/2025 - RJ, composição/insumo 89724</t>
  </si>
  <si>
    <t>Anexo CPU-43347: relatório oficial SINAPI + BDI/encargos</t>
  </si>
  <si>
    <t>CPU-100-0323</t>
  </si>
  <si>
    <t>Relatório oficial SINAPI 12/2025 - RJ, composição/insumo 89748</t>
  </si>
  <si>
    <t>Anexo CPU-43712: relatório oficial SINAPI + BDI/encargos</t>
  </si>
  <si>
    <t>CPU-100-0324</t>
  </si>
  <si>
    <t>Relatório oficial SINAPI 12/2025 - RJ, composição/insumo 89742</t>
  </si>
  <si>
    <t>Anexo CPU-44078: relatório oficial SINAPI + BDI/encargos</t>
  </si>
  <si>
    <t>CPU-100-0325</t>
  </si>
  <si>
    <t>Relatório oficial SINAPI 12/2025 - RJ, composição/insumo 89733</t>
  </si>
  <si>
    <t>Anexo CPU-44443: relatório oficial SINAPI + BDI/encargos</t>
  </si>
  <si>
    <t>CPU-100-0326</t>
  </si>
  <si>
    <t>Relatório oficial SINAPI 12/2025 - RJ, composição/insumo 89728</t>
  </si>
  <si>
    <t>Anexo CPU-44808: relatório oficial SINAPI + BDI/encargos</t>
  </si>
  <si>
    <t>CPU-100-0327</t>
  </si>
  <si>
    <t>Relatório oficial SINAPI 12/2025 - RJ, composição/insumo 89797</t>
  </si>
  <si>
    <t>Anexo CPU-45173: relatório oficial SINAPI + BDI/encargos</t>
  </si>
  <si>
    <t>CPU-100-0328</t>
  </si>
  <si>
    <t>Relatório oficial SINAPI 12/2025 - RJ, composição/insumo 104345</t>
  </si>
  <si>
    <t>Anexo CPU-45539: relatório oficial SINAPI + BDI/encargos</t>
  </si>
  <si>
    <t>CPU-100-0329</t>
  </si>
  <si>
    <t>Relatório oficial SINAPI 12/2025 - RJ, composição/insumo 89795</t>
  </si>
  <si>
    <t>Anexo CPU-45904: relatório oficial SINAPI + BDI/encargos</t>
  </si>
  <si>
    <t>CPU-100-0330</t>
  </si>
  <si>
    <t>Relatório oficial SINAPI 12/2025 - RJ, composição/insumo 89783</t>
  </si>
  <si>
    <t>Anexo CPU-46269: relatório oficial SINAPI + BDI/encargos</t>
  </si>
  <si>
    <t>CPU-100-0331</t>
  </si>
  <si>
    <t>Relatório oficial SINAPI 12/2025 - RJ, composição/insumo 89779</t>
  </si>
  <si>
    <t>Anexo CPU-46634: relatório oficial SINAPI + BDI/encargos</t>
  </si>
  <si>
    <t>CPU-100-0332</t>
  </si>
  <si>
    <t>Relatório oficial SINAPI 12/2025 - RJ, composição/insumo 89754</t>
  </si>
  <si>
    <t>Anexo CPU-47000: relatório oficial SINAPI + BDI/encargos</t>
  </si>
  <si>
    <t>CPU-100-0333</t>
  </si>
  <si>
    <t>Relatório oficial SINAPI 12/2025 - RJ, composição/insumo 89557</t>
  </si>
  <si>
    <t>Anexo CPU-47365: relatório oficial SINAPI + BDI/encargos</t>
  </si>
  <si>
    <t>CPU-100-0334</t>
  </si>
  <si>
    <t>Relatório oficial SBC 12/2025 - RJ, composição/insumo 53508</t>
  </si>
  <si>
    <t>Anexo CPU-47730: relatório SBC + pesquisa/cotação quando aplicável</t>
  </si>
  <si>
    <t>CPU-100-0335</t>
  </si>
  <si>
    <t>Relatório oficial SINAPI 12/2025 - RJ, composição/insumo 89549</t>
  </si>
  <si>
    <t>Anexo CPU-48095: relatório oficial SINAPI + BDI/encargos</t>
  </si>
  <si>
    <t>CPU-100-0336</t>
  </si>
  <si>
    <t>Relatório oficial SINAPI 12/2025 - RJ, composição/insumo 89796</t>
  </si>
  <si>
    <t>Anexo CPU-48461: relatório oficial SINAPI + BDI/encargos</t>
  </si>
  <si>
    <t>CPU-100-0337</t>
  </si>
  <si>
    <t>Relatório oficial SINAPI 12/2025 - RJ, composição/insumo 104344</t>
  </si>
  <si>
    <t>Anexo CPU-48826: relatório oficial SINAPI + BDI/encargos</t>
  </si>
  <si>
    <t>CPU-100-0338</t>
  </si>
  <si>
    <t>Relatório oficial SINAPI 12/2025 - RJ, composição/insumo 89784</t>
  </si>
  <si>
    <t>Anexo CPU-49191: relatório oficial SINAPI + BDI/encargos</t>
  </si>
  <si>
    <t>CPU-100-0339</t>
  </si>
  <si>
    <t>Relatório oficial SINAPI 12/2025 - RJ, composição/insumo 104341</t>
  </si>
  <si>
    <t>Anexo CPU-49556: relatório oficial SINAPI + BDI/encargos</t>
  </si>
  <si>
    <t>CPU-100-0340</t>
  </si>
  <si>
    <t>Relatório oficial SINAPI 12/2025 - RJ, composição/insumo 89799</t>
  </si>
  <si>
    <t>Anexo CPU-9.5.1: relatório oficial SINAPI + BDI/encargos</t>
  </si>
  <si>
    <t>CPU-100-0341</t>
  </si>
  <si>
    <t>Relatório oficial SINAPI 12/2025 - RJ, composição/insumo 89798</t>
  </si>
  <si>
    <t>Anexo CPU-9.5.2: relatório oficial SINAPI + BDI/encargos</t>
  </si>
  <si>
    <t>CPU-100-0342</t>
  </si>
  <si>
    <t>Relatório oficial SINAPI 12/2025 - RJ, composição/insumo 89806</t>
  </si>
  <si>
    <t>Anexo CPU-9.5.3: relatório oficial SINAPI + BDI/encargos</t>
  </si>
  <si>
    <t>CPU-100-0343</t>
  </si>
  <si>
    <t>Relatório oficial SINAPI 12/2025 - RJ, composição/insumo 89802</t>
  </si>
  <si>
    <t>Anexo CPU-9.5.4: relatório oficial SINAPI + BDI/encargos</t>
  </si>
  <si>
    <t>CPU-100-0344</t>
  </si>
  <si>
    <t>Relatório oficial SINAPI 12/2025 - RJ, composição/insumo 89801</t>
  </si>
  <si>
    <t>Anexo CPU-9.5.5: relatório oficial SINAPI + BDI/encargos</t>
  </si>
  <si>
    <t>CPU-100-0345</t>
  </si>
  <si>
    <t>Relatório oficial SINAPI 12/2025 - RJ, composição/insumo 89803</t>
  </si>
  <si>
    <t>Anexo CPU-9.5.6: relatório oficial SINAPI + BDI/encargos</t>
  </si>
  <si>
    <t>CPU-100-0346</t>
  </si>
  <si>
    <t>Relatório oficial SINAPI 12/2025 - RJ, composição/insumo 89807</t>
  </si>
  <si>
    <t>Anexo CPU-9.5.7: relatório oficial SINAPI + BDI/encargos</t>
  </si>
  <si>
    <t>CPU-100-0347</t>
  </si>
  <si>
    <t>Relatório oficial SINAPI 12/2025 - RJ, composição/insumo 89827</t>
  </si>
  <si>
    <t>Anexo CPU-9.5.8: relatório oficial SINAPI + BDI/encargos</t>
  </si>
  <si>
    <t>CPU-100-0348</t>
  </si>
  <si>
    <t>Relatório oficial SINAPI 12/2025 - RJ, composição/insumo 104350</t>
  </si>
  <si>
    <t>Anexo CPU-9.5.9: relatório oficial SINAPI + BDI/encargos</t>
  </si>
  <si>
    <t>CPU-100-0349</t>
  </si>
  <si>
    <t>Relatório oficial SINAPI 12/2025 - RJ, composição/insumo 89814</t>
  </si>
  <si>
    <t>Anexo CPU-40426: relatório oficial SINAPI + BDI/encargos</t>
  </si>
  <si>
    <t>CPU-100-0350</t>
  </si>
  <si>
    <t>Relatório oficial SINAPI 12/2025 - RJ, composição/insumo 89825</t>
  </si>
  <si>
    <t>Anexo CPU-40791: relatório oficial SINAPI + BDI/encargos</t>
  </si>
  <si>
    <t>CPU-100-0351</t>
  </si>
  <si>
    <t>Relatório oficial SBC 12/2025 - RJ, composição/insumo 53309</t>
  </si>
  <si>
    <t>Anexo CPU-41157: relatório SBC + pesquisa/cotação quando aplicável</t>
  </si>
  <si>
    <t>CPU-100-0352</t>
  </si>
  <si>
    <t>Anexo CPU-41522: relatório oficial SINAPI + BDI/encargos</t>
  </si>
  <si>
    <t>CPU-100-0353</t>
  </si>
  <si>
    <t>Relatório oficial SINAPI 12/2025 - RJ, composição/insumo 104351</t>
  </si>
  <si>
    <t>Anexo CPU-41887: relatório oficial SINAPI + BDI/encargos</t>
  </si>
  <si>
    <t>CPU-100-0354</t>
  </si>
  <si>
    <t>Relatório oficial SINAPI 12/2025 - RJ, composição/insumo 104348</t>
  </si>
  <si>
    <t>Anexo CPU-42252: relatório oficial SINAPI + BDI/encargos</t>
  </si>
  <si>
    <t>CPU-100-0355</t>
  </si>
  <si>
    <t>Relatório oficial SINAPI 12/2025 - RJ, composição/insumo 101802</t>
  </si>
  <si>
    <t>Anexo CPU-9.6.1: relatório oficial SINAPI + BDI/encargos</t>
  </si>
  <si>
    <t>CPU-100-0356</t>
  </si>
  <si>
    <t>Relatório oficial SINAPI 12/2025 - RJ, composição/insumo 99285</t>
  </si>
  <si>
    <t>Anexo CPU-9.6.2: relatório oficial SINAPI + BDI/encargos</t>
  </si>
  <si>
    <t>CPU-100-0357</t>
  </si>
  <si>
    <t>Relatório oficial SINAPI 12/2025 - RJ, composição/insumo 97933</t>
  </si>
  <si>
    <t>Anexo CPU-9.6.3: relatório oficial SINAPI + BDI/encargos</t>
  </si>
  <si>
    <t>CPU-100-0358</t>
  </si>
  <si>
    <t>Relatório oficial SBC 12/2025 - RJ, composição/insumo 53878</t>
  </si>
  <si>
    <t>Anexo CPU-9.6.4: relatório SBC + pesquisa/cotação quando aplicável</t>
  </si>
  <si>
    <t>CPU-100-0359</t>
  </si>
  <si>
    <t>Anexo CPU-9.6.5: relatório oficial SINAPI + BDI/encargos</t>
  </si>
  <si>
    <t>CPU-100-0360</t>
  </si>
  <si>
    <t>Relatório oficial SINAPI 12/2025 - RJ, composição/insumo 89512</t>
  </si>
  <si>
    <t>Anexo CPU-9.6.6: relatório oficial SINAPI + BDI/encargos</t>
  </si>
  <si>
    <t>CPU-100-0361</t>
  </si>
  <si>
    <t>Relatório oficial SINAPI 12/2025 - RJ, composição/insumo 104166</t>
  </si>
  <si>
    <t>Anexo CPU-9.6.7: relatório oficial SINAPI + BDI/encargos</t>
  </si>
  <si>
    <t>CPU-100-0362</t>
  </si>
  <si>
    <t>Relatório oficial SINAPI 12/2025 - RJ, composição/insumo 90696</t>
  </si>
  <si>
    <t>Anexo CPU-9.6.8: relatório oficial SINAPI + BDI/encargos</t>
  </si>
  <si>
    <t>CPU-100-0363</t>
  </si>
  <si>
    <t>Relatório oficial SINAPI 12/2025 - RJ, composição/insumo 90697</t>
  </si>
  <si>
    <t>Anexo CPU-9.6.9: relatório oficial SINAPI + BDI/encargos</t>
  </si>
  <si>
    <t>CPU-100-0364</t>
  </si>
  <si>
    <t>Relatório oficial SINAPI 12/2025 - RJ, composição/insumo 90698</t>
  </si>
  <si>
    <t>Anexo CPU-40427: relatório oficial SINAPI + BDI/encargos</t>
  </si>
  <si>
    <t>CPU-100-0365</t>
  </si>
  <si>
    <t>Relatório oficial SINAPI 12/2025 - RJ, composição/insumo 104168</t>
  </si>
  <si>
    <t>Anexo CPU-40792: relatório oficial SINAPI + BDI/encargos</t>
  </si>
  <si>
    <t>CPU-100-0366</t>
  </si>
  <si>
    <t>Relatório oficial SINAPI 12/2025 - RJ, composição/insumo 89529</t>
  </si>
  <si>
    <t>Anexo CPU-41158: relatório oficial SINAPI + BDI/encargos</t>
  </si>
  <si>
    <t>CPU-100-0367</t>
  </si>
  <si>
    <t>Relatório oficial SINAPI 12/2025 - RJ, composição/insumo 104167</t>
  </si>
  <si>
    <t>Anexo CPU-41523: relatório oficial SINAPI + BDI/encargos</t>
  </si>
  <si>
    <t>CPU-100-0368</t>
  </si>
  <si>
    <t>Relatório oficial SBC 12/2025 - RJ, composição/insumo 53542</t>
  </si>
  <si>
    <t>Anexo CPU-41888: relatório SBC + pesquisa/cotação quando aplicável</t>
  </si>
  <si>
    <t>CPU-100-0369</t>
  </si>
  <si>
    <t>Relatório oficial SBC 12/2025 - RJ, composição/insumo 53541</t>
  </si>
  <si>
    <t>Anexo CPU-42253: relatório SBC + pesquisa/cotação quando aplicável</t>
  </si>
  <si>
    <t>CPU-100-0370</t>
  </si>
  <si>
    <t>Relatório oficial SBC 12/2025 - RJ, composição/insumo 53545</t>
  </si>
  <si>
    <t>Anexo CPU-42619: relatório SBC + pesquisa/cotação quando aplicável</t>
  </si>
  <si>
    <t>CPU-100-0371</t>
  </si>
  <si>
    <t>Relatório oficial SINAPI 12/2025 - RJ, composição/insumo 95694</t>
  </si>
  <si>
    <t>Anexo CPU-42984: relatório oficial SINAPI + BDI/encargos</t>
  </si>
  <si>
    <t>CPU-100-0372</t>
  </si>
  <si>
    <t>Relatório oficial SBC 12/2025 - RJ, composição/insumo 53705</t>
  </si>
  <si>
    <t>Anexo CPU-43349: relatório SBC + pesquisa/cotação quando aplicável</t>
  </si>
  <si>
    <t>CPU-100-0373</t>
  </si>
  <si>
    <t>Relatório oficial SINAPI 12/2025 - RJ, composição/insumo 104174</t>
  </si>
  <si>
    <t>Anexo CPU-43714: relatório oficial SINAPI + BDI/encargos</t>
  </si>
  <si>
    <t>CPU-100-0374</t>
  </si>
  <si>
    <t>Relatório oficial SINAPI 12/2025 - RJ, composição/insumo 89556</t>
  </si>
  <si>
    <t>Anexo CPU-44080: relatório oficial SINAPI + BDI/encargos</t>
  </si>
  <si>
    <t>CPU-100-0375</t>
  </si>
  <si>
    <t>Relatório oficial SINAPI 12/2025 - RJ, composição/insumo 104173</t>
  </si>
  <si>
    <t>Anexo CPU-44445: relatório oficial SINAPI + BDI/encargos</t>
  </si>
  <si>
    <t>CPU-100-0376</t>
  </si>
  <si>
    <t>Relatório oficial EMOP 12/2025 - RJ, composição 15.003.01780</t>
  </si>
  <si>
    <t>Anexo CPU-44810: relatório oficial EMOP + BDI/encargos</t>
  </si>
  <si>
    <t>CPU-100-0377</t>
  </si>
  <si>
    <t>Relatório SCO, composição IT 40.05.0550</t>
  </si>
  <si>
    <t>Anexo CPU-45175: relatório SCO + justificativa de referência</t>
  </si>
  <si>
    <t>CPU-100-0378</t>
  </si>
  <si>
    <t>Relatório SCO, composição IT 40.05.1050</t>
  </si>
  <si>
    <t>Anexo CPU-45541: relatório SCO + justificativa de referência</t>
  </si>
  <si>
    <t>CPU-100-0379</t>
  </si>
  <si>
    <t>Relatório SCO, composição IT 40.05.0200</t>
  </si>
  <si>
    <t>Anexo CPU-45906: relatório SCO + justificativa de referência</t>
  </si>
  <si>
    <t>CPU-100-0380</t>
  </si>
  <si>
    <t>Relatório oficial SINAPI 12/2025 - RJ, composição/insumo 104316</t>
  </si>
  <si>
    <t>Anexo CPU-9.7.1: relatório oficial SINAPI + BDI/encargos</t>
  </si>
  <si>
    <t>CPU-100-0381</t>
  </si>
  <si>
    <t>Relatório oficial SINAPI 12/2025 - RJ, composição/insumo 94650</t>
  </si>
  <si>
    <t>Anexo CPU-9.7.2: relatório oficial SINAPI + BDI/encargos</t>
  </si>
  <si>
    <t>CPU-100-0382</t>
  </si>
  <si>
    <t>Relatório oficial SINAPI 12/2025 - RJ, composição/insumo 104320</t>
  </si>
  <si>
    <t>Anexo CPU-9.7.3: relatório oficial SINAPI + BDI/encargos</t>
  </si>
  <si>
    <t>CPU-100-0383</t>
  </si>
  <si>
    <t>Relatório oficial SINAPI 12/2025 - RJ, composição/insumo 104319</t>
  </si>
  <si>
    <t>Anexo CPU-9.7.4: relatório oficial SINAPI + BDI/encargos</t>
  </si>
  <si>
    <t>CPU-100-0384</t>
  </si>
  <si>
    <t>Relatório oficial SINAPI 12/2025 - RJ, composição/insumo 105180</t>
  </si>
  <si>
    <t>Anexo CPU-9.7.5: relatório oficial SINAPI + BDI/encargos</t>
  </si>
  <si>
    <t>CPU-100-0385</t>
  </si>
  <si>
    <t>Anexo CPU-9.7.6: relatório oficial SINAPI + BDI/encargos</t>
  </si>
  <si>
    <t>CPU-100-0386</t>
  </si>
  <si>
    <t>Relatório oficial SINAPI 12/2025 - RJ, composição/insumo 105143</t>
  </si>
  <si>
    <t>Anexo CPU-9.7.7: relatório oficial SINAPI + BDI/encargos</t>
  </si>
  <si>
    <t>CPU-100-0387</t>
  </si>
  <si>
    <t>Relatório oficial SINAPI 12/2025 - RJ, composição/insumo 104322</t>
  </si>
  <si>
    <t>Anexo CPU-9.7.8: relatório oficial SINAPI + BDI/encargos</t>
  </si>
  <si>
    <t>CPU-100-0388</t>
  </si>
  <si>
    <t>Relatório oficial SINAPI 12/2025 - RJ, composição/insumo 104324</t>
  </si>
  <si>
    <t>Anexo CPU-9.7.9: relatório oficial SINAPI + BDI/encargos</t>
  </si>
  <si>
    <t>CPU-100-0389</t>
  </si>
  <si>
    <t>Anexo CPU-40428: relatório oficial SINAPI + BDI/encargos</t>
  </si>
  <si>
    <t>CPU-100-0390</t>
  </si>
  <si>
    <t>Relatório oficial SINAPI 12/2025 - RJ, composição/insumo 39707</t>
  </si>
  <si>
    <t>Anexo CPU-40793: relatório oficial SINAPI + BDI/encargos</t>
  </si>
  <si>
    <t>CPU-100-0391</t>
  </si>
  <si>
    <t>Relatório oficial SINAPI 12/2025 - RJ, composição/insumo 98055</t>
  </si>
  <si>
    <t>Anexo CPU-9.8.1: relatório oficial SINAPI + BDI/encargos</t>
  </si>
  <si>
    <t>CPU-100-0392</t>
  </si>
  <si>
    <t>Relatório oficial SINAPI 12/2025 - RJ, composição/insumo 98061</t>
  </si>
  <si>
    <t>Anexo CPU-9.8.2: relatório oficial SINAPI + BDI/encargos</t>
  </si>
  <si>
    <t>CPU-100-0393</t>
  </si>
  <si>
    <t>Relatório oficial EMOP 12/2025 - RJ, composição 15.002.06830</t>
  </si>
  <si>
    <t>Anexo CPU-9.8.3: relatório oficial EMOP + BDI/encargos</t>
  </si>
  <si>
    <t>CPU-100-0394</t>
  </si>
  <si>
    <t>Anexo CPU-9.8.4: relatório oficial SINAPI + BDI/encargos</t>
  </si>
  <si>
    <t>CPU-100-0395</t>
  </si>
  <si>
    <t>Relatório oficial SINAPI 12/2025 - RJ, composição/insumo 86932</t>
  </si>
  <si>
    <t>Anexo CPU-9.9.1: relatório oficial SINAPI + BDI/encargos</t>
  </si>
  <si>
    <t>CPU-100-0396</t>
  </si>
  <si>
    <t>CPU-100-0397</t>
  </si>
  <si>
    <t>Relatório oficial SINAPI 12/2025 - RJ, composição/insumo 100849</t>
  </si>
  <si>
    <t>Anexo CPU-9.9.3: relatório oficial SINAPI + BDI/encargos</t>
  </si>
  <si>
    <t>CPU-100-0398</t>
  </si>
  <si>
    <t>CPU-100-0399</t>
  </si>
  <si>
    <t>Anexo CPU-9.9.5: memória de composição própria + cotação do fornecedor</t>
  </si>
  <si>
    <t>CPU-100-0400</t>
  </si>
  <si>
    <t>Relatório oficial SINAPI 12/2025 - RJ, composição/insumo 86922</t>
  </si>
  <si>
    <t>Anexo CPU-9.9.6: relatório oficial SINAPI + BDI/encargos</t>
  </si>
  <si>
    <t>CPU-100-0401</t>
  </si>
  <si>
    <t>Relatório oficial SINAPI 12/2025 - RJ, composição/insumo 100858</t>
  </si>
  <si>
    <t>Anexo CPU-9.9.7: relatório oficial SINAPI + BDI/encargos</t>
  </si>
  <si>
    <t>CPU-100-0402</t>
  </si>
  <si>
    <t>Relatório oficial SINAPI 12/2025 - RJ, composição/insumo 86936</t>
  </si>
  <si>
    <t>Anexo CPU-9.9.8: relatório oficial SINAPI + BDI/encargos</t>
  </si>
  <si>
    <t>CPU-100-0403</t>
  </si>
  <si>
    <t>Relatório oficial SINAPI 12/2025 - RJ, composição/insumo 86910</t>
  </si>
  <si>
    <t>Anexo CPU-9.9.9: relatório oficial SINAPI + BDI/encargos</t>
  </si>
  <si>
    <t>CPU-100-0404</t>
  </si>
  <si>
    <t>Relatório oficial SBC 12/2025 - RJ, composição/insumo 190332</t>
  </si>
  <si>
    <t>Anexo CPU-40430: relatório SBC + pesquisa/cotação quando aplicável</t>
  </si>
  <si>
    <t>CPU-100-0405</t>
  </si>
  <si>
    <t>Relatório oficial SINAPI 12/2025 - RJ, composição/insumo 100860</t>
  </si>
  <si>
    <t>Anexo CPU-40795: relatório oficial SINAPI + BDI/encargos</t>
  </si>
  <si>
    <t>CPU-100-0406</t>
  </si>
  <si>
    <t>Relatório oficial EMOP 12/2025 - RJ, composição 18.025.00010</t>
  </si>
  <si>
    <t>Anexo CPU-41161: relatório oficial EMOP + BDI/encargos</t>
  </si>
  <si>
    <t>CPU-100-0407</t>
  </si>
  <si>
    <t>Relatório oficial EMOP 12/2025 - RJ, composição 18.009.0078</t>
  </si>
  <si>
    <t>Anexo CPU-41526: relatório oficial EMOP + BDI/encargos</t>
  </si>
  <si>
    <t>CPU-100-0408</t>
  </si>
  <si>
    <t>Relatório oficial SINAPI 12/2025 - RJ, composição/insumo 100868</t>
  </si>
  <si>
    <t>Anexo CPU-41891: relatório oficial SINAPI + BDI/encargos</t>
  </si>
  <si>
    <t>CPU-100-0409</t>
  </si>
  <si>
    <t>Relatório oficial SINAPI 12/2025 - RJ, composição/insumo 100865</t>
  </si>
  <si>
    <t>Anexo CPU-42256: relatório oficial SINAPI + BDI/encargos</t>
  </si>
  <si>
    <t>CPU-100-0410</t>
  </si>
  <si>
    <t>Relatório oficial SINAPI 12/2025 - RJ, composição/insumo 100874</t>
  </si>
  <si>
    <t>Anexo CPU-42622: relatório oficial SINAPI + BDI/encargos</t>
  </si>
  <si>
    <t>CPU-100-0411</t>
  </si>
  <si>
    <t>Relatório oficial SINAPI 12/2025 - RJ, composição/insumo 11186</t>
  </si>
  <si>
    <t>Anexo CPU-42987: relatório oficial SINAPI + BDI/encargos</t>
  </si>
  <si>
    <t>CPU-100-0412</t>
  </si>
  <si>
    <t>Relatório oficial SINAPI 12/2025 - RJ, composição/insumo 97327</t>
  </si>
  <si>
    <t>Anexo CPU-40179: relatório oficial SINAPI + BDI/encargos</t>
  </si>
  <si>
    <t>CPU-100-0413</t>
  </si>
  <si>
    <t>Relatório oficial SINAPI 12/2025 - RJ, composição/insumo 97328</t>
  </si>
  <si>
    <t>Anexo CPU-40180: relatório oficial SINAPI + BDI/encargos</t>
  </si>
  <si>
    <t>CPU-100-0414</t>
  </si>
  <si>
    <t>Relatório oficial SINAPI 12/2025 - RJ, composição/insumo 97329</t>
  </si>
  <si>
    <t>Anexo CPU-40181: relatório oficial SINAPI + BDI/encargos</t>
  </si>
  <si>
    <t>CPU-100-0415</t>
  </si>
  <si>
    <t>Relatório oficial SINAPI 12/2025 - RJ, composição/insumo 103292</t>
  </si>
  <si>
    <t>Anexo CPU-40182: relatório oficial SINAPI + BDI/encargos</t>
  </si>
  <si>
    <t>CPU-100-0416</t>
  </si>
  <si>
    <t>Relatório oficial SINAPI 12/2025 - RJ, composição/insumo 106034</t>
  </si>
  <si>
    <t>Anexo CPU-40183: relatório oficial SINAPI + BDI/encargos</t>
  </si>
  <si>
    <t>CPU-100-0417</t>
  </si>
  <si>
    <t>CPU-100-0418</t>
  </si>
  <si>
    <t>CPU-100-0419</t>
  </si>
  <si>
    <t>CPU-100-0420</t>
  </si>
  <si>
    <t>CPU-100-0421</t>
  </si>
  <si>
    <t>CPU-100-0422</t>
  </si>
  <si>
    <t>CPU-100-0423</t>
  </si>
  <si>
    <t>Equipe especializada de instalação, montagem, interligação e testes</t>
  </si>
  <si>
    <t>Relatório oficial EMOP 12/2025 - RJ, composição 15.005.02500</t>
  </si>
  <si>
    <t>Anexo CPU-41183: relatório oficial EMOP + BDI/encargos</t>
  </si>
  <si>
    <t>Equipamentos de refrigeração, dutos, suportes, tubulações e acessórios</t>
  </si>
  <si>
    <t>Ferramentas, bomba de vácuo, testes, comissionamento e apoio</t>
  </si>
  <si>
    <t>CPU-100-0424</t>
  </si>
  <si>
    <t>Relatório oficial EMOP 12/2025 - RJ, composição 15.005.02490</t>
  </si>
  <si>
    <t>Anexo CPU-41548: relatório oficial EMOP + BDI/encargos</t>
  </si>
  <si>
    <t>CPU-100-0425</t>
  </si>
  <si>
    <t>Relatório oficial EMOP 12/2025 - RJ, composição 15.005.02460</t>
  </si>
  <si>
    <t>Anexo CPU-41913: relatório oficial EMOP + BDI/encargos</t>
  </si>
  <si>
    <t>CPU-100-0426</t>
  </si>
  <si>
    <t>Relatório oficial EMOP 12/2025 - RJ, composição 15.005.02480</t>
  </si>
  <si>
    <t>Anexo CPU-42278: relatório oficial EMOP + BDI/encargos</t>
  </si>
  <si>
    <t>CPU-100-0427</t>
  </si>
  <si>
    <t>CPU-100-0428</t>
  </si>
  <si>
    <t>CPU-100-0429</t>
  </si>
  <si>
    <t>CPU-100-0430</t>
  </si>
  <si>
    <t>CPU-100-0431</t>
  </si>
  <si>
    <t>CPU-100-0432</t>
  </si>
  <si>
    <t>Relatório oficial SBC 12/2025 - RJ, composição/insumo 63061</t>
  </si>
  <si>
    <t>Anexo CPU-44470: relatório SBC + pesquisa/cotação quando aplicável</t>
  </si>
  <si>
    <t>CPU-100-0433</t>
  </si>
  <si>
    <t>Anexo CPU-40210: relatório oficial SINAPI + BDI/encargos</t>
  </si>
  <si>
    <t>CPU-100-0434</t>
  </si>
  <si>
    <t>Anexo CPU-40211: relatório oficial SINAPI + BDI/encargos</t>
  </si>
  <si>
    <t>CPU-100-0435</t>
  </si>
  <si>
    <t>Anexo CPU-40212: relatório oficial SINAPI + BDI/encargos</t>
  </si>
  <si>
    <t>CPU-100-0436</t>
  </si>
  <si>
    <t>Anexo CPU-40213: relatório oficial SINAPI + BDI/encargos</t>
  </si>
  <si>
    <t>CPU-100-0437</t>
  </si>
  <si>
    <t>Relatório oficial EMOP 12/2025 - RJ, composição 18.030.00270</t>
  </si>
  <si>
    <t>Anexo CPU-40214: relatório oficial EMOP + BDI/encargos</t>
  </si>
  <si>
    <t>CPU-100-0438</t>
  </si>
  <si>
    <t>Relatório oficial EMOP 12/2025 - RJ, composição 18.030.00300</t>
  </si>
  <si>
    <t>Anexo CPU-40215: relatório oficial EMOP + BDI/encargos</t>
  </si>
  <si>
    <t>CPU-100-0439</t>
  </si>
  <si>
    <t>Relatório oficial EMOP 12/2025 - RJ, composição 15.005.01820</t>
  </si>
  <si>
    <t>Anexo CPU-40216: relatório oficial EMOP + BDI/encargos</t>
  </si>
  <si>
    <t>CPU-100-0440</t>
  </si>
  <si>
    <t>Relatório oficial EMOP 12/2025 - RJ, composição 15.005.01840</t>
  </si>
  <si>
    <t>Anexo CPU-40217: relatório oficial EMOP + BDI/encargos</t>
  </si>
  <si>
    <t>CPU-100-0441</t>
  </si>
  <si>
    <t>CPU-100-0442</t>
  </si>
  <si>
    <t>CPU-100-0443</t>
  </si>
  <si>
    <t>Relatório oficial SBC 12/2025 - RJ, composição/insumo 70233</t>
  </si>
  <si>
    <t>Anexo CPU-40240: relatório SBC + pesquisa/cotação quando aplicável</t>
  </si>
  <si>
    <t>CPU-100-0444</t>
  </si>
  <si>
    <t>Relatório oficial SBC 12/2025 - RJ, composição/insumo 70473</t>
  </si>
  <si>
    <t>Anexo CPU-40241: relatório SBC + pesquisa/cotação quando aplicável</t>
  </si>
  <si>
    <t>CPU-100-0445</t>
  </si>
  <si>
    <t>Relatório oficial SBC 12/2025 - RJ, composição/insumo 70426</t>
  </si>
  <si>
    <t>Anexo CPU-40242: relatório SBC + pesquisa/cotação quando aplicável</t>
  </si>
  <si>
    <t>CPU-100-0446</t>
  </si>
  <si>
    <t>Relatório oficial SBC 12/2025 - RJ, composição/insumo 2016</t>
  </si>
  <si>
    <t>Anexo CPU-40243: relatório SBC + pesquisa/cotação quando aplicável</t>
  </si>
  <si>
    <t>CPU-100-0447</t>
  </si>
  <si>
    <t>Relatório oficial SBC 12/2025 - RJ, composição/insumo 1761</t>
  </si>
  <si>
    <t>Anexo CPU-40244: relatório SBC + pesquisa/cotação quando aplicável</t>
  </si>
  <si>
    <t>CPU-100-0448</t>
  </si>
  <si>
    <t>Relatório oficial SBC 12/2025 - RJ, composição/insumo 70454</t>
  </si>
  <si>
    <t>Anexo CPU-40245: relatório SBC + pesquisa/cotação quando aplicável</t>
  </si>
  <si>
    <t>CPU-100-0449</t>
  </si>
  <si>
    <t>Relatório oficial EMOP 12/2025 - RJ, composição 15.011.00790</t>
  </si>
  <si>
    <t>Anexo CPU-40269: relatório oficial EMOP + BDI/encargos</t>
  </si>
  <si>
    <t>CPU-100-0450</t>
  </si>
  <si>
    <t>Relatório oficial SINAPI 12/2025 - RJ, composição/insumo 91940</t>
  </si>
  <si>
    <t>CPU-100-0451</t>
  </si>
  <si>
    <t>Relatório oficial SINAPI 12/2025 - RJ, composição/insumo 92871</t>
  </si>
  <si>
    <t>Anexo CPU-40300: relatório oficial SINAPI + BDI/encargos</t>
  </si>
  <si>
    <t>CPU-100-0452</t>
  </si>
  <si>
    <t>Relatório oficial SINAPI 12/2025 - RJ, composição/insumo 91936</t>
  </si>
  <si>
    <t>CPU-100-0453</t>
  </si>
  <si>
    <t>Relatório oficial SINAPI 12/2025 - RJ, composição/insumo 97881</t>
  </si>
  <si>
    <t>Anexo CPU-40302: relatório oficial SINAPI + BDI/encargos</t>
  </si>
  <si>
    <t>CPU-100-0454</t>
  </si>
  <si>
    <t>Relatório oficial SINAPI 12/2025 - RJ, composição/insumo 97891</t>
  </si>
  <si>
    <t>CPU-100-0455</t>
  </si>
  <si>
    <t>Relatório oficial EMOP 12/2025 - RJ, composição 15.018.03050</t>
  </si>
  <si>
    <t>Anexo CPU-40304: relatório oficial EMOP + BDI/encargos</t>
  </si>
  <si>
    <t>CPU-100-0456</t>
  </si>
  <si>
    <t>Relatório oficial EMOP 12/2025 - RJ, composição 15.018.03100</t>
  </si>
  <si>
    <t>Anexo CPU-40305: relatório oficial EMOP + BDI/encargos</t>
  </si>
  <si>
    <t>CPU-100-0457</t>
  </si>
  <si>
    <t>Relatório oficial EMOP 12/2025 - RJ, composição 15.018.03200</t>
  </si>
  <si>
    <t>Anexo CPU-40306: relatório oficial EMOP + BDI/encargos</t>
  </si>
  <si>
    <t>CPU-100-0458</t>
  </si>
  <si>
    <t>Relatório oficial EMOP 12/2025 - RJ, composição 15.018.02600</t>
  </si>
  <si>
    <t>Anexo CPU-40307: relatório oficial EMOP + BDI/encargos</t>
  </si>
  <si>
    <t>CPU-100-0459</t>
  </si>
  <si>
    <t>Relatório oficial EMOP 12/2025 - RJ, composição 15.018.02750</t>
  </si>
  <si>
    <t>Anexo CPU-40456: relatório oficial EMOP + BDI/encargos</t>
  </si>
  <si>
    <t>CPU-100-0460</t>
  </si>
  <si>
    <t>Relatório oficial SINAPI 12/2025 - RJ, composição/insumo 97667</t>
  </si>
  <si>
    <t>Anexo CPU-40821: relatório oficial SINAPI + BDI/encargos</t>
  </si>
  <si>
    <t>CPU-100-0461</t>
  </si>
  <si>
    <t>Relatório oficial SINAPI 12/2025 - RJ, composição/insumo 97668</t>
  </si>
  <si>
    <t>Anexo CPU-41187: relatório oficial SINAPI + BDI/encargos</t>
  </si>
  <si>
    <t>CPU-100-0462</t>
  </si>
  <si>
    <t>Anexo CPU-41552: memória de composição própria + cotação do fornecedor</t>
  </si>
  <si>
    <t>CPU-100-0463</t>
  </si>
  <si>
    <t>Anexo CPU-41917: memória de composição própria + cotação do fornecedor</t>
  </si>
  <si>
    <t>CPU-100-0464</t>
  </si>
  <si>
    <t>Anexo CPU-42282: relatório oficial SINAPI + BDI/encargos</t>
  </si>
  <si>
    <t>CPU-100-0465</t>
  </si>
  <si>
    <t>Relatório oficial SINAPI 12/2025 - RJ, composição/insumo 90447</t>
  </si>
  <si>
    <t>Anexo CPU-42648: relatório oficial SINAPI + BDI/encargos</t>
  </si>
  <si>
    <t>CPU-100-0466</t>
  </si>
  <si>
    <t>Anexo CPU-43013: relatório oficial SINAPI + BDI/encargos</t>
  </si>
  <si>
    <t>CPU-100-0467</t>
  </si>
  <si>
    <t>Relatório oficial SINAPI 12/2025 - RJ, composição/insumo 91862</t>
  </si>
  <si>
    <t>Anexo CPU-43378: relatório oficial SINAPI + BDI/encargos</t>
  </si>
  <si>
    <t>CPU-100-0468</t>
  </si>
  <si>
    <t>Relatório oficial SINAPI 12/2025 - RJ, composição/insumo 91863</t>
  </si>
  <si>
    <t>Anexo CPU-43743: relatório oficial SINAPI + BDI/encargos</t>
  </si>
  <si>
    <t>CPU-100-0469</t>
  </si>
  <si>
    <t>Relatório oficial SINAPI 12/2025 - RJ, composição/insumo 91864</t>
  </si>
  <si>
    <t>Anexo CPU-44109: relatório oficial SINAPI + BDI/encargos</t>
  </si>
  <si>
    <t>CPU-100-0470</t>
  </si>
  <si>
    <t>Relatório oficial SINAPI 12/2025 - RJ, composição/insumo 91865</t>
  </si>
  <si>
    <t>Anexo CPU-44474: relatório oficial SINAPI + BDI/encargos</t>
  </si>
  <si>
    <t>CPU-100-0471</t>
  </si>
  <si>
    <t>Relatório oficial SINAPI 12/2025 - RJ, composição/insumo 93008</t>
  </si>
  <si>
    <t>Anexo CPU-44839: relatório oficial SINAPI + BDI/encargos</t>
  </si>
  <si>
    <t>CPU-100-0472</t>
  </si>
  <si>
    <t>Relatório oficial SINAPI 12/2025 - RJ, composição/insumo 93009</t>
  </si>
  <si>
    <t>Anexo CPU-45204: relatório oficial SINAPI + BDI/encargos</t>
  </si>
  <si>
    <t>CPU-100-0473</t>
  </si>
  <si>
    <t>Relatório oficial SINAPI 12/2025 - RJ, composição/insumo 93010</t>
  </si>
  <si>
    <t>Anexo CPU-45570: relatório oficial SINAPI + BDI/encargos</t>
  </si>
  <si>
    <t>CPU-100-0474</t>
  </si>
  <si>
    <t>Relatório oficial SINAPI 12/2025 - RJ, composição/insumo 93011</t>
  </si>
  <si>
    <t>Anexo CPU-45935: relatório oficial SINAPI + BDI/encargos</t>
  </si>
  <si>
    <t>CPU-100-0475</t>
  </si>
  <si>
    <t>Relatório oficial SBC 12/2025 - RJ, composição/insumo 59030</t>
  </si>
  <si>
    <t>Anexo CPU-46300: relatório SBC + pesquisa/cotação quando aplicável</t>
  </si>
  <si>
    <t>CPU-100-0476</t>
  </si>
  <si>
    <t>Relatório oficial EMOP 12/2025 - RJ, composição 15.018.05520</t>
  </si>
  <si>
    <t>Anexo CPU-46665: relatório oficial EMOP + BDI/encargos</t>
  </si>
  <si>
    <t>CPU-100-0477</t>
  </si>
  <si>
    <t>Relatório oficial EMOP 12/2025 - RJ, composição 15.018.05550</t>
  </si>
  <si>
    <t>Anexo CPU-47031: relatório oficial EMOP + BDI/encargos</t>
  </si>
  <si>
    <t>CPU-100-0478</t>
  </si>
  <si>
    <t>Relatório oficial SBC 12/2025 - RJ, composição/insumo 58174</t>
  </si>
  <si>
    <t>Anexo CPU-47396: relatório SBC + pesquisa/cotação quando aplicável</t>
  </si>
  <si>
    <t>CPU-100-0479</t>
  </si>
  <si>
    <t>Relatório oficial SBC 12/2025 - RJ, composição/insumo 59300</t>
  </si>
  <si>
    <t>Anexo CPU-47761: relatório SBC + pesquisa/cotação quando aplicável</t>
  </si>
  <si>
    <t>CPU-100-0480</t>
  </si>
  <si>
    <t>Relatório oficial SINAPI 12/2025 - RJ, composição/insumo 91876</t>
  </si>
  <si>
    <t>Anexo CPU-48126: relatório oficial SINAPI + BDI/encargos</t>
  </si>
  <si>
    <t>CPU-100-0481</t>
  </si>
  <si>
    <t>Relatório oficial SINAPI 12/2025 - RJ, composição/insumo 93013</t>
  </si>
  <si>
    <t>Anexo CPU-48492: relatório oficial SINAPI + BDI/encargos</t>
  </si>
  <si>
    <t>CPU-100-0482</t>
  </si>
  <si>
    <t>Relatório oficial SINAPI 12/2025 - RJ, composição/insumo 91874</t>
  </si>
  <si>
    <t>Anexo CPU-48857: relatório oficial SINAPI + BDI/encargos</t>
  </si>
  <si>
    <t>CPU-100-0483</t>
  </si>
  <si>
    <t>Relatório oficial SBC 12/2025 - RJ, composição/insumo 59290</t>
  </si>
  <si>
    <t>Anexo CPU-49222: relatório SBC + pesquisa/cotação quando aplicável</t>
  </si>
  <si>
    <t>CPU-100-0484</t>
  </si>
  <si>
    <t>Relatório oficial SINAPI 12/2025 - RJ, composição/insumo 91875</t>
  </si>
  <si>
    <t>Anexo CPU-49587: relatório oficial SINAPI + BDI/encargos</t>
  </si>
  <si>
    <t>CPU-100-0485</t>
  </si>
  <si>
    <t>Anexo CPU-40330: relatório oficial SINAPI + BDI/encargos</t>
  </si>
  <si>
    <t>CPU-100-0486</t>
  </si>
  <si>
    <t>Relatório oficial SINAPI 12/2025 - RJ, composição/insumo 91929</t>
  </si>
  <si>
    <t>Anexo CPU-40331: relatório oficial SINAPI + BDI/encargos</t>
  </si>
  <si>
    <t>CPU-100-0487</t>
  </si>
  <si>
    <t>Relatório oficial SINAPI 12/2025 - RJ, composição/insumo 91930</t>
  </si>
  <si>
    <t>Anexo CPU-40332: relatório oficial SINAPI + BDI/encargos</t>
  </si>
  <si>
    <t>CPU-100-0488</t>
  </si>
  <si>
    <t>Anexo CPU-40333: relatório oficial SINAPI + BDI/encargos</t>
  </si>
  <si>
    <t>CPU-100-0489</t>
  </si>
  <si>
    <t>Relatório oficial SINAPI 12/2025 - RJ, composição/insumo 91933</t>
  </si>
  <si>
    <t>Anexo CPU-40334: relatório oficial SINAPI + BDI/encargos</t>
  </si>
  <si>
    <t>CPU-100-0490</t>
  </si>
  <si>
    <t>Relatório oficial SINAPI 12/2025 - RJ, composição/insumo 91934</t>
  </si>
  <si>
    <t>Anexo CPU-40335: relatório oficial SINAPI + BDI/encargos</t>
  </si>
  <si>
    <t>CPU-100-0491</t>
  </si>
  <si>
    <t>Relatório oficial SINAPI 12/2025 - RJ, composição/insumo 91935</t>
  </si>
  <si>
    <t>Anexo CPU-40336: relatório oficial SINAPI + BDI/encargos</t>
  </si>
  <si>
    <t>CPU-100-0492</t>
  </si>
  <si>
    <t>Relatório oficial SINAPI 12/2025 - RJ, composição/insumo 101563</t>
  </si>
  <si>
    <t>Anexo CPU-40337: relatório oficial SINAPI + BDI/encargos</t>
  </si>
  <si>
    <t>CPU-100-0493</t>
  </si>
  <si>
    <t>Relatório oficial SINAPI 12/2025 - RJ, composição/insumo 101565</t>
  </si>
  <si>
    <t>Anexo CPU-40338: relatório oficial SINAPI + BDI/encargos</t>
  </si>
  <si>
    <t>CPU-100-0494</t>
  </si>
  <si>
    <t>Relatório oficial SINAPI 12/2025 - RJ, composição/insumo 101567</t>
  </si>
  <si>
    <t>Anexo CPU-40457: relatório oficial SINAPI + BDI/encargos</t>
  </si>
  <si>
    <t>CPU-100-0495</t>
  </si>
  <si>
    <t>Relatório oficial SINAPI 12/2025 - RJ, composição/insumo 101568</t>
  </si>
  <si>
    <t>Anexo CPU-40822: relatório oficial SINAPI + BDI/encargos</t>
  </si>
  <si>
    <t>CPU-100-0496</t>
  </si>
  <si>
    <t>Anexo CPU-41188: relatório oficial SINAPI + BDI/encargos</t>
  </si>
  <si>
    <t>CPU-100-0497</t>
  </si>
  <si>
    <t>Anexo CPU-41553: relatório oficial SINAPI + BDI/encargos</t>
  </si>
  <si>
    <t>CPU-100-0498</t>
  </si>
  <si>
    <t>Anexo CPU-41918: memória de composição própria + cotação do fornecedor</t>
  </si>
  <si>
    <t>CPU-100-0499</t>
  </si>
  <si>
    <t>Relatório oficial SINAPI 12/2025 - RJ, composição/insumo 101880</t>
  </si>
  <si>
    <t>Anexo CPU-40360: relatório oficial SINAPI + BDI/encargos</t>
  </si>
  <si>
    <t>CPU-100-0500</t>
  </si>
  <si>
    <t>Anexo CPU-40361: memória de composição própria + cotação do fornecedor</t>
  </si>
  <si>
    <t>CPU-100-0501</t>
  </si>
  <si>
    <t>Relatório oficial SBC 12/2025 - RJ, composição/insumo 64205</t>
  </si>
  <si>
    <t>Anexo CPU-40362: relatório SBC + pesquisa/cotação quando aplicável</t>
  </si>
  <si>
    <t>CPU-100-0502</t>
  </si>
  <si>
    <t>Anexo CPU-40363: memória de composição própria + cotação do fornecedor</t>
  </si>
  <si>
    <t>CPU-100-0503</t>
  </si>
  <si>
    <t>Anexo CPU-40364: memória de composição própria + cotação do fornecedor</t>
  </si>
  <si>
    <t>CPU-100-0504</t>
  </si>
  <si>
    <t>Relatório oficial SINAPI 12/2025 - RJ, composição/insumo 93653</t>
  </si>
  <si>
    <t>Anexo CPU-40365: relatório oficial SINAPI + BDI/encargos</t>
  </si>
  <si>
    <t>CPU-100-0505</t>
  </si>
  <si>
    <t>Relatório oficial SINAPI 12/2025 - RJ, composição/insumo 93654</t>
  </si>
  <si>
    <t>Anexo CPU-40366: relatório oficial SINAPI + BDI/encargos</t>
  </si>
  <si>
    <t>CPU-100-0506</t>
  </si>
  <si>
    <t>Relatório oficial SINAPI 12/2025 - RJ, composição/insumo 93656</t>
  </si>
  <si>
    <t>Anexo CPU-40367: relatório oficial SINAPI + BDI/encargos</t>
  </si>
  <si>
    <t>CPU-100-0507</t>
  </si>
  <si>
    <t>Relatório oficial SINAPI 12/2025 - RJ, composição/insumo 93660</t>
  </si>
  <si>
    <t>Anexo CPU-40368: relatório oficial SINAPI + BDI/encargos</t>
  </si>
  <si>
    <t>CPU-100-0508</t>
  </si>
  <si>
    <t>Relatório oficial SINAPI 12/2025 - RJ, composição/insumo 93663</t>
  </si>
  <si>
    <t>Anexo CPU-40458: relatório oficial SINAPI + BDI/encargos</t>
  </si>
  <si>
    <t>CPU-100-0509</t>
  </si>
  <si>
    <t>Relatório oficial SINAPI 12/2025 - RJ, composição/insumo 93667</t>
  </si>
  <si>
    <t>Anexo CPU-40823: relatório oficial SINAPI + BDI/encargos</t>
  </si>
  <si>
    <t>CPU-100-0510</t>
  </si>
  <si>
    <t>Relatório oficial SINAPI 12/2025 - RJ, composição/insumo 93668</t>
  </si>
  <si>
    <t>Anexo CPU-41189: relatório oficial SINAPI + BDI/encargos</t>
  </si>
  <si>
    <t>CPU-100-0511</t>
  </si>
  <si>
    <t>Relatório oficial EMOP 12/2025 - RJ, composição 15.007.06000</t>
  </si>
  <si>
    <t>Anexo CPU-41554: relatório oficial EMOP + BDI/encargos</t>
  </si>
  <si>
    <t>CPU-100-0512</t>
  </si>
  <si>
    <t>Relatório oficial SINAPI 12/2025 - RJ, composição/insumo 101895</t>
  </si>
  <si>
    <t>Anexo CPU-41919: relatório oficial SINAPI + BDI/encargos</t>
  </si>
  <si>
    <t>CPU-100-0513</t>
  </si>
  <si>
    <t>Relatório oficial EMOP 12/2025 - RJ, composição 15.007.06080</t>
  </si>
  <si>
    <t>Anexo CPU-42284: relatório oficial EMOP + BDI/encargos</t>
  </si>
  <si>
    <t>CPU-100-0514</t>
  </si>
  <si>
    <t>Relatório oficial SINAPI 12/2025 - RJ, composição/insumo 101898</t>
  </si>
  <si>
    <t>Anexo CPU-42650: relatório oficial SINAPI + BDI/encargos</t>
  </si>
  <si>
    <t>CPU-100-0515</t>
  </si>
  <si>
    <t>Relatório oficial SINAPI 12/2025 - RJ, composição/insumo 101899</t>
  </si>
  <si>
    <t>Anexo CPU-43015: relatório oficial SINAPI + BDI/encargos</t>
  </si>
  <si>
    <t>CPU-100-0516</t>
  </si>
  <si>
    <t>Relatório oficial SINAPI 12/2025 - RJ, composição/insumo 39445</t>
  </si>
  <si>
    <t>Anexo CPU-43380: relatório oficial SINAPI + BDI/encargos</t>
  </si>
  <si>
    <t>CPU-100-0517</t>
  </si>
  <si>
    <t>Relatório oficial SINAPI 12/2025 - RJ, composição/insumo 39465</t>
  </si>
  <si>
    <t>Anexo CPU-43745: relatório oficial SINAPI + BDI/encargos</t>
  </si>
  <si>
    <t>CPU-100-0518</t>
  </si>
  <si>
    <t>Relatório oficial SINAPI 12/2025 - RJ, composição/insumo 91953</t>
  </si>
  <si>
    <t>Anexo CPU-40391: relatório oficial SINAPI + BDI/encargos</t>
  </si>
  <si>
    <t>CPU-100-0519</t>
  </si>
  <si>
    <t>Relatório oficial SINAPI 12/2025 - RJ, composição/insumo 91959</t>
  </si>
  <si>
    <t>Anexo CPU-40392: relatório oficial SINAPI + BDI/encargos</t>
  </si>
  <si>
    <t>CPU-100-0520</t>
  </si>
  <si>
    <t>Relatório oficial SINAPI 12/2025 - RJ, composição/insumo 91967</t>
  </si>
  <si>
    <t>Anexo CPU-40393: relatório oficial SINAPI + BDI/encargos</t>
  </si>
  <si>
    <t>CPU-100-0521</t>
  </si>
  <si>
    <t>Relatório oficial SINAPI 12/2025 - RJ, composição/insumo 92023</t>
  </si>
  <si>
    <t>Anexo CPU-40394: relatório oficial SINAPI + BDI/encargos</t>
  </si>
  <si>
    <t>CPU-100-0522</t>
  </si>
  <si>
    <t>Relatório oficial SINAPI 12/2025 - RJ, composição/insumo 91996</t>
  </si>
  <si>
    <t>Anexo CPU-40395: relatório oficial SINAPI + BDI/encargos</t>
  </si>
  <si>
    <t>CPU-100-0523</t>
  </si>
  <si>
    <t>Relatório oficial SINAPI 12/2025 - RJ, composição/insumo 92004</t>
  </si>
  <si>
    <t>Anexo CPU-40396: relatório oficial SINAPI + BDI/encargos</t>
  </si>
  <si>
    <t>CPU-100-0524</t>
  </si>
  <si>
    <t>Relatório oficial SINAPI 12/2025 - RJ, composição/insumo 92019</t>
  </si>
  <si>
    <t>Anexo CPU-40397: relatório oficial SINAPI + BDI/encargos</t>
  </si>
  <si>
    <t>CPU-100-0525</t>
  </si>
  <si>
    <t>Relatório oficial SINAPI 12/2025 - RJ, composição/insumo 91997</t>
  </si>
  <si>
    <t>Anexo CPU-40398: relatório oficial SINAPI + BDI/encargos</t>
  </si>
  <si>
    <t>CPU-100-0526</t>
  </si>
  <si>
    <t>Relatório oficial EMOP 12/2025 - RJ, composição 18.027.05180</t>
  </si>
  <si>
    <t>Anexo CPU-40399: relatório oficial EMOP + BDI/encargos</t>
  </si>
  <si>
    <t>CPU-100-0527</t>
  </si>
  <si>
    <t>Relatório oficial SINAPI 12/2025 - RJ, composição/insumo 97605</t>
  </si>
  <si>
    <t>Anexo CPU-40459: relatório oficial SINAPI + BDI/encargos</t>
  </si>
  <si>
    <t>CPU-100-0528</t>
  </si>
  <si>
    <t>Relatório oficial SINAPI 12/2025 - RJ, composição/insumo 101632</t>
  </si>
  <si>
    <t>Anexo CPU-40824: relatório oficial SINAPI + BDI/encargos</t>
  </si>
  <si>
    <t>CPU-100-0529</t>
  </si>
  <si>
    <t>Relatório oficial SBC 12/2025 - RJ, composição/insumo 60386</t>
  </si>
  <si>
    <t>Anexo CPU-41190: relatório SBC + pesquisa/cotação quando aplicável</t>
  </si>
  <si>
    <t>CPU-100-0530</t>
  </si>
  <si>
    <t>Relatório oficial SBC 12/2025 - RJ, composição/insumo 60875</t>
  </si>
  <si>
    <t>Anexo CPU-41555: relatório SBC + pesquisa/cotação quando aplicável</t>
  </si>
  <si>
    <t>CPU-100-0531</t>
  </si>
  <si>
    <t>Relatório oficial SINAPI 12/2025 - RJ, composição/insumo 101795</t>
  </si>
  <si>
    <t>CPU-100-0532</t>
  </si>
  <si>
    <t>Relatório oficial SINAPI 12/2025 - RJ, composição/insumo 101798</t>
  </si>
  <si>
    <t>CPU-100-0533</t>
  </si>
  <si>
    <t>CPU-100-0534</t>
  </si>
  <si>
    <t>Relatório oficial SINAPI 12/2025 - RJ, composição/insumo 100556</t>
  </si>
  <si>
    <t>CPU-100-0535</t>
  </si>
  <si>
    <t>Relatório FDE 10/2025 - SP, composição 09.06.035</t>
  </si>
  <si>
    <t>Anexo CPU-40426: relatório FDE + justificativa de referência</t>
  </si>
  <si>
    <t>CPU-100-0536</t>
  </si>
  <si>
    <t>Relatório oficial EMOP 12/2025 - RJ, composição 15.018.04670</t>
  </si>
  <si>
    <t>Anexo CPU-40427: relatório oficial EMOP + BDI/encargos</t>
  </si>
  <si>
    <t>CPU-100-0537</t>
  </si>
  <si>
    <t>Relatório oficial EMOP 12/2025 - RJ, composição 15.018.04790</t>
  </si>
  <si>
    <t>Anexo CPU-40428: relatório oficial EMOP + BDI/encargos</t>
  </si>
  <si>
    <t>CPU-100-0538</t>
  </si>
  <si>
    <t>Relatório oficial EMOP 12/2025 - RJ, composição 15.018.04690</t>
  </si>
  <si>
    <t>Anexo CPU-40429: relatório oficial EMOP + BDI/encargos</t>
  </si>
  <si>
    <t>CPU-100-0539</t>
  </si>
  <si>
    <t>Relatório oficial EMOP 12/2025 - RJ, composição 15.003.02040</t>
  </si>
  <si>
    <t>Anexo CPU-40430: relatório oficial EMOP + BDI/encargos</t>
  </si>
  <si>
    <t>CPU-100-0540</t>
  </si>
  <si>
    <t>Relatório oficial EMOP 12/2025 - RJ, composição 15.003.02060</t>
  </si>
  <si>
    <t>Anexo CPU-40460: relatório oficial EMOP + BDI/encargos</t>
  </si>
  <si>
    <t>CPU-100-0541</t>
  </si>
  <si>
    <t>Anexo CPU-40825: relatório oficial SINAPI + BDI/encargos</t>
  </si>
  <si>
    <t>CPU-100-0542</t>
  </si>
  <si>
    <t>Relatório oficial SINAPI 12/2025 - RJ, composição/insumo 95728</t>
  </si>
  <si>
    <t>Anexo CPU-41191: relatório oficial SINAPI + BDI/encargos</t>
  </si>
  <si>
    <t>CPU-100-0543</t>
  </si>
  <si>
    <t>Anexo CPU-41556: relatório oficial SINAPI + BDI/encargos</t>
  </si>
  <si>
    <t>CPU-100-0544</t>
  </si>
  <si>
    <t>Relatório oficial SINAPI 12/2025 - RJ, composição/insumo 104785</t>
  </si>
  <si>
    <t>Anexo CPU-41921: relatório oficial SINAPI + BDI/encargos</t>
  </si>
  <si>
    <t>CPU-100-0545</t>
  </si>
  <si>
    <t>Relatório oficial SINAPI 12/2025 - RJ, composição/insumo 91893</t>
  </si>
  <si>
    <t>Anexo CPU-42286: relatório oficial SINAPI + BDI/encargos</t>
  </si>
  <si>
    <t>CPU-100-0546</t>
  </si>
  <si>
    <t>Relatório oficial SBC 12/2025 - RJ, composição/insumo 59121</t>
  </si>
  <si>
    <t>Anexo CPU-42652: relatório SBC + pesquisa/cotação quando aplicável</t>
  </si>
  <si>
    <t>CPU-100-0547</t>
  </si>
  <si>
    <t>Relatório ORSE 12/2025 - SE, composição 11817</t>
  </si>
  <si>
    <t>Anexo CPU-43017: relatório ORSE + justificativa de referência</t>
  </si>
  <si>
    <t>CPU-100-0548</t>
  </si>
  <si>
    <t>Relatório oficial SBC 12/2025 - RJ, composição/insumo 59334</t>
  </si>
  <si>
    <t>Anexo CPU-43382: relatório SBC + pesquisa/cotação quando aplicável</t>
  </si>
  <si>
    <t>CPU-100-0549</t>
  </si>
  <si>
    <t>Relatório oficial SINAPI 12/2025 - RJ, composição/insumo 91946</t>
  </si>
  <si>
    <t>Anexo CPU-43747: relatório oficial SINAPI + BDI/encargos</t>
  </si>
  <si>
    <t>CPU-100-0550</t>
  </si>
  <si>
    <t>CPU-100-0551</t>
  </si>
  <si>
    <t>Anexo CPU-40452: relatório oficial SINAPI + BDI/encargos</t>
  </si>
  <si>
    <t>CPU-100-0552</t>
  </si>
  <si>
    <t>Relatório oficial SINAPI 12/2025 - RJ, composição/insumo 104749</t>
  </si>
  <si>
    <t>Anexo CPU-40453: relatório oficial SINAPI + BDI/encargos</t>
  </si>
  <si>
    <t>CPU-100-0553</t>
  </si>
  <si>
    <t>Relatório oficial EMOP 12/2025 - RJ, composição 15.007.02060</t>
  </si>
  <si>
    <t>Anexo CPU-40454: relatório oficial EMOP + BDI/encargos</t>
  </si>
  <si>
    <t>CPU-100-0554</t>
  </si>
  <si>
    <t>Relatório oficial SINAPI 12/2025 - RJ, composição/insumo 96989</t>
  </si>
  <si>
    <t>Anexo CPU-40455: relatório oficial SINAPI + BDI/encargos</t>
  </si>
  <si>
    <t>CPU-100-0555</t>
  </si>
  <si>
    <t>Relatório oficial SINAPI 12/2025 - RJ, composição/insumo 96988</t>
  </si>
  <si>
    <t>Anexo CPU-40456: relatório oficial SINAPI + BDI/encargos</t>
  </si>
  <si>
    <t>CPU-100-0556</t>
  </si>
  <si>
    <t>Relatório oficial SINAPI 12/2025 - RJ, composição/insumo 96987</t>
  </si>
  <si>
    <t>CPU-100-0557</t>
  </si>
  <si>
    <t>Relatório oficial SBC 12/2025 - RJ, composição/insumo 78033</t>
  </si>
  <si>
    <t>Anexo CPU-40458: relatório SBC + pesquisa/cotação quando aplicável</t>
  </si>
  <si>
    <t>CPU-100-0558</t>
  </si>
  <si>
    <t>Relatório oficial EMOP 12/2025 - RJ, composição 15.007.02160</t>
  </si>
  <si>
    <t>Anexo CPU-40459: relatório oficial EMOP + BDI/encargos</t>
  </si>
  <si>
    <t>CPU-100-0559</t>
  </si>
  <si>
    <t>Relatório oficial SINAPI 12/2025 - RJ, composição/insumo 96973</t>
  </si>
  <si>
    <t>Anexo CPU-40460: relatório oficial SINAPI + BDI/encargos</t>
  </si>
  <si>
    <t>CPU-100-0560</t>
  </si>
  <si>
    <t>Relatório oficial SINAPI 12/2025 - RJ, composição/insumo 96977</t>
  </si>
  <si>
    <t>Anexo CPU-40461: relatório oficial SINAPI + BDI/encargos</t>
  </si>
  <si>
    <t>CPU-100-0561</t>
  </si>
  <si>
    <t>CPU-100-0562</t>
  </si>
  <si>
    <t>CPU-100-0563</t>
  </si>
  <si>
    <t>Anexo CPU-40544: relatório oficial SINAPI + BDI/encargos</t>
  </si>
  <si>
    <t>CPU-100-0564</t>
  </si>
  <si>
    <t>Anexo CPU-40545: relatório oficial SINAPI + BDI/encargos</t>
  </si>
  <si>
    <t>CPU-100-0565</t>
  </si>
  <si>
    <t>Relatório oficial SBC 12/2025 - RJ, composição/insumo 100060</t>
  </si>
  <si>
    <t>Anexo CPU-40546: relatório SBC + pesquisa/cotação quando aplicável</t>
  </si>
  <si>
    <t>CPU-100-0566</t>
  </si>
  <si>
    <t>Anexo CPU-40547: relatório oficial SINAPI + BDI/encargos</t>
  </si>
  <si>
    <t>CPU-100-0567</t>
  </si>
  <si>
    <t>Relatório oficial EMOP 12/2025 - RJ, composição 16.005.00540</t>
  </si>
  <si>
    <t>Anexo CPU-40548: relatório oficial EMOP + BDI/encargos</t>
  </si>
  <si>
    <t>CPU-100-0568</t>
  </si>
  <si>
    <t>Relatório oficial SINAPI 12/2025 - RJ, composição/insumo 94231</t>
  </si>
  <si>
    <t>Anexo CPU-40549: relatório oficial SINAPI + BDI/encargos</t>
  </si>
  <si>
    <t>CPU-100-0569</t>
  </si>
  <si>
    <t>Anexo CPU-40550: memória de composição própria + cotação do fornecedor</t>
  </si>
  <si>
    <t>CPU-100-0570</t>
  </si>
  <si>
    <t>Relatório oficial EMOP 12/2025 - RJ, composição 16.026.00020</t>
  </si>
  <si>
    <t>Anexo CPU-40575: relatório oficial EMOP + BDI/encargos</t>
  </si>
  <si>
    <t>CPU-100-0571</t>
  </si>
  <si>
    <t>Relatório oficial SINAPI 12/2025 - RJ, composição/insumo 98555</t>
  </si>
  <si>
    <t>Anexo CPU-40576: relatório oficial SINAPI + BDI/encargos</t>
  </si>
  <si>
    <t>CPU-100-0572</t>
  </si>
  <si>
    <t>Anexo CPU-40577: relatório oficial SINAPI + BDI/encargos</t>
  </si>
  <si>
    <t>CPU-100-0573</t>
  </si>
  <si>
    <t>Relatório oficial SINAPI 12/2025 - RJ, composição/insumo 98570</t>
  </si>
  <si>
    <t>Anexo CPU-40578: relatório oficial SINAPI + BDI/encargos</t>
  </si>
  <si>
    <t>CPU-100-0574</t>
  </si>
  <si>
    <t>Anexo CPU-40579: relatório oficial SINAPI + BDI/encargos</t>
  </si>
  <si>
    <t>CPU-100-0575</t>
  </si>
  <si>
    <t>Relatório oficial EMOP 12/2025 - RJ, composição 18.029.00250</t>
  </si>
  <si>
    <t>Anexo CPU-40909: relatório oficial EMOP + BDI/encargos</t>
  </si>
  <si>
    <t>CPU-100-0576</t>
  </si>
  <si>
    <t>Relatório oficial EMOP 12/2025 - RJ, composição 15.007.0680</t>
  </si>
  <si>
    <t>Anexo CPU-40910: relatório oficial EMOP + BDI/encargos</t>
  </si>
  <si>
    <t>CPU-100-0577</t>
  </si>
  <si>
    <t>Relatório oficial EMOP 12/2025 - RJ, composição 14664</t>
  </si>
  <si>
    <t>Anexo CPU-40911: relatório oficial EMOP + BDI/encargos</t>
  </si>
  <si>
    <t>CPU-100-0578</t>
  </si>
  <si>
    <t>Relatório oficial SBC 12/2025 - RJ, composição/insumo 55357</t>
  </si>
  <si>
    <t>Anexo CPU-40912: relatório SBC + pesquisa/cotação quando aplicável</t>
  </si>
  <si>
    <t>CPU-100-0579</t>
  </si>
  <si>
    <t>Relatório oficial SINAPI 12/2025 - RJ, composição/insumo 101917</t>
  </si>
  <si>
    <t>Anexo CPU-40913: relatório oficial SINAPI + BDI/encargos</t>
  </si>
  <si>
    <t>CPU-100-0580</t>
  </si>
  <si>
    <t>Relatório oficial SBC 12/2025 - RJ, composição/insumo 52935</t>
  </si>
  <si>
    <t>Anexo CPU-40914: relatório SBC + pesquisa/cotação quando aplicável</t>
  </si>
  <si>
    <t>CPU-100-0581</t>
  </si>
  <si>
    <t>Relatório oficial SINAPI 12/2025 - RJ, composição/insumo 103009</t>
  </si>
  <si>
    <t>Anexo CPU-40915: relatório oficial SINAPI + BDI/encargos</t>
  </si>
  <si>
    <t>CPU-100-0582</t>
  </si>
  <si>
    <t>Relatório oficial SINAPI 12/2025 - RJ, composição/insumo 99624</t>
  </si>
  <si>
    <t>Anexo CPU-40916: relatório oficial SINAPI + BDI/encargos</t>
  </si>
  <si>
    <t>CPU-100-0583</t>
  </si>
  <si>
    <t>Relatório oficial SINAPI 12/2025 - RJ, composição/insumo 94499</t>
  </si>
  <si>
    <t>Anexo CPU-40917: relatório oficial SINAPI + BDI/encargos</t>
  </si>
  <si>
    <t>CPU-100-0584</t>
  </si>
  <si>
    <t>Relatório oficial SINAPI 12/2025 - RJ, composição/insumo 92390</t>
  </si>
  <si>
    <t>Anexo CPU-40513: relatório oficial SINAPI + BDI/encargos</t>
  </si>
  <si>
    <t>CPU-100-0585</t>
  </si>
  <si>
    <t>Relatório oficial SINAPI 12/2025 - RJ, composição/insumo 97488</t>
  </si>
  <si>
    <t>Anexo CPU-40878: relatório oficial SINAPI + BDI/encargos</t>
  </si>
  <si>
    <t>CPU-100-0586</t>
  </si>
  <si>
    <t>Relatório oficial SINAPI 12/2025 - RJ, composição/insumo 92378</t>
  </si>
  <si>
    <t>Anexo CPU-41244: relatório oficial SINAPI + BDI/encargos</t>
  </si>
  <si>
    <t>CPU-100-0587</t>
  </si>
  <si>
    <t>Relatório oficial SINAPI 12/2025 - RJ, composição/insumo 92377</t>
  </si>
  <si>
    <t>Anexo CPU-41609: relatório oficial SINAPI + BDI/encargos</t>
  </si>
  <si>
    <t>CPU-100-0588</t>
  </si>
  <si>
    <t>Relatório oficial SINAPI 12/2025 - RJ, composição/insumo 92896</t>
  </si>
  <si>
    <t>Anexo CPU-41974: relatório oficial SINAPI + BDI/encargos</t>
  </si>
  <si>
    <t>CPU-100-0589</t>
  </si>
  <si>
    <t>Relatório oficial SINAPI 12/2025 - RJ, composição/insumo 92642</t>
  </si>
  <si>
    <t>Anexo CPU-42339: relatório oficial SINAPI + BDI/encargos</t>
  </si>
  <si>
    <t>CPU-100-0590</t>
  </si>
  <si>
    <t>Relatório oficial SINAPI 12/2025 - RJ, composição/insumo 92910</t>
  </si>
  <si>
    <t>Anexo CPU-42705: relatório oficial SINAPI + BDI/encargos</t>
  </si>
  <si>
    <t>CPU-100-0591</t>
  </si>
  <si>
    <t>Relatório oficial SINAPI 12/2025 - RJ, composição/insumo 92929</t>
  </si>
  <si>
    <t>Anexo CPU-43070: relatório oficial SINAPI + BDI/encargos</t>
  </si>
  <si>
    <t>CPU-100-0592</t>
  </si>
  <si>
    <t>Relatório oficial SINAPI 12/2025 - RJ, composição/insumo 92367</t>
  </si>
  <si>
    <t>Anexo CPU-43435: relatório oficial SINAPI + BDI/encargos</t>
  </si>
  <si>
    <t>CPU-100-0593</t>
  </si>
  <si>
    <t>Relatório oficial SINAPI 12/2025 - RJ, composição/insumo 97498</t>
  </si>
  <si>
    <t>Anexo CPU-43800: relatório oficial SINAPI + BDI/encargos</t>
  </si>
  <si>
    <t>CPU-100-0594</t>
  </si>
  <si>
    <t>Relatório oficial SINAPI 12/2025 - RJ, composição/insumo 101916</t>
  </si>
  <si>
    <t>Anexo CPU-44166: relatório oficial SINAPI + BDI/encargos</t>
  </si>
  <si>
    <t>CPU-100-0595</t>
  </si>
  <si>
    <t>Relatório oficial SINAPI 12/2025 - RJ, composição/insumo 96765</t>
  </si>
  <si>
    <t>Anexo CPU-44531: relatório oficial SINAPI + BDI/encargos</t>
  </si>
  <si>
    <t>CPU-100-0596</t>
  </si>
  <si>
    <t>Relatório oficial SINAPI 12/2025 - RJ, composição/insumo 101915</t>
  </si>
  <si>
    <t>Anexo CPU-44896: relatório oficial SINAPI + BDI/encargos</t>
  </si>
  <si>
    <t>CPU-100-0597</t>
  </si>
  <si>
    <t>Relatório oficial SINAPI 12/2025 - RJ, composição/insumo 91174</t>
  </si>
  <si>
    <t>Anexo CPU-45261: relatório oficial SINAPI + BDI/encargos</t>
  </si>
  <si>
    <t>CPU-100-0598</t>
  </si>
  <si>
    <t>Relatório oficial SINAPI 12/2025 - RJ, composição/insumo 101909</t>
  </si>
  <si>
    <t>Anexo CPU-40940: relatório oficial SINAPI + BDI/encargos</t>
  </si>
  <si>
    <t>CPU-100-0599</t>
  </si>
  <si>
    <t>Relatório oficial EMOP 12/2025 - RJ, composição 17.040.00500</t>
  </si>
  <si>
    <t>Anexo CPU-40941: relatório oficial EMOP + BDI/encargos</t>
  </si>
  <si>
    <t>CPU-100-0600</t>
  </si>
  <si>
    <t>Relatório oficial EMOP 12/2025 - RJ, composição 18.032.00450</t>
  </si>
  <si>
    <t>Anexo CPU-40942: relatório oficial EMOP + BDI/encargos</t>
  </si>
  <si>
    <t>CPU-100-0601</t>
  </si>
  <si>
    <t>Relatório oficial SINAPI 12/2025 - RJ, composição/insumo 97599</t>
  </si>
  <si>
    <t>Anexo CPU-40969: relatório oficial SINAPI + BDI/encargos</t>
  </si>
  <si>
    <t>CPU-100-0602</t>
  </si>
  <si>
    <t>Relatório oficial EMOP 12/2025 - RJ, composição 05.054.01020</t>
  </si>
  <si>
    <t>Anexo CPU-40970: relatório oficial EMOP + BDI/encargos</t>
  </si>
  <si>
    <t>CPU-100-0603</t>
  </si>
  <si>
    <t>Relatório oficial EMOP 12/2025 - RJ, composição 05.054.01050</t>
  </si>
  <si>
    <t>Anexo CPU-40971: relatório oficial EMOP + BDI/encargos</t>
  </si>
  <si>
    <t>CPU-100-0604</t>
  </si>
  <si>
    <t>Relatório oficial EMOP 12/2025 - RJ, composição 05.054.01150</t>
  </si>
  <si>
    <t>Anexo CPU-40972: relatório oficial EMOP + BDI/encargos</t>
  </si>
  <si>
    <t>CPU-100-0605</t>
  </si>
  <si>
    <t>Relatório oficial EMOP 12/2025 - RJ, composição 18.038.00300</t>
  </si>
  <si>
    <t>Anexo CPU-41000: relatório oficial EMOP + BDI/encargos</t>
  </si>
  <si>
    <t>CPU-100-0606</t>
  </si>
  <si>
    <t>Relatório oficial EMOP 12/2025 - RJ, composição 18.038.00450</t>
  </si>
  <si>
    <t>Anexo CPU-41001: relatório oficial EMOP + BDI/encargos</t>
  </si>
  <si>
    <t>CPU-100-0607</t>
  </si>
  <si>
    <t>Relatório oficial SBC 12/2025 - RJ, composição/insumo 55570</t>
  </si>
  <si>
    <t>Anexo CPU-41002: relatório SBC + pesquisa/cotação quando aplicável</t>
  </si>
  <si>
    <t>CPU-100-0608</t>
  </si>
  <si>
    <t>Relatório oficial SBC 12/2025 - RJ, composição/insumo 59860</t>
  </si>
  <si>
    <t>Anexo CPU-41003: relatório SBC + pesquisa/cotação quando aplicável</t>
  </si>
  <si>
    <t>CPU-100-0609</t>
  </si>
  <si>
    <t>Relatório oficial EMOP 12/2025 - RJ, composição 15.035.00210</t>
  </si>
  <si>
    <t>Anexo CPU-41004: relatório oficial EMOP + BDI/encargos</t>
  </si>
  <si>
    <t>CPU-100-0610</t>
  </si>
  <si>
    <t>Relatório oficial SBC 12/2025 - RJ, composição/insumo 58563</t>
  </si>
  <si>
    <t>Anexo CPU-41005: relatório SBC + pesquisa/cotação quando aplicável</t>
  </si>
  <si>
    <t>CPU-100-0611</t>
  </si>
  <si>
    <t>Anexo CPU-41006: relatório oficial SINAPI + BDI/encargos</t>
  </si>
  <si>
    <t>CPU-100-0612</t>
  </si>
  <si>
    <t>Relatório oficial EMOP 12/2025 - RJ, composição 16.020.00120</t>
  </si>
  <si>
    <t>Anexo CPU-41275: relatório oficial EMOP + BDI/encargos</t>
  </si>
  <si>
    <t>CPU-100-0613</t>
  </si>
  <si>
    <t>Relatório oficial SINAPI 12/2025 - RJ, composição/insumo 102712</t>
  </si>
  <si>
    <t>Anexo CPU-41276: relatório oficial SINAPI + BDI/encargos</t>
  </si>
  <si>
    <t>CPU-100-0614</t>
  </si>
  <si>
    <t>Relatório oficial SINAPI 12/2025 - RJ, composição/insumo 102719</t>
  </si>
  <si>
    <t>Anexo CPU-41277: relatório oficial SINAPI + BDI/encargos</t>
  </si>
  <si>
    <t>CPU-100-0615</t>
  </si>
  <si>
    <t>Relatório oficial EMOP 12/2025 - RJ, composição 09.006.0030</t>
  </si>
  <si>
    <t>Anexo CPU-41278: relatório oficial EMOP + BDI/encargos</t>
  </si>
  <si>
    <t>CPU-100-0616</t>
  </si>
  <si>
    <t>Equipe de preparo, plantio, regularização e acabamento</t>
  </si>
  <si>
    <t>Relatório oficial SINAPI 12/2025 - RJ, composição/insumo 98505</t>
  </si>
  <si>
    <t>Anexo CPU-41306: relatório oficial SINAPI + BDI/encargos</t>
  </si>
  <si>
    <t>Mudas, substrato, terra, adubos, drenagem, manta e materiais incorporados</t>
  </si>
  <si>
    <t>Ferramentas, carrinhos, regadores e apoio</t>
  </si>
  <si>
    <t>CPU-100-0617</t>
  </si>
  <si>
    <t>Relatório oficial SINAPI 12/2025 - RJ, composição/insumo 98510</t>
  </si>
  <si>
    <t>Anexo CPU-41307: relatório oficial SINAPI + BDI/encargos</t>
  </si>
  <si>
    <t>CPU-100-0618</t>
  </si>
  <si>
    <t>Relatório oficial SINAPI 12/2025 - RJ, composição/insumo 98511</t>
  </si>
  <si>
    <t>Anexo CPU-41308: relatório oficial SINAPI + BDI/encargos</t>
  </si>
  <si>
    <t>CPU-100-0619</t>
  </si>
  <si>
    <t>Relatório oficial SINAPI 12/2025 - RJ, composição/insumo 98503</t>
  </si>
  <si>
    <t>Anexo CPU-41309: relatório oficial SINAPI + BDI/encargos</t>
  </si>
  <si>
    <t>TOTAL GERAL</t>
  </si>
  <si>
    <t>OK - TOTAL FECHA</t>
  </si>
  <si>
    <t>Total geral da CPU aberta 100% deve coincidir com R$ 8.947.799,11.</t>
  </si>
  <si>
    <t>Total original da planilha</t>
  </si>
  <si>
    <t>Total CPU aberta</t>
  </si>
  <si>
    <t>OK - FECHA</t>
  </si>
  <si>
    <t>PONTO</t>
  </si>
  <si>
    <t>ORIENTAÇÃO TÉCNICA PARA ENVIO</t>
  </si>
  <si>
    <t>Usar a aba CPU_ABERTA_100 como Anexo da resposta de exequibilidade, pois ela soma 100% do valor ofertado.</t>
  </si>
  <si>
    <t>Manter a aba CPU_ABERTA_FINAL como visão dos itens críticos, mas não usar seu subtotal como valor global da proposta.</t>
  </si>
  <si>
    <t>Anexar relatórios oficiais das bases SINAPI, EMOP, SBC, CPOS/CDHU, ORSE, FDE e SCO aplicáveis.</t>
  </si>
  <si>
    <t>Para itens próprios COMP. MACAÉ, anexar memória de composição e cotações/fornecedores.</t>
  </si>
  <si>
    <t>A CPU de exequibilidade não substitui a qualificação técnico-operacional das estacas. O acervo/CAT/atestados deve seguir em anexo próprio.</t>
  </si>
  <si>
    <t>Preencher a aba COMPROMISSOS com contratos em andamento, valores executados e saldos remanescentes antes do protocolo.</t>
  </si>
  <si>
    <t>Rio de Janeiro/RJ07 de Julho de 2026</t>
  </si>
  <si>
    <t>11 meses</t>
  </si>
  <si>
    <t>Teve aditivos: Comprova execução de obra civil completa, infraestrutura, controle de cronograma, permanência contratual e capacidade de atendimento a exigências técnicas.</t>
  </si>
  <si>
    <t>Teve aditivos pdf na pasta contratos:-Comprova recuperação predial/habitacional em escala relevante, com múltiplos serviços e gestão de canteiro.</t>
  </si>
  <si>
    <t xml:space="preserve"> em aberto devido renovação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</si>
</sst>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4" formatCode="_-&quot;R$&quot;\ * #,##0.00_-;\-&quot;R$&quot;\ * #,##0.00_-;_-&quot;R$&quot;\ * &quot;-&quot;??_-;_-@_-"/>
    <numFmt numFmtId="43" formatCode="_-* #,##0.00_-;\-* #,##0.00_-;_-* &quot;-&quot;??_-;_-@_-"/>
    <numFmt numFmtId="164" formatCode="0.00\ %"/>
    <numFmt numFmtId="165" formatCode="0.000"/>
    <numFmt numFmtId="166" formatCode="00000000"/>
    <numFmt numFmtId="167" formatCode="0.00000"/>
    <numFmt numFmtId="168" formatCode="m\.d\.yy;@"/>
    <numFmt numFmtId="169" formatCode="0.0"/>
    <numFmt numFmtId="170" formatCode="000000"/>
    <numFmt numFmtId="171" formatCode="yy\.m\.d;@"/>
    <numFmt numFmtId="172" formatCode="mm\.d\.yy;@"/>
    <numFmt numFmtId="173" formatCode="yy\.mm\.d;@"/>
    <numFmt numFmtId="174" formatCode="mm\.dd\.yy;@"/>
    <numFmt numFmtId="175" formatCode="_(&quot;R$ &quot;* #,##0.00_);_(&quot;R$ &quot;* \(#,##0.00\);_(&quot;R$ &quot;* &quot;-&quot;??_);_(@_)"/>
    <numFmt numFmtId="176" formatCode="0.000000"/>
    <numFmt numFmtId="177" formatCode="0.0%"/>
    <numFmt numFmtId="178" formatCode="0.00000000000000%"/>
    <numFmt numFmtId="179" formatCode="0.000000000000000%"/>
    <numFmt numFmtId="180" formatCode="0.0000000000000000%"/>
    <numFmt numFmtId="181" formatCode="0.00000000000000000%"/>
    <numFmt numFmtId="182" formatCode="0.000000000%"/>
    <numFmt numFmtId="183" formatCode="\R\$\ #,##0.00"/>
    <numFmt numFmtId="184" formatCode="#,##0.0000"/>
    <numFmt numFmtId="185" formatCode="#,##0.000000"/>
    <numFmt numFmtId="186" formatCode="&quot;R$&quot;\ #,##0.00"/>
  </numFmts>
  <fonts count="19" x14ac:knownFonts="1">
    <font>
      <sz val="10"/>
      <color rgb="FF000000"/>
      <name val="Times New Roman"/>
    </font>
    <font>
      <sz val="10"/>
      <color rgb="FF000000"/>
      <name val="Times New Roman"/>
      <family val="1"/>
    </font>
    <font>
      <sz val="12"/>
      <color rgb="FF000000"/>
      <name val="Arial"/>
      <family val="2"/>
    </font>
    <font>
      <b/>
      <sz val="12"/>
      <name val="Arial"/>
      <family val="2"/>
    </font>
    <font>
      <b/>
      <sz val="12"/>
      <color rgb="FF000000"/>
      <name val="Arial"/>
      <family val="2"/>
    </font>
    <font>
      <sz val="12"/>
      <name val="Arial"/>
      <family val="2"/>
    </font>
    <font>
      <sz val="10"/>
      <name val="Arial"/>
      <family val="2"/>
    </font>
    <font>
      <b/>
      <sz val="8"/>
      <name val="Arial"/>
      <family val="2"/>
    </font>
    <font>
      <sz val="8"/>
      <color rgb="FF000000"/>
      <name val="Arial"/>
      <family val="2"/>
    </font>
    <font>
      <sz val="8"/>
      <name val="Arial"/>
      <family val="2"/>
    </font>
    <font>
      <b/>
      <sz val="8"/>
      <color rgb="FFFF0000"/>
      <name val="Arial"/>
      <family val="2"/>
    </font>
    <font>
      <sz val="10"/>
      <color rgb="FF000000"/>
      <name val="Arial"/>
      <family val="2"/>
    </font>
    <font>
      <b/>
      <sz val="10"/>
      <color rgb="FF000000"/>
      <name val="Arial"/>
      <family val="2"/>
    </font>
    <font>
      <b/>
      <sz val="10"/>
      <name val="Arial"/>
      <family val="2"/>
    </font>
    <font>
      <b/>
      <sz val="14"/>
      <color rgb="FFFFFFFF"/>
      <name val="Times New Roman"/>
      <family val="1"/>
    </font>
    <font>
      <b/>
      <sz val="10"/>
      <color rgb="FF000000"/>
      <name val="Times New Roman"/>
      <family val="1"/>
    </font>
    <font>
      <b/>
      <sz val="10"/>
      <color rgb="FFFFFFFF"/>
      <name val="Times New Roman"/>
      <family val="1"/>
    </font>
    <font>
      <b/>
      <sz val="13"/>
      <color rgb="FFFFFFFF"/>
      <name val="Times New Roman"/>
      <family val="1"/>
    </font>
    <font>
      <sz val="10"/>
      <color rgb="FF000000"/>
      <name val="Times New Roman"/>
      <family val="1"/>
    </font>
  </fonts>
  <fills count="15">
    <fill>
      <patternFill patternType="none"/>
    </fill>
    <fill>
      <patternFill patternType="gray125"/>
    </fill>
    <fill>
      <patternFill patternType="solid">
        <fgColor rgb="FFD8ECF6"/>
      </patternFill>
    </fill>
    <fill>
      <patternFill patternType="solid">
        <fgColor rgb="FFDFF0D8"/>
      </patternFill>
    </fill>
    <fill>
      <patternFill patternType="solid">
        <fgColor rgb="FFF7F3DF"/>
      </patternFill>
    </fill>
    <fill>
      <patternFill patternType="solid">
        <fgColor theme="0"/>
      </patternFill>
    </fill>
    <fill>
      <patternFill patternType="solid">
        <fgColor rgb="FFD8ECF6"/>
      </patternFill>
    </fill>
    <fill>
      <patternFill patternType="solid">
        <fgColor rgb="FFDFF0D8"/>
      </patternFill>
    </fill>
    <fill>
      <patternFill patternType="solid">
        <fgColor rgb="FFF7F3DF"/>
      </patternFill>
    </fill>
    <fill>
      <patternFill patternType="solid">
        <fgColor rgb="FF17365D"/>
      </patternFill>
    </fill>
    <fill>
      <patternFill patternType="solid">
        <fgColor rgb="FFD9EAF7"/>
      </patternFill>
    </fill>
    <fill>
      <patternFill patternType="solid">
        <fgColor rgb="FF1F4E78"/>
      </patternFill>
    </fill>
    <fill>
      <patternFill patternType="solid">
        <fgColor rgb="FF1F4E78"/>
      </patternFill>
    </fill>
    <fill>
      <patternFill patternType="solid">
        <fgColor rgb="FF1F4E78"/>
      </patternFill>
    </fill>
    <fill>
      <patternFill patternType="solid">
        <fgColor rgb="FF17365D"/>
      </patternFill>
    </fill>
  </fills>
  <borders count="3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cellStyleXfs>
  <cellXfs count="269">
    <xf numFmtId="0" fontId="0" fillId="0" borderId="0" xfId="0" applyAlignment="1">
      <alignment horizontal="left" vertical="top"/>
    </xf>
    <xf numFmtId="0" fontId="3" fillId="0" borderId="1" xfId="0" applyFont="1" applyBorder="1" applyAlignment="1">
      <alignment horizontal="left" vertical="top" wrapText="1"/>
    </xf>
    <xf numFmtId="0" fontId="2" fillId="0" borderId="0" xfId="0" applyFont="1" applyAlignment="1">
      <alignment horizontal="left" vertical="top"/>
    </xf>
    <xf numFmtId="1" fontId="4" fillId="2" borderId="1" xfId="0" applyNumberFormat="1" applyFont="1" applyFill="1" applyBorder="1" applyAlignment="1">
      <alignment horizontal="left" vertical="top"/>
    </xf>
    <xf numFmtId="0" fontId="2" fillId="2" borderId="1" xfId="0" applyFont="1" applyFill="1" applyBorder="1" applyAlignment="1">
      <alignment horizontal="left" wrapText="1"/>
    </xf>
    <xf numFmtId="0" fontId="3" fillId="2" borderId="1" xfId="0" applyFont="1" applyFill="1" applyBorder="1" applyAlignment="1">
      <alignment horizontal="left" vertical="top" wrapText="1"/>
    </xf>
    <xf numFmtId="1" fontId="4" fillId="2" borderId="1" xfId="0" applyNumberFormat="1" applyFont="1" applyFill="1" applyBorder="1" applyAlignment="1">
      <alignment horizontal="right" vertical="top"/>
    </xf>
    <xf numFmtId="4" fontId="4" fillId="2" borderId="1" xfId="0" applyNumberFormat="1" applyFont="1" applyFill="1" applyBorder="1" applyAlignment="1">
      <alignment horizontal="right" vertical="top"/>
    </xf>
    <xf numFmtId="164" fontId="4" fillId="2" borderId="1" xfId="0" applyNumberFormat="1" applyFont="1" applyFill="1" applyBorder="1" applyAlignment="1">
      <alignment horizontal="right" vertical="top"/>
    </xf>
    <xf numFmtId="0" fontId="5" fillId="3" borderId="1" xfId="0" applyFont="1" applyFill="1" applyBorder="1" applyAlignment="1">
      <alignment horizontal="left" vertical="top" wrapText="1"/>
    </xf>
    <xf numFmtId="0" fontId="2" fillId="3" borderId="1" xfId="0" applyFont="1" applyFill="1" applyBorder="1" applyAlignment="1">
      <alignment horizontal="left" vertical="top" wrapText="1"/>
    </xf>
    <xf numFmtId="0" fontId="5" fillId="3" borderId="1" xfId="0" applyFont="1" applyFill="1" applyBorder="1" applyAlignment="1">
      <alignment horizontal="center" vertical="top" wrapText="1"/>
    </xf>
    <xf numFmtId="2" fontId="2" fillId="3" borderId="1" xfId="0" applyNumberFormat="1" applyFont="1" applyFill="1" applyBorder="1" applyAlignment="1">
      <alignment horizontal="right" vertical="top"/>
    </xf>
    <xf numFmtId="4" fontId="2" fillId="3" borderId="1" xfId="0" applyNumberFormat="1" applyFont="1" applyFill="1" applyBorder="1" applyAlignment="1">
      <alignment horizontal="right" vertical="top"/>
    </xf>
    <xf numFmtId="164" fontId="2" fillId="3" borderId="1" xfId="0" applyNumberFormat="1" applyFont="1" applyFill="1" applyBorder="1" applyAlignment="1">
      <alignment horizontal="right" vertical="top"/>
    </xf>
    <xf numFmtId="1" fontId="2" fillId="3" borderId="1" xfId="0" applyNumberFormat="1" applyFont="1" applyFill="1" applyBorder="1" applyAlignment="1">
      <alignment horizontal="left" vertical="top"/>
    </xf>
    <xf numFmtId="1" fontId="2" fillId="3" borderId="1" xfId="0" applyNumberFormat="1" applyFont="1" applyFill="1" applyBorder="1" applyAlignment="1">
      <alignment horizontal="right" vertical="top"/>
    </xf>
    <xf numFmtId="165" fontId="2" fillId="3" borderId="1" xfId="0" applyNumberFormat="1" applyFont="1" applyFill="1" applyBorder="1" applyAlignment="1">
      <alignment horizontal="right" vertical="top"/>
    </xf>
    <xf numFmtId="0" fontId="5" fillId="4" borderId="1" xfId="0" applyFont="1" applyFill="1" applyBorder="1" applyAlignment="1">
      <alignment horizontal="left" vertical="top" wrapText="1"/>
    </xf>
    <xf numFmtId="166" fontId="2" fillId="4" borderId="1" xfId="0" applyNumberFormat="1" applyFont="1" applyFill="1" applyBorder="1" applyAlignment="1">
      <alignment horizontal="left" vertical="top"/>
    </xf>
    <xf numFmtId="0" fontId="5" fillId="4" borderId="1" xfId="0" applyFont="1" applyFill="1" applyBorder="1" applyAlignment="1">
      <alignment horizontal="center" vertical="top" wrapText="1"/>
    </xf>
    <xf numFmtId="1" fontId="2" fillId="4" borderId="1" xfId="0" applyNumberFormat="1" applyFont="1" applyFill="1" applyBorder="1" applyAlignment="1">
      <alignment horizontal="right" vertical="top"/>
    </xf>
    <xf numFmtId="2" fontId="2" fillId="4" borderId="1" xfId="0" applyNumberFormat="1" applyFont="1" applyFill="1" applyBorder="1" applyAlignment="1">
      <alignment horizontal="right" vertical="top"/>
    </xf>
    <xf numFmtId="4" fontId="2" fillId="4" borderId="1" xfId="0" applyNumberFormat="1" applyFont="1" applyFill="1" applyBorder="1" applyAlignment="1">
      <alignment horizontal="right" vertical="top"/>
    </xf>
    <xf numFmtId="164" fontId="2" fillId="4" borderId="1" xfId="0" applyNumberFormat="1" applyFont="1" applyFill="1" applyBorder="1" applyAlignment="1">
      <alignment horizontal="right" vertical="top"/>
    </xf>
    <xf numFmtId="0" fontId="2" fillId="3" borderId="1" xfId="0" applyFont="1" applyFill="1" applyBorder="1" applyAlignment="1">
      <alignment horizontal="left" vertical="center" wrapText="1"/>
    </xf>
    <xf numFmtId="167" fontId="2" fillId="3" borderId="1" xfId="0" applyNumberFormat="1" applyFont="1" applyFill="1" applyBorder="1" applyAlignment="1">
      <alignment horizontal="right" vertical="top"/>
    </xf>
    <xf numFmtId="0" fontId="5" fillId="3" borderId="1" xfId="0" applyFont="1" applyFill="1" applyBorder="1" applyAlignment="1">
      <alignment horizontal="left" vertical="center" wrapText="1"/>
    </xf>
    <xf numFmtId="168" fontId="2" fillId="3" borderId="1" xfId="0" applyNumberFormat="1" applyFont="1" applyFill="1" applyBorder="1" applyAlignment="1">
      <alignment horizontal="left" vertical="top"/>
    </xf>
    <xf numFmtId="169" fontId="2" fillId="3" borderId="1" xfId="0" applyNumberFormat="1" applyFont="1" applyFill="1" applyBorder="1" applyAlignment="1">
      <alignment horizontal="right" vertical="top"/>
    </xf>
    <xf numFmtId="165" fontId="2" fillId="4" borderId="1" xfId="0" applyNumberFormat="1" applyFont="1" applyFill="1" applyBorder="1" applyAlignment="1">
      <alignment horizontal="right" vertical="top"/>
    </xf>
    <xf numFmtId="0" fontId="2" fillId="2" borderId="1" xfId="0" applyFont="1" applyFill="1" applyBorder="1" applyAlignment="1">
      <alignment horizontal="left" vertical="center" wrapText="1"/>
    </xf>
    <xf numFmtId="170" fontId="2" fillId="3" borderId="1" xfId="0" applyNumberFormat="1" applyFont="1" applyFill="1" applyBorder="1" applyAlignment="1">
      <alignment horizontal="left" vertical="top"/>
    </xf>
    <xf numFmtId="168" fontId="2" fillId="4" borderId="1" xfId="0" applyNumberFormat="1" applyFont="1" applyFill="1" applyBorder="1" applyAlignment="1">
      <alignment horizontal="left" vertical="top"/>
    </xf>
    <xf numFmtId="169" fontId="2" fillId="4" borderId="1" xfId="0" applyNumberFormat="1" applyFont="1" applyFill="1" applyBorder="1" applyAlignment="1">
      <alignment horizontal="right" vertical="top"/>
    </xf>
    <xf numFmtId="171" fontId="2" fillId="3" borderId="1" xfId="0" applyNumberFormat="1" applyFont="1" applyFill="1" applyBorder="1" applyAlignment="1">
      <alignment horizontal="left" vertical="top"/>
    </xf>
    <xf numFmtId="172" fontId="2" fillId="3" borderId="1" xfId="0" applyNumberFormat="1" applyFont="1" applyFill="1" applyBorder="1" applyAlignment="1">
      <alignment horizontal="left" vertical="top"/>
    </xf>
    <xf numFmtId="171" fontId="2" fillId="4" borderId="1" xfId="0" applyNumberFormat="1" applyFont="1" applyFill="1" applyBorder="1" applyAlignment="1">
      <alignment horizontal="left" vertical="top"/>
    </xf>
    <xf numFmtId="170" fontId="2" fillId="4" borderId="1" xfId="0" applyNumberFormat="1" applyFont="1" applyFill="1" applyBorder="1" applyAlignment="1">
      <alignment horizontal="left" vertical="top"/>
    </xf>
    <xf numFmtId="172" fontId="2" fillId="4" borderId="1" xfId="0" applyNumberFormat="1" applyFont="1" applyFill="1" applyBorder="1" applyAlignment="1">
      <alignment horizontal="left" vertical="top"/>
    </xf>
    <xf numFmtId="173" fontId="2" fillId="3" borderId="1" xfId="0" applyNumberFormat="1" applyFont="1" applyFill="1" applyBorder="1" applyAlignment="1">
      <alignment horizontal="left" vertical="top"/>
    </xf>
    <xf numFmtId="174" fontId="2" fillId="3" borderId="1" xfId="0" applyNumberFormat="1" applyFont="1" applyFill="1" applyBorder="1" applyAlignment="1">
      <alignment horizontal="left" vertical="top"/>
    </xf>
    <xf numFmtId="1" fontId="2" fillId="4" borderId="1" xfId="0" applyNumberFormat="1" applyFont="1" applyFill="1" applyBorder="1" applyAlignment="1">
      <alignment horizontal="left" vertical="top"/>
    </xf>
    <xf numFmtId="0" fontId="2" fillId="0" borderId="1" xfId="0" applyFont="1" applyBorder="1" applyAlignment="1">
      <alignment horizontal="left" wrapText="1"/>
    </xf>
    <xf numFmtId="0" fontId="7" fillId="0" borderId="1" xfId="0" applyFont="1" applyBorder="1" applyAlignment="1">
      <alignment horizontal="left" vertical="top" wrapText="1"/>
    </xf>
    <xf numFmtId="0" fontId="7" fillId="2" borderId="1" xfId="0" applyFont="1" applyFill="1" applyBorder="1" applyAlignment="1">
      <alignment horizontal="left" vertical="top" wrapText="1"/>
    </xf>
    <xf numFmtId="0" fontId="8" fillId="3"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9" fillId="4" borderId="1" xfId="0" applyFont="1" applyFill="1" applyBorder="1" applyAlignment="1">
      <alignment horizontal="left" vertical="top" wrapText="1"/>
    </xf>
    <xf numFmtId="0" fontId="8" fillId="4" borderId="1" xfId="0" applyFont="1" applyFill="1" applyBorder="1" applyAlignment="1">
      <alignment horizontal="left" vertical="top" wrapText="1"/>
    </xf>
    <xf numFmtId="0" fontId="8" fillId="0" borderId="1" xfId="0" applyFont="1" applyBorder="1" applyAlignment="1">
      <alignment horizontal="left" wrapText="1"/>
    </xf>
    <xf numFmtId="0" fontId="9" fillId="0" borderId="1" xfId="0" applyFont="1" applyBorder="1" applyAlignment="1">
      <alignment horizontal="left" vertical="top" wrapText="1"/>
    </xf>
    <xf numFmtId="0" fontId="8" fillId="0" borderId="0" xfId="0" applyFont="1" applyAlignment="1">
      <alignment horizontal="left" vertical="top"/>
    </xf>
    <xf numFmtId="0" fontId="7" fillId="5" borderId="11" xfId="0" applyFont="1" applyFill="1" applyBorder="1" applyAlignment="1">
      <alignment horizontal="center" vertical="center"/>
    </xf>
    <xf numFmtId="0" fontId="7" fillId="5" borderId="12" xfId="0" applyFont="1" applyFill="1" applyBorder="1" applyAlignment="1">
      <alignment horizontal="center" vertical="center"/>
    </xf>
    <xf numFmtId="0" fontId="10" fillId="5" borderId="13" xfId="2" applyNumberFormat="1" applyFont="1" applyFill="1" applyBorder="1" applyAlignment="1">
      <alignment horizontal="center" vertical="center"/>
    </xf>
    <xf numFmtId="10" fontId="10" fillId="5" borderId="14" xfId="3" applyNumberFormat="1" applyFont="1" applyFill="1" applyBorder="1" applyAlignment="1">
      <alignment horizontal="center" vertical="center"/>
    </xf>
    <xf numFmtId="0" fontId="7" fillId="5" borderId="13" xfId="0" applyFont="1" applyFill="1" applyBorder="1" applyAlignment="1">
      <alignment horizontal="center" vertical="center" wrapText="1"/>
    </xf>
    <xf numFmtId="175" fontId="7" fillId="5" borderId="14" xfId="0" applyNumberFormat="1" applyFont="1" applyFill="1" applyBorder="1" applyAlignment="1">
      <alignment horizontal="center" vertical="center"/>
    </xf>
    <xf numFmtId="0" fontId="7" fillId="5" borderId="15" xfId="0" applyFont="1" applyFill="1" applyBorder="1" applyAlignment="1">
      <alignment horizontal="center" vertical="center" wrapText="1"/>
    </xf>
    <xf numFmtId="175" fontId="7" fillId="5" borderId="16" xfId="0" applyNumberFormat="1" applyFont="1" applyFill="1" applyBorder="1" applyAlignment="1">
      <alignment horizontal="center" vertical="center"/>
    </xf>
    <xf numFmtId="0" fontId="7" fillId="5" borderId="15" xfId="0" applyFont="1" applyFill="1" applyBorder="1" applyAlignment="1">
      <alignment horizontal="center" vertical="center"/>
    </xf>
    <xf numFmtId="175" fontId="7" fillId="5" borderId="17" xfId="0" applyNumberFormat="1" applyFont="1" applyFill="1" applyBorder="1" applyAlignment="1">
      <alignment horizontal="center" vertical="center"/>
    </xf>
    <xf numFmtId="0" fontId="7" fillId="5" borderId="18" xfId="0" applyFont="1" applyFill="1" applyBorder="1" applyAlignment="1">
      <alignment horizontal="center" vertical="center"/>
    </xf>
    <xf numFmtId="175" fontId="7" fillId="5" borderId="19" xfId="0" applyNumberFormat="1" applyFont="1" applyFill="1" applyBorder="1" applyAlignment="1">
      <alignment horizontal="center" vertical="center"/>
    </xf>
    <xf numFmtId="0" fontId="10" fillId="5" borderId="20" xfId="0" applyFont="1" applyFill="1" applyBorder="1" applyAlignment="1">
      <alignment horizontal="center" vertical="center" wrapText="1"/>
    </xf>
    <xf numFmtId="175" fontId="10" fillId="5" borderId="14" xfId="0" applyNumberFormat="1" applyFont="1" applyFill="1" applyBorder="1" applyAlignment="1">
      <alignment horizontal="center" vertical="center"/>
    </xf>
    <xf numFmtId="0" fontId="10" fillId="5" borderId="21" xfId="0" applyFont="1" applyFill="1" applyBorder="1" applyAlignment="1">
      <alignment horizontal="center" vertical="center"/>
    </xf>
    <xf numFmtId="175" fontId="10" fillId="5" borderId="17" xfId="0" applyNumberFormat="1" applyFont="1" applyFill="1" applyBorder="1" applyAlignment="1">
      <alignment horizontal="center" vertical="center"/>
    </xf>
    <xf numFmtId="0" fontId="10" fillId="5" borderId="22" xfId="0" applyFont="1" applyFill="1" applyBorder="1" applyAlignment="1">
      <alignment horizontal="center" vertical="center"/>
    </xf>
    <xf numFmtId="1" fontId="4" fillId="6" borderId="1" xfId="0" applyNumberFormat="1" applyFont="1" applyFill="1" applyBorder="1" applyAlignment="1">
      <alignment horizontal="right" vertical="top"/>
    </xf>
    <xf numFmtId="44" fontId="2" fillId="6" borderId="1" xfId="1" applyFont="1" applyFill="1" applyBorder="1" applyAlignment="1">
      <alignment horizontal="left" vertical="top"/>
    </xf>
    <xf numFmtId="2" fontId="2" fillId="7" borderId="1" xfId="0" applyNumberFormat="1" applyFont="1" applyFill="1" applyBorder="1" applyAlignment="1">
      <alignment horizontal="right" vertical="top"/>
    </xf>
    <xf numFmtId="44" fontId="2" fillId="7" borderId="1" xfId="1" applyFont="1" applyFill="1" applyBorder="1" applyAlignment="1">
      <alignment horizontal="left" vertical="top"/>
    </xf>
    <xf numFmtId="0" fontId="5" fillId="8" borderId="1" xfId="0" applyFont="1" applyFill="1" applyBorder="1" applyAlignment="1">
      <alignment horizontal="center" vertical="top" wrapText="1"/>
    </xf>
    <xf numFmtId="44" fontId="2" fillId="8" borderId="1" xfId="1" applyFont="1" applyFill="1" applyBorder="1" applyAlignment="1">
      <alignment horizontal="left" vertical="top"/>
    </xf>
    <xf numFmtId="44" fontId="4" fillId="6" borderId="1" xfId="1" applyFont="1" applyFill="1" applyBorder="1" applyAlignment="1">
      <alignment horizontal="left" vertical="top"/>
    </xf>
    <xf numFmtId="44" fontId="5" fillId="3" borderId="1" xfId="1" applyFont="1" applyFill="1" applyBorder="1" applyAlignment="1">
      <alignment horizontal="right" vertical="top" wrapText="1"/>
    </xf>
    <xf numFmtId="44" fontId="2" fillId="0" borderId="0" xfId="0" applyNumberFormat="1" applyFont="1" applyAlignment="1">
      <alignment horizontal="left" vertical="top"/>
    </xf>
    <xf numFmtId="176" fontId="2" fillId="0" borderId="0" xfId="0" applyNumberFormat="1" applyFont="1" applyAlignment="1">
      <alignment horizontal="left" vertical="top"/>
    </xf>
    <xf numFmtId="4" fontId="4" fillId="0" borderId="8" xfId="0" applyNumberFormat="1" applyFont="1" applyBorder="1" applyAlignment="1">
      <alignment vertical="top"/>
    </xf>
    <xf numFmtId="0" fontId="2" fillId="0" borderId="1" xfId="0" applyFont="1" applyBorder="1" applyAlignment="1">
      <alignment horizontal="left" vertical="top"/>
    </xf>
    <xf numFmtId="4" fontId="4" fillId="0" borderId="1" xfId="0" applyNumberFormat="1" applyFont="1" applyBorder="1" applyAlignment="1">
      <alignment vertical="top"/>
    </xf>
    <xf numFmtId="0" fontId="3" fillId="0" borderId="1" xfId="0" applyFont="1" applyBorder="1" applyAlignment="1">
      <alignment horizontal="center" vertical="center" wrapText="1"/>
    </xf>
    <xf numFmtId="0" fontId="3" fillId="0" borderId="9" xfId="0" applyFont="1" applyBorder="1" applyAlignment="1">
      <alignment vertical="top" wrapText="1"/>
    </xf>
    <xf numFmtId="4" fontId="2" fillId="0" borderId="0" xfId="0" applyNumberFormat="1" applyFont="1" applyAlignment="1">
      <alignment horizontal="left" vertical="top"/>
    </xf>
    <xf numFmtId="2" fontId="11" fillId="3" borderId="1" xfId="0" applyNumberFormat="1" applyFont="1" applyFill="1" applyBorder="1" applyAlignment="1">
      <alignment horizontal="right" vertical="top"/>
    </xf>
    <xf numFmtId="2" fontId="11" fillId="7" borderId="1" xfId="0" applyNumberFormat="1" applyFont="1" applyFill="1" applyBorder="1" applyAlignment="1">
      <alignment horizontal="right" vertical="top"/>
    </xf>
    <xf numFmtId="4" fontId="12" fillId="2" borderId="1" xfId="0" applyNumberFormat="1" applyFont="1" applyFill="1" applyBorder="1" applyAlignment="1">
      <alignment horizontal="right" vertical="top"/>
    </xf>
    <xf numFmtId="4" fontId="11" fillId="3" borderId="1" xfId="0" applyNumberFormat="1" applyFont="1" applyFill="1" applyBorder="1" applyAlignment="1">
      <alignment horizontal="right" vertical="top"/>
    </xf>
    <xf numFmtId="4" fontId="11" fillId="7" borderId="1" xfId="0" applyNumberFormat="1" applyFont="1" applyFill="1" applyBorder="1" applyAlignment="1">
      <alignment horizontal="right" vertical="top"/>
    </xf>
    <xf numFmtId="44" fontId="11" fillId="3" borderId="1" xfId="1" applyFont="1" applyFill="1" applyBorder="1" applyAlignment="1">
      <alignment horizontal="right" vertical="top"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7" fillId="0" borderId="1" xfId="0" applyFont="1" applyBorder="1" applyAlignment="1">
      <alignment horizontal="center" vertical="center" wrapText="1"/>
    </xf>
    <xf numFmtId="43" fontId="2" fillId="0" borderId="0" xfId="0" applyNumberFormat="1" applyFont="1" applyAlignment="1">
      <alignment horizontal="left" vertical="top"/>
    </xf>
    <xf numFmtId="44" fontId="2" fillId="0" borderId="0" xfId="1" applyFont="1" applyAlignment="1">
      <alignment horizontal="left" vertical="top"/>
    </xf>
    <xf numFmtId="0" fontId="3" fillId="0" borderId="8" xfId="0" applyFont="1" applyBorder="1" applyAlignment="1">
      <alignment horizontal="center" vertical="center" wrapText="1"/>
    </xf>
    <xf numFmtId="0" fontId="11" fillId="0" borderId="0" xfId="0" applyFont="1" applyAlignment="1">
      <alignment horizontal="left" vertical="top"/>
    </xf>
    <xf numFmtId="0" fontId="11" fillId="0" borderId="0" xfId="0" applyFont="1" applyAlignment="1">
      <alignment horizontal="center" vertical="center"/>
    </xf>
    <xf numFmtId="0" fontId="3" fillId="0" borderId="0" xfId="0" applyFont="1" applyAlignment="1">
      <alignment vertical="top" wrapText="1"/>
    </xf>
    <xf numFmtId="0" fontId="2" fillId="0" borderId="0" xfId="0" applyFont="1" applyAlignment="1">
      <alignment wrapText="1"/>
    </xf>
    <xf numFmtId="0" fontId="2" fillId="0" borderId="0" xfId="0" applyFont="1" applyAlignment="1">
      <alignment vertical="center" wrapText="1"/>
    </xf>
    <xf numFmtId="177" fontId="4" fillId="0" borderId="0" xfId="0" applyNumberFormat="1" applyFont="1" applyAlignment="1">
      <alignment vertical="top"/>
    </xf>
    <xf numFmtId="10" fontId="4" fillId="0" borderId="0" xfId="0" applyNumberFormat="1" applyFont="1" applyAlignment="1">
      <alignment vertical="top"/>
    </xf>
    <xf numFmtId="4" fontId="4" fillId="0" borderId="0" xfId="0" applyNumberFormat="1" applyFont="1" applyAlignment="1">
      <alignment vertical="top"/>
    </xf>
    <xf numFmtId="182" fontId="2" fillId="0" borderId="0" xfId="2" applyNumberFormat="1" applyFont="1" applyAlignment="1">
      <alignment horizontal="left" vertical="top"/>
    </xf>
    <xf numFmtId="0" fontId="0" fillId="0" borderId="23" xfId="0" applyBorder="1" applyAlignment="1">
      <alignment horizontal="left" vertical="top"/>
    </xf>
    <xf numFmtId="0" fontId="0" fillId="0" borderId="0" xfId="0" applyAlignment="1">
      <alignment horizontal="left" vertical="top" wrapText="1"/>
    </xf>
    <xf numFmtId="183" fontId="0" fillId="0" borderId="0" xfId="0" applyNumberFormat="1" applyAlignment="1">
      <alignment horizontal="left" vertical="top" wrapText="1"/>
    </xf>
    <xf numFmtId="0" fontId="16" fillId="11" borderId="0" xfId="0" applyFont="1" applyFill="1" applyAlignment="1">
      <alignment horizontal="center" vertical="top" wrapText="1"/>
    </xf>
    <xf numFmtId="184" fontId="0" fillId="0" borderId="0" xfId="0" applyNumberFormat="1" applyAlignment="1">
      <alignment horizontal="left" vertical="top" wrapText="1"/>
    </xf>
    <xf numFmtId="183" fontId="0" fillId="0" borderId="0" xfId="0" applyNumberFormat="1" applyAlignment="1">
      <alignment horizontal="left" vertical="top"/>
    </xf>
    <xf numFmtId="0" fontId="16" fillId="11" borderId="24" xfId="0" applyFont="1" applyFill="1" applyBorder="1" applyAlignment="1">
      <alignment horizontal="center" vertical="top" wrapText="1"/>
    </xf>
    <xf numFmtId="0" fontId="0" fillId="0" borderId="24" xfId="0" applyBorder="1" applyAlignment="1">
      <alignment horizontal="left" vertical="top" wrapText="1"/>
    </xf>
    <xf numFmtId="184" fontId="0" fillId="0" borderId="24" xfId="0" applyNumberFormat="1" applyBorder="1" applyAlignment="1">
      <alignment horizontal="left" vertical="top" wrapText="1"/>
    </xf>
    <xf numFmtId="183" fontId="0" fillId="0" borderId="24" xfId="0" applyNumberFormat="1" applyBorder="1" applyAlignment="1">
      <alignment horizontal="left" vertical="top" wrapText="1"/>
    </xf>
    <xf numFmtId="0" fontId="16" fillId="11" borderId="25" xfId="0" applyFont="1" applyFill="1" applyBorder="1" applyAlignment="1">
      <alignment horizontal="center" vertical="top" wrapText="1"/>
    </xf>
    <xf numFmtId="0" fontId="16" fillId="11" borderId="26" xfId="0" applyFont="1" applyFill="1" applyBorder="1" applyAlignment="1">
      <alignment horizontal="center" vertical="top" wrapText="1"/>
    </xf>
    <xf numFmtId="0" fontId="16" fillId="11" borderId="27" xfId="0" applyFont="1" applyFill="1" applyBorder="1" applyAlignment="1">
      <alignment horizontal="center" vertical="top" wrapText="1"/>
    </xf>
    <xf numFmtId="0" fontId="0" fillId="0" borderId="28" xfId="0" applyBorder="1" applyAlignment="1">
      <alignment horizontal="left" vertical="top" wrapText="1"/>
    </xf>
    <xf numFmtId="10" fontId="0" fillId="0" borderId="24" xfId="0" applyNumberFormat="1" applyBorder="1" applyAlignment="1">
      <alignment horizontal="left" vertical="top" wrapText="1"/>
    </xf>
    <xf numFmtId="183" fontId="0" fillId="0" borderId="29" xfId="0" applyNumberFormat="1" applyBorder="1" applyAlignment="1">
      <alignment horizontal="left" vertical="top" wrapText="1"/>
    </xf>
    <xf numFmtId="0" fontId="0" fillId="0" borderId="30" xfId="0" applyBorder="1" applyAlignment="1">
      <alignment horizontal="left" vertical="top" wrapText="1"/>
    </xf>
    <xf numFmtId="0" fontId="0" fillId="0" borderId="31" xfId="0" applyBorder="1" applyAlignment="1">
      <alignment horizontal="left" vertical="top" wrapText="1"/>
    </xf>
    <xf numFmtId="184" fontId="0" fillId="0" borderId="31" xfId="0" applyNumberFormat="1" applyBorder="1" applyAlignment="1">
      <alignment horizontal="left" vertical="top" wrapText="1"/>
    </xf>
    <xf numFmtId="183" fontId="0" fillId="0" borderId="31" xfId="0" applyNumberFormat="1" applyBorder="1" applyAlignment="1">
      <alignment horizontal="left" vertical="top" wrapText="1"/>
    </xf>
    <xf numFmtId="10" fontId="0" fillId="0" borderId="31" xfId="0" applyNumberFormat="1" applyBorder="1" applyAlignment="1">
      <alignment horizontal="left" vertical="top" wrapText="1"/>
    </xf>
    <xf numFmtId="183" fontId="0" fillId="0" borderId="32" xfId="0" applyNumberFormat="1" applyBorder="1" applyAlignment="1">
      <alignment horizontal="left" vertical="top" wrapText="1"/>
    </xf>
    <xf numFmtId="0" fontId="0" fillId="0" borderId="29" xfId="0" applyBorder="1" applyAlignment="1">
      <alignment horizontal="left" vertical="top" wrapText="1"/>
    </xf>
    <xf numFmtId="0" fontId="0" fillId="0" borderId="32" xfId="0" applyBorder="1" applyAlignment="1">
      <alignment horizontal="left" vertical="top" wrapText="1"/>
    </xf>
    <xf numFmtId="0" fontId="0" fillId="0" borderId="24" xfId="0" applyBorder="1" applyAlignment="1">
      <alignment horizontal="left" vertical="top"/>
    </xf>
    <xf numFmtId="0" fontId="15" fillId="10" borderId="24" xfId="0" applyFont="1" applyFill="1" applyBorder="1" applyAlignment="1">
      <alignment horizontal="left" vertical="top" wrapText="1"/>
    </xf>
    <xf numFmtId="0" fontId="16" fillId="11" borderId="24" xfId="0" applyFont="1" applyFill="1" applyBorder="1" applyAlignment="1">
      <alignment horizontal="left" vertical="top"/>
    </xf>
    <xf numFmtId="183" fontId="0" fillId="0" borderId="24" xfId="0" applyNumberFormat="1" applyBorder="1" applyAlignment="1">
      <alignment horizontal="left" vertical="top"/>
    </xf>
    <xf numFmtId="10" fontId="0" fillId="0" borderId="24" xfId="0" applyNumberFormat="1" applyBorder="1" applyAlignment="1">
      <alignment horizontal="left" vertical="top"/>
    </xf>
    <xf numFmtId="10" fontId="15" fillId="10" borderId="24" xfId="0" applyNumberFormat="1" applyFont="1" applyFill="1" applyBorder="1" applyAlignment="1">
      <alignment horizontal="left" vertical="top" wrapText="1"/>
    </xf>
    <xf numFmtId="0" fontId="0" fillId="0" borderId="24" xfId="0" applyBorder="1" applyAlignment="1">
      <alignment horizontal="center" vertical="top"/>
    </xf>
    <xf numFmtId="0" fontId="6" fillId="0" borderId="24" xfId="0" applyFont="1" applyBorder="1" applyAlignment="1">
      <alignment horizontal="left" vertical="top" wrapText="1"/>
    </xf>
    <xf numFmtId="0" fontId="6" fillId="0" borderId="24" xfId="0" applyFont="1" applyBorder="1" applyAlignment="1">
      <alignment horizontal="left" wrapText="1"/>
    </xf>
    <xf numFmtId="0" fontId="13" fillId="0" borderId="24" xfId="0" applyFont="1" applyBorder="1" applyAlignment="1">
      <alignment horizontal="center" vertical="center" wrapText="1"/>
    </xf>
    <xf numFmtId="0" fontId="13" fillId="0" borderId="24" xfId="0" applyFont="1" applyBorder="1" applyAlignment="1">
      <alignment horizontal="left" vertical="top" wrapText="1"/>
    </xf>
    <xf numFmtId="0" fontId="6" fillId="0" borderId="24" xfId="0" applyFont="1" applyBorder="1" applyAlignment="1">
      <alignment horizontal="left" vertical="center" wrapText="1"/>
    </xf>
    <xf numFmtId="0" fontId="13" fillId="0" borderId="24" xfId="0" applyFont="1" applyBorder="1" applyAlignment="1">
      <alignment horizontal="right" vertical="top" wrapText="1"/>
    </xf>
    <xf numFmtId="1" fontId="13" fillId="2" borderId="24" xfId="0" applyNumberFormat="1" applyFont="1" applyFill="1" applyBorder="1" applyAlignment="1">
      <alignment horizontal="left" vertical="top"/>
    </xf>
    <xf numFmtId="0" fontId="6" fillId="2" borderId="24" xfId="0" applyFont="1" applyFill="1" applyBorder="1" applyAlignment="1">
      <alignment horizontal="left" wrapText="1"/>
    </xf>
    <xf numFmtId="0" fontId="13" fillId="2" borderId="24" xfId="0" applyFont="1" applyFill="1" applyBorder="1" applyAlignment="1">
      <alignment horizontal="left" vertical="top" wrapText="1"/>
    </xf>
    <xf numFmtId="1" fontId="13" fillId="2" borderId="24" xfId="0" applyNumberFormat="1" applyFont="1" applyFill="1" applyBorder="1" applyAlignment="1">
      <alignment horizontal="center" vertical="center"/>
    </xf>
    <xf numFmtId="44" fontId="13" fillId="2" borderId="24" xfId="0" applyNumberFormat="1" applyFont="1" applyFill="1" applyBorder="1" applyAlignment="1">
      <alignment horizontal="right" vertical="top" wrapText="1"/>
    </xf>
    <xf numFmtId="0" fontId="13" fillId="2" borderId="24" xfId="0" applyFont="1" applyFill="1" applyBorder="1" applyAlignment="1">
      <alignment horizontal="right" vertical="top" wrapText="1"/>
    </xf>
    <xf numFmtId="169" fontId="13" fillId="2" borderId="24" xfId="0" applyNumberFormat="1" applyFont="1" applyFill="1" applyBorder="1" applyAlignment="1">
      <alignment horizontal="left" vertical="top"/>
    </xf>
    <xf numFmtId="0" fontId="6" fillId="2" borderId="24" xfId="0" applyFont="1" applyFill="1" applyBorder="1" applyAlignment="1">
      <alignment horizontal="left" vertical="center" wrapText="1"/>
    </xf>
    <xf numFmtId="2" fontId="13" fillId="2" borderId="24" xfId="0" applyNumberFormat="1" applyFont="1" applyFill="1" applyBorder="1" applyAlignment="1">
      <alignment horizontal="left" vertical="top"/>
    </xf>
    <xf numFmtId="0" fontId="6" fillId="0" borderId="24" xfId="0" applyFont="1" applyBorder="1" applyAlignment="1">
      <alignment horizontal="center" vertical="center" wrapText="1"/>
    </xf>
    <xf numFmtId="0" fontId="3" fillId="0" borderId="24" xfId="0" applyFont="1" applyBorder="1" applyAlignment="1">
      <alignment vertical="top" wrapText="1"/>
    </xf>
    <xf numFmtId="10" fontId="3" fillId="0" borderId="24" xfId="0" applyNumberFormat="1" applyFont="1" applyBorder="1" applyAlignment="1">
      <alignment vertical="top" wrapText="1"/>
    </xf>
    <xf numFmtId="0" fontId="2" fillId="0" borderId="24" xfId="0" applyFont="1" applyBorder="1" applyAlignment="1">
      <alignment horizontal="left" wrapText="1"/>
    </xf>
    <xf numFmtId="0" fontId="3" fillId="0" borderId="24" xfId="0" applyFont="1" applyBorder="1" applyAlignment="1">
      <alignment horizontal="left" vertical="top" wrapText="1"/>
    </xf>
    <xf numFmtId="0" fontId="3" fillId="0" borderId="24" xfId="0" applyFont="1" applyBorder="1" applyAlignment="1">
      <alignment horizontal="right" vertical="top" wrapText="1"/>
    </xf>
    <xf numFmtId="0" fontId="3" fillId="2" borderId="24" xfId="0" applyFont="1" applyFill="1" applyBorder="1" applyAlignment="1">
      <alignment horizontal="left" vertical="top" wrapText="1"/>
    </xf>
    <xf numFmtId="0" fontId="3" fillId="2" borderId="24" xfId="0" applyFont="1" applyFill="1" applyBorder="1" applyAlignment="1">
      <alignment vertical="top" wrapText="1"/>
    </xf>
    <xf numFmtId="10" fontId="4" fillId="2" borderId="24" xfId="0" applyNumberFormat="1" applyFont="1" applyFill="1" applyBorder="1" applyAlignment="1">
      <alignment vertical="top"/>
    </xf>
    <xf numFmtId="0" fontId="2" fillId="2" borderId="24" xfId="0" applyFont="1" applyFill="1" applyBorder="1" applyAlignment="1">
      <alignment vertical="center" wrapText="1"/>
    </xf>
    <xf numFmtId="10" fontId="2" fillId="2" borderId="24" xfId="0" applyNumberFormat="1" applyFont="1" applyFill="1" applyBorder="1" applyAlignment="1">
      <alignment vertical="top"/>
    </xf>
    <xf numFmtId="4" fontId="4" fillId="2" borderId="24" xfId="0" applyNumberFormat="1" applyFont="1" applyFill="1" applyBorder="1" applyAlignment="1">
      <alignment vertical="top"/>
    </xf>
    <xf numFmtId="179" fontId="2" fillId="2" borderId="24" xfId="2" applyNumberFormat="1" applyFont="1" applyFill="1" applyBorder="1" applyAlignment="1">
      <alignment vertical="center" wrapText="1"/>
    </xf>
    <xf numFmtId="4" fontId="2" fillId="2" borderId="24" xfId="0" applyNumberFormat="1" applyFont="1" applyFill="1" applyBorder="1" applyAlignment="1">
      <alignment vertical="top"/>
    </xf>
    <xf numFmtId="10" fontId="2" fillId="2" borderId="24" xfId="0" applyNumberFormat="1" applyFont="1" applyFill="1" applyBorder="1" applyAlignment="1">
      <alignment horizontal="right" vertical="top"/>
    </xf>
    <xf numFmtId="180" fontId="2" fillId="2" borderId="24" xfId="2" applyNumberFormat="1" applyFont="1" applyFill="1" applyBorder="1" applyAlignment="1">
      <alignment vertical="center" wrapText="1"/>
    </xf>
    <xf numFmtId="181" fontId="2" fillId="2" borderId="24" xfId="2" applyNumberFormat="1" applyFont="1" applyFill="1" applyBorder="1" applyAlignment="1">
      <alignment vertical="center" wrapText="1"/>
    </xf>
    <xf numFmtId="178" fontId="2" fillId="2" borderId="24" xfId="2" applyNumberFormat="1" applyFont="1" applyFill="1" applyBorder="1" applyAlignment="1">
      <alignment vertical="center" wrapText="1"/>
    </xf>
    <xf numFmtId="4" fontId="2" fillId="2" borderId="24" xfId="0" applyNumberFormat="1" applyFont="1" applyFill="1" applyBorder="1" applyAlignment="1">
      <alignment horizontal="right" vertical="top"/>
    </xf>
    <xf numFmtId="0" fontId="2" fillId="2" borderId="24" xfId="0" applyFont="1" applyFill="1" applyBorder="1" applyAlignment="1">
      <alignment horizontal="left" wrapText="1"/>
    </xf>
    <xf numFmtId="0" fontId="2" fillId="2" borderId="24" xfId="0" applyFont="1" applyFill="1" applyBorder="1" applyAlignment="1">
      <alignment wrapText="1"/>
    </xf>
    <xf numFmtId="1" fontId="4" fillId="2" borderId="24" xfId="0" applyNumberFormat="1" applyFont="1" applyFill="1" applyBorder="1" applyAlignment="1">
      <alignment horizontal="left" vertical="top"/>
    </xf>
    <xf numFmtId="10" fontId="2" fillId="2" borderId="24" xfId="0" applyNumberFormat="1" applyFont="1" applyFill="1" applyBorder="1" applyAlignment="1">
      <alignment horizontal="left" vertical="top"/>
    </xf>
    <xf numFmtId="4" fontId="2" fillId="2" borderId="24" xfId="0" applyNumberFormat="1" applyFont="1" applyFill="1" applyBorder="1" applyAlignment="1">
      <alignment horizontal="left" vertical="top"/>
    </xf>
    <xf numFmtId="0" fontId="2" fillId="6" borderId="24" xfId="0" applyFont="1" applyFill="1" applyBorder="1" applyAlignment="1">
      <alignment horizontal="left" wrapText="1"/>
    </xf>
    <xf numFmtId="177" fontId="4" fillId="0" borderId="24" xfId="0" applyNumberFormat="1" applyFont="1" applyBorder="1" applyAlignment="1">
      <alignment vertical="top"/>
    </xf>
    <xf numFmtId="10" fontId="4" fillId="0" borderId="24" xfId="0" applyNumberFormat="1" applyFont="1" applyBorder="1" applyAlignment="1">
      <alignment vertical="top"/>
    </xf>
    <xf numFmtId="10" fontId="4" fillId="0" borderId="24" xfId="0" applyNumberFormat="1" applyFont="1" applyBorder="1" applyAlignment="1">
      <alignment horizontal="right" vertical="top"/>
    </xf>
    <xf numFmtId="177" fontId="4" fillId="0" borderId="24" xfId="0" applyNumberFormat="1" applyFont="1" applyBorder="1" applyAlignment="1">
      <alignment horizontal="right" vertical="top"/>
    </xf>
    <xf numFmtId="10" fontId="4" fillId="0" borderId="24" xfId="0" applyNumberFormat="1" applyFont="1" applyBorder="1" applyAlignment="1">
      <alignment horizontal="left" vertical="top"/>
    </xf>
    <xf numFmtId="2" fontId="4" fillId="0" borderId="24" xfId="0" applyNumberFormat="1" applyFont="1" applyBorder="1" applyAlignment="1">
      <alignment vertical="top"/>
    </xf>
    <xf numFmtId="4" fontId="4" fillId="0" borderId="24" xfId="0" applyNumberFormat="1" applyFont="1" applyBorder="1" applyAlignment="1">
      <alignment vertical="top"/>
    </xf>
    <xf numFmtId="0" fontId="1" fillId="0" borderId="24" xfId="0" applyFont="1" applyBorder="1" applyAlignment="1">
      <alignment horizontal="left" vertical="top"/>
    </xf>
    <xf numFmtId="0" fontId="1" fillId="0" borderId="24" xfId="0" applyFont="1" applyBorder="1" applyAlignment="1">
      <alignment horizontal="left" vertical="top" wrapText="1"/>
    </xf>
    <xf numFmtId="0" fontId="1" fillId="0" borderId="24" xfId="0" applyFont="1" applyBorder="1" applyAlignment="1">
      <alignment horizontal="center" vertical="top"/>
    </xf>
    <xf numFmtId="183" fontId="0" fillId="0" borderId="24" xfId="0" applyNumberFormat="1" applyBorder="1" applyAlignment="1">
      <alignment horizontal="center" vertical="center"/>
    </xf>
    <xf numFmtId="0" fontId="0" fillId="0" borderId="24" xfId="0" applyBorder="1" applyAlignment="1">
      <alignment horizontal="center" vertical="center"/>
    </xf>
    <xf numFmtId="0" fontId="1" fillId="0" borderId="24" xfId="0" applyFont="1" applyBorder="1" applyAlignment="1">
      <alignment horizontal="center" vertical="center"/>
    </xf>
    <xf numFmtId="0" fontId="1" fillId="0" borderId="24" xfId="0" applyFont="1" applyBorder="1" applyAlignment="1">
      <alignment horizontal="center" vertical="center" wrapText="1"/>
    </xf>
    <xf numFmtId="0" fontId="1" fillId="0" borderId="24" xfId="0" applyFont="1" applyBorder="1" applyAlignment="1">
      <alignment horizontal="left" vertical="center" wrapText="1"/>
    </xf>
    <xf numFmtId="14" fontId="1" fillId="0" borderId="24" xfId="0" applyNumberFormat="1" applyFont="1" applyBorder="1" applyAlignment="1">
      <alignment horizontal="center" vertical="center"/>
    </xf>
    <xf numFmtId="14" fontId="1" fillId="0" borderId="24" xfId="0" applyNumberFormat="1" applyFont="1" applyBorder="1" applyAlignment="1">
      <alignment horizontal="center" vertical="center" wrapText="1"/>
    </xf>
    <xf numFmtId="14" fontId="0" fillId="0" borderId="24" xfId="0" applyNumberFormat="1" applyBorder="1" applyAlignment="1">
      <alignment horizontal="center" vertical="center"/>
    </xf>
    <xf numFmtId="0" fontId="16" fillId="11" borderId="24" xfId="0" applyFont="1" applyFill="1" applyBorder="1" applyAlignment="1">
      <alignment horizontal="center" vertical="center" wrapText="1"/>
    </xf>
    <xf numFmtId="0" fontId="0" fillId="0" borderId="35" xfId="0" applyBorder="1" applyAlignment="1">
      <alignment horizontal="left" vertical="top"/>
    </xf>
    <xf numFmtId="183" fontId="0" fillId="0" borderId="35" xfId="0" applyNumberFormat="1" applyBorder="1" applyAlignment="1">
      <alignment horizontal="left" vertical="top"/>
    </xf>
    <xf numFmtId="10" fontId="0" fillId="0" borderId="35" xfId="0" applyNumberFormat="1" applyBorder="1" applyAlignment="1">
      <alignment horizontal="left" vertical="top"/>
    </xf>
    <xf numFmtId="0" fontId="16" fillId="12" borderId="0" xfId="0" applyFont="1" applyFill="1" applyAlignment="1">
      <alignment horizontal="center" vertical="top" wrapText="1"/>
    </xf>
    <xf numFmtId="0" fontId="16" fillId="12" borderId="0" xfId="0" applyFont="1" applyFill="1" applyAlignment="1">
      <alignment horizontal="center" vertical="center" wrapText="1"/>
    </xf>
    <xf numFmtId="184" fontId="0" fillId="0" borderId="0" xfId="0" applyNumberFormat="1" applyAlignment="1">
      <alignment horizontal="left" vertical="top"/>
    </xf>
    <xf numFmtId="185" fontId="0" fillId="0" borderId="0" xfId="0" applyNumberFormat="1" applyAlignment="1">
      <alignment horizontal="left" vertical="top"/>
    </xf>
    <xf numFmtId="10" fontId="0" fillId="0" borderId="0" xfId="0" applyNumberFormat="1" applyAlignment="1">
      <alignment horizontal="left" vertical="top"/>
    </xf>
    <xf numFmtId="183" fontId="16" fillId="12" borderId="0" xfId="0" applyNumberFormat="1" applyFont="1" applyFill="1" applyAlignment="1">
      <alignment horizontal="center" vertical="center" wrapText="1"/>
    </xf>
    <xf numFmtId="10" fontId="0" fillId="0" borderId="0" xfId="0" applyNumberFormat="1" applyAlignment="1">
      <alignment horizontal="left" vertical="top" wrapText="1"/>
    </xf>
    <xf numFmtId="0" fontId="16" fillId="13" borderId="0" xfId="0" applyFont="1" applyFill="1" applyAlignment="1">
      <alignment horizontal="center" vertical="center" wrapText="1"/>
    </xf>
    <xf numFmtId="0" fontId="18" fillId="0" borderId="0" xfId="0" applyFont="1" applyAlignment="1">
      <alignment horizontal="left" vertical="top" wrapText="1"/>
    </xf>
    <xf numFmtId="183" fontId="18" fillId="0" borderId="0" xfId="0" applyNumberFormat="1" applyFont="1" applyAlignment="1">
      <alignment horizontal="left" vertical="top" wrapText="1"/>
    </xf>
    <xf numFmtId="10" fontId="18" fillId="0" borderId="0" xfId="0" applyNumberFormat="1" applyFont="1" applyAlignment="1">
      <alignment horizontal="left" vertical="top" wrapText="1"/>
    </xf>
    <xf numFmtId="0" fontId="3" fillId="0" borderId="1" xfId="0" applyFont="1" applyBorder="1" applyAlignment="1">
      <alignment horizontal="left" vertical="top" wrapText="1"/>
    </xf>
    <xf numFmtId="0" fontId="3" fillId="0" borderId="8" xfId="0" applyFont="1" applyBorder="1" applyAlignment="1">
      <alignment horizontal="center" vertical="top" wrapText="1"/>
    </xf>
    <xf numFmtId="0" fontId="3" fillId="0" borderId="10"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10" fontId="4" fillId="0" borderId="8" xfId="0" applyNumberFormat="1" applyFont="1" applyBorder="1" applyAlignment="1">
      <alignment horizontal="center" vertical="center"/>
    </xf>
    <xf numFmtId="10" fontId="4" fillId="0" borderId="10" xfId="0" applyNumberFormat="1" applyFont="1" applyBorder="1" applyAlignment="1">
      <alignment horizontal="center" vertical="center"/>
    </xf>
    <xf numFmtId="10" fontId="4" fillId="0" borderId="9" xfId="0" applyNumberFormat="1" applyFont="1" applyBorder="1" applyAlignment="1">
      <alignment horizontal="center" vertical="center"/>
    </xf>
    <xf numFmtId="0" fontId="3" fillId="0" borderId="24" xfId="0" applyFont="1" applyBorder="1" applyAlignment="1">
      <alignment horizontal="center" vertical="center" wrapText="1"/>
    </xf>
    <xf numFmtId="0" fontId="3" fillId="0" borderId="24" xfId="0" applyFont="1" applyBorder="1" applyAlignment="1">
      <alignment horizontal="center" vertical="top" wrapText="1"/>
    </xf>
    <xf numFmtId="0" fontId="2" fillId="0" borderId="24" xfId="0" applyFont="1" applyBorder="1" applyAlignment="1">
      <alignment horizontal="left" vertical="top" wrapText="1"/>
    </xf>
    <xf numFmtId="0" fontId="13" fillId="0" borderId="24" xfId="0" applyFont="1" applyBorder="1" applyAlignment="1">
      <alignment horizontal="center" vertical="top" wrapText="1"/>
    </xf>
    <xf numFmtId="0" fontId="6" fillId="0" borderId="24" xfId="0" applyFont="1" applyBorder="1" applyAlignment="1">
      <alignment horizontal="left" vertical="top" wrapText="1"/>
    </xf>
    <xf numFmtId="0" fontId="13" fillId="0" borderId="24" xfId="0" applyFont="1" applyBorder="1" applyAlignment="1">
      <alignment horizontal="center" vertical="center" wrapText="1"/>
    </xf>
    <xf numFmtId="0" fontId="13" fillId="0" borderId="24" xfId="0" applyFont="1" applyBorder="1" applyAlignment="1">
      <alignment horizontal="left" vertical="top" wrapText="1"/>
    </xf>
    <xf numFmtId="0" fontId="13" fillId="0" borderId="24" xfId="0" applyFont="1" applyBorder="1" applyAlignment="1">
      <alignment vertical="top" wrapText="1"/>
    </xf>
    <xf numFmtId="44" fontId="13" fillId="0" borderId="24" xfId="0" applyNumberFormat="1" applyFont="1" applyBorder="1" applyAlignment="1">
      <alignment horizontal="center" vertical="center"/>
    </xf>
    <xf numFmtId="44" fontId="13" fillId="0" borderId="24" xfId="0" applyNumberFormat="1" applyFont="1" applyBorder="1" applyAlignment="1">
      <alignment horizontal="center" vertical="center" wrapText="1"/>
    </xf>
    <xf numFmtId="0" fontId="0" fillId="0" borderId="29" xfId="0" applyBorder="1" applyAlignment="1">
      <alignment horizontal="left" vertical="top" wrapText="1"/>
    </xf>
    <xf numFmtId="0" fontId="0" fillId="0" borderId="28" xfId="0" applyBorder="1" applyAlignment="1">
      <alignment horizontal="left" vertical="top" wrapText="1"/>
    </xf>
    <xf numFmtId="0" fontId="0" fillId="0" borderId="29" xfId="0" applyBorder="1" applyAlignment="1">
      <alignment horizontal="center" vertical="top" wrapText="1"/>
    </xf>
    <xf numFmtId="0" fontId="0" fillId="0" borderId="34" xfId="0" applyBorder="1" applyAlignment="1">
      <alignment horizontal="center" vertical="top" wrapText="1"/>
    </xf>
    <xf numFmtId="0" fontId="0" fillId="0" borderId="25" xfId="0" applyBorder="1" applyAlignment="1">
      <alignment horizontal="center" vertical="top" wrapText="1"/>
    </xf>
    <xf numFmtId="0" fontId="14" fillId="9" borderId="29" xfId="0" applyFont="1" applyFill="1" applyBorder="1" applyAlignment="1">
      <alignment horizontal="center" vertical="center"/>
    </xf>
    <xf numFmtId="0" fontId="14" fillId="9" borderId="33" xfId="0" applyFont="1" applyFill="1" applyBorder="1" applyAlignment="1">
      <alignment horizontal="center" vertical="center"/>
    </xf>
    <xf numFmtId="0" fontId="14" fillId="9" borderId="28" xfId="0" applyFont="1" applyFill="1" applyBorder="1" applyAlignment="1">
      <alignment horizontal="center" vertical="center"/>
    </xf>
    <xf numFmtId="0" fontId="0" fillId="0" borderId="0" xfId="0" applyAlignment="1">
      <alignment horizontal="center" vertical="top"/>
    </xf>
    <xf numFmtId="0" fontId="0" fillId="0" borderId="34" xfId="0" applyBorder="1" applyAlignment="1">
      <alignment horizontal="center" vertical="top"/>
    </xf>
    <xf numFmtId="0" fontId="17" fillId="9" borderId="24" xfId="0" applyFont="1" applyFill="1" applyBorder="1" applyAlignment="1">
      <alignment horizontal="center" vertical="top"/>
    </xf>
    <xf numFmtId="0" fontId="0" fillId="0" borderId="24" xfId="0" applyBorder="1" applyAlignment="1">
      <alignment horizontal="left" vertical="top"/>
    </xf>
    <xf numFmtId="0" fontId="14" fillId="12" borderId="0" xfId="0" applyFont="1" applyFill="1" applyAlignment="1">
      <alignment horizontal="center" vertical="top"/>
    </xf>
    <xf numFmtId="0" fontId="0" fillId="0" borderId="0" xfId="0" applyAlignment="1">
      <alignment horizontal="left" vertical="top"/>
    </xf>
    <xf numFmtId="0" fontId="0" fillId="0" borderId="0" xfId="0" applyAlignment="1">
      <alignment horizontal="left" vertical="top" wrapText="1"/>
    </xf>
    <xf numFmtId="0" fontId="14" fillId="12" borderId="0" xfId="0" applyFont="1" applyFill="1" applyAlignment="1">
      <alignment horizontal="center" vertical="center"/>
    </xf>
    <xf numFmtId="0" fontId="14" fillId="14" borderId="0" xfId="0" applyFont="1" applyFill="1" applyAlignment="1">
      <alignment horizontal="center" vertical="center"/>
    </xf>
    <xf numFmtId="0" fontId="16" fillId="12" borderId="35" xfId="0" applyFont="1" applyFill="1" applyBorder="1" applyAlignment="1">
      <alignment horizontal="center" vertical="center" wrapText="1"/>
    </xf>
    <xf numFmtId="184" fontId="0" fillId="0" borderId="35" xfId="0" applyNumberFormat="1" applyBorder="1" applyAlignment="1">
      <alignment horizontal="left" vertical="top"/>
    </xf>
    <xf numFmtId="185" fontId="0" fillId="0" borderId="35" xfId="0" applyNumberFormat="1" applyBorder="1" applyAlignment="1">
      <alignment horizontal="left" vertical="top"/>
    </xf>
    <xf numFmtId="186" fontId="16" fillId="12" borderId="35" xfId="0" applyNumberFormat="1" applyFont="1" applyFill="1" applyBorder="1" applyAlignment="1">
      <alignment horizontal="center" vertical="center" wrapText="1"/>
    </xf>
    <xf numFmtId="186" fontId="0" fillId="0" borderId="35" xfId="0" applyNumberFormat="1" applyBorder="1" applyAlignment="1">
      <alignment horizontal="left" vertical="top"/>
    </xf>
    <xf numFmtId="186" fontId="0" fillId="0" borderId="0" xfId="0" applyNumberFormat="1" applyAlignment="1">
      <alignment horizontal="left" vertical="top"/>
    </xf>
    <xf numFmtId="0" fontId="1" fillId="0" borderId="0" xfId="0" applyFont="1" applyAlignment="1">
      <alignment horizontal="left" vertical="top"/>
    </xf>
    <xf numFmtId="44" fontId="3" fillId="0" borderId="1" xfId="1" applyFont="1" applyBorder="1" applyAlignment="1">
      <alignment vertical="top"/>
    </xf>
    <xf numFmtId="44" fontId="3" fillId="0" borderId="1" xfId="1" applyFont="1" applyBorder="1" applyAlignment="1">
      <alignment horizontal="left" vertical="top"/>
    </xf>
    <xf numFmtId="44" fontId="3" fillId="0" borderId="1" xfId="0" applyNumberFormat="1" applyFont="1" applyBorder="1" applyAlignment="1">
      <alignment horizontal="left" vertical="top"/>
    </xf>
  </cellXfs>
  <cellStyles count="4">
    <cellStyle name="Moeda" xfId="1" xr:uid="{00000000-0005-0000-0000-000000000000}"/>
    <cellStyle name="Normal" xfId="0" builtinId="0"/>
    <cellStyle name="Porcentagem" xfId="2" xr:uid="{00000000-0005-0000-0000-000002000000}"/>
    <cellStyle name="Porcentagem 2 2 2" xfId="3" xr:uid="{00000000-0005-0000-0000-000003000000}"/>
  </cellStyles>
  <dxfs count="3">
    <dxf>
      <fill>
        <patternFill>
          <bgColor rgb="FFF8CBAD"/>
        </patternFill>
      </fill>
    </dxf>
    <dxf>
      <fill>
        <patternFill>
          <bgColor rgb="FFE2F0D9"/>
        </patternFill>
      </fill>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autoTitleDeleted val="1"/>
    <c:plotArea>
      <c:layout/>
      <c:barChart>
        <c:barDir val="col"/>
        <c:grouping val="clustered"/>
        <c:varyColors val="0"/>
        <c:ser>
          <c:idx val="0"/>
          <c:order val="0"/>
          <c:tx>
            <c:v>Total</c:v>
          </c:tx>
          <c:invertIfNegative val="1"/>
          <c:cat>
            <c:strRef>
              <c:f>RESUMO_DILIG!$F$4:$F$6</c:f>
              <c:strCache>
                <c:ptCount val="3"/>
                <c:pt idx="0">
                  <c:v>A</c:v>
                </c:pt>
                <c:pt idx="1">
                  <c:v>B</c:v>
                </c:pt>
                <c:pt idx="2">
                  <c:v>C</c:v>
                </c:pt>
              </c:strCache>
            </c:strRef>
          </c:cat>
          <c:val>
            <c:numRef>
              <c:f>RESUMO_DILIG!$G$4:$G$6</c:f>
              <c:numCache>
                <c:formatCode>\R\$\ #,##0.00</c:formatCode>
                <c:ptCount val="3"/>
                <c:pt idx="0">
                  <c:v>6992646.5899999999</c:v>
                </c:pt>
                <c:pt idx="1">
                  <c:v>1428974.1300000001</c:v>
                </c:pt>
                <c:pt idx="2">
                  <c:v>526178.39</c:v>
                </c:pt>
              </c:numCache>
            </c:numRef>
          </c:val>
          <c:extLst>
            <c:ext xmlns:c16="http://schemas.microsoft.com/office/drawing/2014/chart" uri="{C3380CC4-5D6E-409C-BE32-E72D297353CC}">
              <c16:uniqueId val="{00000000-D6E4-4CB6-B3CC-8C8AB23300C0}"/>
            </c:ext>
          </c:extLst>
        </c:ser>
        <c:dLbls>
          <c:showLegendKey val="0"/>
          <c:showVal val="0"/>
          <c:showCatName val="0"/>
          <c:showSerName val="0"/>
          <c:showPercent val="0"/>
          <c:showBubbleSize val="0"/>
        </c:dLbls>
        <c:gapWidth val="150"/>
        <c:axId val="48650112"/>
        <c:axId val="48672768"/>
      </c:barChart>
      <c:catAx>
        <c:axId val="48650112"/>
        <c:scaling>
          <c:orientation val="minMax"/>
        </c:scaling>
        <c:delete val="0"/>
        <c:axPos val="b"/>
        <c:majorGridlines>
          <c:spPr>
            <a:ln w="9525">
              <a:solidFill>
                <a:srgbClr val="CCCCCC"/>
              </a:solidFill>
              <a:prstDash val="dash"/>
            </a:ln>
          </c:spPr>
        </c:majorGridlines>
        <c:numFmt formatCode="General" sourceLinked="1"/>
        <c:majorTickMark val="none"/>
        <c:minorTickMark val="none"/>
        <c:tickLblPos val="nextTo"/>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ln>
          </c:spPr>
        </c:majorGridlines>
        <c:numFmt formatCode="\R\$\ #,##0.00" sourceLinked="1"/>
        <c:majorTickMark val="none"/>
        <c:minorTickMark val="none"/>
        <c:tickLblPos val="nextTo"/>
        <c:crossAx val="48650112"/>
        <c:crosses val="autoZero"/>
        <c:crossBetween val="between"/>
      </c:valAx>
    </c:plotArea>
    <c:legend>
      <c:legendPos val="b"/>
      <c:overlay val="0"/>
    </c:legend>
    <c:plotVisOnly val="1"/>
    <c:dispBlanksAs val="zero"/>
    <c:showDLblsOverMax val="1"/>
  </c:chart>
  <c:spPr>
    <a:ln w="9525">
      <a:solidFill>
        <a:srgbClr val="D9D9D9"/>
      </a:solidFill>
      <a:prstDash val="solid"/>
    </a:ln>
  </c:spPr>
  <c:printSettings>
    <c:headerFooter/>
    <c:pageMargins b="0.78740157499999996" l="0.511811024" r="0.511811024" t="0.78740157499999996" header="0.31496062000000002" footer="0.31496062000000002"/>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_rels/drawing1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_rels/drawing1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4.png"/><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609248" cy="568960"/>
    <xdr:pic>
      <xdr:nvPicPr>
        <xdr:cNvPr id="2" name="/xl/media/image.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twoCellAnchor editAs="oneCell">
    <xdr:from>
      <xdr:col>0</xdr:col>
      <xdr:colOff>120227</xdr:colOff>
      <xdr:row>1</xdr:row>
      <xdr:rowOff>270299</xdr:rowOff>
    </xdr:from>
    <xdr:to>
      <xdr:col>2</xdr:col>
      <xdr:colOff>288476</xdr:colOff>
      <xdr:row>1</xdr:row>
      <xdr:rowOff>898737</xdr:rowOff>
    </xdr:to>
    <xdr:pic>
      <xdr:nvPicPr>
        <xdr:cNvPr id="3" name="/xl/media/image2.jp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twoCellAnchor>
  <xdr:twoCellAnchor editAs="oneCell">
    <xdr:from>
      <xdr:col>3</xdr:col>
      <xdr:colOff>5019675</xdr:colOff>
      <xdr:row>703</xdr:row>
      <xdr:rowOff>142875</xdr:rowOff>
    </xdr:from>
    <xdr:to>
      <xdr:col>5</xdr:col>
      <xdr:colOff>809625</xdr:colOff>
      <xdr:row>707</xdr:row>
      <xdr:rowOff>6980</xdr:rowOff>
    </xdr:to>
    <xdr:pic>
      <xdr:nvPicPr>
        <xdr:cNvPr id="4" name="Imagem 3">
          <a:extLst>
            <a:ext uri="{FF2B5EF4-FFF2-40B4-BE49-F238E27FC236}">
              <a16:creationId xmlns:a16="http://schemas.microsoft.com/office/drawing/2014/main" id="{5591AFB3-DD4A-4066-91AE-1AEC7A79F651}"/>
            </a:ext>
          </a:extLst>
        </xdr:cNvPr>
        <xdr:cNvPicPr>
          <a:picLocks noChangeAspect="1"/>
        </xdr:cNvPicPr>
      </xdr:nvPicPr>
      <xdr:blipFill>
        <a:blip xmlns:r="http://schemas.openxmlformats.org/officeDocument/2006/relationships" r:embed="rId3"/>
        <a:stretch>
          <a:fillRect/>
        </a:stretch>
      </xdr:blipFill>
      <xdr:spPr>
        <a:xfrm>
          <a:off x="6838950" y="293922450"/>
          <a:ext cx="2076450" cy="62610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590550</xdr:colOff>
      <xdr:row>0</xdr:row>
      <xdr:rowOff>66675</xdr:rowOff>
    </xdr:from>
    <xdr:to>
      <xdr:col>0</xdr:col>
      <xdr:colOff>1916430</xdr:colOff>
      <xdr:row>0</xdr:row>
      <xdr:rowOff>483870</xdr:rowOff>
    </xdr:to>
    <xdr:pic>
      <xdr:nvPicPr>
        <xdr:cNvPr id="2" name="/xl/media/image6.pn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editAs="oneCell">
    <xdr:from>
      <xdr:col>3</xdr:col>
      <xdr:colOff>762000</xdr:colOff>
      <xdr:row>25</xdr:row>
      <xdr:rowOff>85725</xdr:rowOff>
    </xdr:from>
    <xdr:to>
      <xdr:col>5</xdr:col>
      <xdr:colOff>742950</xdr:colOff>
      <xdr:row>29</xdr:row>
      <xdr:rowOff>64130</xdr:rowOff>
    </xdr:to>
    <xdr:pic>
      <xdr:nvPicPr>
        <xdr:cNvPr id="3" name="Imagem 2">
          <a:extLst>
            <a:ext uri="{FF2B5EF4-FFF2-40B4-BE49-F238E27FC236}">
              <a16:creationId xmlns:a16="http://schemas.microsoft.com/office/drawing/2014/main" id="{ED6DEC93-1336-4588-9EFE-5D858DCCD3EC}"/>
            </a:ext>
          </a:extLst>
        </xdr:cNvPr>
        <xdr:cNvPicPr>
          <a:picLocks noChangeAspect="1"/>
        </xdr:cNvPicPr>
      </xdr:nvPicPr>
      <xdr:blipFill>
        <a:blip xmlns:r="http://schemas.openxmlformats.org/officeDocument/2006/relationships" r:embed="rId2"/>
        <a:stretch>
          <a:fillRect/>
        </a:stretch>
      </xdr:blipFill>
      <xdr:spPr>
        <a:xfrm>
          <a:off x="7905750" y="6943725"/>
          <a:ext cx="2076450" cy="62610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411480</xdr:colOff>
      <xdr:row>0</xdr:row>
      <xdr:rowOff>417195</xdr:rowOff>
    </xdr:to>
    <xdr:pic>
      <xdr:nvPicPr>
        <xdr:cNvPr id="2" name="/xl/media/image6.png">
          <a:extLst>
            <a:ext uri="{FF2B5EF4-FFF2-40B4-BE49-F238E27FC236}">
              <a16:creationId xmlns:a16="http://schemas.microsoft.com/office/drawing/2014/main" id="{59556E19-B269-4734-B479-8E18219BB55E}"/>
            </a:ext>
          </a:extLst>
        </xdr:cNvPr>
        <xdr:cNvPicPr>
          <a:picLocks noChangeAspect="1"/>
        </xdr:cNvPicPr>
      </xdr:nvPicPr>
      <xdr:blipFill>
        <a:blip xmlns:r="http://schemas.openxmlformats.org/officeDocument/2006/relationships" r:embed="rId1"/>
        <a:stretch>
          <a:fillRect/>
        </a:stretch>
      </xdr:blipFill>
      <xdr:spPr>
        <a:xfrm>
          <a:off x="0" y="0"/>
          <a:ext cx="1325880" cy="417195"/>
        </a:xfrm>
        <a:prstGeom prst="rect">
          <a:avLst/>
        </a:prstGeom>
      </xdr:spPr>
    </xdr:pic>
    <xdr:clientData/>
  </xdr:twoCellAnchor>
  <xdr:twoCellAnchor editAs="oneCell">
    <xdr:from>
      <xdr:col>4</xdr:col>
      <xdr:colOff>3019425</xdr:colOff>
      <xdr:row>649</xdr:row>
      <xdr:rowOff>76200</xdr:rowOff>
    </xdr:from>
    <xdr:to>
      <xdr:col>8</xdr:col>
      <xdr:colOff>238125</xdr:colOff>
      <xdr:row>653</xdr:row>
      <xdr:rowOff>54605</xdr:rowOff>
    </xdr:to>
    <xdr:pic>
      <xdr:nvPicPr>
        <xdr:cNvPr id="3" name="Imagem 2">
          <a:extLst>
            <a:ext uri="{FF2B5EF4-FFF2-40B4-BE49-F238E27FC236}">
              <a16:creationId xmlns:a16="http://schemas.microsoft.com/office/drawing/2014/main" id="{2CDAA7C6-C975-455F-8222-DEA049880A6A}"/>
            </a:ext>
          </a:extLst>
        </xdr:cNvPr>
        <xdr:cNvPicPr>
          <a:picLocks noChangeAspect="1"/>
        </xdr:cNvPicPr>
      </xdr:nvPicPr>
      <xdr:blipFill>
        <a:blip xmlns:r="http://schemas.openxmlformats.org/officeDocument/2006/relationships" r:embed="rId2"/>
        <a:stretch>
          <a:fillRect/>
        </a:stretch>
      </xdr:blipFill>
      <xdr:spPr>
        <a:xfrm>
          <a:off x="6219825" y="105898950"/>
          <a:ext cx="2076450" cy="62610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9525</xdr:colOff>
      <xdr:row>0</xdr:row>
      <xdr:rowOff>190500</xdr:rowOff>
    </xdr:from>
    <xdr:to>
      <xdr:col>1</xdr:col>
      <xdr:colOff>421005</xdr:colOff>
      <xdr:row>0</xdr:row>
      <xdr:rowOff>607695</xdr:rowOff>
    </xdr:to>
    <xdr:pic>
      <xdr:nvPicPr>
        <xdr:cNvPr id="2" name="/xl/media/image6.png">
          <a:extLst>
            <a:ext uri="{FF2B5EF4-FFF2-40B4-BE49-F238E27FC236}">
              <a16:creationId xmlns:a16="http://schemas.microsoft.com/office/drawing/2014/main" id="{4EBF07AA-9000-4F41-AD3D-FFCA06613C6F}"/>
            </a:ext>
          </a:extLst>
        </xdr:cNvPr>
        <xdr:cNvPicPr>
          <a:picLocks noChangeAspect="1"/>
        </xdr:cNvPicPr>
      </xdr:nvPicPr>
      <xdr:blipFill>
        <a:blip xmlns:r="http://schemas.openxmlformats.org/officeDocument/2006/relationships" r:embed="rId1"/>
        <a:stretch>
          <a:fillRect/>
        </a:stretch>
      </xdr:blipFill>
      <xdr:spPr>
        <a:xfrm>
          <a:off x="9525" y="190500"/>
          <a:ext cx="1325880" cy="417195"/>
        </a:xfrm>
        <a:prstGeom prst="rect">
          <a:avLst/>
        </a:prstGeom>
      </xdr:spPr>
    </xdr:pic>
    <xdr:clientData/>
  </xdr:twoCellAnchor>
  <xdr:twoCellAnchor editAs="oneCell">
    <xdr:from>
      <xdr:col>4</xdr:col>
      <xdr:colOff>0</xdr:colOff>
      <xdr:row>138</xdr:row>
      <xdr:rowOff>0</xdr:rowOff>
    </xdr:from>
    <xdr:to>
      <xdr:col>4</xdr:col>
      <xdr:colOff>2076450</xdr:colOff>
      <xdr:row>141</xdr:row>
      <xdr:rowOff>140330</xdr:rowOff>
    </xdr:to>
    <xdr:pic>
      <xdr:nvPicPr>
        <xdr:cNvPr id="3" name="Imagem 2">
          <a:extLst>
            <a:ext uri="{FF2B5EF4-FFF2-40B4-BE49-F238E27FC236}">
              <a16:creationId xmlns:a16="http://schemas.microsoft.com/office/drawing/2014/main" id="{AB43E3FA-B0D5-4311-A929-DE215F8FE0B1}"/>
            </a:ext>
          </a:extLst>
        </xdr:cNvPr>
        <xdr:cNvPicPr>
          <a:picLocks noChangeAspect="1"/>
        </xdr:cNvPicPr>
      </xdr:nvPicPr>
      <xdr:blipFill>
        <a:blip xmlns:r="http://schemas.openxmlformats.org/officeDocument/2006/relationships" r:embed="rId2"/>
        <a:stretch>
          <a:fillRect/>
        </a:stretch>
      </xdr:blipFill>
      <xdr:spPr>
        <a:xfrm>
          <a:off x="3200400" y="22926675"/>
          <a:ext cx="2076450" cy="62610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285750</xdr:colOff>
      <xdr:row>0</xdr:row>
      <xdr:rowOff>28575</xdr:rowOff>
    </xdr:from>
    <xdr:to>
      <xdr:col>2</xdr:col>
      <xdr:colOff>697230</xdr:colOff>
      <xdr:row>0</xdr:row>
      <xdr:rowOff>445770</xdr:rowOff>
    </xdr:to>
    <xdr:pic>
      <xdr:nvPicPr>
        <xdr:cNvPr id="2" name="/xl/media/image6.png">
          <a:extLst>
            <a:ext uri="{FF2B5EF4-FFF2-40B4-BE49-F238E27FC236}">
              <a16:creationId xmlns:a16="http://schemas.microsoft.com/office/drawing/2014/main" id="{4D98D65F-F582-4B42-849C-AE39DF3DC0A7}"/>
            </a:ext>
          </a:extLst>
        </xdr:cNvPr>
        <xdr:cNvPicPr>
          <a:picLocks noChangeAspect="1"/>
        </xdr:cNvPicPr>
      </xdr:nvPicPr>
      <xdr:blipFill>
        <a:blip xmlns:r="http://schemas.openxmlformats.org/officeDocument/2006/relationships" r:embed="rId1"/>
        <a:stretch>
          <a:fillRect/>
        </a:stretch>
      </xdr:blipFill>
      <xdr:spPr>
        <a:xfrm>
          <a:off x="971550" y="28575"/>
          <a:ext cx="1325880" cy="417195"/>
        </a:xfrm>
        <a:prstGeom prst="rect">
          <a:avLst/>
        </a:prstGeom>
      </xdr:spPr>
    </xdr:pic>
    <xdr:clientData/>
  </xdr:twoCellAnchor>
  <xdr:twoCellAnchor editAs="oneCell">
    <xdr:from>
      <xdr:col>3</xdr:col>
      <xdr:colOff>1171575</xdr:colOff>
      <xdr:row>140</xdr:row>
      <xdr:rowOff>38100</xdr:rowOff>
    </xdr:from>
    <xdr:to>
      <xdr:col>3</xdr:col>
      <xdr:colOff>3248025</xdr:colOff>
      <xdr:row>144</xdr:row>
      <xdr:rowOff>16505</xdr:rowOff>
    </xdr:to>
    <xdr:pic>
      <xdr:nvPicPr>
        <xdr:cNvPr id="3" name="Imagem 2">
          <a:extLst>
            <a:ext uri="{FF2B5EF4-FFF2-40B4-BE49-F238E27FC236}">
              <a16:creationId xmlns:a16="http://schemas.microsoft.com/office/drawing/2014/main" id="{5C1ED4B3-0FD8-4A14-ACFB-975B08B87051}"/>
            </a:ext>
          </a:extLst>
        </xdr:cNvPr>
        <xdr:cNvPicPr>
          <a:picLocks noChangeAspect="1"/>
        </xdr:cNvPicPr>
      </xdr:nvPicPr>
      <xdr:blipFill>
        <a:blip xmlns:r="http://schemas.openxmlformats.org/officeDocument/2006/relationships" r:embed="rId2"/>
        <a:stretch>
          <a:fillRect/>
        </a:stretch>
      </xdr:blipFill>
      <xdr:spPr>
        <a:xfrm>
          <a:off x="3571875" y="23155275"/>
          <a:ext cx="2076450" cy="62610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876300</xdr:colOff>
      <xdr:row>9</xdr:row>
      <xdr:rowOff>47625</xdr:rowOff>
    </xdr:from>
    <xdr:to>
      <xdr:col>5</xdr:col>
      <xdr:colOff>209550</xdr:colOff>
      <xdr:row>11</xdr:row>
      <xdr:rowOff>64130</xdr:rowOff>
    </xdr:to>
    <xdr:pic>
      <xdr:nvPicPr>
        <xdr:cNvPr id="2" name="Imagem 1">
          <a:extLst>
            <a:ext uri="{FF2B5EF4-FFF2-40B4-BE49-F238E27FC236}">
              <a16:creationId xmlns:a16="http://schemas.microsoft.com/office/drawing/2014/main" id="{E0AD88D3-C598-F2A2-09C5-73E6C13236CE}"/>
            </a:ext>
          </a:extLst>
        </xdr:cNvPr>
        <xdr:cNvPicPr>
          <a:picLocks noChangeAspect="1"/>
        </xdr:cNvPicPr>
      </xdr:nvPicPr>
      <xdr:blipFill>
        <a:blip xmlns:r="http://schemas.openxmlformats.org/officeDocument/2006/relationships" r:embed="rId1"/>
        <a:stretch>
          <a:fillRect/>
        </a:stretch>
      </xdr:blipFill>
      <xdr:spPr>
        <a:xfrm>
          <a:off x="2705100" y="4772025"/>
          <a:ext cx="2076450" cy="626105"/>
        </a:xfrm>
        <a:prstGeom prst="rect">
          <a:avLst/>
        </a:prstGeom>
      </xdr:spPr>
    </xdr:pic>
    <xdr:clientData/>
  </xdr:twoCellAnchor>
  <xdr:twoCellAnchor editAs="oneCell">
    <xdr:from>
      <xdr:col>3</xdr:col>
      <xdr:colOff>0</xdr:colOff>
      <xdr:row>0</xdr:row>
      <xdr:rowOff>0</xdr:rowOff>
    </xdr:from>
    <xdr:to>
      <xdr:col>4</xdr:col>
      <xdr:colOff>411480</xdr:colOff>
      <xdr:row>0</xdr:row>
      <xdr:rowOff>417195</xdr:rowOff>
    </xdr:to>
    <xdr:pic>
      <xdr:nvPicPr>
        <xdr:cNvPr id="3" name="/xl/media/image6.png">
          <a:extLst>
            <a:ext uri="{FF2B5EF4-FFF2-40B4-BE49-F238E27FC236}">
              <a16:creationId xmlns:a16="http://schemas.microsoft.com/office/drawing/2014/main" id="{C6FFAD9B-EBD8-46B7-88A0-4CF17E93A081}"/>
            </a:ext>
          </a:extLst>
        </xdr:cNvPr>
        <xdr:cNvPicPr>
          <a:picLocks noChangeAspect="1"/>
        </xdr:cNvPicPr>
      </xdr:nvPicPr>
      <xdr:blipFill>
        <a:blip xmlns:r="http://schemas.openxmlformats.org/officeDocument/2006/relationships" r:embed="rId2"/>
        <a:stretch>
          <a:fillRect/>
        </a:stretch>
      </xdr:blipFill>
      <xdr:spPr>
        <a:xfrm>
          <a:off x="2743200" y="0"/>
          <a:ext cx="1325880" cy="4171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19</xdr:col>
      <xdr:colOff>190500</xdr:colOff>
      <xdr:row>1</xdr:row>
      <xdr:rowOff>321310</xdr:rowOff>
    </xdr:from>
    <xdr:to>
      <xdr:col>20</xdr:col>
      <xdr:colOff>1199960</xdr:colOff>
      <xdr:row>1</xdr:row>
      <xdr:rowOff>1390650</xdr:rowOff>
    </xdr:to>
    <xdr:pic>
      <xdr:nvPicPr>
        <xdr:cNvPr id="2" name="/xl/media/image3.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editAs="oneCell">
    <xdr:from>
      <xdr:col>8</xdr:col>
      <xdr:colOff>0</xdr:colOff>
      <xdr:row>152</xdr:row>
      <xdr:rowOff>0</xdr:rowOff>
    </xdr:from>
    <xdr:to>
      <xdr:col>9</xdr:col>
      <xdr:colOff>304800</xdr:colOff>
      <xdr:row>153</xdr:row>
      <xdr:rowOff>283205</xdr:rowOff>
    </xdr:to>
    <xdr:pic>
      <xdr:nvPicPr>
        <xdr:cNvPr id="3" name="Imagem 2">
          <a:extLst>
            <a:ext uri="{FF2B5EF4-FFF2-40B4-BE49-F238E27FC236}">
              <a16:creationId xmlns:a16="http://schemas.microsoft.com/office/drawing/2014/main" id="{900A745F-55EE-416F-B128-C71EC1CEC7E4}"/>
            </a:ext>
          </a:extLst>
        </xdr:cNvPr>
        <xdr:cNvPicPr>
          <a:picLocks noChangeAspect="1"/>
        </xdr:cNvPicPr>
      </xdr:nvPicPr>
      <xdr:blipFill>
        <a:blip xmlns:r="http://schemas.openxmlformats.org/officeDocument/2006/relationships" r:embed="rId2"/>
        <a:stretch>
          <a:fillRect/>
        </a:stretch>
      </xdr:blipFill>
      <xdr:spPr>
        <a:xfrm>
          <a:off x="11734800" y="50615850"/>
          <a:ext cx="2076450" cy="62610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120015</xdr:colOff>
      <xdr:row>0</xdr:row>
      <xdr:rowOff>304800</xdr:rowOff>
    </xdr:from>
    <xdr:to>
      <xdr:col>1</xdr:col>
      <xdr:colOff>668631</xdr:colOff>
      <xdr:row>1</xdr:row>
      <xdr:rowOff>361950</xdr:rowOff>
    </xdr:to>
    <xdr:pic>
      <xdr:nvPicPr>
        <xdr:cNvPr id="2" name="/xl/media/image4.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editAs="oneCell">
    <xdr:from>
      <xdr:col>3</xdr:col>
      <xdr:colOff>1838325</xdr:colOff>
      <xdr:row>82</xdr:row>
      <xdr:rowOff>28575</xdr:rowOff>
    </xdr:from>
    <xdr:to>
      <xdr:col>4</xdr:col>
      <xdr:colOff>1390650</xdr:colOff>
      <xdr:row>86</xdr:row>
      <xdr:rowOff>6980</xdr:rowOff>
    </xdr:to>
    <xdr:pic>
      <xdr:nvPicPr>
        <xdr:cNvPr id="3" name="Imagem 2">
          <a:extLst>
            <a:ext uri="{FF2B5EF4-FFF2-40B4-BE49-F238E27FC236}">
              <a16:creationId xmlns:a16="http://schemas.microsoft.com/office/drawing/2014/main" id="{27901EEB-A02B-4F1A-9E66-0350A3207234}"/>
            </a:ext>
          </a:extLst>
        </xdr:cNvPr>
        <xdr:cNvPicPr>
          <a:picLocks noChangeAspect="1"/>
        </xdr:cNvPicPr>
      </xdr:nvPicPr>
      <xdr:blipFill>
        <a:blip xmlns:r="http://schemas.openxmlformats.org/officeDocument/2006/relationships" r:embed="rId2"/>
        <a:stretch>
          <a:fillRect/>
        </a:stretch>
      </xdr:blipFill>
      <xdr:spPr>
        <a:xfrm>
          <a:off x="3457575" y="35566350"/>
          <a:ext cx="2076450" cy="62610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9</xdr:col>
      <xdr:colOff>447674</xdr:colOff>
      <xdr:row>1</xdr:row>
      <xdr:rowOff>123825</xdr:rowOff>
    </xdr:from>
    <xdr:to>
      <xdr:col>17</xdr:col>
      <xdr:colOff>76199</xdr:colOff>
      <xdr:row>9</xdr:row>
      <xdr:rowOff>923925</xdr:rowOff>
    </xdr:to>
    <xdr:graphicFrame macro="">
      <xdr:nvGraphicFramePr>
        <xdr:cNvPr id="2" name="Chart">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342900</xdr:colOff>
      <xdr:row>0</xdr:row>
      <xdr:rowOff>47625</xdr:rowOff>
    </xdr:from>
    <xdr:to>
      <xdr:col>0</xdr:col>
      <xdr:colOff>1668780</xdr:colOff>
      <xdr:row>0</xdr:row>
      <xdr:rowOff>464820</xdr:rowOff>
    </xdr:to>
    <xdr:pic>
      <xdr:nvPicPr>
        <xdr:cNvPr id="3" name="/xl/media/image.png">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twoCellAnchor>
  <xdr:twoCellAnchor editAs="oneCell">
    <xdr:from>
      <xdr:col>3</xdr:col>
      <xdr:colOff>0</xdr:colOff>
      <xdr:row>13</xdr:row>
      <xdr:rowOff>0</xdr:rowOff>
    </xdr:from>
    <xdr:to>
      <xdr:col>4</xdr:col>
      <xdr:colOff>247650</xdr:colOff>
      <xdr:row>16</xdr:row>
      <xdr:rowOff>140330</xdr:rowOff>
    </xdr:to>
    <xdr:pic>
      <xdr:nvPicPr>
        <xdr:cNvPr id="4" name="Imagem 3">
          <a:extLst>
            <a:ext uri="{FF2B5EF4-FFF2-40B4-BE49-F238E27FC236}">
              <a16:creationId xmlns:a16="http://schemas.microsoft.com/office/drawing/2014/main" id="{C0C927F0-2DF0-4025-81CB-F3BA94DD749D}"/>
            </a:ext>
          </a:extLst>
        </xdr:cNvPr>
        <xdr:cNvPicPr>
          <a:picLocks noChangeAspect="1"/>
        </xdr:cNvPicPr>
      </xdr:nvPicPr>
      <xdr:blipFill>
        <a:blip xmlns:r="http://schemas.openxmlformats.org/officeDocument/2006/relationships" r:embed="rId3"/>
        <a:stretch>
          <a:fillRect/>
        </a:stretch>
      </xdr:blipFill>
      <xdr:spPr>
        <a:xfrm>
          <a:off x="7019925" y="3952875"/>
          <a:ext cx="2076450" cy="62610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0</xdr:colOff>
      <xdr:row>0</xdr:row>
      <xdr:rowOff>1</xdr:rowOff>
    </xdr:from>
    <xdr:to>
      <xdr:col>7</xdr:col>
      <xdr:colOff>1089764</xdr:colOff>
      <xdr:row>0</xdr:row>
      <xdr:rowOff>342901</xdr:rowOff>
    </xdr:to>
    <xdr:pic>
      <xdr:nvPicPr>
        <xdr:cNvPr id="2" name="/xl/media/image2.pn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editAs="oneCell">
    <xdr:from>
      <xdr:col>7</xdr:col>
      <xdr:colOff>9525</xdr:colOff>
      <xdr:row>624</xdr:row>
      <xdr:rowOff>47625</xdr:rowOff>
    </xdr:from>
    <xdr:to>
      <xdr:col>8</xdr:col>
      <xdr:colOff>981075</xdr:colOff>
      <xdr:row>628</xdr:row>
      <xdr:rowOff>26030</xdr:rowOff>
    </xdr:to>
    <xdr:pic>
      <xdr:nvPicPr>
        <xdr:cNvPr id="3" name="Imagem 2">
          <a:extLst>
            <a:ext uri="{FF2B5EF4-FFF2-40B4-BE49-F238E27FC236}">
              <a16:creationId xmlns:a16="http://schemas.microsoft.com/office/drawing/2014/main" id="{9CE0FC16-C4FF-4DFF-B03D-3BC33987BBF8}"/>
            </a:ext>
          </a:extLst>
        </xdr:cNvPr>
        <xdr:cNvPicPr>
          <a:picLocks noChangeAspect="1"/>
        </xdr:cNvPicPr>
      </xdr:nvPicPr>
      <xdr:blipFill>
        <a:blip xmlns:r="http://schemas.openxmlformats.org/officeDocument/2006/relationships" r:embed="rId2"/>
        <a:stretch>
          <a:fillRect/>
        </a:stretch>
      </xdr:blipFill>
      <xdr:spPr>
        <a:xfrm>
          <a:off x="8315325" y="430749075"/>
          <a:ext cx="2076450" cy="62610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123825</xdr:colOff>
      <xdr:row>0</xdr:row>
      <xdr:rowOff>142875</xdr:rowOff>
    </xdr:from>
    <xdr:to>
      <xdr:col>2</xdr:col>
      <xdr:colOff>382905</xdr:colOff>
      <xdr:row>0</xdr:row>
      <xdr:rowOff>560070</xdr:rowOff>
    </xdr:to>
    <xdr:pic>
      <xdr:nvPicPr>
        <xdr:cNvPr id="2" name="/xl/media/image3.pn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editAs="oneCell">
    <xdr:from>
      <xdr:col>4</xdr:col>
      <xdr:colOff>0</xdr:colOff>
      <xdr:row>626</xdr:row>
      <xdr:rowOff>0</xdr:rowOff>
    </xdr:from>
    <xdr:to>
      <xdr:col>4</xdr:col>
      <xdr:colOff>2076450</xdr:colOff>
      <xdr:row>629</xdr:row>
      <xdr:rowOff>140330</xdr:rowOff>
    </xdr:to>
    <xdr:pic>
      <xdr:nvPicPr>
        <xdr:cNvPr id="3" name="Imagem 2">
          <a:extLst>
            <a:ext uri="{FF2B5EF4-FFF2-40B4-BE49-F238E27FC236}">
              <a16:creationId xmlns:a16="http://schemas.microsoft.com/office/drawing/2014/main" id="{8F172A3E-1BA9-439E-B858-76D756FC331F}"/>
            </a:ext>
          </a:extLst>
        </xdr:cNvPr>
        <xdr:cNvPicPr>
          <a:picLocks noChangeAspect="1"/>
        </xdr:cNvPicPr>
      </xdr:nvPicPr>
      <xdr:blipFill>
        <a:blip xmlns:r="http://schemas.openxmlformats.org/officeDocument/2006/relationships" r:embed="rId2"/>
        <a:stretch>
          <a:fillRect/>
        </a:stretch>
      </xdr:blipFill>
      <xdr:spPr>
        <a:xfrm>
          <a:off x="2133600" y="385257675"/>
          <a:ext cx="2076450" cy="62610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163871</xdr:colOff>
      <xdr:row>0</xdr:row>
      <xdr:rowOff>163871</xdr:rowOff>
    </xdr:from>
    <xdr:to>
      <xdr:col>2</xdr:col>
      <xdr:colOff>424590</xdr:colOff>
      <xdr:row>0</xdr:row>
      <xdr:rowOff>581066</xdr:rowOff>
    </xdr:to>
    <xdr:pic>
      <xdr:nvPicPr>
        <xdr:cNvPr id="2" name="/xl/media/image4.pn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editAs="oneCell">
    <xdr:from>
      <xdr:col>10</xdr:col>
      <xdr:colOff>9525</xdr:colOff>
      <xdr:row>623</xdr:row>
      <xdr:rowOff>76200</xdr:rowOff>
    </xdr:from>
    <xdr:to>
      <xdr:col>12</xdr:col>
      <xdr:colOff>266700</xdr:colOff>
      <xdr:row>627</xdr:row>
      <xdr:rowOff>54605</xdr:rowOff>
    </xdr:to>
    <xdr:pic>
      <xdr:nvPicPr>
        <xdr:cNvPr id="3" name="Imagem 2">
          <a:extLst>
            <a:ext uri="{FF2B5EF4-FFF2-40B4-BE49-F238E27FC236}">
              <a16:creationId xmlns:a16="http://schemas.microsoft.com/office/drawing/2014/main" id="{DE210FD4-88EA-4FD9-9129-E9CF0A0DB9F9}"/>
            </a:ext>
          </a:extLst>
        </xdr:cNvPr>
        <xdr:cNvPicPr>
          <a:picLocks noChangeAspect="1"/>
        </xdr:cNvPicPr>
      </xdr:nvPicPr>
      <xdr:blipFill>
        <a:blip xmlns:r="http://schemas.openxmlformats.org/officeDocument/2006/relationships" r:embed="rId2"/>
        <a:stretch>
          <a:fillRect/>
        </a:stretch>
      </xdr:blipFill>
      <xdr:spPr>
        <a:xfrm>
          <a:off x="8705850" y="525894300"/>
          <a:ext cx="2076450" cy="62610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266700</xdr:colOff>
      <xdr:row>0</xdr:row>
      <xdr:rowOff>161925</xdr:rowOff>
    </xdr:from>
    <xdr:to>
      <xdr:col>2</xdr:col>
      <xdr:colOff>525780</xdr:colOff>
      <xdr:row>0</xdr:row>
      <xdr:rowOff>579120</xdr:rowOff>
    </xdr:to>
    <xdr:pic>
      <xdr:nvPicPr>
        <xdr:cNvPr id="2" name="/xl/media/image5.pn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editAs="oneCell">
    <xdr:from>
      <xdr:col>8</xdr:col>
      <xdr:colOff>0</xdr:colOff>
      <xdr:row>516</xdr:row>
      <xdr:rowOff>0</xdr:rowOff>
    </xdr:from>
    <xdr:to>
      <xdr:col>9</xdr:col>
      <xdr:colOff>19050</xdr:colOff>
      <xdr:row>519</xdr:row>
      <xdr:rowOff>140330</xdr:rowOff>
    </xdr:to>
    <xdr:pic>
      <xdr:nvPicPr>
        <xdr:cNvPr id="3" name="Imagem 2">
          <a:extLst>
            <a:ext uri="{FF2B5EF4-FFF2-40B4-BE49-F238E27FC236}">
              <a16:creationId xmlns:a16="http://schemas.microsoft.com/office/drawing/2014/main" id="{3E64039C-F00B-4A4F-A519-114FC2D0F980}"/>
            </a:ext>
          </a:extLst>
        </xdr:cNvPr>
        <xdr:cNvPicPr>
          <a:picLocks noChangeAspect="1"/>
        </xdr:cNvPicPr>
      </xdr:nvPicPr>
      <xdr:blipFill>
        <a:blip xmlns:r="http://schemas.openxmlformats.org/officeDocument/2006/relationships" r:embed="rId2"/>
        <a:stretch>
          <a:fillRect/>
        </a:stretch>
      </xdr:blipFill>
      <xdr:spPr>
        <a:xfrm>
          <a:off x="7096125" y="340509225"/>
          <a:ext cx="2076450" cy="62610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1543050</xdr:colOff>
      <xdr:row>130</xdr:row>
      <xdr:rowOff>28575</xdr:rowOff>
    </xdr:from>
    <xdr:to>
      <xdr:col>4</xdr:col>
      <xdr:colOff>476250</xdr:colOff>
      <xdr:row>134</xdr:row>
      <xdr:rowOff>6980</xdr:rowOff>
    </xdr:to>
    <xdr:pic>
      <xdr:nvPicPr>
        <xdr:cNvPr id="2" name="Imagem 1">
          <a:extLst>
            <a:ext uri="{FF2B5EF4-FFF2-40B4-BE49-F238E27FC236}">
              <a16:creationId xmlns:a16="http://schemas.microsoft.com/office/drawing/2014/main" id="{8194ED3B-AA75-46D5-93F2-8F42A94CAE5D}"/>
            </a:ext>
          </a:extLst>
        </xdr:cNvPr>
        <xdr:cNvPicPr>
          <a:picLocks noChangeAspect="1"/>
        </xdr:cNvPicPr>
      </xdr:nvPicPr>
      <xdr:blipFill>
        <a:blip xmlns:r="http://schemas.openxmlformats.org/officeDocument/2006/relationships" r:embed="rId1"/>
        <a:stretch>
          <a:fillRect/>
        </a:stretch>
      </xdr:blipFill>
      <xdr:spPr>
        <a:xfrm>
          <a:off x="3143250" y="84772500"/>
          <a:ext cx="2076450" cy="62610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AnaliticaItens" displayName="TabelaAnaliticaItens" ref="A3:T622">
  <tableColumns count="20">
    <tableColumn id="1" xr3:uid="{00000000-0010-0000-0000-000001000000}" name="Item"/>
    <tableColumn id="2" xr3:uid="{00000000-0010-0000-0000-000002000000}" name="Código"/>
    <tableColumn id="3" xr3:uid="{00000000-0010-0000-0000-000003000000}" name="Banco"/>
    <tableColumn id="4" xr3:uid="{00000000-0010-0000-0000-000004000000}" name="Grupo"/>
    <tableColumn id="5" xr3:uid="{00000000-0010-0000-0000-000005000000}" name="Subgrupo"/>
    <tableColumn id="6" xr3:uid="{00000000-0010-0000-0000-000006000000}" name="Descrição"/>
    <tableColumn id="7" xr3:uid="{00000000-0010-0000-0000-000007000000}" name="Und"/>
    <tableColumn id="8" xr3:uid="{00000000-0010-0000-0000-000008000000}" name="Quant."/>
    <tableColumn id="9" xr3:uid="{00000000-0010-0000-0000-000009000000}" name="VU ofertado s/ BDI"/>
    <tableColumn id="10" xr3:uid="{00000000-0010-0000-0000-00000A000000}" name="VU ofertado c/ BDI"/>
    <tableColumn id="11" xr3:uid="{00000000-0010-0000-0000-00000B000000}" name="Total ofertado"/>
    <tableColumn id="12" xr3:uid="{00000000-0010-0000-0000-00000C000000}" name="VU ref. s/ BDI"/>
    <tableColumn id="13" xr3:uid="{00000000-0010-0000-0000-00000D000000}" name="VU ref. c/ BDI"/>
    <tableColumn id="14" xr3:uid="{00000000-0010-0000-0000-00000E000000}" name="Total referência"/>
    <tableColumn id="15" xr3:uid="{00000000-0010-0000-0000-00000F000000}" name="Desc. unit."/>
    <tableColumn id="16" xr3:uid="{00000000-0010-0000-0000-000010000000}" name="Desc. total"/>
    <tableColumn id="17" xr3:uid="{00000000-0010-0000-0000-000011000000}" name="Peso oferta"/>
    <tableColumn id="18" xr3:uid="{00000000-0010-0000-0000-000012000000}" name="ABC"/>
    <tableColumn id="19" xr3:uid="{00000000-0010-0000-0000-000013000000}" name="Exige CPU"/>
    <tableColumn id="20" xr3:uid="{00000000-0010-0000-0000-000014000000}" name="Statu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aCurvaABC" displayName="TabelaCurvaABC" ref="A2:K621">
  <tableColumns count="11">
    <tableColumn id="1" xr3:uid="{00000000-0010-0000-0100-000001000000}" name="Rank"/>
    <tableColumn id="2" xr3:uid="{00000000-0010-0000-0100-000002000000}" name="Item"/>
    <tableColumn id="3" xr3:uid="{00000000-0010-0000-0100-000003000000}" name="Código"/>
    <tableColumn id="4" xr3:uid="{00000000-0010-0000-0100-000004000000}" name="Banco"/>
    <tableColumn id="5" xr3:uid="{00000000-0010-0000-0100-000005000000}" name="Descrição"/>
    <tableColumn id="6" xr3:uid="{00000000-0010-0000-0100-000006000000}" name="Total ofertado"/>
    <tableColumn id="7" xr3:uid="{00000000-0010-0000-0100-000007000000}" name="Peso"/>
    <tableColumn id="8" xr3:uid="{00000000-0010-0000-0100-000008000000}" name="% acumulado"/>
    <tableColumn id="9" xr3:uid="{00000000-0010-0000-0100-000009000000}" name="ABC"/>
    <tableColumn id="10" xr3:uid="{00000000-0010-0000-0100-00000A000000}" name="Exige CPU"/>
    <tableColumn id="11" xr3:uid="{00000000-0010-0000-0100-00000B000000}" name="Motivo"/>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elaCPUUnitaria" displayName="TabelaCPUUnitaria" ref="A2:U621">
  <tableColumns count="21">
    <tableColumn id="1" xr3:uid="{00000000-0010-0000-0200-000001000000}" name="CPU"/>
    <tableColumn id="2" xr3:uid="{00000000-0010-0000-0200-000002000000}" name="Item"/>
    <tableColumn id="3" xr3:uid="{00000000-0010-0000-0200-000003000000}" name="Código"/>
    <tableColumn id="4" xr3:uid="{00000000-0010-0000-0200-000004000000}" name="Banco"/>
    <tableColumn id="5" xr3:uid="{00000000-0010-0000-0200-000005000000}" name="Descrição"/>
    <tableColumn id="6" xr3:uid="{00000000-0010-0000-0200-000006000000}" name="Und"/>
    <tableColumn id="7" xr3:uid="{00000000-0010-0000-0200-000007000000}" name="Qtde"/>
    <tableColumn id="8" xr3:uid="{00000000-0010-0000-0200-000008000000}" name="Custo direto unit. ofertado"/>
    <tableColumn id="9" xr3:uid="{00000000-0010-0000-0200-000009000000}" name="BDI %"/>
    <tableColumn id="10" xr3:uid="{00000000-0010-0000-0200-00000A000000}" name="BDI unitário"/>
    <tableColumn id="11" xr3:uid="{00000000-0010-0000-0200-00000B000000}" name="Preço unit. c/ BDI"/>
    <tableColumn id="12" xr3:uid="{00000000-0010-0000-0200-00000C000000}" name="Total direto"/>
    <tableColumn id="13" xr3:uid="{00000000-0010-0000-0200-00000D000000}" name="Total c/ BDI"/>
    <tableColumn id="14" xr3:uid="{00000000-0010-0000-0200-00000E000000}" name="Preço ref. c/ BDI"/>
    <tableColumn id="15" xr3:uid="{00000000-0010-0000-0200-00000F000000}" name="Economia unitária"/>
    <tableColumn id="16" xr3:uid="{00000000-0010-0000-0200-000010000000}" name="Economia total"/>
    <tableColumn id="17" xr3:uid="{00000000-0010-0000-0200-000011000000}" name="Fonte/critério"/>
    <tableColumn id="18" xr3:uid="{00000000-0010-0000-0200-000012000000}" name="Documento comprobatório"/>
    <tableColumn id="19" xr3:uid="{00000000-0010-0000-0200-000013000000}" name="Status"/>
    <tableColumn id="20" xr3:uid="{00000000-0010-0000-0200-000014000000}" name="Total original"/>
    <tableColumn id="21" xr3:uid="{00000000-0010-0000-0200-000015000000}" name="Diferença"/>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elaCPUDetalhadaA" displayName="TabelaCPUDetalhadaA" ref="A2:T510">
  <tableColumns count="20">
    <tableColumn id="1" xr3:uid="{00000000-0010-0000-0300-000001000000}" name="CPU"/>
    <tableColumn id="2" xr3:uid="{00000000-0010-0000-0300-000002000000}" name="Item"/>
    <tableColumn id="3" xr3:uid="{00000000-0010-0000-0300-000003000000}" name="Código"/>
    <tableColumn id="4" xr3:uid="{00000000-0010-0000-0300-000004000000}" name="Banco"/>
    <tableColumn id="5" xr3:uid="{00000000-0010-0000-0300-000005000000}" name="Descrição"/>
    <tableColumn id="6" xr3:uid="{00000000-0010-0000-0300-000006000000}" name="Und item"/>
    <tableColumn id="7" xr3:uid="{00000000-0010-0000-0300-000007000000}" name="Qtde item"/>
    <tableColumn id="8" xr3:uid="{00000000-0010-0000-0300-000008000000}" name="Linha"/>
    <tableColumn id="9" xr3:uid="{00000000-0010-0000-0300-000009000000}" name="Natureza do custo"/>
    <tableColumn id="10" xr3:uid="{00000000-0010-0000-0300-00000A000000}" name="Und comp."/>
    <tableColumn id="11" xr3:uid="{00000000-0010-0000-0300-00000B000000}" name="Coef."/>
    <tableColumn id="12" xr3:uid="{00000000-0010-0000-0300-00000C000000}" name="Custo unit. comp."/>
    <tableColumn id="13" xr3:uid="{00000000-0010-0000-0300-00000D000000}" name="Custo unit. direto"/>
    <tableColumn id="14" xr3:uid="{00000000-0010-0000-0300-00000E000000}" name="BDI %"/>
    <tableColumn id="15" xr3:uid="{00000000-0010-0000-0300-00000F000000}" name="Valor BDI unit."/>
    <tableColumn id="16" xr3:uid="{00000000-0010-0000-0300-000010000000}" name="Preço unit. c/ BDI"/>
    <tableColumn id="17" xr3:uid="{00000000-0010-0000-0300-000011000000}" name="Total item c/ BDI"/>
    <tableColumn id="18" xr3:uid="{00000000-0010-0000-0300-000012000000}" name="Fonte"/>
    <tableColumn id="19" xr3:uid="{00000000-0010-0000-0300-000013000000}" name="Documento/Anexo"/>
    <tableColumn id="20" xr3:uid="{00000000-0010-0000-0300-000014000000}" name="Observação"/>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elaAnexosComprovacao" displayName="TabelaAnexosComprovacao" ref="A1:F128">
  <tableColumns count="6">
    <tableColumn id="1" xr3:uid="{00000000-0010-0000-0400-000001000000}" name="Item"/>
    <tableColumn id="2" xr3:uid="{00000000-0010-0000-0400-000002000000}" name="Código"/>
    <tableColumn id="3" xr3:uid="{00000000-0010-0000-0400-000003000000}" name="Banco"/>
    <tableColumn id="4" xr3:uid="{00000000-0010-0000-0400-000004000000}" name="Descrição"/>
    <tableColumn id="5" xr3:uid="{00000000-0010-0000-0400-000005000000}" name="Classificação"/>
    <tableColumn id="6" xr3:uid="{00000000-0010-0000-0400-000006000000}" name="Documento recomendado"/>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elaCPUAberta100" displayName="TabelaCPUAberta100" ref="A1:X3099">
  <tableColumns count="24">
    <tableColumn id="1" xr3:uid="{00000000-0010-0000-0500-000001000000}" name="CPU"/>
    <tableColumn id="2" xr3:uid="{00000000-0010-0000-0500-000002000000}" name="Item"/>
    <tableColumn id="3" xr3:uid="{00000000-0010-0000-0500-000003000000}" name="Código"/>
    <tableColumn id="4" xr3:uid="{00000000-0010-0000-0500-000004000000}" name="Banco"/>
    <tableColumn id="5" xr3:uid="{00000000-0010-0000-0500-000005000000}" name="Descrição"/>
    <tableColumn id="6" xr3:uid="{00000000-0010-0000-0500-000006000000}" name="Und item"/>
    <tableColumn id="7" xr3:uid="{00000000-0010-0000-0500-000007000000}" name="Qtde item"/>
    <tableColumn id="8" xr3:uid="{00000000-0010-0000-0500-000008000000}" name="Linha"/>
    <tableColumn id="9" xr3:uid="{00000000-0010-0000-0500-000009000000}" name="Natureza do custo"/>
    <tableColumn id="10" xr3:uid="{00000000-0010-0000-0500-00000A000000}" name="Detalhamento"/>
    <tableColumn id="11" xr3:uid="{00000000-0010-0000-0500-00000B000000}" name="Und comp."/>
    <tableColumn id="12" xr3:uid="{00000000-0010-0000-0500-00000C000000}" name="Coef."/>
    <tableColumn id="13" xr3:uid="{00000000-0010-0000-0500-00000D000000}" name="Custo unit. direto base"/>
    <tableColumn id="14" xr3:uid="{00000000-0010-0000-0500-00000E000000}" name="Parcela unit. direta"/>
    <tableColumn id="15" xr3:uid="{00000000-0010-0000-0500-00000F000000}" name="BDI efetivo"/>
    <tableColumn id="16" xr3:uid="{00000000-0010-0000-0500-000010000000}" name="Valor BDI unit."/>
    <tableColumn id="17" xr3:uid="{00000000-0010-0000-0500-000011000000}" name="Preço unit. c/ BDI"/>
    <tableColumn id="18" xr3:uid="{00000000-0010-0000-0500-000012000000}" name="Total item c/ BDI"/>
    <tableColumn id="19" xr3:uid="{00000000-0010-0000-0500-000013000000}" name="Total original"/>
    <tableColumn id="20" xr3:uid="{00000000-0010-0000-0500-000014000000}" name="Diferença"/>
    <tableColumn id="21" xr3:uid="{00000000-0010-0000-0500-000015000000}" name="Fonte técnica"/>
    <tableColumn id="22" xr3:uid="{00000000-0010-0000-0500-000016000000}" name="Documento/Anexo"/>
    <tableColumn id="23" xr3:uid="{00000000-0010-0000-0500-000017000000}" name="Status"/>
    <tableColumn id="24" xr3:uid="{00000000-0010-0000-0500-000018000000}" name="Observação"/>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elaValidacao100" displayName="TabelaValidacao100" ref="A1:J620">
  <tableColumns count="10">
    <tableColumn id="1" xr3:uid="{00000000-0010-0000-0600-000001000000}" name="CPU"/>
    <tableColumn id="2" xr3:uid="{00000000-0010-0000-0600-000002000000}" name="Item"/>
    <tableColumn id="3" xr3:uid="{00000000-0010-0000-0600-000003000000}" name="Código"/>
    <tableColumn id="4" xr3:uid="{00000000-0010-0000-0600-000004000000}" name="Banco"/>
    <tableColumn id="5" xr3:uid="{00000000-0010-0000-0600-000005000000}" name="Descrição"/>
    <tableColumn id="6" xr3:uid="{00000000-0010-0000-0600-000006000000}" name="Total original da planilha"/>
    <tableColumn id="7" xr3:uid="{00000000-0010-0000-0600-000007000000}" name="Total CPU aberta"/>
    <tableColumn id="8" xr3:uid="{00000000-0010-0000-0600-000008000000}" name="Diferença"/>
    <tableColumn id="9" xr3:uid="{00000000-0010-0000-0600-000009000000}" name="Status"/>
    <tableColumn id="10" xr3:uid="{00000000-0010-0000-0600-00000A000000}" name="Documento técnico mínimo"/>
  </tableColumns>
  <tableStyleInfo name="TableStyleMedium2" showFirstColumn="0" showLastColumn="0" showRowStripes="1" showColumnStripes="0"/>
</table>
</file>

<file path=xl/theme/theme1.xml><?xml version="1.0" encoding="utf-8"?>
<a:theme xmlns:a="http://schemas.openxmlformats.org/drawingml/2006/main" name="Offic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name="Office 2007 - 2010">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6.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05"/>
  <sheetViews>
    <sheetView topLeftCell="A689" workbookViewId="0">
      <selection activeCell="G708" sqref="G708"/>
    </sheetView>
  </sheetViews>
  <sheetFormatPr defaultColWidth="8.83203125" defaultRowHeight="15" x14ac:dyDescent="0.2"/>
  <cols>
    <col min="1" max="1" width="6.83203125" style="2" customWidth="1"/>
    <col min="2" max="2" width="17.83203125" style="2" customWidth="1"/>
    <col min="3" max="3" width="7.1640625" style="2" customWidth="1"/>
    <col min="4" max="4" width="104.1640625" style="52" customWidth="1"/>
    <col min="5" max="5" width="5.83203125" style="2" customWidth="1"/>
    <col min="6" max="6" width="26.1640625" style="2" customWidth="1"/>
    <col min="7" max="7" width="17" style="2" customWidth="1"/>
    <col min="8" max="8" width="4.1640625" style="2" customWidth="1"/>
    <col min="9" max="9" width="20" style="2" customWidth="1"/>
    <col min="10" max="10" width="22.83203125" style="2" customWidth="1"/>
    <col min="11" max="11" width="14.1640625" style="2" hidden="1" customWidth="1"/>
    <col min="12" max="12" width="14.33203125" style="2" customWidth="1"/>
    <col min="13" max="13" width="8.83203125" style="2"/>
    <col min="14" max="14" width="23.5" style="2" customWidth="1"/>
    <col min="15" max="15" width="25.83203125" style="2" customWidth="1"/>
    <col min="16" max="16" width="17.33203125" style="2" customWidth="1"/>
    <col min="17" max="17" width="17.83203125" style="2" customWidth="1"/>
    <col min="18" max="18" width="14.83203125" style="2" customWidth="1"/>
    <col min="19" max="19" width="17.1640625" style="2" customWidth="1"/>
    <col min="20" max="20" width="23.83203125" style="2" customWidth="1"/>
    <col min="21" max="16384" width="8.83203125" style="2"/>
  </cols>
  <sheetData>
    <row r="1" spans="1:20" ht="28.15" customHeight="1" x14ac:dyDescent="0.2">
      <c r="A1" s="218"/>
      <c r="B1" s="219"/>
      <c r="C1" s="220"/>
      <c r="D1" s="44" t="s">
        <v>0</v>
      </c>
      <c r="E1" s="224" t="s">
        <v>1</v>
      </c>
      <c r="F1" s="225"/>
      <c r="G1" s="224" t="s">
        <v>2</v>
      </c>
      <c r="H1" s="226"/>
      <c r="I1" s="225"/>
      <c r="J1" s="97" t="s">
        <v>3</v>
      </c>
      <c r="L1" s="84"/>
    </row>
    <row r="2" spans="1:20" ht="94.15" customHeight="1" x14ac:dyDescent="0.2">
      <c r="A2" s="221"/>
      <c r="B2" s="222"/>
      <c r="C2" s="223"/>
      <c r="D2" s="44" t="s">
        <v>4</v>
      </c>
      <c r="E2" s="227" t="s">
        <v>5</v>
      </c>
      <c r="F2" s="228"/>
      <c r="G2" s="229">
        <v>0.2223</v>
      </c>
      <c r="H2" s="230"/>
      <c r="I2" s="231"/>
      <c r="J2" s="215" t="s">
        <v>6</v>
      </c>
      <c r="K2" s="216"/>
      <c r="L2" s="217"/>
    </row>
    <row r="3" spans="1:20" ht="16.7" customHeight="1" x14ac:dyDescent="0.2">
      <c r="A3" s="212" t="s">
        <v>7</v>
      </c>
      <c r="B3" s="213"/>
      <c r="C3" s="213"/>
      <c r="D3" s="213"/>
      <c r="E3" s="213"/>
      <c r="F3" s="213"/>
      <c r="G3" s="213"/>
      <c r="H3" s="213"/>
      <c r="I3" s="213"/>
      <c r="J3" s="213"/>
      <c r="K3" s="213"/>
      <c r="L3" s="214"/>
    </row>
    <row r="4" spans="1:20" ht="47.45" customHeight="1" x14ac:dyDescent="0.2">
      <c r="A4" s="83" t="s">
        <v>8</v>
      </c>
      <c r="B4" s="83" t="s">
        <v>9</v>
      </c>
      <c r="C4" s="83" t="s">
        <v>10</v>
      </c>
      <c r="D4" s="94" t="s">
        <v>11</v>
      </c>
      <c r="E4" s="83" t="s">
        <v>12</v>
      </c>
      <c r="F4" s="83" t="s">
        <v>13</v>
      </c>
      <c r="G4" s="83" t="s">
        <v>14</v>
      </c>
      <c r="H4" s="83"/>
      <c r="I4" s="92" t="s">
        <v>15</v>
      </c>
      <c r="J4" s="93" t="s">
        <v>16</v>
      </c>
      <c r="K4" s="83"/>
      <c r="L4" s="83" t="s">
        <v>17</v>
      </c>
    </row>
    <row r="5" spans="1:20" ht="33" customHeight="1" x14ac:dyDescent="0.2">
      <c r="A5" s="3">
        <v>1</v>
      </c>
      <c r="B5" s="4"/>
      <c r="C5" s="4"/>
      <c r="D5" s="45" t="s">
        <v>18</v>
      </c>
      <c r="E5" s="4"/>
      <c r="F5" s="70">
        <v>1</v>
      </c>
      <c r="G5" s="71"/>
      <c r="H5" s="71"/>
      <c r="I5" s="71"/>
      <c r="J5" s="76">
        <f>J6+J9</f>
        <v>225484.51</v>
      </c>
      <c r="K5" s="7">
        <v>300646.02</v>
      </c>
      <c r="L5" s="8">
        <v>2.52E-2</v>
      </c>
      <c r="N5" s="4"/>
      <c r="O5" s="7">
        <v>300646.02</v>
      </c>
      <c r="P5" s="78"/>
      <c r="S5" s="53"/>
      <c r="T5" s="54" t="s">
        <v>19</v>
      </c>
    </row>
    <row r="6" spans="1:20" ht="33" customHeight="1" x14ac:dyDescent="0.2">
      <c r="A6" s="5" t="s">
        <v>20</v>
      </c>
      <c r="B6" s="4"/>
      <c r="C6" s="4"/>
      <c r="D6" s="45" t="s">
        <v>21</v>
      </c>
      <c r="E6" s="4"/>
      <c r="F6" s="6">
        <v>1</v>
      </c>
      <c r="G6" s="71"/>
      <c r="H6" s="71"/>
      <c r="I6" s="71"/>
      <c r="J6" s="76">
        <f>SUM(J7:J8)</f>
        <v>173466.66</v>
      </c>
      <c r="K6" s="7">
        <v>231288.89</v>
      </c>
      <c r="L6" s="8">
        <v>1.9400000000000001E-2</v>
      </c>
      <c r="N6" s="4"/>
      <c r="O6" s="7">
        <v>231288.89</v>
      </c>
      <c r="P6" s="78"/>
      <c r="S6" s="55">
        <v>0.75</v>
      </c>
      <c r="T6" s="56">
        <f>1-(T13/T10)</f>
        <v>0.25000010603164569</v>
      </c>
    </row>
    <row r="7" spans="1:20" ht="33" customHeight="1" x14ac:dyDescent="0.2">
      <c r="A7" s="9" t="s">
        <v>22</v>
      </c>
      <c r="B7" s="10" t="s">
        <v>23</v>
      </c>
      <c r="C7" s="9" t="s">
        <v>24</v>
      </c>
      <c r="D7" s="46" t="s">
        <v>25</v>
      </c>
      <c r="E7" s="11" t="s">
        <v>26</v>
      </c>
      <c r="F7" s="12">
        <v>1404.56</v>
      </c>
      <c r="G7" s="73">
        <f>N7*$S$6</f>
        <v>64.792500000000004</v>
      </c>
      <c r="H7" s="73">
        <f>TRUNC(G7*F7,2)</f>
        <v>91004.95</v>
      </c>
      <c r="I7" s="73">
        <f>O7*$S$6</f>
        <v>79.192499999999995</v>
      </c>
      <c r="J7" s="73">
        <f>TRUNC(I7*F7,2)</f>
        <v>111230.61</v>
      </c>
      <c r="K7" s="13">
        <v>148307.49</v>
      </c>
      <c r="L7" s="14">
        <v>1.24E-2</v>
      </c>
      <c r="N7" s="12">
        <v>86.39</v>
      </c>
      <c r="O7" s="86">
        <v>105.59</v>
      </c>
      <c r="P7" s="78"/>
      <c r="Q7" s="2">
        <f t="shared" ref="Q7:Q70" si="0">K7/F7</f>
        <v>105.58999971521331</v>
      </c>
      <c r="S7" s="57"/>
      <c r="T7" s="58"/>
    </row>
    <row r="8" spans="1:20" ht="33" customHeight="1" x14ac:dyDescent="0.2">
      <c r="A8" s="9" t="s">
        <v>27</v>
      </c>
      <c r="B8" s="10" t="s">
        <v>28</v>
      </c>
      <c r="C8" s="9" t="s">
        <v>24</v>
      </c>
      <c r="D8" s="47" t="s">
        <v>29</v>
      </c>
      <c r="E8" s="11" t="s">
        <v>26</v>
      </c>
      <c r="F8" s="12">
        <v>1404.56</v>
      </c>
      <c r="G8" s="73">
        <f>N8*$S$6</f>
        <v>36.255000000000003</v>
      </c>
      <c r="H8" s="73">
        <f t="shared" ref="H8:H71" si="1">TRUNC(G8*F8,2)</f>
        <v>50922.32</v>
      </c>
      <c r="I8" s="73">
        <f>O8*$S$6</f>
        <v>44.31</v>
      </c>
      <c r="J8" s="73">
        <f>TRUNC(I8*F8,2)</f>
        <v>62236.05</v>
      </c>
      <c r="K8" s="13">
        <v>82981.399999999994</v>
      </c>
      <c r="L8" s="14">
        <v>7.0000000000000001E-3</v>
      </c>
      <c r="N8" s="12">
        <v>48.34</v>
      </c>
      <c r="O8" s="87">
        <v>59.08</v>
      </c>
      <c r="P8" s="78"/>
      <c r="Q8" s="2">
        <f t="shared" si="0"/>
        <v>59.079996582559659</v>
      </c>
      <c r="S8" s="59"/>
      <c r="T8" s="60"/>
    </row>
    <row r="9" spans="1:20" ht="33" customHeight="1" x14ac:dyDescent="0.2">
      <c r="A9" s="5" t="s">
        <v>30</v>
      </c>
      <c r="B9" s="4"/>
      <c r="C9" s="4"/>
      <c r="D9" s="45" t="s">
        <v>31</v>
      </c>
      <c r="E9" s="4"/>
      <c r="F9" s="6">
        <v>1</v>
      </c>
      <c r="G9" s="71"/>
      <c r="H9" s="73">
        <f t="shared" si="1"/>
        <v>0</v>
      </c>
      <c r="I9" s="71"/>
      <c r="J9" s="76">
        <f>SUM(J10:J15)</f>
        <v>52017.850000000006</v>
      </c>
      <c r="K9" s="7">
        <v>69357.13</v>
      </c>
      <c r="L9" s="8">
        <v>5.7999999999999996E-3</v>
      </c>
      <c r="N9" s="4"/>
      <c r="O9" s="88">
        <v>69357.13</v>
      </c>
      <c r="P9" s="78"/>
      <c r="Q9" s="2">
        <f t="shared" si="0"/>
        <v>69357.13</v>
      </c>
      <c r="S9" s="61"/>
      <c r="T9" s="62"/>
    </row>
    <row r="10" spans="1:20" ht="33" customHeight="1" x14ac:dyDescent="0.2">
      <c r="A10" s="9" t="s">
        <v>32</v>
      </c>
      <c r="B10" s="10" t="s">
        <v>33</v>
      </c>
      <c r="C10" s="9" t="s">
        <v>24</v>
      </c>
      <c r="D10" s="47" t="s">
        <v>34</v>
      </c>
      <c r="E10" s="11" t="s">
        <v>26</v>
      </c>
      <c r="F10" s="12">
        <v>1404.56</v>
      </c>
      <c r="G10" s="73">
        <f t="shared" ref="G10:G15" si="2">N10*$S$6</f>
        <v>6.6000000000000005</v>
      </c>
      <c r="H10" s="73">
        <f t="shared" si="1"/>
        <v>9270.09</v>
      </c>
      <c r="I10" s="73">
        <f t="shared" ref="I10:I15" si="3">O10*$S$6</f>
        <v>8.0625</v>
      </c>
      <c r="J10" s="73">
        <f t="shared" ref="J10:J71" si="4">TRUNC(I10*F10,2)</f>
        <v>11324.26</v>
      </c>
      <c r="K10" s="13">
        <v>15099.02</v>
      </c>
      <c r="L10" s="14">
        <v>1.2999999999999999E-3</v>
      </c>
      <c r="N10" s="12">
        <v>8.8000000000000007</v>
      </c>
      <c r="O10" s="86">
        <v>10.75</v>
      </c>
      <c r="P10" s="78"/>
      <c r="Q10" s="2">
        <f t="shared" si="0"/>
        <v>10.75</v>
      </c>
      <c r="S10" s="63" t="s">
        <v>35</v>
      </c>
      <c r="T10" s="64">
        <v>11930400.5</v>
      </c>
    </row>
    <row r="11" spans="1:20" ht="33" customHeight="1" x14ac:dyDescent="0.2">
      <c r="A11" s="9" t="s">
        <v>36</v>
      </c>
      <c r="B11" s="10" t="s">
        <v>37</v>
      </c>
      <c r="C11" s="9" t="s">
        <v>24</v>
      </c>
      <c r="D11" s="46" t="s">
        <v>38</v>
      </c>
      <c r="E11" s="11" t="s">
        <v>26</v>
      </c>
      <c r="F11" s="12">
        <v>1404.56</v>
      </c>
      <c r="G11" s="73">
        <f t="shared" si="2"/>
        <v>3.9375</v>
      </c>
      <c r="H11" s="73">
        <f t="shared" si="1"/>
        <v>5530.45</v>
      </c>
      <c r="I11" s="73">
        <f t="shared" si="3"/>
        <v>4.8075000000000001</v>
      </c>
      <c r="J11" s="73">
        <f t="shared" si="4"/>
        <v>6752.42</v>
      </c>
      <c r="K11" s="13">
        <v>9003.2199999999993</v>
      </c>
      <c r="L11" s="14">
        <v>8.0000000000000004E-4</v>
      </c>
      <c r="N11" s="12">
        <v>5.25</v>
      </c>
      <c r="O11" s="86">
        <v>6.41</v>
      </c>
      <c r="P11" s="78"/>
      <c r="Q11" s="2">
        <f t="shared" si="0"/>
        <v>6.4099931651193254</v>
      </c>
      <c r="S11" s="65"/>
      <c r="T11" s="66"/>
    </row>
    <row r="12" spans="1:20" ht="33" customHeight="1" x14ac:dyDescent="0.2">
      <c r="A12" s="9" t="s">
        <v>39</v>
      </c>
      <c r="B12" s="10" t="s">
        <v>40</v>
      </c>
      <c r="C12" s="9" t="s">
        <v>24</v>
      </c>
      <c r="D12" s="47" t="s">
        <v>41</v>
      </c>
      <c r="E12" s="11" t="s">
        <v>26</v>
      </c>
      <c r="F12" s="12">
        <v>1404.56</v>
      </c>
      <c r="G12" s="73">
        <f t="shared" si="2"/>
        <v>7.875</v>
      </c>
      <c r="H12" s="73">
        <f t="shared" si="1"/>
        <v>11060.91</v>
      </c>
      <c r="I12" s="73">
        <f t="shared" si="3"/>
        <v>9.6225000000000005</v>
      </c>
      <c r="J12" s="73">
        <f t="shared" si="4"/>
        <v>13515.37</v>
      </c>
      <c r="K12" s="13">
        <v>18020.5</v>
      </c>
      <c r="L12" s="14">
        <v>1.5E-3</v>
      </c>
      <c r="N12" s="12">
        <v>10.5</v>
      </c>
      <c r="O12" s="86">
        <v>12.83</v>
      </c>
      <c r="P12" s="78"/>
      <c r="Q12" s="2">
        <f t="shared" si="0"/>
        <v>12.829996582559664</v>
      </c>
      <c r="S12" s="67"/>
      <c r="T12" s="68"/>
    </row>
    <row r="13" spans="1:20" ht="33" customHeight="1" x14ac:dyDescent="0.2">
      <c r="A13" s="9" t="s">
        <v>42</v>
      </c>
      <c r="B13" s="10" t="s">
        <v>43</v>
      </c>
      <c r="C13" s="9" t="s">
        <v>24</v>
      </c>
      <c r="D13" s="47" t="s">
        <v>44</v>
      </c>
      <c r="E13" s="11" t="s">
        <v>26</v>
      </c>
      <c r="F13" s="12">
        <v>1404.56</v>
      </c>
      <c r="G13" s="73">
        <f t="shared" si="2"/>
        <v>3.9375</v>
      </c>
      <c r="H13" s="73">
        <f t="shared" si="1"/>
        <v>5530.45</v>
      </c>
      <c r="I13" s="73">
        <f t="shared" si="3"/>
        <v>4.8075000000000001</v>
      </c>
      <c r="J13" s="73">
        <f t="shared" si="4"/>
        <v>6752.42</v>
      </c>
      <c r="K13" s="13">
        <v>9003.2199999999993</v>
      </c>
      <c r="L13" s="14">
        <v>8.0000000000000004E-4</v>
      </c>
      <c r="N13" s="12">
        <v>5.25</v>
      </c>
      <c r="O13" s="86">
        <v>6.41</v>
      </c>
      <c r="P13" s="78"/>
      <c r="Q13" s="2">
        <f t="shared" si="0"/>
        <v>6.4099931651193254</v>
      </c>
      <c r="S13" s="69" t="s">
        <v>45</v>
      </c>
      <c r="T13" s="68">
        <f>J700</f>
        <v>8947799.1100000013</v>
      </c>
    </row>
    <row r="14" spans="1:20" ht="33" customHeight="1" x14ac:dyDescent="0.2">
      <c r="A14" s="9" t="s">
        <v>46</v>
      </c>
      <c r="B14" s="10" t="s">
        <v>47</v>
      </c>
      <c r="C14" s="9" t="s">
        <v>24</v>
      </c>
      <c r="D14" s="46" t="s">
        <v>48</v>
      </c>
      <c r="E14" s="11" t="s">
        <v>26</v>
      </c>
      <c r="F14" s="12">
        <v>1404.56</v>
      </c>
      <c r="G14" s="73">
        <f t="shared" si="2"/>
        <v>6.0299999999999994</v>
      </c>
      <c r="H14" s="73">
        <f t="shared" si="1"/>
        <v>8469.49</v>
      </c>
      <c r="I14" s="73">
        <f t="shared" si="3"/>
        <v>7.3650000000000002</v>
      </c>
      <c r="J14" s="73">
        <f t="shared" si="4"/>
        <v>10344.58</v>
      </c>
      <c r="K14" s="13">
        <v>13792.77</v>
      </c>
      <c r="L14" s="14">
        <v>1.1999999999999999E-3</v>
      </c>
      <c r="N14" s="12">
        <v>8.0399999999999991</v>
      </c>
      <c r="O14" s="86">
        <v>9.82</v>
      </c>
      <c r="P14" s="78"/>
      <c r="Q14" s="2">
        <f t="shared" si="0"/>
        <v>9.819993449906022</v>
      </c>
      <c r="T14" s="96">
        <v>8947800.3699999992</v>
      </c>
    </row>
    <row r="15" spans="1:20" ht="33" customHeight="1" x14ac:dyDescent="0.2">
      <c r="A15" s="9" t="s">
        <v>49</v>
      </c>
      <c r="B15" s="10" t="s">
        <v>50</v>
      </c>
      <c r="C15" s="9" t="s">
        <v>24</v>
      </c>
      <c r="D15" s="47" t="s">
        <v>51</v>
      </c>
      <c r="E15" s="11" t="s">
        <v>26</v>
      </c>
      <c r="F15" s="72">
        <v>1404.56</v>
      </c>
      <c r="G15" s="73">
        <f t="shared" si="2"/>
        <v>1.9424999999999999</v>
      </c>
      <c r="H15" s="73">
        <f t="shared" si="1"/>
        <v>2728.35</v>
      </c>
      <c r="I15" s="73">
        <f t="shared" si="3"/>
        <v>2.37</v>
      </c>
      <c r="J15" s="73">
        <f t="shared" si="4"/>
        <v>3328.8</v>
      </c>
      <c r="K15" s="13">
        <v>4438.3999999999996</v>
      </c>
      <c r="L15" s="14">
        <v>4.0000000000000002E-4</v>
      </c>
      <c r="N15" s="12">
        <v>2.59</v>
      </c>
      <c r="O15" s="86">
        <v>3.16</v>
      </c>
      <c r="P15" s="78"/>
      <c r="Q15" s="2">
        <f t="shared" si="0"/>
        <v>3.1599931651193254</v>
      </c>
      <c r="T15" s="95">
        <f>T13-T14</f>
        <v>-1.2599999979138374</v>
      </c>
    </row>
    <row r="16" spans="1:20" ht="33" customHeight="1" x14ac:dyDescent="0.2">
      <c r="A16" s="3">
        <v>2</v>
      </c>
      <c r="B16" s="4"/>
      <c r="C16" s="4"/>
      <c r="D16" s="45" t="s">
        <v>52</v>
      </c>
      <c r="E16" s="4"/>
      <c r="F16" s="6">
        <v>1</v>
      </c>
      <c r="G16" s="71"/>
      <c r="H16" s="73">
        <f t="shared" si="1"/>
        <v>0</v>
      </c>
      <c r="I16" s="71"/>
      <c r="J16" s="76">
        <f>J17+J24+J31</f>
        <v>988818.35000000009</v>
      </c>
      <c r="K16" s="7">
        <v>1318424.53</v>
      </c>
      <c r="L16" s="8">
        <v>0.1105</v>
      </c>
      <c r="N16" s="4"/>
      <c r="O16" s="88">
        <v>1318424.53</v>
      </c>
      <c r="P16" s="78"/>
      <c r="Q16" s="2">
        <f t="shared" si="0"/>
        <v>1318424.53</v>
      </c>
    </row>
    <row r="17" spans="1:17" ht="33" customHeight="1" x14ac:dyDescent="0.2">
      <c r="A17" s="5" t="s">
        <v>53</v>
      </c>
      <c r="B17" s="4"/>
      <c r="C17" s="4"/>
      <c r="D17" s="45" t="s">
        <v>54</v>
      </c>
      <c r="E17" s="4"/>
      <c r="F17" s="6">
        <v>1</v>
      </c>
      <c r="G17" s="71"/>
      <c r="H17" s="73">
        <f t="shared" si="1"/>
        <v>0</v>
      </c>
      <c r="I17" s="71"/>
      <c r="J17" s="76">
        <f>SUM(J18:J23)</f>
        <v>697252.46000000008</v>
      </c>
      <c r="K17" s="7">
        <v>929669.97</v>
      </c>
      <c r="L17" s="8">
        <v>7.7899999999999997E-2</v>
      </c>
      <c r="N17" s="4"/>
      <c r="O17" s="88">
        <v>929669.97</v>
      </c>
      <c r="P17" s="78"/>
      <c r="Q17" s="2">
        <f t="shared" si="0"/>
        <v>929669.97</v>
      </c>
    </row>
    <row r="18" spans="1:17" ht="33" customHeight="1" x14ac:dyDescent="0.2">
      <c r="A18" s="9" t="s">
        <v>55</v>
      </c>
      <c r="B18" s="15">
        <v>93572</v>
      </c>
      <c r="C18" s="9" t="s">
        <v>56</v>
      </c>
      <c r="D18" s="47" t="s">
        <v>57</v>
      </c>
      <c r="E18" s="11" t="s">
        <v>58</v>
      </c>
      <c r="F18" s="16">
        <v>15</v>
      </c>
      <c r="G18" s="73">
        <f t="shared" ref="G18:G23" si="5">N18*$S$6</f>
        <v>7867.7249999999995</v>
      </c>
      <c r="H18" s="73">
        <f t="shared" si="1"/>
        <v>118015.87</v>
      </c>
      <c r="I18" s="73">
        <f t="shared" ref="I18:I23" si="6">O18*$S$6</f>
        <v>9616.7175000000007</v>
      </c>
      <c r="J18" s="73">
        <f t="shared" si="4"/>
        <v>144250.76</v>
      </c>
      <c r="K18" s="13">
        <v>192334.35</v>
      </c>
      <c r="L18" s="14">
        <v>1.61E-2</v>
      </c>
      <c r="N18" s="13">
        <v>10490.3</v>
      </c>
      <c r="O18" s="89">
        <v>12822.29</v>
      </c>
      <c r="P18" s="78"/>
      <c r="Q18" s="2">
        <f t="shared" si="0"/>
        <v>12822.29</v>
      </c>
    </row>
    <row r="19" spans="1:17" ht="33" customHeight="1" x14ac:dyDescent="0.2">
      <c r="A19" s="9" t="s">
        <v>59</v>
      </c>
      <c r="B19" s="15">
        <v>90777</v>
      </c>
      <c r="C19" s="9" t="s">
        <v>56</v>
      </c>
      <c r="D19" s="47" t="s">
        <v>60</v>
      </c>
      <c r="E19" s="11" t="s">
        <v>61</v>
      </c>
      <c r="F19" s="16">
        <v>1440</v>
      </c>
      <c r="G19" s="73">
        <f t="shared" si="5"/>
        <v>109.58250000000001</v>
      </c>
      <c r="H19" s="73">
        <f t="shared" si="1"/>
        <v>157798.79999999999</v>
      </c>
      <c r="I19" s="73">
        <f t="shared" si="6"/>
        <v>133.9425</v>
      </c>
      <c r="J19" s="73">
        <f t="shared" si="4"/>
        <v>192877.2</v>
      </c>
      <c r="K19" s="13">
        <v>257169.6</v>
      </c>
      <c r="L19" s="14">
        <v>2.1600000000000001E-2</v>
      </c>
      <c r="N19" s="12">
        <v>146.11000000000001</v>
      </c>
      <c r="O19" s="86">
        <v>178.59</v>
      </c>
      <c r="P19" s="78"/>
      <c r="Q19" s="2">
        <f t="shared" si="0"/>
        <v>178.59</v>
      </c>
    </row>
    <row r="20" spans="1:17" ht="33" customHeight="1" x14ac:dyDescent="0.2">
      <c r="A20" s="9" t="s">
        <v>62</v>
      </c>
      <c r="B20" s="15">
        <v>101390</v>
      </c>
      <c r="C20" s="9" t="s">
        <v>56</v>
      </c>
      <c r="D20" s="46" t="s">
        <v>63</v>
      </c>
      <c r="E20" s="11" t="s">
        <v>58</v>
      </c>
      <c r="F20" s="16">
        <v>15</v>
      </c>
      <c r="G20" s="73">
        <f t="shared" si="5"/>
        <v>6406.6875</v>
      </c>
      <c r="H20" s="73">
        <f t="shared" si="1"/>
        <v>96100.31</v>
      </c>
      <c r="I20" s="73">
        <f t="shared" si="6"/>
        <v>7830.8924999999999</v>
      </c>
      <c r="J20" s="73">
        <f t="shared" si="4"/>
        <v>117463.38</v>
      </c>
      <c r="K20" s="13">
        <v>156617.85</v>
      </c>
      <c r="L20" s="14">
        <v>1.3100000000000001E-2</v>
      </c>
      <c r="N20" s="13">
        <v>8542.25</v>
      </c>
      <c r="O20" s="89">
        <v>10441.19</v>
      </c>
      <c r="P20" s="78"/>
      <c r="Q20" s="2">
        <f t="shared" si="0"/>
        <v>10441.19</v>
      </c>
    </row>
    <row r="21" spans="1:17" ht="33" customHeight="1" x14ac:dyDescent="0.2">
      <c r="A21" s="9" t="s">
        <v>64</v>
      </c>
      <c r="B21" s="15">
        <v>100309</v>
      </c>
      <c r="C21" s="9" t="s">
        <v>56</v>
      </c>
      <c r="D21" s="46" t="s">
        <v>65</v>
      </c>
      <c r="E21" s="11" t="s">
        <v>61</v>
      </c>
      <c r="F21" s="16">
        <v>600</v>
      </c>
      <c r="G21" s="73">
        <f t="shared" si="5"/>
        <v>42.412499999999994</v>
      </c>
      <c r="H21" s="73">
        <f t="shared" si="1"/>
        <v>25447.5</v>
      </c>
      <c r="I21" s="73">
        <f t="shared" si="6"/>
        <v>51.84</v>
      </c>
      <c r="J21" s="73">
        <f t="shared" si="4"/>
        <v>31104</v>
      </c>
      <c r="K21" s="13">
        <v>41472</v>
      </c>
      <c r="L21" s="14">
        <v>3.5000000000000001E-3</v>
      </c>
      <c r="N21" s="12">
        <v>56.55</v>
      </c>
      <c r="O21" s="86">
        <v>69.12</v>
      </c>
      <c r="P21" s="78"/>
      <c r="Q21" s="2">
        <f t="shared" si="0"/>
        <v>69.12</v>
      </c>
    </row>
    <row r="22" spans="1:17" ht="33" customHeight="1" x14ac:dyDescent="0.2">
      <c r="A22" s="9" t="s">
        <v>66</v>
      </c>
      <c r="B22" s="10" t="s">
        <v>67</v>
      </c>
      <c r="C22" s="9" t="s">
        <v>24</v>
      </c>
      <c r="D22" s="47" t="s">
        <v>68</v>
      </c>
      <c r="E22" s="11" t="s">
        <v>58</v>
      </c>
      <c r="F22" s="16">
        <v>15</v>
      </c>
      <c r="G22" s="73">
        <f t="shared" si="5"/>
        <v>10762.275000000001</v>
      </c>
      <c r="H22" s="73">
        <f t="shared" si="1"/>
        <v>161434.12</v>
      </c>
      <c r="I22" s="73">
        <f t="shared" si="6"/>
        <v>13154.7225</v>
      </c>
      <c r="J22" s="73">
        <f t="shared" si="4"/>
        <v>197320.83</v>
      </c>
      <c r="K22" s="13">
        <v>263094.45</v>
      </c>
      <c r="L22" s="14">
        <v>2.2100000000000002E-2</v>
      </c>
      <c r="N22" s="13">
        <v>14349.7</v>
      </c>
      <c r="O22" s="89">
        <v>17539.63</v>
      </c>
      <c r="P22" s="78"/>
      <c r="Q22" s="2">
        <f t="shared" si="0"/>
        <v>17539.63</v>
      </c>
    </row>
    <row r="23" spans="1:17" ht="33" customHeight="1" x14ac:dyDescent="0.2">
      <c r="A23" s="9" t="s">
        <v>69</v>
      </c>
      <c r="B23" s="10" t="s">
        <v>70</v>
      </c>
      <c r="C23" s="9" t="s">
        <v>24</v>
      </c>
      <c r="D23" s="46" t="s">
        <v>71</v>
      </c>
      <c r="E23" s="11" t="s">
        <v>72</v>
      </c>
      <c r="F23" s="12">
        <v>427.22754989999999</v>
      </c>
      <c r="G23" s="73">
        <f t="shared" si="5"/>
        <v>27.262500000000003</v>
      </c>
      <c r="H23" s="73">
        <f t="shared" si="1"/>
        <v>11647.29</v>
      </c>
      <c r="I23" s="73">
        <f t="shared" si="6"/>
        <v>33.322499999999998</v>
      </c>
      <c r="J23" s="73">
        <f t="shared" si="4"/>
        <v>14236.29</v>
      </c>
      <c r="K23" s="13">
        <v>18981.72</v>
      </c>
      <c r="L23" s="14">
        <v>1.6000000000000001E-3</v>
      </c>
      <c r="N23" s="12">
        <v>36.35</v>
      </c>
      <c r="O23" s="86">
        <v>44.43</v>
      </c>
      <c r="P23" s="78"/>
      <c r="Q23" s="2">
        <f t="shared" si="0"/>
        <v>44.429999901558318</v>
      </c>
    </row>
    <row r="24" spans="1:17" ht="33" customHeight="1" x14ac:dyDescent="0.2">
      <c r="A24" s="5" t="s">
        <v>73</v>
      </c>
      <c r="B24" s="4"/>
      <c r="C24" s="4"/>
      <c r="D24" s="45" t="s">
        <v>74</v>
      </c>
      <c r="E24" s="4"/>
      <c r="F24" s="6">
        <v>1</v>
      </c>
      <c r="G24" s="71"/>
      <c r="H24" s="73">
        <f t="shared" si="1"/>
        <v>0</v>
      </c>
      <c r="I24" s="71"/>
      <c r="J24" s="76">
        <f>SUM(J25:J30)</f>
        <v>61216.3</v>
      </c>
      <c r="K24" s="7">
        <v>81621.759999999995</v>
      </c>
      <c r="L24" s="8">
        <v>6.7999999999999996E-3</v>
      </c>
      <c r="N24" s="4"/>
      <c r="O24" s="88">
        <v>81621.759999999995</v>
      </c>
      <c r="P24" s="78"/>
      <c r="Q24" s="2">
        <f t="shared" si="0"/>
        <v>81621.759999999995</v>
      </c>
    </row>
    <row r="25" spans="1:17" ht="33" customHeight="1" x14ac:dyDescent="0.2">
      <c r="A25" s="9" t="s">
        <v>75</v>
      </c>
      <c r="B25" s="10" t="s">
        <v>76</v>
      </c>
      <c r="C25" s="9" t="s">
        <v>24</v>
      </c>
      <c r="D25" s="47" t="s">
        <v>77</v>
      </c>
      <c r="E25" s="11" t="s">
        <v>26</v>
      </c>
      <c r="F25" s="17">
        <v>459.399</v>
      </c>
      <c r="G25" s="73">
        <f t="shared" ref="G25:G30" si="7">N25*$S$6</f>
        <v>33.547499999999999</v>
      </c>
      <c r="H25" s="73">
        <f t="shared" si="1"/>
        <v>15411.68</v>
      </c>
      <c r="I25" s="73">
        <f t="shared" ref="I25:I30" si="8">O25*$S$6</f>
        <v>41.002499999999998</v>
      </c>
      <c r="J25" s="73">
        <f t="shared" si="4"/>
        <v>18836.5</v>
      </c>
      <c r="K25" s="13">
        <v>25115.34</v>
      </c>
      <c r="L25" s="14">
        <v>2.0999999999999999E-3</v>
      </c>
      <c r="N25" s="12">
        <v>44.73</v>
      </c>
      <c r="O25" s="86">
        <v>54.67</v>
      </c>
      <c r="P25" s="78"/>
      <c r="Q25" s="2">
        <f t="shared" si="0"/>
        <v>54.669992751399114</v>
      </c>
    </row>
    <row r="26" spans="1:17" ht="33" customHeight="1" x14ac:dyDescent="0.2">
      <c r="A26" s="9" t="s">
        <v>78</v>
      </c>
      <c r="B26" s="10" t="s">
        <v>79</v>
      </c>
      <c r="C26" s="9" t="s">
        <v>24</v>
      </c>
      <c r="D26" s="47" t="s">
        <v>80</v>
      </c>
      <c r="E26" s="11" t="s">
        <v>26</v>
      </c>
      <c r="F26" s="17">
        <v>42.530999999999999</v>
      </c>
      <c r="G26" s="73">
        <f t="shared" si="7"/>
        <v>428.0625</v>
      </c>
      <c r="H26" s="73">
        <f t="shared" si="1"/>
        <v>18205.919999999998</v>
      </c>
      <c r="I26" s="73">
        <f t="shared" si="8"/>
        <v>523.21500000000003</v>
      </c>
      <c r="J26" s="73">
        <f t="shared" si="4"/>
        <v>22252.85</v>
      </c>
      <c r="K26" s="13">
        <v>29670.47</v>
      </c>
      <c r="L26" s="14">
        <v>2.5000000000000001E-3</v>
      </c>
      <c r="N26" s="12">
        <v>570.75</v>
      </c>
      <c r="O26" s="86">
        <v>697.62</v>
      </c>
      <c r="P26" s="78"/>
      <c r="Q26" s="2">
        <f t="shared" si="0"/>
        <v>697.61985375373263</v>
      </c>
    </row>
    <row r="27" spans="1:17" ht="33" customHeight="1" x14ac:dyDescent="0.2">
      <c r="A27" s="9" t="s">
        <v>81</v>
      </c>
      <c r="B27" s="10" t="s">
        <v>82</v>
      </c>
      <c r="C27" s="9" t="s">
        <v>24</v>
      </c>
      <c r="D27" s="46" t="s">
        <v>83</v>
      </c>
      <c r="E27" s="11" t="s">
        <v>84</v>
      </c>
      <c r="F27" s="16">
        <v>2</v>
      </c>
      <c r="G27" s="73">
        <f t="shared" si="7"/>
        <v>3967.1325000000002</v>
      </c>
      <c r="H27" s="73">
        <f t="shared" si="1"/>
        <v>7934.26</v>
      </c>
      <c r="I27" s="73">
        <f t="shared" si="8"/>
        <v>4849.0199999999995</v>
      </c>
      <c r="J27" s="73">
        <f t="shared" si="4"/>
        <v>9698.0400000000009</v>
      </c>
      <c r="K27" s="13">
        <v>12930.72</v>
      </c>
      <c r="L27" s="14">
        <v>1.1000000000000001E-3</v>
      </c>
      <c r="N27" s="13">
        <v>5289.51</v>
      </c>
      <c r="O27" s="89">
        <v>6465.36</v>
      </c>
      <c r="P27" s="78"/>
      <c r="Q27" s="2">
        <f t="shared" si="0"/>
        <v>6465.36</v>
      </c>
    </row>
    <row r="28" spans="1:17" ht="33" customHeight="1" x14ac:dyDescent="0.2">
      <c r="A28" s="9" t="s">
        <v>85</v>
      </c>
      <c r="B28" s="15">
        <v>103689</v>
      </c>
      <c r="C28" s="9" t="s">
        <v>56</v>
      </c>
      <c r="D28" s="47" t="s">
        <v>86</v>
      </c>
      <c r="E28" s="11" t="s">
        <v>26</v>
      </c>
      <c r="F28" s="16">
        <v>8</v>
      </c>
      <c r="G28" s="73">
        <f t="shared" si="7"/>
        <v>360.83249999999998</v>
      </c>
      <c r="H28" s="73">
        <f t="shared" si="1"/>
        <v>2886.66</v>
      </c>
      <c r="I28" s="73">
        <f t="shared" si="8"/>
        <v>441.04499999999996</v>
      </c>
      <c r="J28" s="73">
        <f t="shared" si="4"/>
        <v>3528.36</v>
      </c>
      <c r="K28" s="13">
        <v>4704.4799999999996</v>
      </c>
      <c r="L28" s="14">
        <v>4.0000000000000002E-4</v>
      </c>
      <c r="N28" s="12">
        <v>481.11</v>
      </c>
      <c r="O28" s="86">
        <v>588.05999999999995</v>
      </c>
      <c r="P28" s="78"/>
      <c r="Q28" s="2">
        <f t="shared" si="0"/>
        <v>588.05999999999995</v>
      </c>
    </row>
    <row r="29" spans="1:17" ht="33" customHeight="1" x14ac:dyDescent="0.2">
      <c r="A29" s="9" t="s">
        <v>87</v>
      </c>
      <c r="B29" s="10" t="s">
        <v>88</v>
      </c>
      <c r="C29" s="9" t="s">
        <v>24</v>
      </c>
      <c r="D29" s="47" t="s">
        <v>89</v>
      </c>
      <c r="E29" s="11" t="s">
        <v>84</v>
      </c>
      <c r="F29" s="16">
        <v>1</v>
      </c>
      <c r="G29" s="73">
        <f t="shared" si="7"/>
        <v>3668.07</v>
      </c>
      <c r="H29" s="73">
        <f t="shared" si="1"/>
        <v>3668.07</v>
      </c>
      <c r="I29" s="73">
        <f t="shared" si="8"/>
        <v>4483.4775</v>
      </c>
      <c r="J29" s="73">
        <f t="shared" si="4"/>
        <v>4483.47</v>
      </c>
      <c r="K29" s="13">
        <v>5977.97</v>
      </c>
      <c r="L29" s="14">
        <v>5.0000000000000001E-4</v>
      </c>
      <c r="N29" s="13">
        <v>4890.76</v>
      </c>
      <c r="O29" s="89">
        <v>5977.97</v>
      </c>
      <c r="P29" s="78"/>
      <c r="Q29" s="2">
        <f t="shared" si="0"/>
        <v>5977.97</v>
      </c>
    </row>
    <row r="30" spans="1:17" ht="33" customHeight="1" x14ac:dyDescent="0.2">
      <c r="A30" s="9" t="s">
        <v>90</v>
      </c>
      <c r="B30" s="10" t="s">
        <v>91</v>
      </c>
      <c r="C30" s="9" t="s">
        <v>24</v>
      </c>
      <c r="D30" s="47" t="s">
        <v>92</v>
      </c>
      <c r="E30" s="11" t="s">
        <v>84</v>
      </c>
      <c r="F30" s="16">
        <v>1</v>
      </c>
      <c r="G30" s="73">
        <f t="shared" si="7"/>
        <v>1977.4949999999999</v>
      </c>
      <c r="H30" s="73">
        <f t="shared" si="1"/>
        <v>1977.49</v>
      </c>
      <c r="I30" s="73">
        <f t="shared" si="8"/>
        <v>2417.085</v>
      </c>
      <c r="J30" s="73">
        <f t="shared" si="4"/>
        <v>2417.08</v>
      </c>
      <c r="K30" s="13">
        <v>3222.78</v>
      </c>
      <c r="L30" s="14">
        <v>2.9999999999999997E-4</v>
      </c>
      <c r="N30" s="13">
        <v>2636.66</v>
      </c>
      <c r="O30" s="89">
        <v>3222.78</v>
      </c>
      <c r="P30" s="78"/>
      <c r="Q30" s="2">
        <f t="shared" si="0"/>
        <v>3222.78</v>
      </c>
    </row>
    <row r="31" spans="1:17" ht="33" customHeight="1" x14ac:dyDescent="0.2">
      <c r="A31" s="5" t="s">
        <v>93</v>
      </c>
      <c r="B31" s="4"/>
      <c r="C31" s="4"/>
      <c r="D31" s="45" t="s">
        <v>94</v>
      </c>
      <c r="E31" s="4"/>
      <c r="F31" s="6">
        <v>1</v>
      </c>
      <c r="G31" s="71"/>
      <c r="H31" s="73">
        <f t="shared" si="1"/>
        <v>0</v>
      </c>
      <c r="I31" s="71"/>
      <c r="J31" s="76">
        <f>SUM(J32:J35)</f>
        <v>230349.59</v>
      </c>
      <c r="K31" s="7">
        <v>307132.79999999999</v>
      </c>
      <c r="L31" s="8">
        <v>2.5700000000000001E-2</v>
      </c>
      <c r="N31" s="4"/>
      <c r="O31" s="88">
        <v>307132.79999999999</v>
      </c>
      <c r="P31" s="78"/>
      <c r="Q31" s="2">
        <f t="shared" si="0"/>
        <v>307132.79999999999</v>
      </c>
    </row>
    <row r="32" spans="1:17" ht="33" customHeight="1" x14ac:dyDescent="0.2">
      <c r="A32" s="9" t="s">
        <v>95</v>
      </c>
      <c r="B32" s="15">
        <v>97063</v>
      </c>
      <c r="C32" s="9" t="s">
        <v>56</v>
      </c>
      <c r="D32" s="47" t="s">
        <v>96</v>
      </c>
      <c r="E32" s="11" t="s">
        <v>26</v>
      </c>
      <c r="F32" s="16">
        <v>1456</v>
      </c>
      <c r="G32" s="73">
        <f>N32*$S$6</f>
        <v>23.2425</v>
      </c>
      <c r="H32" s="73">
        <f t="shared" si="1"/>
        <v>33841.08</v>
      </c>
      <c r="I32" s="73">
        <f>O32*$S$6</f>
        <v>28.402499999999996</v>
      </c>
      <c r="J32" s="73">
        <f t="shared" si="4"/>
        <v>41354.04</v>
      </c>
      <c r="K32" s="13">
        <v>55138.720000000001</v>
      </c>
      <c r="L32" s="14">
        <v>4.5999999999999999E-3</v>
      </c>
      <c r="N32" s="12">
        <v>30.99</v>
      </c>
      <c r="O32" s="86">
        <v>37.869999999999997</v>
      </c>
      <c r="P32" s="78"/>
      <c r="Q32" s="2">
        <f t="shared" si="0"/>
        <v>37.869999999999997</v>
      </c>
    </row>
    <row r="33" spans="1:17" ht="33" customHeight="1" x14ac:dyDescent="0.2">
      <c r="A33" s="9" t="s">
        <v>97</v>
      </c>
      <c r="B33" s="15">
        <v>97064</v>
      </c>
      <c r="C33" s="9" t="s">
        <v>56</v>
      </c>
      <c r="D33" s="47" t="s">
        <v>98</v>
      </c>
      <c r="E33" s="11" t="s">
        <v>99</v>
      </c>
      <c r="F33" s="16">
        <v>3770</v>
      </c>
      <c r="G33" s="73">
        <f>N33*$S$6</f>
        <v>32.04</v>
      </c>
      <c r="H33" s="73">
        <f t="shared" si="1"/>
        <v>120790.8</v>
      </c>
      <c r="I33" s="73">
        <f>O33*$S$6</f>
        <v>39.157499999999999</v>
      </c>
      <c r="J33" s="73">
        <f t="shared" si="4"/>
        <v>147623.76999999999</v>
      </c>
      <c r="K33" s="13">
        <v>196831.7</v>
      </c>
      <c r="L33" s="14">
        <v>1.6500000000000001E-2</v>
      </c>
      <c r="N33" s="12">
        <v>42.72</v>
      </c>
      <c r="O33" s="86">
        <v>52.21</v>
      </c>
      <c r="P33" s="78"/>
      <c r="Q33" s="2">
        <f t="shared" si="0"/>
        <v>52.21</v>
      </c>
    </row>
    <row r="34" spans="1:17" ht="33" customHeight="1" x14ac:dyDescent="0.2">
      <c r="A34" s="18" t="s">
        <v>100</v>
      </c>
      <c r="B34" s="19">
        <v>20193</v>
      </c>
      <c r="C34" s="18" t="s">
        <v>56</v>
      </c>
      <c r="D34" s="48" t="s">
        <v>101</v>
      </c>
      <c r="E34" s="20" t="s">
        <v>102</v>
      </c>
      <c r="F34" s="21">
        <v>910</v>
      </c>
      <c r="G34" s="75">
        <f>N34*$S$6</f>
        <v>18</v>
      </c>
      <c r="H34" s="73">
        <f t="shared" si="1"/>
        <v>16380</v>
      </c>
      <c r="I34" s="75">
        <f>O34*$S$6</f>
        <v>21.997499999999999</v>
      </c>
      <c r="J34" s="75">
        <f t="shared" si="4"/>
        <v>20017.72</v>
      </c>
      <c r="K34" s="23">
        <v>26690.3</v>
      </c>
      <c r="L34" s="24">
        <v>2.2000000000000001E-3</v>
      </c>
      <c r="N34" s="22">
        <v>24</v>
      </c>
      <c r="O34" s="87">
        <v>29.33</v>
      </c>
      <c r="P34" s="78"/>
      <c r="Q34" s="2">
        <f t="shared" si="0"/>
        <v>29.33</v>
      </c>
    </row>
    <row r="35" spans="1:17" ht="33" customHeight="1" x14ac:dyDescent="0.2">
      <c r="A35" s="18" t="s">
        <v>103</v>
      </c>
      <c r="B35" s="19">
        <v>10527</v>
      </c>
      <c r="C35" s="18" t="s">
        <v>56</v>
      </c>
      <c r="D35" s="49" t="s">
        <v>104</v>
      </c>
      <c r="E35" s="20" t="s">
        <v>105</v>
      </c>
      <c r="F35" s="21">
        <v>728</v>
      </c>
      <c r="G35" s="75">
        <f>N35*$S$6</f>
        <v>24</v>
      </c>
      <c r="H35" s="73">
        <f t="shared" si="1"/>
        <v>17472</v>
      </c>
      <c r="I35" s="75">
        <f>O35*$S$6</f>
        <v>29.3325</v>
      </c>
      <c r="J35" s="75">
        <f t="shared" si="4"/>
        <v>21354.06</v>
      </c>
      <c r="K35" s="23">
        <v>28472.080000000002</v>
      </c>
      <c r="L35" s="24">
        <v>2.3999999999999998E-3</v>
      </c>
      <c r="N35" s="22">
        <v>32</v>
      </c>
      <c r="O35" s="87">
        <v>39.11</v>
      </c>
      <c r="P35" s="78"/>
      <c r="Q35" s="2">
        <f t="shared" si="0"/>
        <v>39.11</v>
      </c>
    </row>
    <row r="36" spans="1:17" ht="33" customHeight="1" x14ac:dyDescent="0.2">
      <c r="A36" s="3">
        <v>3</v>
      </c>
      <c r="B36" s="4"/>
      <c r="C36" s="4"/>
      <c r="D36" s="45" t="s">
        <v>106</v>
      </c>
      <c r="E36" s="4"/>
      <c r="F36" s="6">
        <v>1</v>
      </c>
      <c r="G36" s="71"/>
      <c r="H36" s="73">
        <f t="shared" si="1"/>
        <v>0</v>
      </c>
      <c r="I36" s="71"/>
      <c r="J36" s="76">
        <f>J37+J41+J47</f>
        <v>129751.90000000001</v>
      </c>
      <c r="K36" s="7">
        <v>173002.56</v>
      </c>
      <c r="L36" s="8">
        <v>1.4500000000000001E-2</v>
      </c>
      <c r="N36" s="4"/>
      <c r="O36" s="88">
        <v>173002.56</v>
      </c>
      <c r="P36" s="78"/>
      <c r="Q36" s="2">
        <f t="shared" si="0"/>
        <v>173002.56</v>
      </c>
    </row>
    <row r="37" spans="1:17" ht="33" customHeight="1" x14ac:dyDescent="0.2">
      <c r="A37" s="5" t="s">
        <v>107</v>
      </c>
      <c r="B37" s="4"/>
      <c r="C37" s="4"/>
      <c r="D37" s="45" t="s">
        <v>108</v>
      </c>
      <c r="E37" s="4"/>
      <c r="F37" s="6">
        <v>1</v>
      </c>
      <c r="G37" s="71"/>
      <c r="H37" s="73">
        <f t="shared" si="1"/>
        <v>0</v>
      </c>
      <c r="I37" s="71"/>
      <c r="J37" s="76">
        <f>SUM(J38:J40)</f>
        <v>45730.520000000004</v>
      </c>
      <c r="K37" s="7">
        <v>60974.04</v>
      </c>
      <c r="L37" s="8">
        <v>5.1000000000000004E-3</v>
      </c>
      <c r="N37" s="4"/>
      <c r="O37" s="88">
        <v>60974.04</v>
      </c>
      <c r="P37" s="78"/>
      <c r="Q37" s="2">
        <f t="shared" si="0"/>
        <v>60974.04</v>
      </c>
    </row>
    <row r="38" spans="1:17" ht="33" customHeight="1" x14ac:dyDescent="0.2">
      <c r="A38" s="9" t="s">
        <v>109</v>
      </c>
      <c r="B38" s="10" t="s">
        <v>110</v>
      </c>
      <c r="C38" s="9" t="s">
        <v>24</v>
      </c>
      <c r="D38" s="47" t="s">
        <v>111</v>
      </c>
      <c r="E38" s="11" t="s">
        <v>99</v>
      </c>
      <c r="F38" s="16">
        <v>210</v>
      </c>
      <c r="G38" s="73">
        <f>N38*$S$6</f>
        <v>114.435</v>
      </c>
      <c r="H38" s="73">
        <f t="shared" si="1"/>
        <v>24031.35</v>
      </c>
      <c r="I38" s="73">
        <f>O38*$S$6</f>
        <v>139.86750000000001</v>
      </c>
      <c r="J38" s="73">
        <f t="shared" si="4"/>
        <v>29372.17</v>
      </c>
      <c r="K38" s="13">
        <v>39162.9</v>
      </c>
      <c r="L38" s="14">
        <v>3.3E-3</v>
      </c>
      <c r="N38" s="12">
        <v>152.58000000000001</v>
      </c>
      <c r="O38" s="86">
        <v>186.49</v>
      </c>
      <c r="P38" s="78"/>
      <c r="Q38" s="2">
        <f t="shared" si="0"/>
        <v>186.49</v>
      </c>
    </row>
    <row r="39" spans="1:17" ht="33" customHeight="1" x14ac:dyDescent="0.2">
      <c r="A39" s="9" t="s">
        <v>112</v>
      </c>
      <c r="B39" s="10" t="s">
        <v>113</v>
      </c>
      <c r="C39" s="9" t="s">
        <v>24</v>
      </c>
      <c r="D39" s="47" t="s">
        <v>114</v>
      </c>
      <c r="E39" s="11" t="s">
        <v>84</v>
      </c>
      <c r="F39" s="16">
        <v>1</v>
      </c>
      <c r="G39" s="73">
        <f>N39*$S$6</f>
        <v>5141.6099999999997</v>
      </c>
      <c r="H39" s="73">
        <f t="shared" si="1"/>
        <v>5141.6099999999997</v>
      </c>
      <c r="I39" s="73">
        <f>O39*$S$6</f>
        <v>6284.5875000000005</v>
      </c>
      <c r="J39" s="73">
        <f t="shared" si="4"/>
        <v>6284.58</v>
      </c>
      <c r="K39" s="13">
        <v>8379.4500000000007</v>
      </c>
      <c r="L39" s="14">
        <v>6.9999999999999999E-4</v>
      </c>
      <c r="N39" s="13">
        <v>6855.48</v>
      </c>
      <c r="O39" s="89">
        <v>8379.4500000000007</v>
      </c>
      <c r="P39" s="78"/>
      <c r="Q39" s="2">
        <f t="shared" si="0"/>
        <v>8379.4500000000007</v>
      </c>
    </row>
    <row r="40" spans="1:17" ht="33" customHeight="1" x14ac:dyDescent="0.2">
      <c r="A40" s="9" t="s">
        <v>115</v>
      </c>
      <c r="B40" s="10" t="s">
        <v>116</v>
      </c>
      <c r="C40" s="9" t="s">
        <v>24</v>
      </c>
      <c r="D40" s="47" t="s">
        <v>117</v>
      </c>
      <c r="E40" s="11" t="s">
        <v>118</v>
      </c>
      <c r="F40" s="17">
        <v>326.012</v>
      </c>
      <c r="G40" s="73">
        <f>N40*$S$6</f>
        <v>25.282499999999999</v>
      </c>
      <c r="H40" s="73">
        <f t="shared" si="1"/>
        <v>8242.39</v>
      </c>
      <c r="I40" s="73">
        <f>O40*$S$6</f>
        <v>30.900000000000002</v>
      </c>
      <c r="J40" s="73">
        <f t="shared" si="4"/>
        <v>10073.77</v>
      </c>
      <c r="K40" s="13">
        <v>13431.69</v>
      </c>
      <c r="L40" s="14">
        <v>1.1000000000000001E-3</v>
      </c>
      <c r="N40" s="12">
        <v>33.71</v>
      </c>
      <c r="O40" s="86">
        <v>41.2</v>
      </c>
      <c r="P40" s="78"/>
      <c r="Q40" s="2">
        <f t="shared" si="0"/>
        <v>41.19998650356429</v>
      </c>
    </row>
    <row r="41" spans="1:17" ht="33" customHeight="1" x14ac:dyDescent="0.2">
      <c r="A41" s="5" t="s">
        <v>119</v>
      </c>
      <c r="B41" s="4"/>
      <c r="C41" s="4"/>
      <c r="D41" s="45" t="s">
        <v>120</v>
      </c>
      <c r="E41" s="4"/>
      <c r="F41" s="6">
        <v>1</v>
      </c>
      <c r="G41" s="71"/>
      <c r="H41" s="73">
        <f t="shared" si="1"/>
        <v>0</v>
      </c>
      <c r="I41" s="71"/>
      <c r="J41" s="76">
        <f>SUM(J42:J46)</f>
        <v>28056.92</v>
      </c>
      <c r="K41" s="7">
        <v>37409.230000000003</v>
      </c>
      <c r="L41" s="8">
        <v>3.0999999999999999E-3</v>
      </c>
      <c r="N41" s="4"/>
      <c r="O41" s="88">
        <v>37409.230000000003</v>
      </c>
      <c r="P41" s="78"/>
      <c r="Q41" s="2">
        <f t="shared" si="0"/>
        <v>37409.230000000003</v>
      </c>
    </row>
    <row r="42" spans="1:17" ht="33" customHeight="1" x14ac:dyDescent="0.2">
      <c r="A42" s="9" t="s">
        <v>121</v>
      </c>
      <c r="B42" s="25" t="s">
        <v>122</v>
      </c>
      <c r="C42" s="9" t="s">
        <v>24</v>
      </c>
      <c r="D42" s="46" t="s">
        <v>123</v>
      </c>
      <c r="E42" s="11" t="s">
        <v>26</v>
      </c>
      <c r="F42" s="17">
        <v>3990.4189999999999</v>
      </c>
      <c r="G42" s="73">
        <f>N42*$S$6</f>
        <v>0.48750000000000004</v>
      </c>
      <c r="H42" s="73">
        <f t="shared" si="1"/>
        <v>1945.32</v>
      </c>
      <c r="I42" s="73">
        <f>O42*$S$6</f>
        <v>0.59250000000000003</v>
      </c>
      <c r="J42" s="73">
        <f t="shared" si="4"/>
        <v>2364.3200000000002</v>
      </c>
      <c r="K42" s="13">
        <v>3152.43</v>
      </c>
      <c r="L42" s="14">
        <v>2.9999999999999997E-4</v>
      </c>
      <c r="N42" s="12">
        <v>0.65</v>
      </c>
      <c r="O42" s="86">
        <v>0.79</v>
      </c>
      <c r="P42" s="78"/>
      <c r="Q42" s="2">
        <f t="shared" si="0"/>
        <v>0.78999974689374719</v>
      </c>
    </row>
    <row r="43" spans="1:17" ht="33" customHeight="1" x14ac:dyDescent="0.2">
      <c r="A43" s="9" t="s">
        <v>124</v>
      </c>
      <c r="B43" s="10" t="s">
        <v>125</v>
      </c>
      <c r="C43" s="9" t="s">
        <v>24</v>
      </c>
      <c r="D43" s="46" t="s">
        <v>126</v>
      </c>
      <c r="E43" s="11" t="s">
        <v>26</v>
      </c>
      <c r="F43" s="17">
        <v>3990.4189999999999</v>
      </c>
      <c r="G43" s="73">
        <f>N43*$S$6</f>
        <v>1.4175</v>
      </c>
      <c r="H43" s="73">
        <f t="shared" si="1"/>
        <v>5656.41</v>
      </c>
      <c r="I43" s="73">
        <f>O43*$S$6</f>
        <v>1.7324999999999999</v>
      </c>
      <c r="J43" s="73">
        <f t="shared" si="4"/>
        <v>6913.4</v>
      </c>
      <c r="K43" s="13">
        <v>9217.86</v>
      </c>
      <c r="L43" s="14">
        <v>8.0000000000000004E-4</v>
      </c>
      <c r="N43" s="12">
        <v>1.89</v>
      </c>
      <c r="O43" s="86">
        <v>2.31</v>
      </c>
      <c r="P43" s="78"/>
      <c r="Q43" s="2">
        <f t="shared" si="0"/>
        <v>2.3099980227640255</v>
      </c>
    </row>
    <row r="44" spans="1:17" ht="33" customHeight="1" x14ac:dyDescent="0.2">
      <c r="A44" s="9" t="s">
        <v>127</v>
      </c>
      <c r="B44" s="10" t="s">
        <v>128</v>
      </c>
      <c r="C44" s="9" t="s">
        <v>24</v>
      </c>
      <c r="D44" s="47" t="s">
        <v>129</v>
      </c>
      <c r="E44" s="11" t="s">
        <v>99</v>
      </c>
      <c r="F44" s="12">
        <v>200.69</v>
      </c>
      <c r="G44" s="73">
        <f>N44*$S$6</f>
        <v>20.745000000000001</v>
      </c>
      <c r="H44" s="73">
        <f t="shared" si="1"/>
        <v>4163.3100000000004</v>
      </c>
      <c r="I44" s="73">
        <f>O44*$S$6</f>
        <v>25.349999999999998</v>
      </c>
      <c r="J44" s="73">
        <f t="shared" si="4"/>
        <v>5087.49</v>
      </c>
      <c r="K44" s="13">
        <v>6783.32</v>
      </c>
      <c r="L44" s="14">
        <v>5.9999999999999995E-4</v>
      </c>
      <c r="N44" s="12">
        <v>27.66</v>
      </c>
      <c r="O44" s="86">
        <v>33.799999999999997</v>
      </c>
      <c r="P44" s="78"/>
      <c r="Q44" s="2">
        <f t="shared" si="0"/>
        <v>33.799990034381381</v>
      </c>
    </row>
    <row r="45" spans="1:17" ht="33" customHeight="1" x14ac:dyDescent="0.2">
      <c r="A45" s="9" t="s">
        <v>130</v>
      </c>
      <c r="B45" s="10" t="s">
        <v>131</v>
      </c>
      <c r="C45" s="9" t="s">
        <v>24</v>
      </c>
      <c r="D45" s="47" t="s">
        <v>132</v>
      </c>
      <c r="E45" s="11" t="s">
        <v>84</v>
      </c>
      <c r="F45" s="16">
        <v>23</v>
      </c>
      <c r="G45" s="73">
        <f>N45*$S$6</f>
        <v>474.255</v>
      </c>
      <c r="H45" s="73">
        <f t="shared" si="1"/>
        <v>10907.86</v>
      </c>
      <c r="I45" s="73">
        <f>O45*$S$6</f>
        <v>579.67499999999995</v>
      </c>
      <c r="J45" s="73">
        <f t="shared" si="4"/>
        <v>13332.52</v>
      </c>
      <c r="K45" s="13">
        <v>17776.7</v>
      </c>
      <c r="L45" s="14">
        <v>1.5E-3</v>
      </c>
      <c r="N45" s="12">
        <v>632.34</v>
      </c>
      <c r="O45" s="86">
        <v>772.9</v>
      </c>
      <c r="P45" s="78"/>
      <c r="Q45" s="2">
        <f t="shared" si="0"/>
        <v>772.9</v>
      </c>
    </row>
    <row r="46" spans="1:17" ht="33" customHeight="1" x14ac:dyDescent="0.2">
      <c r="A46" s="9" t="s">
        <v>133</v>
      </c>
      <c r="B46" s="10" t="s">
        <v>134</v>
      </c>
      <c r="C46" s="9" t="s">
        <v>24</v>
      </c>
      <c r="D46" s="47" t="s">
        <v>135</v>
      </c>
      <c r="E46" s="11" t="s">
        <v>84</v>
      </c>
      <c r="F46" s="16">
        <v>13</v>
      </c>
      <c r="G46" s="73">
        <f>N46*$S$6</f>
        <v>22.605</v>
      </c>
      <c r="H46" s="73">
        <f t="shared" si="1"/>
        <v>293.86</v>
      </c>
      <c r="I46" s="73">
        <f>O46*$S$6</f>
        <v>27.630000000000003</v>
      </c>
      <c r="J46" s="73">
        <f t="shared" si="4"/>
        <v>359.19</v>
      </c>
      <c r="K46" s="12">
        <v>478.92</v>
      </c>
      <c r="L46" s="14">
        <v>0</v>
      </c>
      <c r="N46" s="12">
        <v>30.14</v>
      </c>
      <c r="O46" s="86">
        <v>36.840000000000003</v>
      </c>
      <c r="P46" s="78"/>
      <c r="Q46" s="2">
        <f t="shared" si="0"/>
        <v>36.840000000000003</v>
      </c>
    </row>
    <row r="47" spans="1:17" ht="33" customHeight="1" x14ac:dyDescent="0.2">
      <c r="A47" s="5" t="s">
        <v>136</v>
      </c>
      <c r="B47" s="4"/>
      <c r="C47" s="4"/>
      <c r="D47" s="45" t="s">
        <v>137</v>
      </c>
      <c r="E47" s="4"/>
      <c r="F47" s="6">
        <v>1</v>
      </c>
      <c r="G47" s="71"/>
      <c r="H47" s="73">
        <f t="shared" si="1"/>
        <v>0</v>
      </c>
      <c r="I47" s="71"/>
      <c r="J47" s="76">
        <f>SUM(J48:J55)</f>
        <v>55964.460000000006</v>
      </c>
      <c r="K47" s="7">
        <v>74619.289999999994</v>
      </c>
      <c r="L47" s="8">
        <v>6.3E-3</v>
      </c>
      <c r="N47" s="4"/>
      <c r="O47" s="88">
        <v>74619.289999999994</v>
      </c>
      <c r="P47" s="78"/>
      <c r="Q47" s="2">
        <f t="shared" si="0"/>
        <v>74619.289999999994</v>
      </c>
    </row>
    <row r="48" spans="1:17" ht="33" customHeight="1" x14ac:dyDescent="0.2">
      <c r="A48" s="9" t="s">
        <v>138</v>
      </c>
      <c r="B48" s="15">
        <v>96522</v>
      </c>
      <c r="C48" s="9" t="s">
        <v>56</v>
      </c>
      <c r="D48" s="47" t="s">
        <v>139</v>
      </c>
      <c r="E48" s="11" t="s">
        <v>118</v>
      </c>
      <c r="F48" s="17">
        <v>43.454999999999998</v>
      </c>
      <c r="G48" s="73">
        <f t="shared" ref="G48:G55" si="9">N48*$S$6</f>
        <v>158.04</v>
      </c>
      <c r="H48" s="73">
        <f t="shared" si="1"/>
        <v>6867.62</v>
      </c>
      <c r="I48" s="73">
        <f t="shared" ref="I48:I55" si="10">O48*$S$6</f>
        <v>193.17000000000002</v>
      </c>
      <c r="J48" s="73">
        <f t="shared" si="4"/>
        <v>8394.2000000000007</v>
      </c>
      <c r="K48" s="13">
        <v>11192.26</v>
      </c>
      <c r="L48" s="14">
        <v>8.9999999999999998E-4</v>
      </c>
      <c r="N48" s="12">
        <v>210.72</v>
      </c>
      <c r="O48" s="86">
        <v>257.56</v>
      </c>
      <c r="P48" s="78"/>
      <c r="Q48" s="2">
        <f t="shared" si="0"/>
        <v>257.55977447934646</v>
      </c>
    </row>
    <row r="49" spans="1:17" ht="33" customHeight="1" x14ac:dyDescent="0.2">
      <c r="A49" s="9" t="s">
        <v>140</v>
      </c>
      <c r="B49" s="15">
        <v>101616</v>
      </c>
      <c r="C49" s="9" t="s">
        <v>56</v>
      </c>
      <c r="D49" s="47" t="s">
        <v>141</v>
      </c>
      <c r="E49" s="11" t="s">
        <v>26</v>
      </c>
      <c r="F49" s="12">
        <v>55.52</v>
      </c>
      <c r="G49" s="73">
        <f t="shared" si="9"/>
        <v>7.0575000000000001</v>
      </c>
      <c r="H49" s="73">
        <f t="shared" si="1"/>
        <v>391.83</v>
      </c>
      <c r="I49" s="73">
        <f t="shared" si="10"/>
        <v>8.625</v>
      </c>
      <c r="J49" s="73">
        <f t="shared" si="4"/>
        <v>478.86</v>
      </c>
      <c r="K49" s="12">
        <v>638.48</v>
      </c>
      <c r="L49" s="14">
        <v>1E-4</v>
      </c>
      <c r="N49" s="12">
        <v>9.41</v>
      </c>
      <c r="O49" s="86">
        <v>11.5</v>
      </c>
      <c r="P49" s="78"/>
      <c r="Q49" s="2">
        <f t="shared" si="0"/>
        <v>11.5</v>
      </c>
    </row>
    <row r="50" spans="1:17" ht="33" customHeight="1" x14ac:dyDescent="0.2">
      <c r="A50" s="9" t="s">
        <v>142</v>
      </c>
      <c r="B50" s="15">
        <v>93358</v>
      </c>
      <c r="C50" s="9" t="s">
        <v>56</v>
      </c>
      <c r="D50" s="47" t="s">
        <v>143</v>
      </c>
      <c r="E50" s="11" t="s">
        <v>118</v>
      </c>
      <c r="F50" s="17">
        <v>260.41899999999998</v>
      </c>
      <c r="G50" s="73">
        <f t="shared" si="9"/>
        <v>94.605000000000004</v>
      </c>
      <c r="H50" s="73">
        <f t="shared" si="1"/>
        <v>24636.93</v>
      </c>
      <c r="I50" s="73">
        <f t="shared" si="10"/>
        <v>115.63500000000001</v>
      </c>
      <c r="J50" s="73">
        <f t="shared" si="4"/>
        <v>30113.55</v>
      </c>
      <c r="K50" s="13">
        <v>40151.4</v>
      </c>
      <c r="L50" s="14">
        <v>3.3999999999999998E-3</v>
      </c>
      <c r="N50" s="12">
        <v>126.14</v>
      </c>
      <c r="O50" s="86">
        <v>154.18</v>
      </c>
      <c r="P50" s="78"/>
      <c r="Q50" s="2">
        <f t="shared" si="0"/>
        <v>154.17999454724887</v>
      </c>
    </row>
    <row r="51" spans="1:17" ht="33" customHeight="1" x14ac:dyDescent="0.2">
      <c r="A51" s="9" t="s">
        <v>144</v>
      </c>
      <c r="B51" s="15">
        <v>93382</v>
      </c>
      <c r="C51" s="9" t="s">
        <v>56</v>
      </c>
      <c r="D51" s="46" t="s">
        <v>145</v>
      </c>
      <c r="E51" s="11" t="s">
        <v>118</v>
      </c>
      <c r="F51" s="26">
        <v>247.39805000000001</v>
      </c>
      <c r="G51" s="73">
        <f t="shared" si="9"/>
        <v>28.087500000000002</v>
      </c>
      <c r="H51" s="73">
        <f t="shared" si="1"/>
        <v>6948.79</v>
      </c>
      <c r="I51" s="73">
        <f t="shared" si="10"/>
        <v>34.327500000000001</v>
      </c>
      <c r="J51" s="73">
        <f t="shared" si="4"/>
        <v>8492.5499999999993</v>
      </c>
      <c r="K51" s="13">
        <v>11323.4</v>
      </c>
      <c r="L51" s="14">
        <v>8.9999999999999998E-4</v>
      </c>
      <c r="N51" s="12">
        <v>37.450000000000003</v>
      </c>
      <c r="O51" s="86">
        <v>45.77</v>
      </c>
      <c r="P51" s="78"/>
      <c r="Q51" s="2">
        <f t="shared" si="0"/>
        <v>45.769964637958942</v>
      </c>
    </row>
    <row r="52" spans="1:17" ht="33" customHeight="1" x14ac:dyDescent="0.2">
      <c r="A52" s="9" t="s">
        <v>146</v>
      </c>
      <c r="B52" s="15">
        <v>102281</v>
      </c>
      <c r="C52" s="9" t="s">
        <v>56</v>
      </c>
      <c r="D52" s="47" t="s">
        <v>147</v>
      </c>
      <c r="E52" s="11" t="s">
        <v>118</v>
      </c>
      <c r="F52" s="17">
        <v>101.346</v>
      </c>
      <c r="G52" s="73">
        <f t="shared" si="9"/>
        <v>4.8825000000000003</v>
      </c>
      <c r="H52" s="73">
        <f t="shared" si="1"/>
        <v>494.82</v>
      </c>
      <c r="I52" s="73">
        <f t="shared" si="10"/>
        <v>5.9625000000000004</v>
      </c>
      <c r="J52" s="73">
        <f t="shared" si="4"/>
        <v>604.27</v>
      </c>
      <c r="K52" s="12">
        <v>805.7</v>
      </c>
      <c r="L52" s="14">
        <v>1E-4</v>
      </c>
      <c r="N52" s="12">
        <v>6.51</v>
      </c>
      <c r="O52" s="86">
        <v>7.95</v>
      </c>
      <c r="P52" s="78"/>
      <c r="Q52" s="2">
        <f t="shared" si="0"/>
        <v>7.9499930929686426</v>
      </c>
    </row>
    <row r="53" spans="1:17" ht="33" customHeight="1" x14ac:dyDescent="0.2">
      <c r="A53" s="9" t="s">
        <v>148</v>
      </c>
      <c r="B53" s="15">
        <v>101624</v>
      </c>
      <c r="C53" s="9" t="s">
        <v>56</v>
      </c>
      <c r="D53" s="47" t="s">
        <v>149</v>
      </c>
      <c r="E53" s="11" t="s">
        <v>118</v>
      </c>
      <c r="F53" s="17">
        <v>1.754</v>
      </c>
      <c r="G53" s="73">
        <f t="shared" si="9"/>
        <v>176.3775</v>
      </c>
      <c r="H53" s="73">
        <f t="shared" si="1"/>
        <v>309.36</v>
      </c>
      <c r="I53" s="73">
        <f t="shared" si="10"/>
        <v>215.57999999999998</v>
      </c>
      <c r="J53" s="73">
        <f t="shared" si="4"/>
        <v>378.12</v>
      </c>
      <c r="K53" s="12">
        <v>504.16</v>
      </c>
      <c r="L53" s="14">
        <v>0</v>
      </c>
      <c r="N53" s="12">
        <v>235.17</v>
      </c>
      <c r="O53" s="86">
        <v>287.44</v>
      </c>
      <c r="P53" s="78"/>
      <c r="Q53" s="2">
        <f t="shared" si="0"/>
        <v>287.43443557582668</v>
      </c>
    </row>
    <row r="54" spans="1:17" ht="33" customHeight="1" x14ac:dyDescent="0.2">
      <c r="A54" s="9" t="s">
        <v>150</v>
      </c>
      <c r="B54" s="15">
        <v>94319</v>
      </c>
      <c r="C54" s="9" t="s">
        <v>56</v>
      </c>
      <c r="D54" s="47" t="s">
        <v>151</v>
      </c>
      <c r="E54" s="11" t="s">
        <v>118</v>
      </c>
      <c r="F54" s="12">
        <v>17.21</v>
      </c>
      <c r="G54" s="73">
        <f t="shared" si="9"/>
        <v>68.460000000000008</v>
      </c>
      <c r="H54" s="73">
        <f t="shared" si="1"/>
        <v>1178.19</v>
      </c>
      <c r="I54" s="73">
        <f t="shared" si="10"/>
        <v>83.677499999999995</v>
      </c>
      <c r="J54" s="73">
        <f t="shared" si="4"/>
        <v>1440.08</v>
      </c>
      <c r="K54" s="13">
        <v>1920.11</v>
      </c>
      <c r="L54" s="14">
        <v>2.0000000000000001E-4</v>
      </c>
      <c r="N54" s="12">
        <v>91.28</v>
      </c>
      <c r="O54" s="86">
        <v>111.57</v>
      </c>
      <c r="P54" s="78"/>
      <c r="Q54" s="2">
        <f t="shared" si="0"/>
        <v>111.56943637420103</v>
      </c>
    </row>
    <row r="55" spans="1:17" ht="33" customHeight="1" x14ac:dyDescent="0.2">
      <c r="A55" s="9" t="s">
        <v>152</v>
      </c>
      <c r="B55" s="15">
        <v>101585</v>
      </c>
      <c r="C55" s="9" t="s">
        <v>56</v>
      </c>
      <c r="D55" s="46" t="s">
        <v>153</v>
      </c>
      <c r="E55" s="11" t="s">
        <v>26</v>
      </c>
      <c r="F55" s="12">
        <v>66.88</v>
      </c>
      <c r="G55" s="73">
        <f t="shared" si="9"/>
        <v>74.167500000000004</v>
      </c>
      <c r="H55" s="73">
        <f t="shared" si="1"/>
        <v>4960.32</v>
      </c>
      <c r="I55" s="73">
        <f t="shared" si="10"/>
        <v>90.652500000000003</v>
      </c>
      <c r="J55" s="73">
        <f t="shared" si="4"/>
        <v>6062.83</v>
      </c>
      <c r="K55" s="13">
        <v>8083.78</v>
      </c>
      <c r="L55" s="14">
        <v>6.9999999999999999E-4</v>
      </c>
      <c r="N55" s="12">
        <v>98.89</v>
      </c>
      <c r="O55" s="86">
        <v>120.87</v>
      </c>
      <c r="P55" s="78"/>
      <c r="Q55" s="2">
        <f t="shared" si="0"/>
        <v>120.86991626794259</v>
      </c>
    </row>
    <row r="56" spans="1:17" ht="33" customHeight="1" x14ac:dyDescent="0.2">
      <c r="A56" s="3">
        <v>4</v>
      </c>
      <c r="B56" s="4"/>
      <c r="C56" s="4"/>
      <c r="D56" s="45" t="s">
        <v>154</v>
      </c>
      <c r="E56" s="4"/>
      <c r="F56" s="6">
        <v>1</v>
      </c>
      <c r="G56" s="71"/>
      <c r="H56" s="73">
        <f t="shared" si="1"/>
        <v>0</v>
      </c>
      <c r="I56" s="71"/>
      <c r="J56" s="76">
        <f>J57+J60</f>
        <v>498154.44</v>
      </c>
      <c r="K56" s="7">
        <v>664205.93000000005</v>
      </c>
      <c r="L56" s="8">
        <v>5.57E-2</v>
      </c>
      <c r="N56" s="4"/>
      <c r="O56" s="88">
        <v>664205.93000000005</v>
      </c>
      <c r="P56" s="78"/>
      <c r="Q56" s="2">
        <f t="shared" si="0"/>
        <v>664205.93000000005</v>
      </c>
    </row>
    <row r="57" spans="1:17" ht="33" customHeight="1" x14ac:dyDescent="0.2">
      <c r="A57" s="5" t="s">
        <v>155</v>
      </c>
      <c r="B57" s="4"/>
      <c r="C57" s="4"/>
      <c r="D57" s="45" t="s">
        <v>156</v>
      </c>
      <c r="E57" s="4"/>
      <c r="F57" s="6">
        <v>1</v>
      </c>
      <c r="G57" s="71"/>
      <c r="H57" s="73">
        <f t="shared" si="1"/>
        <v>0</v>
      </c>
      <c r="I57" s="71"/>
      <c r="J57" s="76">
        <f>J58+J59</f>
        <v>32455.040000000001</v>
      </c>
      <c r="K57" s="7">
        <v>43273.38</v>
      </c>
      <c r="L57" s="8">
        <v>3.5999999999999999E-3</v>
      </c>
      <c r="N57" s="4"/>
      <c r="O57" s="88">
        <v>43273.38</v>
      </c>
      <c r="P57" s="78"/>
      <c r="Q57" s="2">
        <f t="shared" si="0"/>
        <v>43273.38</v>
      </c>
    </row>
    <row r="58" spans="1:17" ht="33" customHeight="1" x14ac:dyDescent="0.2">
      <c r="A58" s="9" t="s">
        <v>157</v>
      </c>
      <c r="B58" s="10" t="s">
        <v>158</v>
      </c>
      <c r="C58" s="9" t="s">
        <v>24</v>
      </c>
      <c r="D58" s="47" t="s">
        <v>159</v>
      </c>
      <c r="E58" s="11" t="s">
        <v>84</v>
      </c>
      <c r="F58" s="16">
        <v>1</v>
      </c>
      <c r="G58" s="73">
        <f>N58*$S$6</f>
        <v>10702.0725</v>
      </c>
      <c r="H58" s="73">
        <f t="shared" si="1"/>
        <v>10702.07</v>
      </c>
      <c r="I58" s="73">
        <f>O58*$S$6</f>
        <v>13081.14</v>
      </c>
      <c r="J58" s="73">
        <f t="shared" si="4"/>
        <v>13081.14</v>
      </c>
      <c r="K58" s="13">
        <v>17441.52</v>
      </c>
      <c r="L58" s="14">
        <v>1.5E-3</v>
      </c>
      <c r="N58" s="13">
        <v>14269.43</v>
      </c>
      <c r="O58" s="89">
        <v>17441.52</v>
      </c>
      <c r="P58" s="78"/>
      <c r="Q58" s="2">
        <f t="shared" si="0"/>
        <v>17441.52</v>
      </c>
    </row>
    <row r="59" spans="1:17" ht="33" customHeight="1" x14ac:dyDescent="0.2">
      <c r="A59" s="9" t="s">
        <v>160</v>
      </c>
      <c r="B59" s="27" t="s">
        <v>161</v>
      </c>
      <c r="C59" s="9" t="s">
        <v>24</v>
      </c>
      <c r="D59" s="47" t="s">
        <v>162</v>
      </c>
      <c r="E59" s="11" t="s">
        <v>118</v>
      </c>
      <c r="F59" s="26">
        <v>352.26875000000001</v>
      </c>
      <c r="G59" s="73">
        <f>N59*$S$6</f>
        <v>45</v>
      </c>
      <c r="H59" s="73">
        <f t="shared" si="1"/>
        <v>15852.09</v>
      </c>
      <c r="I59" s="73">
        <f>O59*$S$6</f>
        <v>54.997500000000002</v>
      </c>
      <c r="J59" s="73">
        <f t="shared" si="4"/>
        <v>19373.900000000001</v>
      </c>
      <c r="K59" s="13">
        <v>25831.86</v>
      </c>
      <c r="L59" s="14">
        <v>2.2000000000000001E-3</v>
      </c>
      <c r="N59" s="12">
        <v>60</v>
      </c>
      <c r="O59" s="86">
        <v>73.33</v>
      </c>
      <c r="P59" s="78"/>
      <c r="Q59" s="2">
        <f t="shared" si="0"/>
        <v>73.329978886858399</v>
      </c>
    </row>
    <row r="60" spans="1:17" ht="33" customHeight="1" x14ac:dyDescent="0.2">
      <c r="A60" s="5" t="s">
        <v>163</v>
      </c>
      <c r="B60" s="4"/>
      <c r="C60" s="4"/>
      <c r="D60" s="45" t="s">
        <v>164</v>
      </c>
      <c r="E60" s="4"/>
      <c r="F60" s="6">
        <v>1</v>
      </c>
      <c r="G60" s="71"/>
      <c r="H60" s="73">
        <f t="shared" si="1"/>
        <v>0</v>
      </c>
      <c r="I60" s="71"/>
      <c r="J60" s="76">
        <f>SUM(J61:J62)</f>
        <v>465699.4</v>
      </c>
      <c r="K60" s="7">
        <v>620932.55000000005</v>
      </c>
      <c r="L60" s="8">
        <v>5.1999999999999998E-2</v>
      </c>
      <c r="N60" s="4"/>
      <c r="O60" s="88">
        <v>620932.55000000005</v>
      </c>
      <c r="P60" s="78"/>
      <c r="Q60" s="2">
        <f t="shared" si="0"/>
        <v>620932.55000000005</v>
      </c>
    </row>
    <row r="61" spans="1:17" ht="33" customHeight="1" x14ac:dyDescent="0.2">
      <c r="A61" s="9" t="s">
        <v>165</v>
      </c>
      <c r="B61" s="15">
        <v>100652</v>
      </c>
      <c r="C61" s="9" t="s">
        <v>56</v>
      </c>
      <c r="D61" s="47" t="s">
        <v>166</v>
      </c>
      <c r="E61" s="11" t="s">
        <v>99</v>
      </c>
      <c r="F61" s="16">
        <v>1795</v>
      </c>
      <c r="G61" s="73">
        <f>N61*$S$6</f>
        <v>210.70499999999998</v>
      </c>
      <c r="H61" s="73">
        <f t="shared" si="1"/>
        <v>378215.47</v>
      </c>
      <c r="I61" s="73">
        <f>O61*$S$6</f>
        <v>257.54250000000002</v>
      </c>
      <c r="J61" s="73">
        <f t="shared" si="4"/>
        <v>462288.78</v>
      </c>
      <c r="K61" s="13">
        <v>616385.05000000005</v>
      </c>
      <c r="L61" s="14">
        <v>5.1700000000000003E-2</v>
      </c>
      <c r="N61" s="12">
        <v>280.94</v>
      </c>
      <c r="O61" s="86">
        <v>343.39</v>
      </c>
      <c r="P61" s="78"/>
      <c r="Q61" s="2">
        <f t="shared" si="0"/>
        <v>343.39000000000004</v>
      </c>
    </row>
    <row r="62" spans="1:17" ht="33" customHeight="1" x14ac:dyDescent="0.2">
      <c r="A62" s="9" t="s">
        <v>167</v>
      </c>
      <c r="B62" s="15">
        <v>95602</v>
      </c>
      <c r="C62" s="9" t="s">
        <v>56</v>
      </c>
      <c r="D62" s="46" t="s">
        <v>168</v>
      </c>
      <c r="E62" s="11" t="s">
        <v>84</v>
      </c>
      <c r="F62" s="16">
        <v>85</v>
      </c>
      <c r="G62" s="73">
        <f>N62*$S$6</f>
        <v>32.827500000000001</v>
      </c>
      <c r="H62" s="73">
        <f t="shared" si="1"/>
        <v>2790.33</v>
      </c>
      <c r="I62" s="73">
        <f>O62*$S$6</f>
        <v>40.125</v>
      </c>
      <c r="J62" s="73">
        <f t="shared" si="4"/>
        <v>3410.62</v>
      </c>
      <c r="K62" s="13">
        <v>4547.5</v>
      </c>
      <c r="L62" s="14">
        <v>4.0000000000000002E-4</v>
      </c>
      <c r="N62" s="12">
        <v>43.77</v>
      </c>
      <c r="O62" s="86">
        <v>53.5</v>
      </c>
      <c r="P62" s="78"/>
      <c r="Q62" s="2">
        <f t="shared" si="0"/>
        <v>53.5</v>
      </c>
    </row>
    <row r="63" spans="1:17" ht="33" customHeight="1" x14ac:dyDescent="0.2">
      <c r="A63" s="3">
        <v>5</v>
      </c>
      <c r="B63" s="4"/>
      <c r="C63" s="4"/>
      <c r="D63" s="45" t="s">
        <v>169</v>
      </c>
      <c r="E63" s="4"/>
      <c r="F63" s="6">
        <v>1</v>
      </c>
      <c r="G63" s="71"/>
      <c r="H63" s="73">
        <f t="shared" si="1"/>
        <v>0</v>
      </c>
      <c r="I63" s="71"/>
      <c r="J63" s="76">
        <f>J64+J78+J85+J101+J108+J123</f>
        <v>1522459.14</v>
      </c>
      <c r="K63" s="7">
        <v>2029945.62</v>
      </c>
      <c r="L63" s="8">
        <v>0.1701</v>
      </c>
      <c r="N63" s="4"/>
      <c r="O63" s="88">
        <v>2029945.62</v>
      </c>
      <c r="P63" s="78"/>
      <c r="Q63" s="2">
        <f t="shared" si="0"/>
        <v>2029945.62</v>
      </c>
    </row>
    <row r="64" spans="1:17" ht="33" customHeight="1" x14ac:dyDescent="0.2">
      <c r="A64" s="5" t="s">
        <v>170</v>
      </c>
      <c r="B64" s="4"/>
      <c r="C64" s="4"/>
      <c r="D64" s="45" t="s">
        <v>171</v>
      </c>
      <c r="E64" s="4"/>
      <c r="F64" s="6">
        <v>1</v>
      </c>
      <c r="G64" s="71"/>
      <c r="H64" s="73">
        <f t="shared" si="1"/>
        <v>0</v>
      </c>
      <c r="I64" s="71"/>
      <c r="J64" s="76">
        <f>SUM(J65:J77)</f>
        <v>210757.52999999997</v>
      </c>
      <c r="K64" s="7">
        <v>281010.05</v>
      </c>
      <c r="L64" s="8">
        <v>2.3599999999999999E-2</v>
      </c>
      <c r="N64" s="4"/>
      <c r="O64" s="88">
        <v>281010.05</v>
      </c>
      <c r="P64" s="78"/>
      <c r="Q64" s="2">
        <f t="shared" si="0"/>
        <v>281010.05</v>
      </c>
    </row>
    <row r="65" spans="1:17" ht="33" customHeight="1" x14ac:dyDescent="0.2">
      <c r="A65" s="9" t="s">
        <v>172</v>
      </c>
      <c r="B65" s="15">
        <v>102473</v>
      </c>
      <c r="C65" s="9" t="s">
        <v>56</v>
      </c>
      <c r="D65" s="46" t="s">
        <v>173</v>
      </c>
      <c r="E65" s="11" t="s">
        <v>118</v>
      </c>
      <c r="F65" s="17">
        <v>3.121</v>
      </c>
      <c r="G65" s="73">
        <f t="shared" ref="G65:G77" si="11">N65*$S$6</f>
        <v>431.58750000000003</v>
      </c>
      <c r="H65" s="73">
        <f t="shared" si="1"/>
        <v>1346.98</v>
      </c>
      <c r="I65" s="73">
        <f t="shared" ref="I65:I77" si="12">O65*$S$6</f>
        <v>527.52750000000003</v>
      </c>
      <c r="J65" s="73">
        <f t="shared" si="4"/>
        <v>1646.41</v>
      </c>
      <c r="K65" s="13">
        <v>2195.21</v>
      </c>
      <c r="L65" s="14">
        <v>2.0000000000000001E-4</v>
      </c>
      <c r="N65" s="12">
        <v>575.45000000000005</v>
      </c>
      <c r="O65" s="86">
        <v>703.37</v>
      </c>
      <c r="P65" s="78"/>
      <c r="Q65" s="2">
        <f t="shared" si="0"/>
        <v>703.36751041332911</v>
      </c>
    </row>
    <row r="66" spans="1:17" ht="33" customHeight="1" x14ac:dyDescent="0.2">
      <c r="A66" s="9" t="s">
        <v>174</v>
      </c>
      <c r="B66" s="15">
        <v>96540</v>
      </c>
      <c r="C66" s="9" t="s">
        <v>56</v>
      </c>
      <c r="D66" s="47" t="s">
        <v>175</v>
      </c>
      <c r="E66" s="11" t="s">
        <v>26</v>
      </c>
      <c r="F66" s="12">
        <v>204.94</v>
      </c>
      <c r="G66" s="73">
        <f t="shared" si="11"/>
        <v>124.46249999999999</v>
      </c>
      <c r="H66" s="73">
        <f t="shared" si="1"/>
        <v>25507.34</v>
      </c>
      <c r="I66" s="73">
        <f t="shared" si="12"/>
        <v>152.13</v>
      </c>
      <c r="J66" s="73">
        <f t="shared" si="4"/>
        <v>31177.52</v>
      </c>
      <c r="K66" s="13">
        <v>41570.019999999997</v>
      </c>
      <c r="L66" s="14">
        <v>3.5000000000000001E-3</v>
      </c>
      <c r="N66" s="12">
        <v>165.95</v>
      </c>
      <c r="O66" s="86">
        <v>202.84</v>
      </c>
      <c r="P66" s="78"/>
      <c r="Q66" s="2">
        <f t="shared" si="0"/>
        <v>202.83995315702154</v>
      </c>
    </row>
    <row r="67" spans="1:17" ht="33" customHeight="1" x14ac:dyDescent="0.2">
      <c r="A67" s="9" t="s">
        <v>176</v>
      </c>
      <c r="B67" s="15">
        <v>96536</v>
      </c>
      <c r="C67" s="9" t="s">
        <v>56</v>
      </c>
      <c r="D67" s="47" t="s">
        <v>177</v>
      </c>
      <c r="E67" s="11" t="s">
        <v>26</v>
      </c>
      <c r="F67" s="17">
        <v>312.59800000000001</v>
      </c>
      <c r="G67" s="73">
        <f t="shared" si="11"/>
        <v>65.760000000000005</v>
      </c>
      <c r="H67" s="73">
        <f t="shared" si="1"/>
        <v>20556.439999999999</v>
      </c>
      <c r="I67" s="73">
        <f t="shared" si="12"/>
        <v>80.377499999999998</v>
      </c>
      <c r="J67" s="73">
        <f t="shared" si="4"/>
        <v>25125.84</v>
      </c>
      <c r="K67" s="13">
        <v>33501.120000000003</v>
      </c>
      <c r="L67" s="14">
        <v>2.8E-3</v>
      </c>
      <c r="N67" s="12">
        <v>87.68</v>
      </c>
      <c r="O67" s="86">
        <v>107.17</v>
      </c>
      <c r="P67" s="78"/>
      <c r="Q67" s="2">
        <f t="shared" si="0"/>
        <v>107.16997549568455</v>
      </c>
    </row>
    <row r="68" spans="1:17" ht="33" customHeight="1" x14ac:dyDescent="0.2">
      <c r="A68" s="9" t="s">
        <v>178</v>
      </c>
      <c r="B68" s="15">
        <v>96545</v>
      </c>
      <c r="C68" s="9" t="s">
        <v>56</v>
      </c>
      <c r="D68" s="47" t="s">
        <v>179</v>
      </c>
      <c r="E68" s="11" t="s">
        <v>180</v>
      </c>
      <c r="F68" s="17">
        <v>4.774</v>
      </c>
      <c r="G68" s="73">
        <f t="shared" si="11"/>
        <v>13.59</v>
      </c>
      <c r="H68" s="73">
        <f t="shared" si="1"/>
        <v>64.87</v>
      </c>
      <c r="I68" s="73">
        <f t="shared" si="12"/>
        <v>16.605</v>
      </c>
      <c r="J68" s="73">
        <f t="shared" si="4"/>
        <v>79.27</v>
      </c>
      <c r="K68" s="12">
        <v>105.69</v>
      </c>
      <c r="L68" s="14">
        <v>0</v>
      </c>
      <c r="N68" s="12">
        <v>18.12</v>
      </c>
      <c r="O68" s="86">
        <v>22.14</v>
      </c>
      <c r="P68" s="78"/>
      <c r="Q68" s="2">
        <f t="shared" si="0"/>
        <v>22.138667783829074</v>
      </c>
    </row>
    <row r="69" spans="1:17" ht="33" customHeight="1" x14ac:dyDescent="0.2">
      <c r="A69" s="9" t="s">
        <v>181</v>
      </c>
      <c r="B69" s="15">
        <v>96546</v>
      </c>
      <c r="C69" s="9" t="s">
        <v>56</v>
      </c>
      <c r="D69" s="46" t="s">
        <v>182</v>
      </c>
      <c r="E69" s="11" t="s">
        <v>180</v>
      </c>
      <c r="F69" s="12">
        <v>1839.22</v>
      </c>
      <c r="G69" s="73">
        <f t="shared" si="11"/>
        <v>11.602500000000001</v>
      </c>
      <c r="H69" s="73">
        <f t="shared" si="1"/>
        <v>21339.55</v>
      </c>
      <c r="I69" s="73">
        <f t="shared" si="12"/>
        <v>14.174999999999999</v>
      </c>
      <c r="J69" s="73">
        <f t="shared" si="4"/>
        <v>26070.94</v>
      </c>
      <c r="K69" s="13">
        <v>34761.25</v>
      </c>
      <c r="L69" s="14">
        <v>2.8999999999999998E-3</v>
      </c>
      <c r="N69" s="12">
        <v>15.47</v>
      </c>
      <c r="O69" s="86">
        <v>18.899999999999999</v>
      </c>
      <c r="P69" s="78"/>
      <c r="Q69" s="2">
        <f t="shared" si="0"/>
        <v>18.89999565033003</v>
      </c>
    </row>
    <row r="70" spans="1:17" ht="33" customHeight="1" x14ac:dyDescent="0.2">
      <c r="A70" s="9" t="s">
        <v>183</v>
      </c>
      <c r="B70" s="15">
        <v>104920</v>
      </c>
      <c r="C70" s="9" t="s">
        <v>56</v>
      </c>
      <c r="D70" s="47" t="s">
        <v>184</v>
      </c>
      <c r="E70" s="11" t="s">
        <v>180</v>
      </c>
      <c r="F70" s="12">
        <v>353.91</v>
      </c>
      <c r="G70" s="73">
        <f t="shared" si="11"/>
        <v>8.5874999999999986</v>
      </c>
      <c r="H70" s="73">
        <f t="shared" si="1"/>
        <v>3039.2</v>
      </c>
      <c r="I70" s="73">
        <f t="shared" si="12"/>
        <v>10.4925</v>
      </c>
      <c r="J70" s="73">
        <f t="shared" si="4"/>
        <v>3713.4</v>
      </c>
      <c r="K70" s="13">
        <v>4951.2</v>
      </c>
      <c r="L70" s="14">
        <v>4.0000000000000002E-4</v>
      </c>
      <c r="N70" s="12">
        <v>11.45</v>
      </c>
      <c r="O70" s="86">
        <v>13.99</v>
      </c>
      <c r="P70" s="78"/>
      <c r="Q70" s="2">
        <f t="shared" si="0"/>
        <v>13.989997456980587</v>
      </c>
    </row>
    <row r="71" spans="1:17" ht="33" customHeight="1" x14ac:dyDescent="0.2">
      <c r="A71" s="9" t="s">
        <v>185</v>
      </c>
      <c r="B71" s="15">
        <v>104916</v>
      </c>
      <c r="C71" s="9" t="s">
        <v>56</v>
      </c>
      <c r="D71" s="47" t="s">
        <v>186</v>
      </c>
      <c r="E71" s="11" t="s">
        <v>180</v>
      </c>
      <c r="F71" s="17">
        <v>346.74599999999998</v>
      </c>
      <c r="G71" s="73">
        <f t="shared" si="11"/>
        <v>14.782500000000001</v>
      </c>
      <c r="H71" s="73">
        <f t="shared" si="1"/>
        <v>5125.7700000000004</v>
      </c>
      <c r="I71" s="73">
        <f t="shared" si="12"/>
        <v>18.067499999999999</v>
      </c>
      <c r="J71" s="73">
        <f t="shared" si="4"/>
        <v>6264.83</v>
      </c>
      <c r="K71" s="13">
        <v>8353.11</v>
      </c>
      <c r="L71" s="14">
        <v>6.9999999999999999E-4</v>
      </c>
      <c r="N71" s="12">
        <v>19.71</v>
      </c>
      <c r="O71" s="86">
        <v>24.09</v>
      </c>
      <c r="P71" s="78"/>
      <c r="Q71" s="2">
        <f t="shared" ref="Q71:Q134" si="13">K71/F71</f>
        <v>24.089996712290844</v>
      </c>
    </row>
    <row r="72" spans="1:17" ht="33" customHeight="1" x14ac:dyDescent="0.2">
      <c r="A72" s="9" t="s">
        <v>187</v>
      </c>
      <c r="B72" s="15">
        <v>104918</v>
      </c>
      <c r="C72" s="9" t="s">
        <v>56</v>
      </c>
      <c r="D72" s="47" t="s">
        <v>188</v>
      </c>
      <c r="E72" s="11" t="s">
        <v>180</v>
      </c>
      <c r="F72" s="17">
        <v>666.88400000000001</v>
      </c>
      <c r="G72" s="73">
        <f t="shared" si="11"/>
        <v>11.692499999999999</v>
      </c>
      <c r="H72" s="73">
        <f t="shared" ref="H72:H135" si="14">TRUNC(G72*F72,2)</f>
        <v>7797.54</v>
      </c>
      <c r="I72" s="73">
        <f t="shared" si="12"/>
        <v>14.287500000000001</v>
      </c>
      <c r="J72" s="73">
        <f t="shared" ref="J72:J134" si="15">TRUNC(I72*F72,2)</f>
        <v>9528.1</v>
      </c>
      <c r="K72" s="13">
        <v>12704.14</v>
      </c>
      <c r="L72" s="14">
        <v>1.1000000000000001E-3</v>
      </c>
      <c r="N72" s="12">
        <v>15.59</v>
      </c>
      <c r="O72" s="86">
        <v>19.05</v>
      </c>
      <c r="P72" s="78"/>
      <c r="Q72" s="2">
        <f t="shared" si="13"/>
        <v>19.049999700097768</v>
      </c>
    </row>
    <row r="73" spans="1:17" ht="33" customHeight="1" x14ac:dyDescent="0.2">
      <c r="A73" s="9" t="s">
        <v>189</v>
      </c>
      <c r="B73" s="15">
        <v>104919</v>
      </c>
      <c r="C73" s="9" t="s">
        <v>56</v>
      </c>
      <c r="D73" s="47" t="s">
        <v>190</v>
      </c>
      <c r="E73" s="11" t="s">
        <v>180</v>
      </c>
      <c r="F73" s="17">
        <v>40.027000000000001</v>
      </c>
      <c r="G73" s="73">
        <f t="shared" si="11"/>
        <v>10.23</v>
      </c>
      <c r="H73" s="73">
        <f t="shared" si="14"/>
        <v>409.47</v>
      </c>
      <c r="I73" s="73">
        <f t="shared" si="12"/>
        <v>12.502500000000001</v>
      </c>
      <c r="J73" s="73">
        <f t="shared" si="15"/>
        <v>500.43</v>
      </c>
      <c r="K73" s="12">
        <v>667.25</v>
      </c>
      <c r="L73" s="14">
        <v>1E-4</v>
      </c>
      <c r="N73" s="12">
        <v>13.64</v>
      </c>
      <c r="O73" s="86">
        <v>16.670000000000002</v>
      </c>
      <c r="P73" s="78"/>
      <c r="Q73" s="2">
        <f t="shared" si="13"/>
        <v>16.669997751517727</v>
      </c>
    </row>
    <row r="74" spans="1:17" ht="33" customHeight="1" x14ac:dyDescent="0.2">
      <c r="A74" s="28">
        <v>40299</v>
      </c>
      <c r="B74" s="15">
        <v>104920</v>
      </c>
      <c r="C74" s="9" t="s">
        <v>56</v>
      </c>
      <c r="D74" s="47" t="s">
        <v>184</v>
      </c>
      <c r="E74" s="11" t="s">
        <v>180</v>
      </c>
      <c r="F74" s="17">
        <v>12.164999999999999</v>
      </c>
      <c r="G74" s="73">
        <f t="shared" si="11"/>
        <v>8.5874999999999986</v>
      </c>
      <c r="H74" s="73">
        <f t="shared" si="14"/>
        <v>104.46</v>
      </c>
      <c r="I74" s="73">
        <f t="shared" si="12"/>
        <v>10.4925</v>
      </c>
      <c r="J74" s="73">
        <f t="shared" si="15"/>
        <v>127.64</v>
      </c>
      <c r="K74" s="12">
        <v>170.18</v>
      </c>
      <c r="L74" s="14">
        <v>0</v>
      </c>
      <c r="N74" s="12">
        <v>11.45</v>
      </c>
      <c r="O74" s="86">
        <v>13.99</v>
      </c>
      <c r="P74" s="78"/>
      <c r="Q74" s="2">
        <f t="shared" si="13"/>
        <v>13.989313604603371</v>
      </c>
    </row>
    <row r="75" spans="1:17" ht="33" customHeight="1" x14ac:dyDescent="0.2">
      <c r="A75" s="28">
        <v>40664</v>
      </c>
      <c r="B75" s="15">
        <v>96557</v>
      </c>
      <c r="C75" s="9" t="s">
        <v>56</v>
      </c>
      <c r="D75" s="47" t="s">
        <v>191</v>
      </c>
      <c r="E75" s="11" t="s">
        <v>118</v>
      </c>
      <c r="F75" s="17">
        <v>63.536999999999999</v>
      </c>
      <c r="G75" s="73">
        <f t="shared" si="11"/>
        <v>551.95500000000004</v>
      </c>
      <c r="H75" s="73">
        <f t="shared" si="14"/>
        <v>35069.56</v>
      </c>
      <c r="I75" s="73">
        <f t="shared" si="12"/>
        <v>674.64750000000004</v>
      </c>
      <c r="J75" s="73">
        <f t="shared" si="15"/>
        <v>42865.07</v>
      </c>
      <c r="K75" s="13">
        <v>57153.43</v>
      </c>
      <c r="L75" s="14">
        <v>4.7999999999999996E-3</v>
      </c>
      <c r="N75" s="12">
        <v>735.94</v>
      </c>
      <c r="O75" s="86">
        <v>899.53</v>
      </c>
      <c r="P75" s="78"/>
      <c r="Q75" s="2">
        <f t="shared" si="13"/>
        <v>899.52988022726913</v>
      </c>
    </row>
    <row r="76" spans="1:17" ht="33" customHeight="1" x14ac:dyDescent="0.2">
      <c r="A76" s="28">
        <v>41030</v>
      </c>
      <c r="B76" s="15">
        <v>98557</v>
      </c>
      <c r="C76" s="9" t="s">
        <v>56</v>
      </c>
      <c r="D76" s="47" t="s">
        <v>192</v>
      </c>
      <c r="E76" s="11" t="s">
        <v>26</v>
      </c>
      <c r="F76" s="17">
        <v>517.53800000000001</v>
      </c>
      <c r="G76" s="73">
        <f t="shared" si="11"/>
        <v>43.852499999999999</v>
      </c>
      <c r="H76" s="73">
        <f t="shared" si="14"/>
        <v>22695.33</v>
      </c>
      <c r="I76" s="73">
        <f t="shared" si="12"/>
        <v>53.594999999999999</v>
      </c>
      <c r="J76" s="73">
        <f t="shared" si="15"/>
        <v>27737.439999999999</v>
      </c>
      <c r="K76" s="13">
        <v>36983.26</v>
      </c>
      <c r="L76" s="14">
        <v>3.0999999999999999E-3</v>
      </c>
      <c r="N76" s="12">
        <v>58.47</v>
      </c>
      <c r="O76" s="86">
        <v>71.459999999999994</v>
      </c>
      <c r="P76" s="78"/>
      <c r="Q76" s="2">
        <f t="shared" si="13"/>
        <v>71.459989411405545</v>
      </c>
    </row>
    <row r="77" spans="1:17" ht="33" customHeight="1" x14ac:dyDescent="0.2">
      <c r="A77" s="28">
        <v>41395</v>
      </c>
      <c r="B77" s="25" t="s">
        <v>193</v>
      </c>
      <c r="C77" s="9" t="s">
        <v>24</v>
      </c>
      <c r="D77" s="47" t="s">
        <v>194</v>
      </c>
      <c r="E77" s="11" t="s">
        <v>180</v>
      </c>
      <c r="F77" s="12">
        <v>1270.74</v>
      </c>
      <c r="G77" s="73">
        <f t="shared" si="11"/>
        <v>23.13</v>
      </c>
      <c r="H77" s="73">
        <f t="shared" si="14"/>
        <v>29392.21</v>
      </c>
      <c r="I77" s="73">
        <f t="shared" si="12"/>
        <v>28.267499999999998</v>
      </c>
      <c r="J77" s="73">
        <f t="shared" si="15"/>
        <v>35920.639999999999</v>
      </c>
      <c r="K77" s="13">
        <v>47894.19</v>
      </c>
      <c r="L77" s="14">
        <v>4.0000000000000001E-3</v>
      </c>
      <c r="N77" s="12">
        <v>30.84</v>
      </c>
      <c r="O77" s="86">
        <v>37.69</v>
      </c>
      <c r="P77" s="78"/>
      <c r="Q77" s="2">
        <f t="shared" si="13"/>
        <v>37.689999527834175</v>
      </c>
    </row>
    <row r="78" spans="1:17" ht="33" customHeight="1" x14ac:dyDescent="0.2">
      <c r="A78" s="5" t="s">
        <v>195</v>
      </c>
      <c r="B78" s="4"/>
      <c r="C78" s="4"/>
      <c r="D78" s="45" t="s">
        <v>196</v>
      </c>
      <c r="E78" s="4"/>
      <c r="F78" s="6">
        <v>1</v>
      </c>
      <c r="G78" s="71"/>
      <c r="H78" s="73">
        <f t="shared" si="14"/>
        <v>0</v>
      </c>
      <c r="I78" s="71"/>
      <c r="J78" s="76">
        <f>SUM(J79:J84)</f>
        <v>148625.05000000002</v>
      </c>
      <c r="K78" s="7">
        <v>198166.73</v>
      </c>
      <c r="L78" s="8">
        <v>1.66E-2</v>
      </c>
      <c r="N78" s="4"/>
      <c r="O78" s="88">
        <v>198166.73</v>
      </c>
      <c r="P78" s="78"/>
      <c r="Q78" s="2">
        <f t="shared" si="13"/>
        <v>198166.73</v>
      </c>
    </row>
    <row r="79" spans="1:17" ht="33" customHeight="1" x14ac:dyDescent="0.2">
      <c r="A79" s="9" t="s">
        <v>197</v>
      </c>
      <c r="B79" s="15">
        <v>92419</v>
      </c>
      <c r="C79" s="9" t="s">
        <v>56</v>
      </c>
      <c r="D79" s="47" t="s">
        <v>198</v>
      </c>
      <c r="E79" s="11" t="s">
        <v>26</v>
      </c>
      <c r="F79" s="17">
        <v>680.04700000000003</v>
      </c>
      <c r="G79" s="73">
        <f t="shared" ref="G79:G84" si="16">N79*$S$6</f>
        <v>83.594999999999999</v>
      </c>
      <c r="H79" s="73">
        <f t="shared" si="14"/>
        <v>56848.52</v>
      </c>
      <c r="I79" s="73">
        <f t="shared" ref="I79:I84" si="17">O79*$S$6</f>
        <v>102.17249999999999</v>
      </c>
      <c r="J79" s="73">
        <f t="shared" si="15"/>
        <v>69482.100000000006</v>
      </c>
      <c r="K79" s="13">
        <v>92642.8</v>
      </c>
      <c r="L79" s="14">
        <v>7.7999999999999996E-3</v>
      </c>
      <c r="N79" s="12">
        <v>111.46</v>
      </c>
      <c r="O79" s="86">
        <v>136.22999999999999</v>
      </c>
      <c r="P79" s="78"/>
      <c r="Q79" s="2">
        <f t="shared" si="13"/>
        <v>136.22999586793264</v>
      </c>
    </row>
    <row r="80" spans="1:17" ht="33" customHeight="1" x14ac:dyDescent="0.2">
      <c r="A80" s="9" t="s">
        <v>199</v>
      </c>
      <c r="B80" s="15">
        <v>92759</v>
      </c>
      <c r="C80" s="9" t="s">
        <v>56</v>
      </c>
      <c r="D80" s="47" t="s">
        <v>200</v>
      </c>
      <c r="E80" s="11" t="s">
        <v>180</v>
      </c>
      <c r="F80" s="17">
        <v>1252.8889999999999</v>
      </c>
      <c r="G80" s="73">
        <f t="shared" si="16"/>
        <v>11.925000000000001</v>
      </c>
      <c r="H80" s="73">
        <f t="shared" si="14"/>
        <v>14940.7</v>
      </c>
      <c r="I80" s="73">
        <f t="shared" si="17"/>
        <v>14.5725</v>
      </c>
      <c r="J80" s="73">
        <f t="shared" si="15"/>
        <v>18257.72</v>
      </c>
      <c r="K80" s="13">
        <v>24343.63</v>
      </c>
      <c r="L80" s="14">
        <v>2E-3</v>
      </c>
      <c r="N80" s="12">
        <v>15.9</v>
      </c>
      <c r="O80" s="86">
        <v>19.43</v>
      </c>
      <c r="P80" s="78"/>
      <c r="Q80" s="2">
        <f t="shared" si="13"/>
        <v>19.42999739003216</v>
      </c>
    </row>
    <row r="81" spans="1:17" ht="33" customHeight="1" x14ac:dyDescent="0.2">
      <c r="A81" s="9" t="s">
        <v>201</v>
      </c>
      <c r="B81" s="15">
        <v>92760</v>
      </c>
      <c r="C81" s="9" t="s">
        <v>56</v>
      </c>
      <c r="D81" s="47" t="s">
        <v>202</v>
      </c>
      <c r="E81" s="11" t="s">
        <v>180</v>
      </c>
      <c r="F81" s="17">
        <v>33.081000000000003</v>
      </c>
      <c r="G81" s="73">
        <f t="shared" si="16"/>
        <v>10.672499999999999</v>
      </c>
      <c r="H81" s="73">
        <f t="shared" si="14"/>
        <v>353.05</v>
      </c>
      <c r="I81" s="73">
        <f t="shared" si="17"/>
        <v>13.0425</v>
      </c>
      <c r="J81" s="73">
        <f t="shared" si="15"/>
        <v>431.45</v>
      </c>
      <c r="K81" s="12">
        <v>575.27</v>
      </c>
      <c r="L81" s="14">
        <v>0</v>
      </c>
      <c r="N81" s="12">
        <v>14.23</v>
      </c>
      <c r="O81" s="86">
        <v>17.39</v>
      </c>
      <c r="P81" s="78"/>
      <c r="Q81" s="2">
        <f t="shared" si="13"/>
        <v>17.389740334330881</v>
      </c>
    </row>
    <row r="82" spans="1:17" ht="33" customHeight="1" x14ac:dyDescent="0.2">
      <c r="A82" s="9" t="s">
        <v>203</v>
      </c>
      <c r="B82" s="15">
        <v>92762</v>
      </c>
      <c r="C82" s="9" t="s">
        <v>56</v>
      </c>
      <c r="D82" s="47" t="s">
        <v>204</v>
      </c>
      <c r="E82" s="11" t="s">
        <v>180</v>
      </c>
      <c r="F82" s="17">
        <v>2033.6669999999999</v>
      </c>
      <c r="G82" s="73">
        <f t="shared" si="16"/>
        <v>8.3925000000000001</v>
      </c>
      <c r="H82" s="73">
        <f t="shared" si="14"/>
        <v>17067.55</v>
      </c>
      <c r="I82" s="73">
        <f t="shared" si="17"/>
        <v>10.2525</v>
      </c>
      <c r="J82" s="73">
        <f t="shared" si="15"/>
        <v>20850.169999999998</v>
      </c>
      <c r="K82" s="13">
        <v>27800.22</v>
      </c>
      <c r="L82" s="14">
        <v>2.3E-3</v>
      </c>
      <c r="N82" s="12">
        <v>11.19</v>
      </c>
      <c r="O82" s="86">
        <v>13.67</v>
      </c>
      <c r="P82" s="78"/>
      <c r="Q82" s="2">
        <f t="shared" si="13"/>
        <v>13.669996120308783</v>
      </c>
    </row>
    <row r="83" spans="1:17" ht="33" customHeight="1" x14ac:dyDescent="0.2">
      <c r="A83" s="9" t="s">
        <v>205</v>
      </c>
      <c r="B83" s="15">
        <v>92763</v>
      </c>
      <c r="C83" s="9" t="s">
        <v>56</v>
      </c>
      <c r="D83" s="47" t="s">
        <v>206</v>
      </c>
      <c r="E83" s="11" t="s">
        <v>180</v>
      </c>
      <c r="F83" s="17">
        <v>718.09900000000005</v>
      </c>
      <c r="G83" s="73">
        <f t="shared" si="16"/>
        <v>6.9375</v>
      </c>
      <c r="H83" s="73">
        <f t="shared" si="14"/>
        <v>4981.8100000000004</v>
      </c>
      <c r="I83" s="73">
        <f t="shared" si="17"/>
        <v>8.4750000000000014</v>
      </c>
      <c r="J83" s="73">
        <f t="shared" si="15"/>
        <v>6085.88</v>
      </c>
      <c r="K83" s="13">
        <v>8114.51</v>
      </c>
      <c r="L83" s="14">
        <v>6.9999999999999999E-4</v>
      </c>
      <c r="N83" s="12">
        <v>9.25</v>
      </c>
      <c r="O83" s="86">
        <v>11.3</v>
      </c>
      <c r="P83" s="78"/>
      <c r="Q83" s="2">
        <f t="shared" si="13"/>
        <v>11.299987884678853</v>
      </c>
    </row>
    <row r="84" spans="1:17" ht="33" customHeight="1" x14ac:dyDescent="0.2">
      <c r="A84" s="9" t="s">
        <v>207</v>
      </c>
      <c r="B84" s="9" t="s">
        <v>208</v>
      </c>
      <c r="C84" s="9" t="s">
        <v>209</v>
      </c>
      <c r="D84" s="47" t="s">
        <v>210</v>
      </c>
      <c r="E84" s="11" t="s">
        <v>118</v>
      </c>
      <c r="F84" s="12">
        <v>52.64</v>
      </c>
      <c r="G84" s="73">
        <f t="shared" si="16"/>
        <v>520.93500000000006</v>
      </c>
      <c r="H84" s="73">
        <f t="shared" si="14"/>
        <v>27422.01</v>
      </c>
      <c r="I84" s="73">
        <f t="shared" si="17"/>
        <v>636.73500000000001</v>
      </c>
      <c r="J84" s="73">
        <f t="shared" si="15"/>
        <v>33517.730000000003</v>
      </c>
      <c r="K84" s="13">
        <v>44690.3</v>
      </c>
      <c r="L84" s="14">
        <v>3.7000000000000002E-3</v>
      </c>
      <c r="N84" s="12">
        <v>694.58</v>
      </c>
      <c r="O84" s="86">
        <v>848.98</v>
      </c>
      <c r="P84" s="78"/>
      <c r="Q84" s="2">
        <f t="shared" si="13"/>
        <v>848.97986322188456</v>
      </c>
    </row>
    <row r="85" spans="1:17" ht="33" customHeight="1" x14ac:dyDescent="0.2">
      <c r="A85" s="5" t="s">
        <v>211</v>
      </c>
      <c r="B85" s="4"/>
      <c r="C85" s="4"/>
      <c r="D85" s="45" t="s">
        <v>212</v>
      </c>
      <c r="E85" s="4"/>
      <c r="F85" s="6">
        <v>1</v>
      </c>
      <c r="G85" s="71"/>
      <c r="H85" s="73">
        <f t="shared" si="14"/>
        <v>0</v>
      </c>
      <c r="I85" s="71"/>
      <c r="J85" s="76">
        <f>SUM(J86:J100)</f>
        <v>921472.93</v>
      </c>
      <c r="K85" s="7">
        <v>1228630.6000000001</v>
      </c>
      <c r="L85" s="8">
        <v>0.10299999999999999</v>
      </c>
      <c r="N85" s="4"/>
      <c r="O85" s="88">
        <v>1228630.6000000001</v>
      </c>
      <c r="P85" s="78"/>
      <c r="Q85" s="2">
        <f t="shared" si="13"/>
        <v>1228630.6000000001</v>
      </c>
    </row>
    <row r="86" spans="1:17" ht="33" customHeight="1" x14ac:dyDescent="0.2">
      <c r="A86" s="9" t="s">
        <v>213</v>
      </c>
      <c r="B86" s="15">
        <v>92473</v>
      </c>
      <c r="C86" s="9" t="s">
        <v>56</v>
      </c>
      <c r="D86" s="47" t="s">
        <v>214</v>
      </c>
      <c r="E86" s="11" t="s">
        <v>26</v>
      </c>
      <c r="F86" s="17">
        <v>1460.3979999999999</v>
      </c>
      <c r="G86" s="73">
        <f t="shared" ref="G86:G100" si="18">N86*$S$6</f>
        <v>113.57250000000001</v>
      </c>
      <c r="H86" s="73">
        <f t="shared" si="14"/>
        <v>165861.04999999999</v>
      </c>
      <c r="I86" s="73">
        <f t="shared" ref="I86:I100" si="19">O86*$S$6</f>
        <v>138.8175</v>
      </c>
      <c r="J86" s="73">
        <f t="shared" si="15"/>
        <v>202728.79</v>
      </c>
      <c r="K86" s="13">
        <v>270305.06</v>
      </c>
      <c r="L86" s="14">
        <v>2.2700000000000001E-2</v>
      </c>
      <c r="N86" s="12">
        <v>151.43</v>
      </c>
      <c r="O86" s="86">
        <v>185.09</v>
      </c>
      <c r="P86" s="78"/>
      <c r="Q86" s="2">
        <f t="shared" si="13"/>
        <v>185.08999601478502</v>
      </c>
    </row>
    <row r="87" spans="1:17" ht="33" customHeight="1" x14ac:dyDescent="0.2">
      <c r="A87" s="9" t="s">
        <v>215</v>
      </c>
      <c r="B87" s="15">
        <v>92510</v>
      </c>
      <c r="C87" s="9" t="s">
        <v>56</v>
      </c>
      <c r="D87" s="47" t="s">
        <v>216</v>
      </c>
      <c r="E87" s="11" t="s">
        <v>26</v>
      </c>
      <c r="F87" s="17">
        <v>2614.143</v>
      </c>
      <c r="G87" s="73">
        <f t="shared" si="18"/>
        <v>57.885000000000005</v>
      </c>
      <c r="H87" s="73">
        <f t="shared" si="14"/>
        <v>151319.66</v>
      </c>
      <c r="I87" s="73">
        <f t="shared" si="19"/>
        <v>70.747500000000002</v>
      </c>
      <c r="J87" s="73">
        <f t="shared" si="15"/>
        <v>184944.08</v>
      </c>
      <c r="K87" s="13">
        <v>246592.1</v>
      </c>
      <c r="L87" s="14">
        <v>2.07E-2</v>
      </c>
      <c r="N87" s="12">
        <v>77.180000000000007</v>
      </c>
      <c r="O87" s="86">
        <v>94.33</v>
      </c>
      <c r="P87" s="78"/>
      <c r="Q87" s="2">
        <f t="shared" si="13"/>
        <v>94.329996484507546</v>
      </c>
    </row>
    <row r="88" spans="1:17" ht="33" customHeight="1" x14ac:dyDescent="0.2">
      <c r="A88" s="9" t="s">
        <v>217</v>
      </c>
      <c r="B88" s="15">
        <v>101792</v>
      </c>
      <c r="C88" s="9" t="s">
        <v>56</v>
      </c>
      <c r="D88" s="47" t="s">
        <v>218</v>
      </c>
      <c r="E88" s="11" t="s">
        <v>118</v>
      </c>
      <c r="F88" s="17">
        <v>5400.143</v>
      </c>
      <c r="G88" s="73">
        <f t="shared" si="18"/>
        <v>15.899999999999999</v>
      </c>
      <c r="H88" s="73">
        <f t="shared" si="14"/>
        <v>85862.27</v>
      </c>
      <c r="I88" s="73">
        <f t="shared" si="19"/>
        <v>19.432500000000001</v>
      </c>
      <c r="J88" s="73">
        <f t="shared" si="15"/>
        <v>104938.27</v>
      </c>
      <c r="K88" s="13">
        <v>139917.70000000001</v>
      </c>
      <c r="L88" s="14">
        <v>1.17E-2</v>
      </c>
      <c r="N88" s="12">
        <v>21.2</v>
      </c>
      <c r="O88" s="86">
        <v>25.91</v>
      </c>
      <c r="P88" s="78"/>
      <c r="Q88" s="2">
        <f t="shared" si="13"/>
        <v>25.90999905002516</v>
      </c>
    </row>
    <row r="89" spans="1:17" ht="33" customHeight="1" x14ac:dyDescent="0.2">
      <c r="A89" s="9" t="s">
        <v>219</v>
      </c>
      <c r="B89" s="15">
        <v>92759</v>
      </c>
      <c r="C89" s="9" t="s">
        <v>56</v>
      </c>
      <c r="D89" s="46" t="s">
        <v>220</v>
      </c>
      <c r="E89" s="11" t="s">
        <v>180</v>
      </c>
      <c r="F89" s="17">
        <v>1954.125</v>
      </c>
      <c r="G89" s="73">
        <f t="shared" si="18"/>
        <v>11.925000000000001</v>
      </c>
      <c r="H89" s="73">
        <f t="shared" si="14"/>
        <v>23302.94</v>
      </c>
      <c r="I89" s="73">
        <f t="shared" si="19"/>
        <v>14.5725</v>
      </c>
      <c r="J89" s="73">
        <f t="shared" si="15"/>
        <v>28476.48</v>
      </c>
      <c r="K89" s="13">
        <v>37968.639999999999</v>
      </c>
      <c r="L89" s="14">
        <v>3.2000000000000002E-3</v>
      </c>
      <c r="N89" s="12">
        <v>15.9</v>
      </c>
      <c r="O89" s="86">
        <v>19.43</v>
      </c>
      <c r="P89" s="78"/>
      <c r="Q89" s="2">
        <f t="shared" si="13"/>
        <v>19.429995522292586</v>
      </c>
    </row>
    <row r="90" spans="1:17" ht="33" customHeight="1" x14ac:dyDescent="0.2">
      <c r="A90" s="9" t="s">
        <v>221</v>
      </c>
      <c r="B90" s="15">
        <v>92760</v>
      </c>
      <c r="C90" s="9" t="s">
        <v>56</v>
      </c>
      <c r="D90" s="46" t="s">
        <v>222</v>
      </c>
      <c r="E90" s="11" t="s">
        <v>180</v>
      </c>
      <c r="F90" s="17">
        <v>525.41700000000003</v>
      </c>
      <c r="G90" s="73">
        <f t="shared" si="18"/>
        <v>10.672499999999999</v>
      </c>
      <c r="H90" s="73">
        <f t="shared" si="14"/>
        <v>5607.51</v>
      </c>
      <c r="I90" s="73">
        <f t="shared" si="19"/>
        <v>13.0425</v>
      </c>
      <c r="J90" s="73">
        <f t="shared" si="15"/>
        <v>6852.75</v>
      </c>
      <c r="K90" s="13">
        <v>9137</v>
      </c>
      <c r="L90" s="14">
        <v>8.0000000000000004E-4</v>
      </c>
      <c r="N90" s="12">
        <v>14.23</v>
      </c>
      <c r="O90" s="86">
        <v>17.39</v>
      </c>
      <c r="P90" s="78"/>
      <c r="Q90" s="2">
        <f t="shared" si="13"/>
        <v>17.389996897702204</v>
      </c>
    </row>
    <row r="91" spans="1:17" ht="33" customHeight="1" x14ac:dyDescent="0.2">
      <c r="A91" s="9" t="s">
        <v>223</v>
      </c>
      <c r="B91" s="15">
        <v>92761</v>
      </c>
      <c r="C91" s="9" t="s">
        <v>56</v>
      </c>
      <c r="D91" s="46" t="s">
        <v>224</v>
      </c>
      <c r="E91" s="11" t="s">
        <v>180</v>
      </c>
      <c r="F91" s="17">
        <v>895.10400000000004</v>
      </c>
      <c r="G91" s="73">
        <f t="shared" si="18"/>
        <v>9.6225000000000005</v>
      </c>
      <c r="H91" s="73">
        <f t="shared" si="14"/>
        <v>8613.1299999999992</v>
      </c>
      <c r="I91" s="73">
        <f t="shared" si="19"/>
        <v>11.76</v>
      </c>
      <c r="J91" s="73">
        <f t="shared" si="15"/>
        <v>10526.42</v>
      </c>
      <c r="K91" s="13">
        <v>14035.23</v>
      </c>
      <c r="L91" s="14">
        <v>1.1999999999999999E-3</v>
      </c>
      <c r="N91" s="12">
        <v>12.83</v>
      </c>
      <c r="O91" s="86">
        <v>15.68</v>
      </c>
      <c r="P91" s="78"/>
      <c r="Q91" s="2">
        <f t="shared" si="13"/>
        <v>15.679999195624195</v>
      </c>
    </row>
    <row r="92" spans="1:17" ht="33" customHeight="1" x14ac:dyDescent="0.2">
      <c r="A92" s="9" t="s">
        <v>225</v>
      </c>
      <c r="B92" s="15">
        <v>92762</v>
      </c>
      <c r="C92" s="9" t="s">
        <v>56</v>
      </c>
      <c r="D92" s="46" t="s">
        <v>226</v>
      </c>
      <c r="E92" s="11" t="s">
        <v>180</v>
      </c>
      <c r="F92" s="17">
        <v>3357.0189999999998</v>
      </c>
      <c r="G92" s="73">
        <f t="shared" si="18"/>
        <v>8.3925000000000001</v>
      </c>
      <c r="H92" s="73">
        <f t="shared" si="14"/>
        <v>28173.78</v>
      </c>
      <c r="I92" s="73">
        <f t="shared" si="19"/>
        <v>10.2525</v>
      </c>
      <c r="J92" s="73">
        <f t="shared" si="15"/>
        <v>34417.83</v>
      </c>
      <c r="K92" s="13">
        <v>45890.44</v>
      </c>
      <c r="L92" s="14">
        <v>3.8E-3</v>
      </c>
      <c r="N92" s="12">
        <v>11.19</v>
      </c>
      <c r="O92" s="86">
        <v>13.67</v>
      </c>
      <c r="P92" s="78"/>
      <c r="Q92" s="2">
        <f t="shared" si="13"/>
        <v>13.669997101595197</v>
      </c>
    </row>
    <row r="93" spans="1:17" ht="33" customHeight="1" x14ac:dyDescent="0.2">
      <c r="A93" s="9" t="s">
        <v>227</v>
      </c>
      <c r="B93" s="15">
        <v>92763</v>
      </c>
      <c r="C93" s="9" t="s">
        <v>56</v>
      </c>
      <c r="D93" s="46" t="s">
        <v>228</v>
      </c>
      <c r="E93" s="11" t="s">
        <v>180</v>
      </c>
      <c r="F93" s="17">
        <v>1619.701</v>
      </c>
      <c r="G93" s="73">
        <f t="shared" si="18"/>
        <v>6.9375</v>
      </c>
      <c r="H93" s="73">
        <f t="shared" si="14"/>
        <v>11236.67</v>
      </c>
      <c r="I93" s="73">
        <f t="shared" si="19"/>
        <v>8.4750000000000014</v>
      </c>
      <c r="J93" s="73">
        <f t="shared" si="15"/>
        <v>13726.96</v>
      </c>
      <c r="K93" s="13">
        <v>18302.62</v>
      </c>
      <c r="L93" s="14">
        <v>1.5E-3</v>
      </c>
      <c r="N93" s="12">
        <v>9.25</v>
      </c>
      <c r="O93" s="86">
        <v>11.3</v>
      </c>
      <c r="P93" s="78"/>
      <c r="Q93" s="2">
        <f t="shared" si="13"/>
        <v>11.299999197382727</v>
      </c>
    </row>
    <row r="94" spans="1:17" ht="33" customHeight="1" x14ac:dyDescent="0.2">
      <c r="A94" s="9" t="s">
        <v>229</v>
      </c>
      <c r="B94" s="15">
        <v>104106</v>
      </c>
      <c r="C94" s="9" t="s">
        <v>56</v>
      </c>
      <c r="D94" s="46" t="s">
        <v>230</v>
      </c>
      <c r="E94" s="11" t="s">
        <v>180</v>
      </c>
      <c r="F94" s="17">
        <v>1056.7370000000001</v>
      </c>
      <c r="G94" s="73">
        <f t="shared" si="18"/>
        <v>7.86</v>
      </c>
      <c r="H94" s="73">
        <f t="shared" si="14"/>
        <v>8305.9500000000007</v>
      </c>
      <c r="I94" s="73">
        <f t="shared" si="19"/>
        <v>9.6000000000000014</v>
      </c>
      <c r="J94" s="73">
        <f t="shared" si="15"/>
        <v>10144.67</v>
      </c>
      <c r="K94" s="13">
        <v>13526.23</v>
      </c>
      <c r="L94" s="14">
        <v>1.1000000000000001E-3</v>
      </c>
      <c r="N94" s="12">
        <v>10.48</v>
      </c>
      <c r="O94" s="86">
        <v>12.8</v>
      </c>
      <c r="P94" s="78"/>
      <c r="Q94" s="2">
        <f t="shared" si="13"/>
        <v>12.799996593286691</v>
      </c>
    </row>
    <row r="95" spans="1:17" ht="33" customHeight="1" x14ac:dyDescent="0.2">
      <c r="A95" s="28">
        <v>40301</v>
      </c>
      <c r="B95" s="15">
        <v>92768</v>
      </c>
      <c r="C95" s="9" t="s">
        <v>56</v>
      </c>
      <c r="D95" s="47" t="s">
        <v>231</v>
      </c>
      <c r="E95" s="11" t="s">
        <v>180</v>
      </c>
      <c r="F95" s="17">
        <v>4937.3140000000003</v>
      </c>
      <c r="G95" s="73">
        <f t="shared" si="18"/>
        <v>11.28</v>
      </c>
      <c r="H95" s="73">
        <f t="shared" si="14"/>
        <v>55692.9</v>
      </c>
      <c r="I95" s="73">
        <f t="shared" si="19"/>
        <v>13.785</v>
      </c>
      <c r="J95" s="73">
        <f t="shared" si="15"/>
        <v>68060.87</v>
      </c>
      <c r="K95" s="13">
        <v>90747.83</v>
      </c>
      <c r="L95" s="14">
        <v>7.6E-3</v>
      </c>
      <c r="N95" s="12">
        <v>15.04</v>
      </c>
      <c r="O95" s="86">
        <v>18.38</v>
      </c>
      <c r="P95" s="78"/>
      <c r="Q95" s="2">
        <f t="shared" si="13"/>
        <v>18.379999732648155</v>
      </c>
    </row>
    <row r="96" spans="1:17" ht="33" customHeight="1" x14ac:dyDescent="0.2">
      <c r="A96" s="28">
        <v>40666</v>
      </c>
      <c r="B96" s="15">
        <v>92769</v>
      </c>
      <c r="C96" s="9" t="s">
        <v>56</v>
      </c>
      <c r="D96" s="47" t="s">
        <v>232</v>
      </c>
      <c r="E96" s="11" t="s">
        <v>180</v>
      </c>
      <c r="F96" s="17">
        <v>7341.5159999999996</v>
      </c>
      <c r="G96" s="73">
        <f t="shared" si="18"/>
        <v>10.08</v>
      </c>
      <c r="H96" s="73">
        <f t="shared" si="14"/>
        <v>74002.48</v>
      </c>
      <c r="I96" s="73">
        <f t="shared" si="19"/>
        <v>12.315000000000001</v>
      </c>
      <c r="J96" s="73">
        <f t="shared" si="15"/>
        <v>90410.76</v>
      </c>
      <c r="K96" s="13">
        <v>120547.69</v>
      </c>
      <c r="L96" s="14">
        <v>1.01E-2</v>
      </c>
      <c r="N96" s="12">
        <v>13.44</v>
      </c>
      <c r="O96" s="86">
        <v>16.420000000000002</v>
      </c>
      <c r="P96" s="78"/>
      <c r="Q96" s="2">
        <f t="shared" si="13"/>
        <v>16.419999629504318</v>
      </c>
    </row>
    <row r="97" spans="1:17" ht="33" customHeight="1" x14ac:dyDescent="0.2">
      <c r="A97" s="28">
        <v>41032</v>
      </c>
      <c r="B97" s="15">
        <v>92770</v>
      </c>
      <c r="C97" s="9" t="s">
        <v>56</v>
      </c>
      <c r="D97" s="47" t="s">
        <v>233</v>
      </c>
      <c r="E97" s="11" t="s">
        <v>180</v>
      </c>
      <c r="F97" s="17">
        <v>4850.1769999999997</v>
      </c>
      <c r="G97" s="73">
        <f t="shared" si="18"/>
        <v>9.0824999999999996</v>
      </c>
      <c r="H97" s="73">
        <f t="shared" si="14"/>
        <v>44051.73</v>
      </c>
      <c r="I97" s="73">
        <f t="shared" si="19"/>
        <v>11.100000000000001</v>
      </c>
      <c r="J97" s="73">
        <f t="shared" si="15"/>
        <v>53836.959999999999</v>
      </c>
      <c r="K97" s="13">
        <v>71782.61</v>
      </c>
      <c r="L97" s="14">
        <v>6.0000000000000001E-3</v>
      </c>
      <c r="N97" s="12">
        <v>12.11</v>
      </c>
      <c r="O97" s="86">
        <v>14.8</v>
      </c>
      <c r="P97" s="78"/>
      <c r="Q97" s="2">
        <f t="shared" si="13"/>
        <v>14.799998020690792</v>
      </c>
    </row>
    <row r="98" spans="1:17" ht="33" customHeight="1" x14ac:dyDescent="0.2">
      <c r="A98" s="28">
        <v>41397</v>
      </c>
      <c r="B98" s="15">
        <v>92771</v>
      </c>
      <c r="C98" s="9" t="s">
        <v>56</v>
      </c>
      <c r="D98" s="47" t="s">
        <v>234</v>
      </c>
      <c r="E98" s="11" t="s">
        <v>180</v>
      </c>
      <c r="F98" s="17">
        <v>1743.894</v>
      </c>
      <c r="G98" s="73">
        <f t="shared" si="18"/>
        <v>7.9049999999999994</v>
      </c>
      <c r="H98" s="73">
        <f t="shared" si="14"/>
        <v>13785.48</v>
      </c>
      <c r="I98" s="73">
        <f t="shared" si="19"/>
        <v>9.66</v>
      </c>
      <c r="J98" s="73">
        <f t="shared" si="15"/>
        <v>16846.009999999998</v>
      </c>
      <c r="K98" s="13">
        <v>22461.35</v>
      </c>
      <c r="L98" s="14">
        <v>1.9E-3</v>
      </c>
      <c r="N98" s="12">
        <v>10.54</v>
      </c>
      <c r="O98" s="86">
        <v>12.88</v>
      </c>
      <c r="P98" s="78"/>
      <c r="Q98" s="2">
        <f t="shared" si="13"/>
        <v>12.879997293413474</v>
      </c>
    </row>
    <row r="99" spans="1:17" ht="33" customHeight="1" x14ac:dyDescent="0.2">
      <c r="A99" s="28">
        <v>41762</v>
      </c>
      <c r="B99" s="15">
        <v>92772</v>
      </c>
      <c r="C99" s="9" t="s">
        <v>56</v>
      </c>
      <c r="D99" s="47" t="s">
        <v>235</v>
      </c>
      <c r="E99" s="11" t="s">
        <v>180</v>
      </c>
      <c r="F99" s="17">
        <v>187.40299999999999</v>
      </c>
      <c r="G99" s="73">
        <f t="shared" si="18"/>
        <v>6.5175000000000001</v>
      </c>
      <c r="H99" s="73">
        <f t="shared" si="14"/>
        <v>1221.3900000000001</v>
      </c>
      <c r="I99" s="73">
        <f t="shared" si="19"/>
        <v>7.9649999999999999</v>
      </c>
      <c r="J99" s="73">
        <f t="shared" si="15"/>
        <v>1492.66</v>
      </c>
      <c r="K99" s="13">
        <v>1990.21</v>
      </c>
      <c r="L99" s="14">
        <v>2.0000000000000001E-4</v>
      </c>
      <c r="N99" s="12">
        <v>8.69</v>
      </c>
      <c r="O99" s="86">
        <v>10.62</v>
      </c>
      <c r="P99" s="78"/>
      <c r="Q99" s="2">
        <f t="shared" si="13"/>
        <v>10.619947386114417</v>
      </c>
    </row>
    <row r="100" spans="1:17" ht="33" customHeight="1" x14ac:dyDescent="0.2">
      <c r="A100" s="28">
        <v>42127</v>
      </c>
      <c r="B100" s="9" t="s">
        <v>236</v>
      </c>
      <c r="C100" s="9" t="s">
        <v>209</v>
      </c>
      <c r="D100" s="46" t="s">
        <v>237</v>
      </c>
      <c r="E100" s="11" t="s">
        <v>118</v>
      </c>
      <c r="F100" s="17">
        <v>147.48699999999999</v>
      </c>
      <c r="G100" s="73">
        <f t="shared" si="18"/>
        <v>521.81999999999994</v>
      </c>
      <c r="H100" s="73">
        <f t="shared" si="14"/>
        <v>76961.66</v>
      </c>
      <c r="I100" s="73">
        <f t="shared" si="19"/>
        <v>637.81499999999994</v>
      </c>
      <c r="J100" s="73">
        <f t="shared" si="15"/>
        <v>94069.42</v>
      </c>
      <c r="K100" s="13">
        <v>125425.89</v>
      </c>
      <c r="L100" s="14">
        <v>1.0500000000000001E-2</v>
      </c>
      <c r="N100" s="12">
        <v>695.76</v>
      </c>
      <c r="O100" s="86">
        <v>850.42</v>
      </c>
      <c r="P100" s="78"/>
      <c r="Q100" s="2">
        <f t="shared" si="13"/>
        <v>850.41996921762598</v>
      </c>
    </row>
    <row r="101" spans="1:17" ht="33" customHeight="1" x14ac:dyDescent="0.2">
      <c r="A101" s="5" t="s">
        <v>238</v>
      </c>
      <c r="B101" s="4"/>
      <c r="C101" s="4"/>
      <c r="D101" s="45" t="s">
        <v>239</v>
      </c>
      <c r="E101" s="4"/>
      <c r="F101" s="6">
        <v>1</v>
      </c>
      <c r="G101" s="71"/>
      <c r="H101" s="73">
        <f t="shared" si="14"/>
        <v>0</v>
      </c>
      <c r="I101" s="71"/>
      <c r="J101" s="76">
        <f>SUM(J102:J107)</f>
        <v>14107.949999999999</v>
      </c>
      <c r="K101" s="7">
        <v>18810.599999999999</v>
      </c>
      <c r="L101" s="8">
        <v>1.6000000000000001E-3</v>
      </c>
      <c r="N101" s="4"/>
      <c r="O101" s="88">
        <v>18810.599999999999</v>
      </c>
      <c r="P101" s="78"/>
      <c r="Q101" s="2">
        <f t="shared" si="13"/>
        <v>18810.599999999999</v>
      </c>
    </row>
    <row r="102" spans="1:17" ht="33" customHeight="1" x14ac:dyDescent="0.2">
      <c r="A102" s="9" t="s">
        <v>240</v>
      </c>
      <c r="B102" s="15">
        <v>103076</v>
      </c>
      <c r="C102" s="9" t="s">
        <v>56</v>
      </c>
      <c r="D102" s="47" t="s">
        <v>241</v>
      </c>
      <c r="E102" s="11" t="s">
        <v>26</v>
      </c>
      <c r="F102" s="17">
        <v>26.538</v>
      </c>
      <c r="G102" s="73">
        <f t="shared" ref="G102:G107" si="20">N102*$S$6</f>
        <v>116.0175</v>
      </c>
      <c r="H102" s="73">
        <f t="shared" si="14"/>
        <v>3078.87</v>
      </c>
      <c r="I102" s="73">
        <f t="shared" ref="I102:I107" si="21">O102*$S$6</f>
        <v>141.80250000000001</v>
      </c>
      <c r="J102" s="73">
        <f t="shared" si="15"/>
        <v>3763.15</v>
      </c>
      <c r="K102" s="13">
        <v>5017.53</v>
      </c>
      <c r="L102" s="14">
        <v>4.0000000000000002E-4</v>
      </c>
      <c r="N102" s="12">
        <v>154.69</v>
      </c>
      <c r="O102" s="86">
        <v>189.07</v>
      </c>
      <c r="P102" s="78"/>
      <c r="Q102" s="2">
        <f t="shared" si="13"/>
        <v>189.06963599366944</v>
      </c>
    </row>
    <row r="103" spans="1:17" ht="33" customHeight="1" x14ac:dyDescent="0.2">
      <c r="A103" s="9" t="s">
        <v>242</v>
      </c>
      <c r="B103" s="15">
        <v>101995</v>
      </c>
      <c r="C103" s="9" t="s">
        <v>56</v>
      </c>
      <c r="D103" s="47" t="s">
        <v>243</v>
      </c>
      <c r="E103" s="11" t="s">
        <v>26</v>
      </c>
      <c r="F103" s="17">
        <v>34.006999999999998</v>
      </c>
      <c r="G103" s="73">
        <f t="shared" si="20"/>
        <v>133.125</v>
      </c>
      <c r="H103" s="73">
        <f t="shared" si="14"/>
        <v>4527.18</v>
      </c>
      <c r="I103" s="73">
        <f t="shared" si="21"/>
        <v>162.71249999999998</v>
      </c>
      <c r="J103" s="73">
        <f t="shared" si="15"/>
        <v>5533.36</v>
      </c>
      <c r="K103" s="13">
        <v>7377.81</v>
      </c>
      <c r="L103" s="14">
        <v>5.9999999999999995E-4</v>
      </c>
      <c r="N103" s="12">
        <v>177.5</v>
      </c>
      <c r="O103" s="86">
        <v>216.95</v>
      </c>
      <c r="P103" s="78"/>
      <c r="Q103" s="2">
        <f t="shared" si="13"/>
        <v>216.94974564060342</v>
      </c>
    </row>
    <row r="104" spans="1:17" ht="33" customHeight="1" x14ac:dyDescent="0.2">
      <c r="A104" s="9" t="s">
        <v>244</v>
      </c>
      <c r="B104" s="15">
        <v>95943</v>
      </c>
      <c r="C104" s="9" t="s">
        <v>56</v>
      </c>
      <c r="D104" s="46" t="s">
        <v>245</v>
      </c>
      <c r="E104" s="11" t="s">
        <v>180</v>
      </c>
      <c r="F104" s="17">
        <v>24.114999999999998</v>
      </c>
      <c r="G104" s="73">
        <f t="shared" si="20"/>
        <v>20.647500000000001</v>
      </c>
      <c r="H104" s="73">
        <f t="shared" si="14"/>
        <v>497.91</v>
      </c>
      <c r="I104" s="73">
        <f t="shared" si="21"/>
        <v>25.23</v>
      </c>
      <c r="J104" s="73">
        <f t="shared" si="15"/>
        <v>608.41999999999996</v>
      </c>
      <c r="K104" s="12">
        <v>811.22</v>
      </c>
      <c r="L104" s="14">
        <v>1E-4</v>
      </c>
      <c r="N104" s="12">
        <v>27.53</v>
      </c>
      <c r="O104" s="86">
        <v>33.64</v>
      </c>
      <c r="P104" s="78"/>
      <c r="Q104" s="2">
        <f t="shared" si="13"/>
        <v>33.639643375492433</v>
      </c>
    </row>
    <row r="105" spans="1:17" ht="33" customHeight="1" x14ac:dyDescent="0.2">
      <c r="A105" s="9" t="s">
        <v>246</v>
      </c>
      <c r="B105" s="15">
        <v>95944</v>
      </c>
      <c r="C105" s="9" t="s">
        <v>56</v>
      </c>
      <c r="D105" s="46" t="s">
        <v>247</v>
      </c>
      <c r="E105" s="11" t="s">
        <v>180</v>
      </c>
      <c r="F105" s="17">
        <v>47.104999999999997</v>
      </c>
      <c r="G105" s="73">
        <f t="shared" si="20"/>
        <v>18.015000000000001</v>
      </c>
      <c r="H105" s="73">
        <f t="shared" si="14"/>
        <v>848.59</v>
      </c>
      <c r="I105" s="73">
        <f t="shared" si="21"/>
        <v>22.012500000000003</v>
      </c>
      <c r="J105" s="73">
        <f t="shared" si="15"/>
        <v>1036.8900000000001</v>
      </c>
      <c r="K105" s="13">
        <v>1382.53</v>
      </c>
      <c r="L105" s="14">
        <v>1E-4</v>
      </c>
      <c r="N105" s="12">
        <v>24.02</v>
      </c>
      <c r="O105" s="86">
        <v>29.35</v>
      </c>
      <c r="P105" s="78"/>
      <c r="Q105" s="2">
        <f t="shared" si="13"/>
        <v>29.349962848954465</v>
      </c>
    </row>
    <row r="106" spans="1:17" ht="33" customHeight="1" x14ac:dyDescent="0.2">
      <c r="A106" s="9" t="s">
        <v>248</v>
      </c>
      <c r="B106" s="15">
        <v>95945</v>
      </c>
      <c r="C106" s="9" t="s">
        <v>56</v>
      </c>
      <c r="D106" s="46" t="s">
        <v>249</v>
      </c>
      <c r="E106" s="11" t="s">
        <v>180</v>
      </c>
      <c r="F106" s="17">
        <v>44.402999999999999</v>
      </c>
      <c r="G106" s="73">
        <f t="shared" si="20"/>
        <v>13.627500000000001</v>
      </c>
      <c r="H106" s="73">
        <f t="shared" si="14"/>
        <v>605.1</v>
      </c>
      <c r="I106" s="73">
        <f t="shared" si="21"/>
        <v>16.649999999999999</v>
      </c>
      <c r="J106" s="73">
        <f t="shared" si="15"/>
        <v>739.3</v>
      </c>
      <c r="K106" s="12">
        <v>985.74</v>
      </c>
      <c r="L106" s="14">
        <v>1E-4</v>
      </c>
      <c r="N106" s="12">
        <v>18.170000000000002</v>
      </c>
      <c r="O106" s="86">
        <v>22.2</v>
      </c>
      <c r="P106" s="78"/>
      <c r="Q106" s="2">
        <f t="shared" si="13"/>
        <v>22.199851361394501</v>
      </c>
    </row>
    <row r="107" spans="1:17" ht="33" customHeight="1" x14ac:dyDescent="0.2">
      <c r="A107" s="9" t="s">
        <v>250</v>
      </c>
      <c r="B107" s="15">
        <v>103686</v>
      </c>
      <c r="C107" s="9" t="s">
        <v>56</v>
      </c>
      <c r="D107" s="47" t="s">
        <v>251</v>
      </c>
      <c r="E107" s="11" t="s">
        <v>118</v>
      </c>
      <c r="F107" s="17">
        <v>3.4220000000000002</v>
      </c>
      <c r="G107" s="73">
        <f t="shared" si="20"/>
        <v>580.20749999999998</v>
      </c>
      <c r="H107" s="73">
        <f t="shared" si="14"/>
        <v>1985.47</v>
      </c>
      <c r="I107" s="73">
        <f t="shared" si="21"/>
        <v>709.18500000000006</v>
      </c>
      <c r="J107" s="73">
        <f t="shared" si="15"/>
        <v>2426.83</v>
      </c>
      <c r="K107" s="13">
        <v>3235.77</v>
      </c>
      <c r="L107" s="14">
        <v>2.9999999999999997E-4</v>
      </c>
      <c r="N107" s="12">
        <v>773.61</v>
      </c>
      <c r="O107" s="86">
        <v>945.58</v>
      </c>
      <c r="P107" s="78"/>
      <c r="Q107" s="2">
        <f t="shared" si="13"/>
        <v>945.57860900058438</v>
      </c>
    </row>
    <row r="108" spans="1:17" ht="33" customHeight="1" x14ac:dyDescent="0.2">
      <c r="A108" s="5" t="s">
        <v>252</v>
      </c>
      <c r="B108" s="4"/>
      <c r="C108" s="4"/>
      <c r="D108" s="45" t="s">
        <v>253</v>
      </c>
      <c r="E108" s="4"/>
      <c r="F108" s="6">
        <v>1</v>
      </c>
      <c r="G108" s="71"/>
      <c r="H108" s="73">
        <f t="shared" si="14"/>
        <v>0</v>
      </c>
      <c r="I108" s="71"/>
      <c r="J108" s="76">
        <f>SUM(J109:J122)</f>
        <v>98390.52</v>
      </c>
      <c r="K108" s="7">
        <v>131187.38</v>
      </c>
      <c r="L108" s="8">
        <v>1.0999999999999999E-2</v>
      </c>
      <c r="N108" s="4"/>
      <c r="O108" s="88">
        <v>131187.38</v>
      </c>
      <c r="P108" s="78"/>
      <c r="Q108" s="2">
        <f t="shared" si="13"/>
        <v>131187.38</v>
      </c>
    </row>
    <row r="109" spans="1:17" ht="33" customHeight="1" x14ac:dyDescent="0.2">
      <c r="A109" s="9" t="s">
        <v>254</v>
      </c>
      <c r="B109" s="15">
        <v>92510</v>
      </c>
      <c r="C109" s="9" t="s">
        <v>56</v>
      </c>
      <c r="D109" s="46" t="s">
        <v>255</v>
      </c>
      <c r="E109" s="11" t="s">
        <v>26</v>
      </c>
      <c r="F109" s="17">
        <v>104.732</v>
      </c>
      <c r="G109" s="73">
        <f t="shared" ref="G109:G122" si="22">N109*$S$6</f>
        <v>57.885000000000005</v>
      </c>
      <c r="H109" s="73">
        <f t="shared" si="14"/>
        <v>6062.41</v>
      </c>
      <c r="I109" s="73">
        <f t="shared" ref="I109:I122" si="23">O109*$S$6</f>
        <v>70.747500000000002</v>
      </c>
      <c r="J109" s="73">
        <f t="shared" si="15"/>
        <v>7409.52</v>
      </c>
      <c r="K109" s="13">
        <v>9879.36</v>
      </c>
      <c r="L109" s="14">
        <v>8.0000000000000004E-4</v>
      </c>
      <c r="N109" s="12">
        <v>77.180000000000007</v>
      </c>
      <c r="O109" s="86">
        <v>94.33</v>
      </c>
      <c r="P109" s="78"/>
      <c r="Q109" s="2">
        <f t="shared" si="13"/>
        <v>94.329908719398091</v>
      </c>
    </row>
    <row r="110" spans="1:17" ht="33" customHeight="1" x14ac:dyDescent="0.2">
      <c r="A110" s="9" t="s">
        <v>256</v>
      </c>
      <c r="B110" s="10" t="s">
        <v>257</v>
      </c>
      <c r="C110" s="9" t="s">
        <v>24</v>
      </c>
      <c r="D110" s="46" t="s">
        <v>258</v>
      </c>
      <c r="E110" s="11" t="s">
        <v>26</v>
      </c>
      <c r="F110" s="17">
        <v>290.88900000000001</v>
      </c>
      <c r="G110" s="73">
        <f t="shared" si="22"/>
        <v>59.872500000000002</v>
      </c>
      <c r="H110" s="73">
        <f t="shared" si="14"/>
        <v>17416.25</v>
      </c>
      <c r="I110" s="73">
        <f t="shared" si="23"/>
        <v>73.177499999999995</v>
      </c>
      <c r="J110" s="73">
        <f t="shared" si="15"/>
        <v>21286.52</v>
      </c>
      <c r="K110" s="13">
        <v>28382.03</v>
      </c>
      <c r="L110" s="14">
        <v>2.3999999999999998E-3</v>
      </c>
      <c r="N110" s="12">
        <v>79.83</v>
      </c>
      <c r="O110" s="86">
        <v>97.57</v>
      </c>
      <c r="P110" s="78"/>
      <c r="Q110" s="2">
        <f t="shared" si="13"/>
        <v>97.569966550814911</v>
      </c>
    </row>
    <row r="111" spans="1:17" ht="33" customHeight="1" x14ac:dyDescent="0.2">
      <c r="A111" s="9" t="s">
        <v>259</v>
      </c>
      <c r="B111" s="15">
        <v>101792</v>
      </c>
      <c r="C111" s="9" t="s">
        <v>56</v>
      </c>
      <c r="D111" s="46" t="s">
        <v>260</v>
      </c>
      <c r="E111" s="11" t="s">
        <v>118</v>
      </c>
      <c r="F111" s="17">
        <v>98.238</v>
      </c>
      <c r="G111" s="73">
        <f t="shared" si="22"/>
        <v>15.899999999999999</v>
      </c>
      <c r="H111" s="73">
        <f t="shared" si="14"/>
        <v>1561.98</v>
      </c>
      <c r="I111" s="73">
        <f t="shared" si="23"/>
        <v>19.432500000000001</v>
      </c>
      <c r="J111" s="73">
        <f t="shared" si="15"/>
        <v>1909</v>
      </c>
      <c r="K111" s="13">
        <v>2545.34</v>
      </c>
      <c r="L111" s="14">
        <v>2.0000000000000001E-4</v>
      </c>
      <c r="N111" s="12">
        <v>21.2</v>
      </c>
      <c r="O111" s="86">
        <v>25.91</v>
      </c>
      <c r="P111" s="78"/>
      <c r="Q111" s="2">
        <f t="shared" si="13"/>
        <v>25.909933019809039</v>
      </c>
    </row>
    <row r="112" spans="1:17" ht="33" customHeight="1" x14ac:dyDescent="0.2">
      <c r="A112" s="9" t="s">
        <v>261</v>
      </c>
      <c r="B112" s="15">
        <v>92768</v>
      </c>
      <c r="C112" s="9" t="s">
        <v>56</v>
      </c>
      <c r="D112" s="47" t="s">
        <v>231</v>
      </c>
      <c r="E112" s="11" t="s">
        <v>180</v>
      </c>
      <c r="F112" s="17">
        <v>283.24400000000003</v>
      </c>
      <c r="G112" s="73">
        <f t="shared" si="22"/>
        <v>11.28</v>
      </c>
      <c r="H112" s="73">
        <f t="shared" si="14"/>
        <v>3194.99</v>
      </c>
      <c r="I112" s="73">
        <f t="shared" si="23"/>
        <v>13.785</v>
      </c>
      <c r="J112" s="73">
        <f t="shared" si="15"/>
        <v>3904.51</v>
      </c>
      <c r="K112" s="13">
        <v>5206.0200000000004</v>
      </c>
      <c r="L112" s="14">
        <v>4.0000000000000002E-4</v>
      </c>
      <c r="N112" s="12">
        <v>15.04</v>
      </c>
      <c r="O112" s="86">
        <v>18.38</v>
      </c>
      <c r="P112" s="78"/>
      <c r="Q112" s="2">
        <f t="shared" si="13"/>
        <v>18.379983335922386</v>
      </c>
    </row>
    <row r="113" spans="1:17" ht="33" customHeight="1" x14ac:dyDescent="0.2">
      <c r="A113" s="9" t="s">
        <v>262</v>
      </c>
      <c r="B113" s="15">
        <v>92770</v>
      </c>
      <c r="C113" s="9" t="s">
        <v>56</v>
      </c>
      <c r="D113" s="47" t="s">
        <v>233</v>
      </c>
      <c r="E113" s="11" t="s">
        <v>180</v>
      </c>
      <c r="F113" s="17">
        <v>724.18200000000002</v>
      </c>
      <c r="G113" s="73">
        <f t="shared" si="22"/>
        <v>9.0824999999999996</v>
      </c>
      <c r="H113" s="73">
        <f t="shared" si="14"/>
        <v>6577.38</v>
      </c>
      <c r="I113" s="73">
        <f t="shared" si="23"/>
        <v>11.100000000000001</v>
      </c>
      <c r="J113" s="73">
        <f t="shared" si="15"/>
        <v>8038.42</v>
      </c>
      <c r="K113" s="13">
        <v>10717.89</v>
      </c>
      <c r="L113" s="14">
        <v>8.9999999999999998E-4</v>
      </c>
      <c r="N113" s="12">
        <v>12.11</v>
      </c>
      <c r="O113" s="86">
        <v>14.8</v>
      </c>
      <c r="P113" s="78"/>
      <c r="Q113" s="2">
        <f t="shared" si="13"/>
        <v>14.799995028873957</v>
      </c>
    </row>
    <row r="114" spans="1:17" ht="33" customHeight="1" x14ac:dyDescent="0.2">
      <c r="A114" s="9" t="s">
        <v>263</v>
      </c>
      <c r="B114" s="15">
        <v>92771</v>
      </c>
      <c r="C114" s="9" t="s">
        <v>56</v>
      </c>
      <c r="D114" s="47" t="s">
        <v>234</v>
      </c>
      <c r="E114" s="11" t="s">
        <v>180</v>
      </c>
      <c r="F114" s="17">
        <v>237.01300000000001</v>
      </c>
      <c r="G114" s="73">
        <f t="shared" si="22"/>
        <v>7.9049999999999994</v>
      </c>
      <c r="H114" s="73">
        <f t="shared" si="14"/>
        <v>1873.58</v>
      </c>
      <c r="I114" s="73">
        <f t="shared" si="23"/>
        <v>9.66</v>
      </c>
      <c r="J114" s="73">
        <f t="shared" si="15"/>
        <v>2289.54</v>
      </c>
      <c r="K114" s="13">
        <v>3052.72</v>
      </c>
      <c r="L114" s="14">
        <v>2.9999999999999997E-4</v>
      </c>
      <c r="N114" s="12">
        <v>10.54</v>
      </c>
      <c r="O114" s="86">
        <v>12.88</v>
      </c>
      <c r="P114" s="78"/>
      <c r="Q114" s="2">
        <f t="shared" si="13"/>
        <v>12.879968609316787</v>
      </c>
    </row>
    <row r="115" spans="1:17" ht="33" customHeight="1" x14ac:dyDescent="0.2">
      <c r="A115" s="9" t="s">
        <v>264</v>
      </c>
      <c r="B115" s="15">
        <v>92772</v>
      </c>
      <c r="C115" s="9" t="s">
        <v>56</v>
      </c>
      <c r="D115" s="47" t="s">
        <v>235</v>
      </c>
      <c r="E115" s="11" t="s">
        <v>180</v>
      </c>
      <c r="F115" s="17">
        <v>26.658000000000001</v>
      </c>
      <c r="G115" s="73">
        <f t="shared" si="22"/>
        <v>6.5175000000000001</v>
      </c>
      <c r="H115" s="73">
        <f t="shared" si="14"/>
        <v>173.74</v>
      </c>
      <c r="I115" s="73">
        <f t="shared" si="23"/>
        <v>7.9649999999999999</v>
      </c>
      <c r="J115" s="73">
        <f t="shared" si="15"/>
        <v>212.33</v>
      </c>
      <c r="K115" s="12">
        <v>283.10000000000002</v>
      </c>
      <c r="L115" s="14">
        <v>0</v>
      </c>
      <c r="N115" s="12">
        <v>8.69</v>
      </c>
      <c r="O115" s="86">
        <v>10.62</v>
      </c>
      <c r="P115" s="78"/>
      <c r="Q115" s="2">
        <f t="shared" si="13"/>
        <v>10.619701402955961</v>
      </c>
    </row>
    <row r="116" spans="1:17" ht="33" customHeight="1" x14ac:dyDescent="0.2">
      <c r="A116" s="9" t="s">
        <v>265</v>
      </c>
      <c r="B116" s="15">
        <v>100067</v>
      </c>
      <c r="C116" s="9" t="s">
        <v>56</v>
      </c>
      <c r="D116" s="47" t="s">
        <v>266</v>
      </c>
      <c r="E116" s="11" t="s">
        <v>180</v>
      </c>
      <c r="F116" s="17">
        <v>425.86399999999998</v>
      </c>
      <c r="G116" s="73">
        <f t="shared" si="22"/>
        <v>9.5474999999999994</v>
      </c>
      <c r="H116" s="73">
        <f t="shared" si="14"/>
        <v>4065.93</v>
      </c>
      <c r="I116" s="73">
        <f t="shared" si="23"/>
        <v>11.662500000000001</v>
      </c>
      <c r="J116" s="73">
        <f t="shared" si="15"/>
        <v>4966.63</v>
      </c>
      <c r="K116" s="13">
        <v>6622.18</v>
      </c>
      <c r="L116" s="14">
        <v>5.9999999999999995E-4</v>
      </c>
      <c r="N116" s="12">
        <v>12.73</v>
      </c>
      <c r="O116" s="86">
        <v>15.55</v>
      </c>
      <c r="P116" s="78"/>
      <c r="Q116" s="2">
        <f t="shared" si="13"/>
        <v>15.549987789529053</v>
      </c>
    </row>
    <row r="117" spans="1:17" ht="33" customHeight="1" x14ac:dyDescent="0.2">
      <c r="A117" s="9" t="s">
        <v>267</v>
      </c>
      <c r="B117" s="15">
        <v>91602</v>
      </c>
      <c r="C117" s="9" t="s">
        <v>56</v>
      </c>
      <c r="D117" s="47" t="s">
        <v>268</v>
      </c>
      <c r="E117" s="11" t="s">
        <v>180</v>
      </c>
      <c r="F117" s="17">
        <v>1036.328</v>
      </c>
      <c r="G117" s="73">
        <f t="shared" si="22"/>
        <v>8.5724999999999998</v>
      </c>
      <c r="H117" s="73">
        <f t="shared" si="14"/>
        <v>8883.92</v>
      </c>
      <c r="I117" s="73">
        <f t="shared" si="23"/>
        <v>10.477500000000001</v>
      </c>
      <c r="J117" s="73">
        <f t="shared" si="15"/>
        <v>10858.12</v>
      </c>
      <c r="K117" s="13">
        <v>14477.5</v>
      </c>
      <c r="L117" s="14">
        <v>1.1999999999999999E-3</v>
      </c>
      <c r="N117" s="12">
        <v>11.43</v>
      </c>
      <c r="O117" s="86">
        <v>13.97</v>
      </c>
      <c r="P117" s="78"/>
      <c r="Q117" s="2">
        <f t="shared" si="13"/>
        <v>13.969997915717803</v>
      </c>
    </row>
    <row r="118" spans="1:17" ht="33" customHeight="1" x14ac:dyDescent="0.2">
      <c r="A118" s="28">
        <v>40303</v>
      </c>
      <c r="B118" s="15">
        <v>91603</v>
      </c>
      <c r="C118" s="9" t="s">
        <v>56</v>
      </c>
      <c r="D118" s="47" t="s">
        <v>269</v>
      </c>
      <c r="E118" s="11" t="s">
        <v>180</v>
      </c>
      <c r="F118" s="17">
        <v>323.78300000000002</v>
      </c>
      <c r="G118" s="73">
        <f t="shared" si="22"/>
        <v>7.4550000000000001</v>
      </c>
      <c r="H118" s="73">
        <f t="shared" si="14"/>
        <v>2413.8000000000002</v>
      </c>
      <c r="I118" s="73">
        <f t="shared" si="23"/>
        <v>9.1050000000000004</v>
      </c>
      <c r="J118" s="73">
        <f t="shared" si="15"/>
        <v>2948.04</v>
      </c>
      <c r="K118" s="13">
        <v>3930.72</v>
      </c>
      <c r="L118" s="14">
        <v>2.9999999999999997E-4</v>
      </c>
      <c r="N118" s="12">
        <v>9.94</v>
      </c>
      <c r="O118" s="86">
        <v>12.14</v>
      </c>
      <c r="P118" s="78"/>
      <c r="Q118" s="2">
        <f t="shared" si="13"/>
        <v>12.139982642695879</v>
      </c>
    </row>
    <row r="119" spans="1:17" ht="33" customHeight="1" x14ac:dyDescent="0.2">
      <c r="A119" s="28">
        <v>40668</v>
      </c>
      <c r="B119" s="15">
        <v>100068</v>
      </c>
      <c r="C119" s="9" t="s">
        <v>56</v>
      </c>
      <c r="D119" s="47" t="s">
        <v>270</v>
      </c>
      <c r="E119" s="11" t="s">
        <v>180</v>
      </c>
      <c r="F119" s="17">
        <v>60.871000000000002</v>
      </c>
      <c r="G119" s="73">
        <f t="shared" si="22"/>
        <v>6.39</v>
      </c>
      <c r="H119" s="73">
        <f t="shared" si="14"/>
        <v>388.96</v>
      </c>
      <c r="I119" s="73">
        <f t="shared" si="23"/>
        <v>7.8075000000000001</v>
      </c>
      <c r="J119" s="73">
        <f t="shared" si="15"/>
        <v>475.25</v>
      </c>
      <c r="K119" s="12">
        <v>633.66</v>
      </c>
      <c r="L119" s="14">
        <v>1E-4</v>
      </c>
      <c r="N119" s="12">
        <v>8.52</v>
      </c>
      <c r="O119" s="86">
        <v>10.41</v>
      </c>
      <c r="P119" s="78"/>
      <c r="Q119" s="2">
        <f t="shared" si="13"/>
        <v>10.409883195610389</v>
      </c>
    </row>
    <row r="120" spans="1:17" ht="33" customHeight="1" x14ac:dyDescent="0.2">
      <c r="A120" s="28">
        <v>41034</v>
      </c>
      <c r="B120" s="9" t="s">
        <v>236</v>
      </c>
      <c r="C120" s="9" t="s">
        <v>209</v>
      </c>
      <c r="D120" s="47" t="s">
        <v>271</v>
      </c>
      <c r="E120" s="11" t="s">
        <v>118</v>
      </c>
      <c r="F120" s="17">
        <v>20.338000000000001</v>
      </c>
      <c r="G120" s="73">
        <f t="shared" si="22"/>
        <v>521.81999999999994</v>
      </c>
      <c r="H120" s="73">
        <f t="shared" si="14"/>
        <v>10612.77</v>
      </c>
      <c r="I120" s="73">
        <f t="shared" si="23"/>
        <v>637.81499999999994</v>
      </c>
      <c r="J120" s="73">
        <f t="shared" si="15"/>
        <v>12971.88</v>
      </c>
      <c r="K120" s="13">
        <v>17295.84</v>
      </c>
      <c r="L120" s="14">
        <v>1.4E-3</v>
      </c>
      <c r="N120" s="12">
        <v>695.76</v>
      </c>
      <c r="O120" s="86">
        <v>850.42</v>
      </c>
      <c r="P120" s="78"/>
      <c r="Q120" s="2">
        <f t="shared" si="13"/>
        <v>850.41990362867534</v>
      </c>
    </row>
    <row r="121" spans="1:17" ht="33" customHeight="1" x14ac:dyDescent="0.2">
      <c r="A121" s="28">
        <v>41399</v>
      </c>
      <c r="B121" s="9" t="s">
        <v>272</v>
      </c>
      <c r="C121" s="9" t="s">
        <v>209</v>
      </c>
      <c r="D121" s="47" t="s">
        <v>273</v>
      </c>
      <c r="E121" s="11" t="s">
        <v>118</v>
      </c>
      <c r="F121" s="17">
        <v>14.555999999999999</v>
      </c>
      <c r="G121" s="73">
        <f t="shared" si="22"/>
        <v>540.85500000000002</v>
      </c>
      <c r="H121" s="73">
        <f t="shared" si="14"/>
        <v>7872.68</v>
      </c>
      <c r="I121" s="73">
        <f t="shared" si="23"/>
        <v>661.08</v>
      </c>
      <c r="J121" s="73">
        <f t="shared" si="15"/>
        <v>9622.68</v>
      </c>
      <c r="K121" s="13">
        <v>12830.24</v>
      </c>
      <c r="L121" s="14">
        <v>1.1000000000000001E-3</v>
      </c>
      <c r="N121" s="12">
        <v>721.14</v>
      </c>
      <c r="O121" s="86">
        <v>881.44</v>
      </c>
      <c r="P121" s="78"/>
      <c r="Q121" s="2">
        <f t="shared" si="13"/>
        <v>881.43995603187693</v>
      </c>
    </row>
    <row r="122" spans="1:17" ht="33" customHeight="1" x14ac:dyDescent="0.2">
      <c r="A122" s="28">
        <v>41764</v>
      </c>
      <c r="B122" s="25" t="s">
        <v>193</v>
      </c>
      <c r="C122" s="9" t="s">
        <v>24</v>
      </c>
      <c r="D122" s="47" t="s">
        <v>194</v>
      </c>
      <c r="E122" s="11" t="s">
        <v>180</v>
      </c>
      <c r="F122" s="12">
        <v>406.76</v>
      </c>
      <c r="G122" s="73">
        <f t="shared" si="22"/>
        <v>23.13</v>
      </c>
      <c r="H122" s="73">
        <f t="shared" si="14"/>
        <v>9408.35</v>
      </c>
      <c r="I122" s="73">
        <f t="shared" si="23"/>
        <v>28.267499999999998</v>
      </c>
      <c r="J122" s="73">
        <f t="shared" si="15"/>
        <v>11498.08</v>
      </c>
      <c r="K122" s="13">
        <v>15330.78</v>
      </c>
      <c r="L122" s="14">
        <v>1.2999999999999999E-3</v>
      </c>
      <c r="N122" s="12">
        <v>30.84</v>
      </c>
      <c r="O122" s="86">
        <v>37.69</v>
      </c>
      <c r="P122" s="78"/>
      <c r="Q122" s="2">
        <f t="shared" si="13"/>
        <v>37.689989182810507</v>
      </c>
    </row>
    <row r="123" spans="1:17" ht="33" customHeight="1" x14ac:dyDescent="0.2">
      <c r="A123" s="5" t="s">
        <v>274</v>
      </c>
      <c r="B123" s="4"/>
      <c r="C123" s="4"/>
      <c r="D123" s="45" t="s">
        <v>275</v>
      </c>
      <c r="E123" s="4"/>
      <c r="F123" s="6">
        <v>1</v>
      </c>
      <c r="G123" s="71"/>
      <c r="H123" s="73">
        <f t="shared" si="14"/>
        <v>0</v>
      </c>
      <c r="I123" s="71"/>
      <c r="J123" s="76">
        <f>SUM(J124:J134)</f>
        <v>129105.16</v>
      </c>
      <c r="K123" s="7">
        <v>172140.26</v>
      </c>
      <c r="L123" s="8">
        <v>1.44E-2</v>
      </c>
      <c r="N123" s="4"/>
      <c r="O123" s="88">
        <v>172140.26</v>
      </c>
      <c r="P123" s="78"/>
      <c r="Q123" s="2">
        <f t="shared" si="13"/>
        <v>172140.26</v>
      </c>
    </row>
    <row r="124" spans="1:17" ht="33" customHeight="1" x14ac:dyDescent="0.2">
      <c r="A124" s="9" t="s">
        <v>276</v>
      </c>
      <c r="B124" s="15">
        <v>104927</v>
      </c>
      <c r="C124" s="9" t="s">
        <v>56</v>
      </c>
      <c r="D124" s="47" t="s">
        <v>277</v>
      </c>
      <c r="E124" s="11" t="s">
        <v>26</v>
      </c>
      <c r="F124" s="12">
        <v>52.44</v>
      </c>
      <c r="G124" s="73">
        <f t="shared" ref="G124:G134" si="24">N124*$S$6</f>
        <v>70.282499999999999</v>
      </c>
      <c r="H124" s="73">
        <f t="shared" si="14"/>
        <v>3685.61</v>
      </c>
      <c r="I124" s="73">
        <f t="shared" ref="I124:I134" si="25">O124*$S$6</f>
        <v>85.905000000000001</v>
      </c>
      <c r="J124" s="73">
        <f t="shared" si="15"/>
        <v>4504.8500000000004</v>
      </c>
      <c r="K124" s="13">
        <v>6006.47</v>
      </c>
      <c r="L124" s="14">
        <v>5.0000000000000001E-4</v>
      </c>
      <c r="N124" s="12">
        <v>93.71</v>
      </c>
      <c r="O124" s="86">
        <v>114.54</v>
      </c>
      <c r="P124" s="78"/>
      <c r="Q124" s="2">
        <f t="shared" si="13"/>
        <v>114.53985507246378</v>
      </c>
    </row>
    <row r="125" spans="1:17" ht="33" customHeight="1" x14ac:dyDescent="0.2">
      <c r="A125" s="9" t="s">
        <v>278</v>
      </c>
      <c r="B125" s="15">
        <v>92419</v>
      </c>
      <c r="C125" s="9" t="s">
        <v>56</v>
      </c>
      <c r="D125" s="47" t="s">
        <v>198</v>
      </c>
      <c r="E125" s="11" t="s">
        <v>26</v>
      </c>
      <c r="F125" s="29">
        <v>151.80000000000001</v>
      </c>
      <c r="G125" s="73">
        <f t="shared" si="24"/>
        <v>83.594999999999999</v>
      </c>
      <c r="H125" s="73">
        <f t="shared" si="14"/>
        <v>12689.72</v>
      </c>
      <c r="I125" s="73">
        <f t="shared" si="25"/>
        <v>102.17249999999999</v>
      </c>
      <c r="J125" s="73">
        <f t="shared" si="15"/>
        <v>15509.78</v>
      </c>
      <c r="K125" s="13">
        <v>20679.71</v>
      </c>
      <c r="L125" s="14">
        <v>1.6999999999999999E-3</v>
      </c>
      <c r="N125" s="12">
        <v>111.46</v>
      </c>
      <c r="O125" s="86">
        <v>136.22999999999999</v>
      </c>
      <c r="P125" s="78"/>
      <c r="Q125" s="2">
        <f t="shared" si="13"/>
        <v>136.22997364953886</v>
      </c>
    </row>
    <row r="126" spans="1:17" ht="33" customHeight="1" x14ac:dyDescent="0.2">
      <c r="A126" s="9" t="s">
        <v>279</v>
      </c>
      <c r="B126" s="15">
        <v>92473</v>
      </c>
      <c r="C126" s="9" t="s">
        <v>56</v>
      </c>
      <c r="D126" s="47" t="s">
        <v>214</v>
      </c>
      <c r="E126" s="11" t="s">
        <v>26</v>
      </c>
      <c r="F126" s="17">
        <v>326.78399999999999</v>
      </c>
      <c r="G126" s="73">
        <f t="shared" si="24"/>
        <v>113.57250000000001</v>
      </c>
      <c r="H126" s="73">
        <f t="shared" si="14"/>
        <v>37113.67</v>
      </c>
      <c r="I126" s="73">
        <f t="shared" si="25"/>
        <v>138.8175</v>
      </c>
      <c r="J126" s="73">
        <f t="shared" si="15"/>
        <v>45363.33</v>
      </c>
      <c r="K126" s="13">
        <v>60484.45</v>
      </c>
      <c r="L126" s="14">
        <v>5.1000000000000004E-3</v>
      </c>
      <c r="N126" s="12">
        <v>151.43</v>
      </c>
      <c r="O126" s="86">
        <v>185.09</v>
      </c>
      <c r="P126" s="78"/>
      <c r="Q126" s="2">
        <f t="shared" si="13"/>
        <v>185.0899982863298</v>
      </c>
    </row>
    <row r="127" spans="1:17" ht="33" customHeight="1" x14ac:dyDescent="0.2">
      <c r="A127" s="9" t="s">
        <v>280</v>
      </c>
      <c r="B127" s="15">
        <v>104918</v>
      </c>
      <c r="C127" s="9" t="s">
        <v>56</v>
      </c>
      <c r="D127" s="47" t="s">
        <v>188</v>
      </c>
      <c r="E127" s="11" t="s">
        <v>180</v>
      </c>
      <c r="F127" s="17">
        <v>539.08100000000002</v>
      </c>
      <c r="G127" s="73">
        <f t="shared" si="24"/>
        <v>11.692499999999999</v>
      </c>
      <c r="H127" s="73">
        <f t="shared" si="14"/>
        <v>6303.2</v>
      </c>
      <c r="I127" s="73">
        <f t="shared" si="25"/>
        <v>14.287500000000001</v>
      </c>
      <c r="J127" s="73">
        <f t="shared" si="15"/>
        <v>7702.11</v>
      </c>
      <c r="K127" s="13">
        <v>10269.49</v>
      </c>
      <c r="L127" s="14">
        <v>8.9999999999999998E-4</v>
      </c>
      <c r="N127" s="12">
        <v>15.59</v>
      </c>
      <c r="O127" s="86">
        <v>19.05</v>
      </c>
      <c r="P127" s="78"/>
      <c r="Q127" s="2">
        <f t="shared" si="13"/>
        <v>19.049994342223155</v>
      </c>
    </row>
    <row r="128" spans="1:17" ht="33" customHeight="1" x14ac:dyDescent="0.2">
      <c r="A128" s="9" t="s">
        <v>281</v>
      </c>
      <c r="B128" s="15">
        <v>92759</v>
      </c>
      <c r="C128" s="9" t="s">
        <v>56</v>
      </c>
      <c r="D128" s="46" t="s">
        <v>282</v>
      </c>
      <c r="E128" s="11" t="s">
        <v>180</v>
      </c>
      <c r="F128" s="17">
        <v>680.36300000000006</v>
      </c>
      <c r="G128" s="73">
        <f t="shared" si="24"/>
        <v>11.925000000000001</v>
      </c>
      <c r="H128" s="73">
        <f t="shared" si="14"/>
        <v>8113.32</v>
      </c>
      <c r="I128" s="73">
        <f t="shared" si="25"/>
        <v>14.5725</v>
      </c>
      <c r="J128" s="73">
        <f t="shared" si="15"/>
        <v>9914.58</v>
      </c>
      <c r="K128" s="13">
        <v>13219.45</v>
      </c>
      <c r="L128" s="14">
        <v>1.1000000000000001E-3</v>
      </c>
      <c r="N128" s="12">
        <v>15.9</v>
      </c>
      <c r="O128" s="86">
        <v>19.43</v>
      </c>
      <c r="P128" s="78"/>
      <c r="Q128" s="2">
        <f t="shared" si="13"/>
        <v>19.429995458306816</v>
      </c>
    </row>
    <row r="129" spans="1:17" ht="33" customHeight="1" x14ac:dyDescent="0.2">
      <c r="A129" s="9" t="s">
        <v>283</v>
      </c>
      <c r="B129" s="15">
        <v>92761</v>
      </c>
      <c r="C129" s="9" t="s">
        <v>56</v>
      </c>
      <c r="D129" s="46" t="s">
        <v>224</v>
      </c>
      <c r="E129" s="11" t="s">
        <v>180</v>
      </c>
      <c r="F129" s="17">
        <v>690.423</v>
      </c>
      <c r="G129" s="73">
        <f t="shared" si="24"/>
        <v>9.6225000000000005</v>
      </c>
      <c r="H129" s="73">
        <f t="shared" si="14"/>
        <v>6643.59</v>
      </c>
      <c r="I129" s="73">
        <f t="shared" si="25"/>
        <v>11.76</v>
      </c>
      <c r="J129" s="73">
        <f t="shared" si="15"/>
        <v>8119.37</v>
      </c>
      <c r="K129" s="13">
        <v>10825.83</v>
      </c>
      <c r="L129" s="14">
        <v>8.9999999999999998E-4</v>
      </c>
      <c r="N129" s="12">
        <v>12.83</v>
      </c>
      <c r="O129" s="86">
        <v>15.68</v>
      </c>
      <c r="P129" s="78"/>
      <c r="Q129" s="2">
        <f t="shared" si="13"/>
        <v>15.679996176257164</v>
      </c>
    </row>
    <row r="130" spans="1:17" ht="33" customHeight="1" x14ac:dyDescent="0.2">
      <c r="A130" s="9" t="s">
        <v>284</v>
      </c>
      <c r="B130" s="15">
        <v>92762</v>
      </c>
      <c r="C130" s="9" t="s">
        <v>56</v>
      </c>
      <c r="D130" s="47" t="s">
        <v>204</v>
      </c>
      <c r="E130" s="11" t="s">
        <v>180</v>
      </c>
      <c r="F130" s="12">
        <v>662.62</v>
      </c>
      <c r="G130" s="73">
        <f t="shared" si="24"/>
        <v>8.3925000000000001</v>
      </c>
      <c r="H130" s="73">
        <f t="shared" si="14"/>
        <v>5561.03</v>
      </c>
      <c r="I130" s="73">
        <f t="shared" si="25"/>
        <v>10.2525</v>
      </c>
      <c r="J130" s="73">
        <f t="shared" si="15"/>
        <v>6793.51</v>
      </c>
      <c r="K130" s="13">
        <v>9058.01</v>
      </c>
      <c r="L130" s="14">
        <v>8.0000000000000004E-4</v>
      </c>
      <c r="N130" s="12">
        <v>11.19</v>
      </c>
      <c r="O130" s="86">
        <v>13.67</v>
      </c>
      <c r="P130" s="78"/>
      <c r="Q130" s="2">
        <f t="shared" si="13"/>
        <v>13.669991850532734</v>
      </c>
    </row>
    <row r="131" spans="1:17" ht="33" customHeight="1" x14ac:dyDescent="0.2">
      <c r="A131" s="9" t="s">
        <v>285</v>
      </c>
      <c r="B131" s="15">
        <v>104924</v>
      </c>
      <c r="C131" s="9" t="s">
        <v>56</v>
      </c>
      <c r="D131" s="47" t="s">
        <v>286</v>
      </c>
      <c r="E131" s="11" t="s">
        <v>118</v>
      </c>
      <c r="F131" s="17">
        <v>8.2650000000000006</v>
      </c>
      <c r="G131" s="73">
        <f t="shared" si="24"/>
        <v>571.98</v>
      </c>
      <c r="H131" s="73">
        <f t="shared" si="14"/>
        <v>4727.41</v>
      </c>
      <c r="I131" s="73">
        <f t="shared" si="25"/>
        <v>699.12749999999994</v>
      </c>
      <c r="J131" s="73">
        <f t="shared" si="15"/>
        <v>5778.28</v>
      </c>
      <c r="K131" s="13">
        <v>7704.38</v>
      </c>
      <c r="L131" s="14">
        <v>5.9999999999999995E-4</v>
      </c>
      <c r="N131" s="12">
        <v>762.64</v>
      </c>
      <c r="O131" s="86">
        <v>932.17</v>
      </c>
      <c r="P131" s="78"/>
      <c r="Q131" s="2">
        <f t="shared" si="13"/>
        <v>932.16938898971557</v>
      </c>
    </row>
    <row r="132" spans="1:17" ht="33" customHeight="1" x14ac:dyDescent="0.2">
      <c r="A132" s="9" t="s">
        <v>287</v>
      </c>
      <c r="B132" s="9" t="s">
        <v>208</v>
      </c>
      <c r="C132" s="9" t="s">
        <v>209</v>
      </c>
      <c r="D132" s="47" t="s">
        <v>210</v>
      </c>
      <c r="E132" s="11" t="s">
        <v>118</v>
      </c>
      <c r="F132" s="12">
        <v>7.59</v>
      </c>
      <c r="G132" s="73">
        <f t="shared" si="24"/>
        <v>520.93500000000006</v>
      </c>
      <c r="H132" s="73">
        <f t="shared" si="14"/>
        <v>3953.89</v>
      </c>
      <c r="I132" s="73">
        <f t="shared" si="25"/>
        <v>636.73500000000001</v>
      </c>
      <c r="J132" s="73">
        <f t="shared" si="15"/>
        <v>4832.8100000000004</v>
      </c>
      <c r="K132" s="13">
        <v>6443.75</v>
      </c>
      <c r="L132" s="14">
        <v>5.0000000000000001E-4</v>
      </c>
      <c r="N132" s="12">
        <v>694.58</v>
      </c>
      <c r="O132" s="86">
        <v>848.98</v>
      </c>
      <c r="P132" s="78"/>
      <c r="Q132" s="2">
        <f t="shared" si="13"/>
        <v>848.9789196310935</v>
      </c>
    </row>
    <row r="133" spans="1:17" ht="33" customHeight="1" x14ac:dyDescent="0.2">
      <c r="A133" s="28">
        <v>40304</v>
      </c>
      <c r="B133" s="9" t="s">
        <v>236</v>
      </c>
      <c r="C133" s="9" t="s">
        <v>209</v>
      </c>
      <c r="D133" s="46" t="s">
        <v>237</v>
      </c>
      <c r="E133" s="11" t="s">
        <v>118</v>
      </c>
      <c r="F133" s="17">
        <v>18.547000000000001</v>
      </c>
      <c r="G133" s="73">
        <f t="shared" si="24"/>
        <v>521.81999999999994</v>
      </c>
      <c r="H133" s="73">
        <f t="shared" si="14"/>
        <v>9678.19</v>
      </c>
      <c r="I133" s="73">
        <f t="shared" si="25"/>
        <v>637.81499999999994</v>
      </c>
      <c r="J133" s="73">
        <f t="shared" si="15"/>
        <v>11829.55</v>
      </c>
      <c r="K133" s="13">
        <v>15772.73</v>
      </c>
      <c r="L133" s="14">
        <v>1.2999999999999999E-3</v>
      </c>
      <c r="N133" s="12">
        <v>695.76</v>
      </c>
      <c r="O133" s="86">
        <v>850.42</v>
      </c>
      <c r="P133" s="78"/>
      <c r="Q133" s="2">
        <f t="shared" si="13"/>
        <v>850.41947484768423</v>
      </c>
    </row>
    <row r="134" spans="1:17" ht="33" customHeight="1" x14ac:dyDescent="0.2">
      <c r="A134" s="28">
        <v>40669</v>
      </c>
      <c r="B134" s="15">
        <v>98557</v>
      </c>
      <c r="C134" s="9" t="s">
        <v>56</v>
      </c>
      <c r="D134" s="47" t="s">
        <v>192</v>
      </c>
      <c r="E134" s="11" t="s">
        <v>26</v>
      </c>
      <c r="F134" s="17">
        <v>163.392</v>
      </c>
      <c r="G134" s="73">
        <f t="shared" si="24"/>
        <v>43.852499999999999</v>
      </c>
      <c r="H134" s="73">
        <f t="shared" si="14"/>
        <v>7165.14</v>
      </c>
      <c r="I134" s="73">
        <f t="shared" si="25"/>
        <v>53.594999999999999</v>
      </c>
      <c r="J134" s="73">
        <f t="shared" si="15"/>
        <v>8756.99</v>
      </c>
      <c r="K134" s="13">
        <v>11675.99</v>
      </c>
      <c r="L134" s="14">
        <v>1E-3</v>
      </c>
      <c r="N134" s="12">
        <v>58.47</v>
      </c>
      <c r="O134" s="86">
        <v>71.459999999999994</v>
      </c>
      <c r="P134" s="78"/>
      <c r="Q134" s="2">
        <f t="shared" si="13"/>
        <v>71.459985801018405</v>
      </c>
    </row>
    <row r="135" spans="1:17" ht="33" customHeight="1" x14ac:dyDescent="0.2">
      <c r="A135" s="3">
        <v>6</v>
      </c>
      <c r="B135" s="4"/>
      <c r="C135" s="4"/>
      <c r="D135" s="45" t="s">
        <v>288</v>
      </c>
      <c r="E135" s="4"/>
      <c r="F135" s="6">
        <v>1</v>
      </c>
      <c r="G135" s="71"/>
      <c r="H135" s="73">
        <f t="shared" si="14"/>
        <v>0</v>
      </c>
      <c r="I135" s="71"/>
      <c r="J135" s="76">
        <f>J136+J144+J151+J159+J163+J167+J180+J186</f>
        <v>2099381.87</v>
      </c>
      <c r="K135" s="7">
        <v>2799175.9</v>
      </c>
      <c r="L135" s="8">
        <v>0.2346</v>
      </c>
      <c r="N135" s="4"/>
      <c r="O135" s="88">
        <v>2799175.9</v>
      </c>
      <c r="P135" s="78"/>
      <c r="Q135" s="2">
        <f t="shared" ref="Q135:Q198" si="26">K135/F135</f>
        <v>2799175.9</v>
      </c>
    </row>
    <row r="136" spans="1:17" ht="33" customHeight="1" x14ac:dyDescent="0.2">
      <c r="A136" s="5" t="s">
        <v>289</v>
      </c>
      <c r="B136" s="4"/>
      <c r="C136" s="4"/>
      <c r="D136" s="45" t="s">
        <v>290</v>
      </c>
      <c r="E136" s="4"/>
      <c r="F136" s="6">
        <v>1</v>
      </c>
      <c r="G136" s="71"/>
      <c r="H136" s="73">
        <f t="shared" ref="H136:H199" si="27">TRUNC(G136*F136,2)</f>
        <v>0</v>
      </c>
      <c r="I136" s="71"/>
      <c r="J136" s="76">
        <f>SUM(J137:J143)</f>
        <v>160956.59000000003</v>
      </c>
      <c r="K136" s="7">
        <v>214608.8</v>
      </c>
      <c r="L136" s="8">
        <v>1.7999999999999999E-2</v>
      </c>
      <c r="N136" s="4"/>
      <c r="O136" s="88">
        <v>214608.8</v>
      </c>
      <c r="P136" s="78"/>
      <c r="Q136" s="2">
        <f t="shared" si="26"/>
        <v>214608.8</v>
      </c>
    </row>
    <row r="137" spans="1:17" ht="33" customHeight="1" x14ac:dyDescent="0.2">
      <c r="A137" s="9" t="s">
        <v>291</v>
      </c>
      <c r="B137" s="15">
        <v>103322</v>
      </c>
      <c r="C137" s="9" t="s">
        <v>56</v>
      </c>
      <c r="D137" s="47" t="s">
        <v>292</v>
      </c>
      <c r="E137" s="11" t="s">
        <v>26</v>
      </c>
      <c r="F137" s="12">
        <v>922.11</v>
      </c>
      <c r="G137" s="73">
        <f t="shared" ref="G137:G143" si="28">N137*$S$6</f>
        <v>54.157499999999999</v>
      </c>
      <c r="H137" s="73">
        <f t="shared" si="27"/>
        <v>49939.17</v>
      </c>
      <c r="I137" s="73">
        <f t="shared" ref="I137:I143" si="29">O137*$S$6</f>
        <v>66.195000000000007</v>
      </c>
      <c r="J137" s="73">
        <f t="shared" ref="J137:J199" si="30">TRUNC(I137*F137,2)</f>
        <v>61039.07</v>
      </c>
      <c r="K137" s="13">
        <v>81385.42</v>
      </c>
      <c r="L137" s="14">
        <v>6.7999999999999996E-3</v>
      </c>
      <c r="N137" s="12">
        <v>72.209999999999994</v>
      </c>
      <c r="O137" s="86">
        <v>88.26</v>
      </c>
      <c r="P137" s="78"/>
      <c r="Q137" s="2">
        <f t="shared" si="26"/>
        <v>88.259990673563891</v>
      </c>
    </row>
    <row r="138" spans="1:17" ht="33" customHeight="1" x14ac:dyDescent="0.2">
      <c r="A138" s="9" t="s">
        <v>293</v>
      </c>
      <c r="B138" s="15">
        <v>103371</v>
      </c>
      <c r="C138" s="9" t="s">
        <v>56</v>
      </c>
      <c r="D138" s="47" t="s">
        <v>294</v>
      </c>
      <c r="E138" s="11" t="s">
        <v>26</v>
      </c>
      <c r="F138" s="17">
        <v>80.296999999999997</v>
      </c>
      <c r="G138" s="73">
        <f t="shared" si="28"/>
        <v>82.664999999999992</v>
      </c>
      <c r="H138" s="73">
        <f t="shared" si="27"/>
        <v>6637.75</v>
      </c>
      <c r="I138" s="73">
        <f t="shared" si="29"/>
        <v>101.03999999999999</v>
      </c>
      <c r="J138" s="73">
        <f t="shared" si="30"/>
        <v>8113.2</v>
      </c>
      <c r="K138" s="13">
        <v>10817.61</v>
      </c>
      <c r="L138" s="14">
        <v>8.9999999999999998E-4</v>
      </c>
      <c r="N138" s="12">
        <v>110.22</v>
      </c>
      <c r="O138" s="86">
        <v>134.72</v>
      </c>
      <c r="P138" s="78"/>
      <c r="Q138" s="2">
        <f t="shared" si="26"/>
        <v>134.71997708507169</v>
      </c>
    </row>
    <row r="139" spans="1:17" ht="33" customHeight="1" x14ac:dyDescent="0.2">
      <c r="A139" s="9" t="s">
        <v>295</v>
      </c>
      <c r="B139" s="15">
        <v>103318</v>
      </c>
      <c r="C139" s="9" t="s">
        <v>56</v>
      </c>
      <c r="D139" s="47" t="s">
        <v>296</v>
      </c>
      <c r="E139" s="11" t="s">
        <v>26</v>
      </c>
      <c r="F139" s="17">
        <v>741.14700000000005</v>
      </c>
      <c r="G139" s="73">
        <f t="shared" si="28"/>
        <v>82.717500000000001</v>
      </c>
      <c r="H139" s="73">
        <f t="shared" si="27"/>
        <v>61305.82</v>
      </c>
      <c r="I139" s="73">
        <f t="shared" si="29"/>
        <v>101.10000000000001</v>
      </c>
      <c r="J139" s="73">
        <f t="shared" si="30"/>
        <v>74929.960000000006</v>
      </c>
      <c r="K139" s="13">
        <v>99906.61</v>
      </c>
      <c r="L139" s="14">
        <v>8.3999999999999995E-3</v>
      </c>
      <c r="N139" s="12">
        <v>110.29</v>
      </c>
      <c r="O139" s="86">
        <v>134.80000000000001</v>
      </c>
      <c r="P139" s="78"/>
      <c r="Q139" s="2">
        <f t="shared" si="26"/>
        <v>134.79999244414401</v>
      </c>
    </row>
    <row r="140" spans="1:17" ht="33" customHeight="1" x14ac:dyDescent="0.2">
      <c r="A140" s="9" t="s">
        <v>297</v>
      </c>
      <c r="B140" s="15">
        <v>93203</v>
      </c>
      <c r="C140" s="9" t="s">
        <v>56</v>
      </c>
      <c r="D140" s="46" t="s">
        <v>298</v>
      </c>
      <c r="E140" s="11" t="s">
        <v>99</v>
      </c>
      <c r="F140" s="17">
        <v>358.99799999999999</v>
      </c>
      <c r="G140" s="73">
        <f t="shared" si="28"/>
        <v>11.175000000000001</v>
      </c>
      <c r="H140" s="73">
        <f t="shared" si="27"/>
        <v>4011.8</v>
      </c>
      <c r="I140" s="73">
        <f t="shared" si="29"/>
        <v>13.657500000000001</v>
      </c>
      <c r="J140" s="73">
        <f t="shared" si="30"/>
        <v>4903.01</v>
      </c>
      <c r="K140" s="13">
        <v>6537.35</v>
      </c>
      <c r="L140" s="14">
        <v>5.0000000000000001E-4</v>
      </c>
      <c r="N140" s="12">
        <v>14.9</v>
      </c>
      <c r="O140" s="86">
        <v>18.21</v>
      </c>
      <c r="P140" s="78"/>
      <c r="Q140" s="2">
        <f t="shared" si="26"/>
        <v>18.209990027799599</v>
      </c>
    </row>
    <row r="141" spans="1:17" ht="33" customHeight="1" x14ac:dyDescent="0.2">
      <c r="A141" s="9" t="s">
        <v>299</v>
      </c>
      <c r="B141" s="15">
        <v>93187</v>
      </c>
      <c r="C141" s="9" t="s">
        <v>56</v>
      </c>
      <c r="D141" s="47" t="s">
        <v>300</v>
      </c>
      <c r="E141" s="11" t="s">
        <v>99</v>
      </c>
      <c r="F141" s="17">
        <v>46.192999999999998</v>
      </c>
      <c r="G141" s="73">
        <f t="shared" si="28"/>
        <v>68.114999999999995</v>
      </c>
      <c r="H141" s="73">
        <f t="shared" si="27"/>
        <v>3146.43</v>
      </c>
      <c r="I141" s="73">
        <f t="shared" si="29"/>
        <v>83.25</v>
      </c>
      <c r="J141" s="73">
        <f t="shared" si="30"/>
        <v>3845.56</v>
      </c>
      <c r="K141" s="13">
        <v>5127.42</v>
      </c>
      <c r="L141" s="14">
        <v>4.0000000000000002E-4</v>
      </c>
      <c r="N141" s="12">
        <v>90.82</v>
      </c>
      <c r="O141" s="86">
        <v>111</v>
      </c>
      <c r="P141" s="78"/>
      <c r="Q141" s="2">
        <f t="shared" si="26"/>
        <v>110.99993505509494</v>
      </c>
    </row>
    <row r="142" spans="1:17" ht="33" customHeight="1" x14ac:dyDescent="0.2">
      <c r="A142" s="9" t="s">
        <v>301</v>
      </c>
      <c r="B142" s="15">
        <v>93197</v>
      </c>
      <c r="C142" s="9" t="s">
        <v>56</v>
      </c>
      <c r="D142" s="46" t="s">
        <v>302</v>
      </c>
      <c r="E142" s="11" t="s">
        <v>99</v>
      </c>
      <c r="F142" s="29">
        <v>44.1</v>
      </c>
      <c r="G142" s="73">
        <f t="shared" si="28"/>
        <v>48.982500000000002</v>
      </c>
      <c r="H142" s="73">
        <f t="shared" si="27"/>
        <v>2160.12</v>
      </c>
      <c r="I142" s="73">
        <f t="shared" si="29"/>
        <v>59.864999999999995</v>
      </c>
      <c r="J142" s="73">
        <f t="shared" si="30"/>
        <v>2640.04</v>
      </c>
      <c r="K142" s="13">
        <v>3520.06</v>
      </c>
      <c r="L142" s="14">
        <v>2.9999999999999997E-4</v>
      </c>
      <c r="N142" s="12">
        <v>65.31</v>
      </c>
      <c r="O142" s="86">
        <v>79.819999999999993</v>
      </c>
      <c r="P142" s="78"/>
      <c r="Q142" s="2">
        <f t="shared" si="26"/>
        <v>79.819954648526078</v>
      </c>
    </row>
    <row r="143" spans="1:17" ht="33" customHeight="1" x14ac:dyDescent="0.2">
      <c r="A143" s="9" t="s">
        <v>303</v>
      </c>
      <c r="B143" s="15">
        <v>98575</v>
      </c>
      <c r="C143" s="9" t="s">
        <v>56</v>
      </c>
      <c r="D143" s="46" t="s">
        <v>304</v>
      </c>
      <c r="E143" s="11" t="s">
        <v>99</v>
      </c>
      <c r="F143" s="17">
        <v>70.629000000000005</v>
      </c>
      <c r="G143" s="73">
        <f t="shared" si="28"/>
        <v>63.547499999999999</v>
      </c>
      <c r="H143" s="73">
        <f t="shared" si="27"/>
        <v>4488.29</v>
      </c>
      <c r="I143" s="73">
        <f t="shared" si="29"/>
        <v>77.67</v>
      </c>
      <c r="J143" s="73">
        <f t="shared" si="30"/>
        <v>5485.75</v>
      </c>
      <c r="K143" s="13">
        <v>7314.33</v>
      </c>
      <c r="L143" s="14">
        <v>5.9999999999999995E-4</v>
      </c>
      <c r="N143" s="12">
        <v>84.73</v>
      </c>
      <c r="O143" s="86">
        <v>103.56</v>
      </c>
      <c r="P143" s="78"/>
      <c r="Q143" s="2">
        <f t="shared" si="26"/>
        <v>103.55986917555111</v>
      </c>
    </row>
    <row r="144" spans="1:17" ht="33" customHeight="1" x14ac:dyDescent="0.2">
      <c r="A144" s="5" t="s">
        <v>305</v>
      </c>
      <c r="B144" s="4"/>
      <c r="C144" s="4"/>
      <c r="D144" s="45" t="s">
        <v>306</v>
      </c>
      <c r="E144" s="4"/>
      <c r="F144" s="6">
        <v>1</v>
      </c>
      <c r="G144" s="71"/>
      <c r="H144" s="73">
        <f t="shared" si="27"/>
        <v>0</v>
      </c>
      <c r="I144" s="71"/>
      <c r="J144" s="76">
        <f>SUM(J145:J150)</f>
        <v>376205.03</v>
      </c>
      <c r="K144" s="7">
        <v>501606.72</v>
      </c>
      <c r="L144" s="8">
        <v>4.2000000000000003E-2</v>
      </c>
      <c r="N144" s="4"/>
      <c r="O144" s="88">
        <v>501606.72</v>
      </c>
      <c r="P144" s="78"/>
      <c r="Q144" s="2">
        <f t="shared" si="26"/>
        <v>501606.72</v>
      </c>
    </row>
    <row r="145" spans="1:17" ht="33" customHeight="1" x14ac:dyDescent="0.2">
      <c r="A145" s="9" t="s">
        <v>307</v>
      </c>
      <c r="B145" s="15">
        <v>96359</v>
      </c>
      <c r="C145" s="9" t="s">
        <v>56</v>
      </c>
      <c r="D145" s="47" t="s">
        <v>308</v>
      </c>
      <c r="E145" s="11" t="s">
        <v>26</v>
      </c>
      <c r="F145" s="17">
        <v>803.67100000000005</v>
      </c>
      <c r="G145" s="73">
        <f t="shared" ref="G145:G150" si="31">N145*$S$6</f>
        <v>83.317499999999995</v>
      </c>
      <c r="H145" s="73">
        <f t="shared" si="27"/>
        <v>66959.850000000006</v>
      </c>
      <c r="I145" s="73">
        <f t="shared" ref="I145:I150" si="32">O145*$S$6</f>
        <v>101.83500000000001</v>
      </c>
      <c r="J145" s="73">
        <f t="shared" si="30"/>
        <v>81841.83</v>
      </c>
      <c r="K145" s="13">
        <v>109122.44</v>
      </c>
      <c r="L145" s="14">
        <v>9.1000000000000004E-3</v>
      </c>
      <c r="N145" s="12">
        <v>111.09</v>
      </c>
      <c r="O145" s="86">
        <v>135.78</v>
      </c>
      <c r="P145" s="78"/>
      <c r="Q145" s="2">
        <f t="shared" si="26"/>
        <v>135.7799895728476</v>
      </c>
    </row>
    <row r="146" spans="1:17" ht="33" customHeight="1" x14ac:dyDescent="0.2">
      <c r="A146" s="9" t="s">
        <v>309</v>
      </c>
      <c r="B146" s="9" t="s">
        <v>310</v>
      </c>
      <c r="C146" s="9" t="s">
        <v>209</v>
      </c>
      <c r="D146" s="47" t="s">
        <v>311</v>
      </c>
      <c r="E146" s="11" t="s">
        <v>26</v>
      </c>
      <c r="F146" s="17">
        <v>638.43600000000004</v>
      </c>
      <c r="G146" s="73">
        <f t="shared" si="31"/>
        <v>95.474999999999994</v>
      </c>
      <c r="H146" s="73">
        <f t="shared" si="27"/>
        <v>60954.67</v>
      </c>
      <c r="I146" s="73">
        <f t="shared" si="32"/>
        <v>116.6925</v>
      </c>
      <c r="J146" s="73">
        <f t="shared" si="30"/>
        <v>74500.69</v>
      </c>
      <c r="K146" s="13">
        <v>99334.25</v>
      </c>
      <c r="L146" s="14">
        <v>8.3000000000000001E-3</v>
      </c>
      <c r="N146" s="12">
        <v>127.3</v>
      </c>
      <c r="O146" s="86">
        <v>155.59</v>
      </c>
      <c r="P146" s="78"/>
      <c r="Q146" s="2">
        <f t="shared" si="26"/>
        <v>155.58998865978734</v>
      </c>
    </row>
    <row r="147" spans="1:17" ht="33" customHeight="1" x14ac:dyDescent="0.2">
      <c r="A147" s="9" t="s">
        <v>312</v>
      </c>
      <c r="B147" s="10" t="s">
        <v>313</v>
      </c>
      <c r="C147" s="9" t="s">
        <v>24</v>
      </c>
      <c r="D147" s="47" t="s">
        <v>314</v>
      </c>
      <c r="E147" s="11" t="s">
        <v>26</v>
      </c>
      <c r="F147" s="17">
        <v>1442.107</v>
      </c>
      <c r="G147" s="73">
        <f t="shared" si="31"/>
        <v>34.5075</v>
      </c>
      <c r="H147" s="73">
        <f t="shared" si="27"/>
        <v>49763.5</v>
      </c>
      <c r="I147" s="73">
        <f t="shared" si="32"/>
        <v>42.172499999999999</v>
      </c>
      <c r="J147" s="73">
        <f t="shared" si="30"/>
        <v>60817.25</v>
      </c>
      <c r="K147" s="13">
        <v>81089.67</v>
      </c>
      <c r="L147" s="14">
        <v>6.7999999999999996E-3</v>
      </c>
      <c r="N147" s="12">
        <v>46.01</v>
      </c>
      <c r="O147" s="86">
        <v>56.23</v>
      </c>
      <c r="P147" s="78"/>
      <c r="Q147" s="2">
        <f t="shared" si="26"/>
        <v>56.229995416428878</v>
      </c>
    </row>
    <row r="148" spans="1:17" ht="33" customHeight="1" x14ac:dyDescent="0.2">
      <c r="A148" s="9" t="s">
        <v>315</v>
      </c>
      <c r="B148" s="9" t="s">
        <v>316</v>
      </c>
      <c r="C148" s="9" t="s">
        <v>317</v>
      </c>
      <c r="D148" s="47" t="s">
        <v>318</v>
      </c>
      <c r="E148" s="11" t="s">
        <v>26</v>
      </c>
      <c r="F148" s="17">
        <v>76.228999999999999</v>
      </c>
      <c r="G148" s="73">
        <f t="shared" si="31"/>
        <v>1075.9575</v>
      </c>
      <c r="H148" s="73">
        <f t="shared" si="27"/>
        <v>82019.16</v>
      </c>
      <c r="I148" s="73">
        <f t="shared" si="32"/>
        <v>1315.1399999999999</v>
      </c>
      <c r="J148" s="73">
        <f t="shared" si="30"/>
        <v>100251.8</v>
      </c>
      <c r="K148" s="13">
        <v>133669.07</v>
      </c>
      <c r="L148" s="14">
        <v>1.12E-2</v>
      </c>
      <c r="N148" s="13">
        <v>1434.61</v>
      </c>
      <c r="O148" s="89">
        <v>1753.52</v>
      </c>
      <c r="P148" s="78"/>
      <c r="Q148" s="2">
        <f t="shared" si="26"/>
        <v>1753.5199202403287</v>
      </c>
    </row>
    <row r="149" spans="1:17" ht="33" customHeight="1" x14ac:dyDescent="0.2">
      <c r="A149" s="9" t="s">
        <v>319</v>
      </c>
      <c r="B149" s="15">
        <v>102253</v>
      </c>
      <c r="C149" s="9" t="s">
        <v>56</v>
      </c>
      <c r="D149" s="47" t="s">
        <v>320</v>
      </c>
      <c r="E149" s="11" t="s">
        <v>26</v>
      </c>
      <c r="F149" s="17">
        <v>48.411000000000001</v>
      </c>
      <c r="G149" s="73">
        <f t="shared" si="31"/>
        <v>805.41750000000002</v>
      </c>
      <c r="H149" s="73">
        <f t="shared" si="27"/>
        <v>38991.06</v>
      </c>
      <c r="I149" s="73">
        <f t="shared" si="32"/>
        <v>984.45749999999998</v>
      </c>
      <c r="J149" s="73">
        <f t="shared" si="30"/>
        <v>47658.57</v>
      </c>
      <c r="K149" s="13">
        <v>63544.76</v>
      </c>
      <c r="L149" s="14">
        <v>5.3E-3</v>
      </c>
      <c r="N149" s="13">
        <v>1073.8900000000001</v>
      </c>
      <c r="O149" s="89">
        <v>1312.61</v>
      </c>
      <c r="P149" s="78"/>
      <c r="Q149" s="2">
        <f t="shared" si="26"/>
        <v>1312.6099440209869</v>
      </c>
    </row>
    <row r="150" spans="1:17" ht="33" customHeight="1" x14ac:dyDescent="0.2">
      <c r="A150" s="9" t="s">
        <v>321</v>
      </c>
      <c r="B150" s="9" t="s">
        <v>322</v>
      </c>
      <c r="C150" s="9" t="s">
        <v>209</v>
      </c>
      <c r="D150" s="47" t="s">
        <v>323</v>
      </c>
      <c r="E150" s="11" t="s">
        <v>26</v>
      </c>
      <c r="F150" s="17">
        <v>15.861000000000001</v>
      </c>
      <c r="G150" s="73">
        <f t="shared" si="31"/>
        <v>574.35749999999996</v>
      </c>
      <c r="H150" s="73">
        <f t="shared" si="27"/>
        <v>9109.8799999999992</v>
      </c>
      <c r="I150" s="73">
        <f t="shared" si="32"/>
        <v>702.03</v>
      </c>
      <c r="J150" s="73">
        <f t="shared" si="30"/>
        <v>11134.89</v>
      </c>
      <c r="K150" s="13">
        <v>14846.53</v>
      </c>
      <c r="L150" s="14">
        <v>1.1999999999999999E-3</v>
      </c>
      <c r="N150" s="12">
        <v>765.81</v>
      </c>
      <c r="O150" s="86">
        <v>936.04</v>
      </c>
      <c r="P150" s="78"/>
      <c r="Q150" s="2">
        <f t="shared" si="26"/>
        <v>936.03997225900002</v>
      </c>
    </row>
    <row r="151" spans="1:17" ht="33" customHeight="1" x14ac:dyDescent="0.2">
      <c r="A151" s="5" t="s">
        <v>324</v>
      </c>
      <c r="B151" s="4"/>
      <c r="C151" s="4"/>
      <c r="D151" s="45" t="s">
        <v>325</v>
      </c>
      <c r="E151" s="4"/>
      <c r="F151" s="6">
        <v>1</v>
      </c>
      <c r="G151" s="71"/>
      <c r="H151" s="73">
        <f t="shared" si="27"/>
        <v>0</v>
      </c>
      <c r="I151" s="71"/>
      <c r="J151" s="76">
        <f>SUM(J152:J158)</f>
        <v>361074.79</v>
      </c>
      <c r="K151" s="7">
        <v>481433.05</v>
      </c>
      <c r="L151" s="8">
        <v>4.0399999999999998E-2</v>
      </c>
      <c r="N151" s="4"/>
      <c r="O151" s="88">
        <v>481433.05</v>
      </c>
      <c r="P151" s="78"/>
      <c r="Q151" s="2">
        <f t="shared" si="26"/>
        <v>481433.05</v>
      </c>
    </row>
    <row r="152" spans="1:17" ht="33" customHeight="1" x14ac:dyDescent="0.2">
      <c r="A152" s="9" t="s">
        <v>326</v>
      </c>
      <c r="B152" s="15">
        <v>87905</v>
      </c>
      <c r="C152" s="9" t="s">
        <v>56</v>
      </c>
      <c r="D152" s="46" t="s">
        <v>327</v>
      </c>
      <c r="E152" s="11" t="s">
        <v>26</v>
      </c>
      <c r="F152" s="17">
        <v>3488.8989999999999</v>
      </c>
      <c r="G152" s="73">
        <f t="shared" ref="G152:G158" si="33">N152*$S$6</f>
        <v>8.1750000000000007</v>
      </c>
      <c r="H152" s="73">
        <f t="shared" si="27"/>
        <v>28521.74</v>
      </c>
      <c r="I152" s="73">
        <f t="shared" ref="I152:I158" si="34">O152*$S$6</f>
        <v>9.99</v>
      </c>
      <c r="J152" s="73">
        <f t="shared" si="30"/>
        <v>34854.1</v>
      </c>
      <c r="K152" s="13">
        <v>46472.13</v>
      </c>
      <c r="L152" s="14">
        <v>3.8999999999999998E-3</v>
      </c>
      <c r="N152" s="12">
        <v>10.9</v>
      </c>
      <c r="O152" s="86">
        <v>13.32</v>
      </c>
      <c r="P152" s="78"/>
      <c r="Q152" s="2">
        <f t="shared" si="26"/>
        <v>13.319998658602612</v>
      </c>
    </row>
    <row r="153" spans="1:17" ht="33" customHeight="1" x14ac:dyDescent="0.2">
      <c r="A153" s="9" t="s">
        <v>328</v>
      </c>
      <c r="B153" s="15">
        <v>104217</v>
      </c>
      <c r="C153" s="9" t="s">
        <v>56</v>
      </c>
      <c r="D153" s="47" t="s">
        <v>329</v>
      </c>
      <c r="E153" s="11" t="s">
        <v>26</v>
      </c>
      <c r="F153" s="17">
        <v>2115.672</v>
      </c>
      <c r="G153" s="73">
        <f t="shared" si="33"/>
        <v>50.722499999999997</v>
      </c>
      <c r="H153" s="73">
        <f t="shared" si="27"/>
        <v>107312.17</v>
      </c>
      <c r="I153" s="73">
        <f t="shared" si="34"/>
        <v>61.994999999999997</v>
      </c>
      <c r="J153" s="73">
        <f t="shared" si="30"/>
        <v>131161.07999999999</v>
      </c>
      <c r="K153" s="13">
        <v>174881.44</v>
      </c>
      <c r="L153" s="14">
        <v>1.47E-2</v>
      </c>
      <c r="N153" s="12">
        <v>67.63</v>
      </c>
      <c r="O153" s="86">
        <v>82.66</v>
      </c>
      <c r="P153" s="78"/>
      <c r="Q153" s="2">
        <f t="shared" si="26"/>
        <v>82.659996445573796</v>
      </c>
    </row>
    <row r="154" spans="1:17" ht="33" customHeight="1" x14ac:dyDescent="0.2">
      <c r="A154" s="9" t="s">
        <v>330</v>
      </c>
      <c r="B154" s="15">
        <v>87535</v>
      </c>
      <c r="C154" s="9" t="s">
        <v>56</v>
      </c>
      <c r="D154" s="47" t="s">
        <v>331</v>
      </c>
      <c r="E154" s="11" t="s">
        <v>26</v>
      </c>
      <c r="F154" s="17">
        <v>1175.704</v>
      </c>
      <c r="G154" s="73">
        <f t="shared" si="33"/>
        <v>31.807499999999997</v>
      </c>
      <c r="H154" s="73">
        <f t="shared" si="27"/>
        <v>37396.199999999997</v>
      </c>
      <c r="I154" s="73">
        <f t="shared" si="34"/>
        <v>38.872500000000002</v>
      </c>
      <c r="J154" s="73">
        <f t="shared" si="30"/>
        <v>45702.55</v>
      </c>
      <c r="K154" s="13">
        <v>60936.73</v>
      </c>
      <c r="L154" s="14">
        <v>5.1000000000000004E-3</v>
      </c>
      <c r="N154" s="12">
        <v>42.41</v>
      </c>
      <c r="O154" s="86">
        <v>51.83</v>
      </c>
      <c r="P154" s="78"/>
      <c r="Q154" s="2">
        <f t="shared" si="26"/>
        <v>51.829992923388886</v>
      </c>
    </row>
    <row r="155" spans="1:17" ht="33" customHeight="1" x14ac:dyDescent="0.2">
      <c r="A155" s="9" t="s">
        <v>332</v>
      </c>
      <c r="B155" s="15">
        <v>87273</v>
      </c>
      <c r="C155" s="9" t="s">
        <v>56</v>
      </c>
      <c r="D155" s="47" t="s">
        <v>333</v>
      </c>
      <c r="E155" s="11" t="s">
        <v>26</v>
      </c>
      <c r="F155" s="17">
        <v>682.82500000000005</v>
      </c>
      <c r="G155" s="73">
        <f t="shared" si="33"/>
        <v>60.12</v>
      </c>
      <c r="H155" s="73">
        <f t="shared" si="27"/>
        <v>41051.43</v>
      </c>
      <c r="I155" s="73">
        <f t="shared" si="34"/>
        <v>73.477499999999992</v>
      </c>
      <c r="J155" s="73">
        <f t="shared" si="30"/>
        <v>50172.27</v>
      </c>
      <c r="K155" s="13">
        <v>66896.36</v>
      </c>
      <c r="L155" s="14">
        <v>5.5999999999999999E-3</v>
      </c>
      <c r="N155" s="12">
        <v>80.16</v>
      </c>
      <c r="O155" s="86">
        <v>97.97</v>
      </c>
      <c r="P155" s="78"/>
      <c r="Q155" s="2">
        <f t="shared" si="26"/>
        <v>97.969992311353565</v>
      </c>
    </row>
    <row r="156" spans="1:17" ht="33" customHeight="1" x14ac:dyDescent="0.2">
      <c r="A156" s="9" t="s">
        <v>334</v>
      </c>
      <c r="B156" s="15">
        <v>121085</v>
      </c>
      <c r="C156" s="9" t="s">
        <v>335</v>
      </c>
      <c r="D156" s="47" t="s">
        <v>336</v>
      </c>
      <c r="E156" s="11" t="s">
        <v>26</v>
      </c>
      <c r="F156" s="17">
        <v>1233.3820000000001</v>
      </c>
      <c r="G156" s="73">
        <f t="shared" si="33"/>
        <v>41.467500000000001</v>
      </c>
      <c r="H156" s="73">
        <f t="shared" si="27"/>
        <v>51145.26</v>
      </c>
      <c r="I156" s="73">
        <f t="shared" si="34"/>
        <v>50.685000000000002</v>
      </c>
      <c r="J156" s="73">
        <f t="shared" si="30"/>
        <v>62513.96</v>
      </c>
      <c r="K156" s="13">
        <v>83351.95</v>
      </c>
      <c r="L156" s="14">
        <v>7.0000000000000001E-3</v>
      </c>
      <c r="N156" s="12">
        <v>55.29</v>
      </c>
      <c r="O156" s="86">
        <v>67.58</v>
      </c>
      <c r="P156" s="78"/>
      <c r="Q156" s="2">
        <f t="shared" si="26"/>
        <v>67.57999549206977</v>
      </c>
    </row>
    <row r="157" spans="1:17" ht="33" customHeight="1" x14ac:dyDescent="0.2">
      <c r="A157" s="9" t="s">
        <v>337</v>
      </c>
      <c r="B157" s="15">
        <v>102489</v>
      </c>
      <c r="C157" s="9" t="s">
        <v>56</v>
      </c>
      <c r="D157" s="47" t="s">
        <v>338</v>
      </c>
      <c r="E157" s="11" t="s">
        <v>26</v>
      </c>
      <c r="F157" s="17">
        <v>1233.3820000000001</v>
      </c>
      <c r="G157" s="73">
        <f t="shared" si="33"/>
        <v>23.565000000000001</v>
      </c>
      <c r="H157" s="73">
        <f t="shared" si="27"/>
        <v>29064.639999999999</v>
      </c>
      <c r="I157" s="73">
        <f t="shared" si="34"/>
        <v>28.799999999999997</v>
      </c>
      <c r="J157" s="73">
        <f t="shared" si="30"/>
        <v>35521.4</v>
      </c>
      <c r="K157" s="13">
        <v>47361.86</v>
      </c>
      <c r="L157" s="14">
        <v>4.0000000000000001E-3</v>
      </c>
      <c r="N157" s="12">
        <v>31.42</v>
      </c>
      <c r="O157" s="86">
        <v>38.4</v>
      </c>
      <c r="P157" s="78"/>
      <c r="Q157" s="2">
        <f t="shared" si="26"/>
        <v>38.399992865146402</v>
      </c>
    </row>
    <row r="158" spans="1:17" ht="33" customHeight="1" x14ac:dyDescent="0.2">
      <c r="A158" s="9" t="s">
        <v>339</v>
      </c>
      <c r="B158" s="9" t="s">
        <v>340</v>
      </c>
      <c r="C158" s="9" t="s">
        <v>317</v>
      </c>
      <c r="D158" s="46" t="s">
        <v>341</v>
      </c>
      <c r="E158" s="11" t="s">
        <v>342</v>
      </c>
      <c r="F158" s="29">
        <v>10.5</v>
      </c>
      <c r="G158" s="73">
        <f t="shared" si="33"/>
        <v>89.564999999999998</v>
      </c>
      <c r="H158" s="73">
        <f t="shared" si="27"/>
        <v>940.43</v>
      </c>
      <c r="I158" s="73">
        <f t="shared" si="34"/>
        <v>109.47</v>
      </c>
      <c r="J158" s="73">
        <f t="shared" si="30"/>
        <v>1149.43</v>
      </c>
      <c r="K158" s="13">
        <v>1532.58</v>
      </c>
      <c r="L158" s="14">
        <v>1E-4</v>
      </c>
      <c r="N158" s="12">
        <v>119.42</v>
      </c>
      <c r="O158" s="86">
        <v>145.96</v>
      </c>
      <c r="P158" s="78"/>
      <c r="Q158" s="2">
        <f t="shared" si="26"/>
        <v>145.95999999999998</v>
      </c>
    </row>
    <row r="159" spans="1:17" ht="33" customHeight="1" x14ac:dyDescent="0.2">
      <c r="A159" s="5" t="s">
        <v>343</v>
      </c>
      <c r="B159" s="4"/>
      <c r="C159" s="4"/>
      <c r="D159" s="45" t="s">
        <v>344</v>
      </c>
      <c r="E159" s="4"/>
      <c r="F159" s="6">
        <v>1</v>
      </c>
      <c r="G159" s="71"/>
      <c r="H159" s="73">
        <f t="shared" si="27"/>
        <v>0</v>
      </c>
      <c r="I159" s="71"/>
      <c r="J159" s="76">
        <f>SUM(J160:J162)</f>
        <v>248257.64</v>
      </c>
      <c r="K159" s="7">
        <v>331010.2</v>
      </c>
      <c r="L159" s="8">
        <v>2.7699999999999999E-2</v>
      </c>
      <c r="N159" s="4"/>
      <c r="O159" s="88">
        <v>331010.2</v>
      </c>
      <c r="P159" s="78"/>
      <c r="Q159" s="2">
        <f t="shared" si="26"/>
        <v>331010.2</v>
      </c>
    </row>
    <row r="160" spans="1:17" ht="33" customHeight="1" x14ac:dyDescent="0.2">
      <c r="A160" s="9" t="s">
        <v>345</v>
      </c>
      <c r="B160" s="9" t="s">
        <v>346</v>
      </c>
      <c r="C160" s="9" t="s">
        <v>209</v>
      </c>
      <c r="D160" s="46" t="s">
        <v>347</v>
      </c>
      <c r="E160" s="11" t="s">
        <v>26</v>
      </c>
      <c r="F160" s="12">
        <v>135.49</v>
      </c>
      <c r="G160" s="73">
        <f>N160*$S$6</f>
        <v>447.85500000000002</v>
      </c>
      <c r="H160" s="73">
        <f t="shared" si="27"/>
        <v>60679.87</v>
      </c>
      <c r="I160" s="73">
        <f>O160*$S$6</f>
        <v>547.41</v>
      </c>
      <c r="J160" s="73">
        <f t="shared" si="30"/>
        <v>74168.58</v>
      </c>
      <c r="K160" s="13">
        <v>98891.44</v>
      </c>
      <c r="L160" s="14">
        <v>8.3000000000000001E-3</v>
      </c>
      <c r="N160" s="12">
        <v>597.14</v>
      </c>
      <c r="O160" s="86">
        <v>729.88</v>
      </c>
      <c r="P160" s="78"/>
      <c r="Q160" s="2">
        <f t="shared" si="26"/>
        <v>729.87999114325783</v>
      </c>
    </row>
    <row r="161" spans="1:17" ht="33" customHeight="1" x14ac:dyDescent="0.2">
      <c r="A161" s="9" t="s">
        <v>348</v>
      </c>
      <c r="B161" s="9" t="s">
        <v>349</v>
      </c>
      <c r="C161" s="9" t="s">
        <v>209</v>
      </c>
      <c r="D161" s="47" t="s">
        <v>350</v>
      </c>
      <c r="E161" s="11" t="s">
        <v>26</v>
      </c>
      <c r="F161" s="17">
        <v>592.59400000000005</v>
      </c>
      <c r="G161" s="73">
        <f>N161*$S$6</f>
        <v>175.58250000000001</v>
      </c>
      <c r="H161" s="73">
        <f t="shared" si="27"/>
        <v>104049.13</v>
      </c>
      <c r="I161" s="73">
        <f>O161*$S$6</f>
        <v>214.61249999999998</v>
      </c>
      <c r="J161" s="73">
        <f t="shared" si="30"/>
        <v>127178.07</v>
      </c>
      <c r="K161" s="13">
        <v>169570.77</v>
      </c>
      <c r="L161" s="14">
        <v>1.4200000000000001E-2</v>
      </c>
      <c r="N161" s="12">
        <v>234.11</v>
      </c>
      <c r="O161" s="86">
        <v>286.14999999999998</v>
      </c>
      <c r="P161" s="78"/>
      <c r="Q161" s="2">
        <f t="shared" si="26"/>
        <v>286.14999476876238</v>
      </c>
    </row>
    <row r="162" spans="1:17" ht="33" customHeight="1" x14ac:dyDescent="0.2">
      <c r="A162" s="9" t="s">
        <v>351</v>
      </c>
      <c r="B162" s="10" t="s">
        <v>352</v>
      </c>
      <c r="C162" s="9" t="s">
        <v>209</v>
      </c>
      <c r="D162" s="46" t="s">
        <v>353</v>
      </c>
      <c r="E162" s="11" t="s">
        <v>26</v>
      </c>
      <c r="F162" s="17">
        <v>136.19300000000001</v>
      </c>
      <c r="G162" s="73">
        <f>N162*$S$6</f>
        <v>281.80500000000001</v>
      </c>
      <c r="H162" s="73">
        <f t="shared" si="27"/>
        <v>38379.86</v>
      </c>
      <c r="I162" s="73">
        <f>O162*$S$6</f>
        <v>344.44499999999999</v>
      </c>
      <c r="J162" s="73">
        <f t="shared" si="30"/>
        <v>46910.99</v>
      </c>
      <c r="K162" s="13">
        <v>62547.99</v>
      </c>
      <c r="L162" s="14">
        <v>5.1999999999999998E-3</v>
      </c>
      <c r="N162" s="12">
        <v>375.74</v>
      </c>
      <c r="O162" s="86">
        <v>459.26</v>
      </c>
      <c r="P162" s="78"/>
      <c r="Q162" s="2">
        <f t="shared" si="26"/>
        <v>459.25994728069719</v>
      </c>
    </row>
    <row r="163" spans="1:17" ht="33" customHeight="1" x14ac:dyDescent="0.2">
      <c r="A163" s="5" t="s">
        <v>354</v>
      </c>
      <c r="B163" s="4"/>
      <c r="C163" s="4"/>
      <c r="D163" s="45" t="s">
        <v>355</v>
      </c>
      <c r="E163" s="4"/>
      <c r="F163" s="6">
        <v>1</v>
      </c>
      <c r="G163" s="71"/>
      <c r="H163" s="73">
        <f t="shared" si="27"/>
        <v>0</v>
      </c>
      <c r="I163" s="71"/>
      <c r="J163" s="76">
        <f>SUM(J164:J166)</f>
        <v>154417.01</v>
      </c>
      <c r="K163" s="7">
        <v>205889.37</v>
      </c>
      <c r="L163" s="8">
        <v>1.7299999999999999E-2</v>
      </c>
      <c r="N163" s="4"/>
      <c r="O163" s="88">
        <v>205889.37</v>
      </c>
      <c r="P163" s="78"/>
      <c r="Q163" s="2">
        <f t="shared" si="26"/>
        <v>205889.37</v>
      </c>
    </row>
    <row r="164" spans="1:17" ht="33" customHeight="1" x14ac:dyDescent="0.2">
      <c r="A164" s="18" t="s">
        <v>356</v>
      </c>
      <c r="B164" s="19">
        <v>39512</v>
      </c>
      <c r="C164" s="18" t="s">
        <v>56</v>
      </c>
      <c r="D164" s="48" t="s">
        <v>357</v>
      </c>
      <c r="E164" s="20" t="s">
        <v>26</v>
      </c>
      <c r="F164" s="30">
        <v>1325.896</v>
      </c>
      <c r="G164" s="75">
        <f>N164*$S$6</f>
        <v>92.97</v>
      </c>
      <c r="H164" s="73">
        <f t="shared" si="27"/>
        <v>123268.55</v>
      </c>
      <c r="I164" s="75">
        <f>O164*$S$6</f>
        <v>113.63249999999999</v>
      </c>
      <c r="J164" s="75">
        <f t="shared" si="30"/>
        <v>150664.87</v>
      </c>
      <c r="K164" s="23">
        <v>200886.5</v>
      </c>
      <c r="L164" s="24">
        <v>1.6799999999999999E-2</v>
      </c>
      <c r="N164" s="22">
        <v>123.96</v>
      </c>
      <c r="O164" s="87">
        <v>151.51</v>
      </c>
      <c r="P164" s="78"/>
      <c r="Q164" s="2">
        <f t="shared" si="26"/>
        <v>151.50999776754739</v>
      </c>
    </row>
    <row r="165" spans="1:17" ht="33" customHeight="1" x14ac:dyDescent="0.2">
      <c r="A165" s="9" t="s">
        <v>358</v>
      </c>
      <c r="B165" s="15">
        <v>96114</v>
      </c>
      <c r="C165" s="9" t="s">
        <v>56</v>
      </c>
      <c r="D165" s="47" t="s">
        <v>359</v>
      </c>
      <c r="E165" s="11" t="s">
        <v>26</v>
      </c>
      <c r="F165" s="17">
        <v>29.904</v>
      </c>
      <c r="G165" s="73">
        <f>N165*$S$6</f>
        <v>63.510000000000005</v>
      </c>
      <c r="H165" s="73">
        <f t="shared" si="27"/>
        <v>1899.2</v>
      </c>
      <c r="I165" s="73">
        <f>O165*$S$6</f>
        <v>77.625</v>
      </c>
      <c r="J165" s="73">
        <f t="shared" si="30"/>
        <v>2321.29</v>
      </c>
      <c r="K165" s="13">
        <v>3095.06</v>
      </c>
      <c r="L165" s="14">
        <v>2.9999999999999997E-4</v>
      </c>
      <c r="N165" s="12">
        <v>84.68</v>
      </c>
      <c r="O165" s="86">
        <v>103.5</v>
      </c>
      <c r="P165" s="78"/>
      <c r="Q165" s="2">
        <f t="shared" si="26"/>
        <v>103.49986623863028</v>
      </c>
    </row>
    <row r="166" spans="1:17" ht="33" customHeight="1" x14ac:dyDescent="0.2">
      <c r="A166" s="9" t="s">
        <v>360</v>
      </c>
      <c r="B166" s="15">
        <v>99054</v>
      </c>
      <c r="C166" s="9" t="s">
        <v>56</v>
      </c>
      <c r="D166" s="46" t="s">
        <v>361</v>
      </c>
      <c r="E166" s="11" t="s">
        <v>26</v>
      </c>
      <c r="F166" s="17">
        <v>19.806999999999999</v>
      </c>
      <c r="G166" s="73">
        <f>N166*$S$6</f>
        <v>59.107500000000002</v>
      </c>
      <c r="H166" s="73">
        <f t="shared" si="27"/>
        <v>1170.74</v>
      </c>
      <c r="I166" s="73">
        <f>O166*$S$6</f>
        <v>72.239999999999995</v>
      </c>
      <c r="J166" s="73">
        <f t="shared" si="30"/>
        <v>1430.85</v>
      </c>
      <c r="K166" s="13">
        <v>1907.81</v>
      </c>
      <c r="L166" s="14">
        <v>2.0000000000000001E-4</v>
      </c>
      <c r="N166" s="12">
        <v>78.81</v>
      </c>
      <c r="O166" s="86">
        <v>96.32</v>
      </c>
      <c r="P166" s="78"/>
      <c r="Q166" s="2">
        <f t="shared" si="26"/>
        <v>96.319987883071647</v>
      </c>
    </row>
    <row r="167" spans="1:17" ht="33" customHeight="1" x14ac:dyDescent="0.2">
      <c r="A167" s="5" t="s">
        <v>362</v>
      </c>
      <c r="B167" s="4"/>
      <c r="C167" s="4"/>
      <c r="D167" s="45" t="s">
        <v>363</v>
      </c>
      <c r="E167" s="4"/>
      <c r="F167" s="6">
        <v>1</v>
      </c>
      <c r="G167" s="71"/>
      <c r="H167" s="73">
        <f t="shared" si="27"/>
        <v>0</v>
      </c>
      <c r="I167" s="71"/>
      <c r="J167" s="76">
        <f>SUM(J168:J179)</f>
        <v>371512.47000000003</v>
      </c>
      <c r="K167" s="7">
        <v>495349.95</v>
      </c>
      <c r="L167" s="8">
        <v>4.1500000000000002E-2</v>
      </c>
      <c r="N167" s="4"/>
      <c r="O167" s="88">
        <v>495349.95</v>
      </c>
      <c r="P167" s="78"/>
      <c r="Q167" s="2">
        <f t="shared" si="26"/>
        <v>495349.95</v>
      </c>
    </row>
    <row r="168" spans="1:17" ht="33" customHeight="1" x14ac:dyDescent="0.2">
      <c r="A168" s="9" t="s">
        <v>364</v>
      </c>
      <c r="B168" s="15">
        <v>87630</v>
      </c>
      <c r="C168" s="9" t="s">
        <v>56</v>
      </c>
      <c r="D168" s="47" t="s">
        <v>365</v>
      </c>
      <c r="E168" s="11" t="s">
        <v>26</v>
      </c>
      <c r="F168" s="12">
        <v>1131.93</v>
      </c>
      <c r="G168" s="73">
        <f t="shared" ref="G168:G179" si="35">N168*$S$6</f>
        <v>34.072499999999998</v>
      </c>
      <c r="H168" s="73">
        <f t="shared" si="27"/>
        <v>38567.68</v>
      </c>
      <c r="I168" s="73">
        <f t="shared" ref="I168:I179" si="36">O168*$S$6</f>
        <v>41.64</v>
      </c>
      <c r="J168" s="73">
        <f t="shared" si="30"/>
        <v>47133.56</v>
      </c>
      <c r="K168" s="13">
        <v>62844.75</v>
      </c>
      <c r="L168" s="14">
        <v>5.3E-3</v>
      </c>
      <c r="N168" s="12">
        <v>45.43</v>
      </c>
      <c r="O168" s="86">
        <v>55.52</v>
      </c>
      <c r="P168" s="78"/>
      <c r="Q168" s="2">
        <f t="shared" si="26"/>
        <v>55.519996819591313</v>
      </c>
    </row>
    <row r="169" spans="1:17" ht="33" customHeight="1" x14ac:dyDescent="0.2">
      <c r="A169" s="9" t="s">
        <v>366</v>
      </c>
      <c r="B169" s="15">
        <v>87745</v>
      </c>
      <c r="C169" s="9" t="s">
        <v>56</v>
      </c>
      <c r="D169" s="46" t="s">
        <v>367</v>
      </c>
      <c r="E169" s="11" t="s">
        <v>26</v>
      </c>
      <c r="F169" s="17">
        <v>262.12400000000002</v>
      </c>
      <c r="G169" s="73">
        <f t="shared" si="35"/>
        <v>47.557499999999997</v>
      </c>
      <c r="H169" s="73">
        <f t="shared" si="27"/>
        <v>12465.96</v>
      </c>
      <c r="I169" s="73">
        <f t="shared" si="36"/>
        <v>58.125</v>
      </c>
      <c r="J169" s="73">
        <f t="shared" si="30"/>
        <v>15235.95</v>
      </c>
      <c r="K169" s="13">
        <v>20314.61</v>
      </c>
      <c r="L169" s="14">
        <v>1.6999999999999999E-3</v>
      </c>
      <c r="N169" s="12">
        <v>63.41</v>
      </c>
      <c r="O169" s="86">
        <v>77.5</v>
      </c>
      <c r="P169" s="78"/>
      <c r="Q169" s="2">
        <f t="shared" si="26"/>
        <v>77.5</v>
      </c>
    </row>
    <row r="170" spans="1:17" ht="33" customHeight="1" x14ac:dyDescent="0.2">
      <c r="A170" s="9" t="s">
        <v>368</v>
      </c>
      <c r="B170" s="9" t="s">
        <v>369</v>
      </c>
      <c r="C170" s="9" t="s">
        <v>209</v>
      </c>
      <c r="D170" s="47" t="s">
        <v>370</v>
      </c>
      <c r="E170" s="11" t="s">
        <v>371</v>
      </c>
      <c r="F170" s="17">
        <v>14.662000000000001</v>
      </c>
      <c r="G170" s="73">
        <f t="shared" si="35"/>
        <v>327.82500000000005</v>
      </c>
      <c r="H170" s="73">
        <f t="shared" si="27"/>
        <v>4806.57</v>
      </c>
      <c r="I170" s="73">
        <f t="shared" si="36"/>
        <v>400.69499999999999</v>
      </c>
      <c r="J170" s="73">
        <f t="shared" si="30"/>
        <v>5874.99</v>
      </c>
      <c r="K170" s="13">
        <v>7833.32</v>
      </c>
      <c r="L170" s="14">
        <v>6.9999999999999999E-4</v>
      </c>
      <c r="N170" s="12">
        <v>437.1</v>
      </c>
      <c r="O170" s="86">
        <v>534.26</v>
      </c>
      <c r="P170" s="78"/>
      <c r="Q170" s="2">
        <f t="shared" si="26"/>
        <v>534.25999181557768</v>
      </c>
    </row>
    <row r="171" spans="1:17" ht="33" customHeight="1" x14ac:dyDescent="0.2">
      <c r="A171" s="9" t="s">
        <v>372</v>
      </c>
      <c r="B171" s="10" t="s">
        <v>373</v>
      </c>
      <c r="C171" s="9" t="s">
        <v>24</v>
      </c>
      <c r="D171" s="47" t="s">
        <v>374</v>
      </c>
      <c r="E171" s="11" t="s">
        <v>26</v>
      </c>
      <c r="F171" s="17">
        <v>1316.288</v>
      </c>
      <c r="G171" s="73">
        <f t="shared" si="35"/>
        <v>135.42750000000001</v>
      </c>
      <c r="H171" s="73">
        <f t="shared" si="27"/>
        <v>178261.59</v>
      </c>
      <c r="I171" s="73">
        <f t="shared" si="36"/>
        <v>165.5325</v>
      </c>
      <c r="J171" s="73">
        <f t="shared" si="30"/>
        <v>217888.44</v>
      </c>
      <c r="K171" s="13">
        <v>290517.92</v>
      </c>
      <c r="L171" s="14">
        <v>2.4400000000000002E-2</v>
      </c>
      <c r="N171" s="12">
        <v>180.57</v>
      </c>
      <c r="O171" s="86">
        <v>220.71</v>
      </c>
      <c r="P171" s="78"/>
      <c r="Q171" s="2">
        <f t="shared" si="26"/>
        <v>220.7099965964895</v>
      </c>
    </row>
    <row r="172" spans="1:17" ht="33" customHeight="1" x14ac:dyDescent="0.2">
      <c r="A172" s="9" t="s">
        <v>375</v>
      </c>
      <c r="B172" s="15">
        <v>101727</v>
      </c>
      <c r="C172" s="9" t="s">
        <v>56</v>
      </c>
      <c r="D172" s="46" t="s">
        <v>376</v>
      </c>
      <c r="E172" s="11" t="s">
        <v>26</v>
      </c>
      <c r="F172" s="17">
        <v>90.578999999999994</v>
      </c>
      <c r="G172" s="73">
        <f t="shared" si="35"/>
        <v>165.61500000000001</v>
      </c>
      <c r="H172" s="73">
        <f t="shared" si="27"/>
        <v>15001.24</v>
      </c>
      <c r="I172" s="73">
        <f t="shared" si="36"/>
        <v>202.42499999999998</v>
      </c>
      <c r="J172" s="73">
        <f t="shared" si="30"/>
        <v>18335.45</v>
      </c>
      <c r="K172" s="13">
        <v>24447.27</v>
      </c>
      <c r="L172" s="14">
        <v>2E-3</v>
      </c>
      <c r="N172" s="12">
        <v>220.82</v>
      </c>
      <c r="O172" s="86">
        <v>269.89999999999998</v>
      </c>
      <c r="P172" s="78"/>
      <c r="Q172" s="2">
        <f t="shared" si="26"/>
        <v>269.89997681581826</v>
      </c>
    </row>
    <row r="173" spans="1:17" ht="33" customHeight="1" x14ac:dyDescent="0.2">
      <c r="A173" s="9" t="s">
        <v>377</v>
      </c>
      <c r="B173" s="15">
        <v>101092</v>
      </c>
      <c r="C173" s="9" t="s">
        <v>56</v>
      </c>
      <c r="D173" s="46" t="s">
        <v>378</v>
      </c>
      <c r="E173" s="11" t="s">
        <v>26</v>
      </c>
      <c r="F173" s="17">
        <v>32.209000000000003</v>
      </c>
      <c r="G173" s="73">
        <f t="shared" si="35"/>
        <v>397.8075</v>
      </c>
      <c r="H173" s="73">
        <f t="shared" si="27"/>
        <v>12812.98</v>
      </c>
      <c r="I173" s="73">
        <f t="shared" si="36"/>
        <v>486.24</v>
      </c>
      <c r="J173" s="73">
        <f t="shared" si="30"/>
        <v>15661.3</v>
      </c>
      <c r="K173" s="13">
        <v>20881.73</v>
      </c>
      <c r="L173" s="14">
        <v>1.8E-3</v>
      </c>
      <c r="N173" s="12">
        <v>530.41</v>
      </c>
      <c r="O173" s="86">
        <v>648.32000000000005</v>
      </c>
      <c r="P173" s="78"/>
      <c r="Q173" s="2">
        <f t="shared" si="26"/>
        <v>648.31972430066128</v>
      </c>
    </row>
    <row r="174" spans="1:17" ht="33" customHeight="1" x14ac:dyDescent="0.2">
      <c r="A174" s="9" t="s">
        <v>379</v>
      </c>
      <c r="B174" s="15">
        <v>104658</v>
      </c>
      <c r="C174" s="9" t="s">
        <v>56</v>
      </c>
      <c r="D174" s="47" t="s">
        <v>380</v>
      </c>
      <c r="E174" s="11" t="s">
        <v>26</v>
      </c>
      <c r="F174" s="17">
        <v>19.687000000000001</v>
      </c>
      <c r="G174" s="73">
        <f t="shared" si="35"/>
        <v>136.0575</v>
      </c>
      <c r="H174" s="73">
        <f t="shared" si="27"/>
        <v>2678.56</v>
      </c>
      <c r="I174" s="73">
        <f t="shared" si="36"/>
        <v>166.29749999999999</v>
      </c>
      <c r="J174" s="73">
        <f t="shared" si="30"/>
        <v>3273.89</v>
      </c>
      <c r="K174" s="13">
        <v>4365.1899999999996</v>
      </c>
      <c r="L174" s="14">
        <v>4.0000000000000002E-4</v>
      </c>
      <c r="N174" s="12">
        <v>181.41</v>
      </c>
      <c r="O174" s="86">
        <v>221.73</v>
      </c>
      <c r="P174" s="78"/>
      <c r="Q174" s="2">
        <f t="shared" si="26"/>
        <v>221.72956773505356</v>
      </c>
    </row>
    <row r="175" spans="1:17" ht="33" customHeight="1" x14ac:dyDescent="0.2">
      <c r="A175" s="9" t="s">
        <v>381</v>
      </c>
      <c r="B175" s="15">
        <v>170021</v>
      </c>
      <c r="C175" s="9" t="s">
        <v>335</v>
      </c>
      <c r="D175" s="47" t="s">
        <v>382</v>
      </c>
      <c r="E175" s="11" t="s">
        <v>99</v>
      </c>
      <c r="F175" s="12">
        <v>30.75</v>
      </c>
      <c r="G175" s="73">
        <f t="shared" si="35"/>
        <v>130.38749999999999</v>
      </c>
      <c r="H175" s="73">
        <f t="shared" si="27"/>
        <v>4009.41</v>
      </c>
      <c r="I175" s="73">
        <f t="shared" si="36"/>
        <v>159.36750000000001</v>
      </c>
      <c r="J175" s="73">
        <f t="shared" si="30"/>
        <v>4900.55</v>
      </c>
      <c r="K175" s="13">
        <v>6534.06</v>
      </c>
      <c r="L175" s="14">
        <v>5.0000000000000001E-4</v>
      </c>
      <c r="N175" s="12">
        <v>173.85</v>
      </c>
      <c r="O175" s="86">
        <v>212.49</v>
      </c>
      <c r="P175" s="78"/>
      <c r="Q175" s="2">
        <f t="shared" si="26"/>
        <v>212.48975609756098</v>
      </c>
    </row>
    <row r="176" spans="1:17" ht="33" customHeight="1" x14ac:dyDescent="0.2">
      <c r="A176" s="9" t="s">
        <v>383</v>
      </c>
      <c r="B176" s="9" t="s">
        <v>384</v>
      </c>
      <c r="C176" s="9" t="s">
        <v>317</v>
      </c>
      <c r="D176" s="46" t="s">
        <v>385</v>
      </c>
      <c r="E176" s="11" t="s">
        <v>342</v>
      </c>
      <c r="F176" s="17">
        <v>1.996</v>
      </c>
      <c r="G176" s="73">
        <f t="shared" si="35"/>
        <v>187.16250000000002</v>
      </c>
      <c r="H176" s="73">
        <f t="shared" si="27"/>
        <v>373.57</v>
      </c>
      <c r="I176" s="73">
        <f t="shared" si="36"/>
        <v>228.76499999999999</v>
      </c>
      <c r="J176" s="73">
        <f t="shared" si="30"/>
        <v>456.61</v>
      </c>
      <c r="K176" s="12">
        <v>608.80999999999995</v>
      </c>
      <c r="L176" s="14">
        <v>1E-4</v>
      </c>
      <c r="N176" s="12">
        <v>249.55</v>
      </c>
      <c r="O176" s="86">
        <v>305.02</v>
      </c>
      <c r="P176" s="78"/>
      <c r="Q176" s="2">
        <f t="shared" si="26"/>
        <v>305.01503006012024</v>
      </c>
    </row>
    <row r="177" spans="1:17" ht="33" customHeight="1" x14ac:dyDescent="0.2">
      <c r="A177" s="28">
        <v>40335</v>
      </c>
      <c r="B177" s="9" t="s">
        <v>386</v>
      </c>
      <c r="C177" s="9" t="s">
        <v>317</v>
      </c>
      <c r="D177" s="47" t="s">
        <v>387</v>
      </c>
      <c r="E177" s="11" t="s">
        <v>342</v>
      </c>
      <c r="F177" s="17">
        <v>626.70600000000002</v>
      </c>
      <c r="G177" s="73">
        <f t="shared" si="35"/>
        <v>42.442500000000003</v>
      </c>
      <c r="H177" s="73">
        <f t="shared" si="27"/>
        <v>26598.959999999999</v>
      </c>
      <c r="I177" s="73">
        <f t="shared" si="36"/>
        <v>51.87</v>
      </c>
      <c r="J177" s="73">
        <f t="shared" si="30"/>
        <v>32507.24</v>
      </c>
      <c r="K177" s="13">
        <v>43342.98</v>
      </c>
      <c r="L177" s="14">
        <v>3.5999999999999999E-3</v>
      </c>
      <c r="N177" s="12">
        <v>56.59</v>
      </c>
      <c r="O177" s="86">
        <v>69.16</v>
      </c>
      <c r="P177" s="78"/>
      <c r="Q177" s="2">
        <f t="shared" si="26"/>
        <v>69.159988894314083</v>
      </c>
    </row>
    <row r="178" spans="1:17" ht="33" customHeight="1" x14ac:dyDescent="0.2">
      <c r="A178" s="28">
        <v>40700</v>
      </c>
      <c r="B178" s="15">
        <v>98689</v>
      </c>
      <c r="C178" s="9" t="s">
        <v>56</v>
      </c>
      <c r="D178" s="47" t="s">
        <v>388</v>
      </c>
      <c r="E178" s="11" t="s">
        <v>99</v>
      </c>
      <c r="F178" s="17">
        <v>73.102000000000004</v>
      </c>
      <c r="G178" s="73">
        <f t="shared" si="35"/>
        <v>101.5275</v>
      </c>
      <c r="H178" s="73">
        <f t="shared" si="27"/>
        <v>7421.86</v>
      </c>
      <c r="I178" s="73">
        <f t="shared" si="36"/>
        <v>124.095</v>
      </c>
      <c r="J178" s="73">
        <f t="shared" si="30"/>
        <v>9071.59</v>
      </c>
      <c r="K178" s="13">
        <v>12095.45</v>
      </c>
      <c r="L178" s="14">
        <v>1E-3</v>
      </c>
      <c r="N178" s="12">
        <v>135.37</v>
      </c>
      <c r="O178" s="86">
        <v>165.46</v>
      </c>
      <c r="P178" s="78"/>
      <c r="Q178" s="2">
        <f t="shared" si="26"/>
        <v>165.45990533774724</v>
      </c>
    </row>
    <row r="179" spans="1:17" ht="33" customHeight="1" x14ac:dyDescent="0.2">
      <c r="A179" s="28">
        <v>41066</v>
      </c>
      <c r="B179" s="15">
        <v>130302</v>
      </c>
      <c r="C179" s="9" t="s">
        <v>335</v>
      </c>
      <c r="D179" s="47" t="s">
        <v>389</v>
      </c>
      <c r="E179" s="11" t="s">
        <v>99</v>
      </c>
      <c r="F179" s="17">
        <v>38.198999999999998</v>
      </c>
      <c r="G179" s="73">
        <f t="shared" si="35"/>
        <v>25.125</v>
      </c>
      <c r="H179" s="73">
        <f t="shared" si="27"/>
        <v>959.74</v>
      </c>
      <c r="I179" s="73">
        <f t="shared" si="36"/>
        <v>30.704999999999998</v>
      </c>
      <c r="J179" s="73">
        <f t="shared" si="30"/>
        <v>1172.9000000000001</v>
      </c>
      <c r="K179" s="13">
        <v>1563.86</v>
      </c>
      <c r="L179" s="14">
        <v>1E-4</v>
      </c>
      <c r="N179" s="12">
        <v>33.5</v>
      </c>
      <c r="O179" s="86">
        <v>40.94</v>
      </c>
      <c r="P179" s="78"/>
      <c r="Q179" s="2">
        <f t="shared" si="26"/>
        <v>40.939815178407812</v>
      </c>
    </row>
    <row r="180" spans="1:17" ht="33" customHeight="1" x14ac:dyDescent="0.2">
      <c r="A180" s="5" t="s">
        <v>390</v>
      </c>
      <c r="B180" s="4"/>
      <c r="C180" s="4"/>
      <c r="D180" s="45" t="s">
        <v>391</v>
      </c>
      <c r="E180" s="4"/>
      <c r="F180" s="6">
        <v>1</v>
      </c>
      <c r="G180" s="71"/>
      <c r="H180" s="73">
        <f t="shared" si="27"/>
        <v>0</v>
      </c>
      <c r="I180" s="71"/>
      <c r="J180" s="76">
        <f>SUM(J181:J185)</f>
        <v>352350.76</v>
      </c>
      <c r="K180" s="7">
        <v>469801.03</v>
      </c>
      <c r="L180" s="8">
        <v>3.9399999999999998E-2</v>
      </c>
      <c r="N180" s="4"/>
      <c r="O180" s="88">
        <v>469801.03</v>
      </c>
      <c r="P180" s="78"/>
      <c r="Q180" s="2">
        <f t="shared" si="26"/>
        <v>469801.03</v>
      </c>
    </row>
    <row r="181" spans="1:17" ht="33" customHeight="1" x14ac:dyDescent="0.2">
      <c r="A181" s="9" t="s">
        <v>392</v>
      </c>
      <c r="B181" s="15">
        <v>92398</v>
      </c>
      <c r="C181" s="9" t="s">
        <v>56</v>
      </c>
      <c r="D181" s="46" t="s">
        <v>393</v>
      </c>
      <c r="E181" s="11" t="s">
        <v>26</v>
      </c>
      <c r="F181" s="17">
        <v>834.29499999999996</v>
      </c>
      <c r="G181" s="73">
        <f>N181*$S$6</f>
        <v>73.710000000000008</v>
      </c>
      <c r="H181" s="73">
        <f t="shared" si="27"/>
        <v>61495.88</v>
      </c>
      <c r="I181" s="73">
        <f>O181*$S$6</f>
        <v>90.09</v>
      </c>
      <c r="J181" s="73">
        <f t="shared" si="30"/>
        <v>75161.63</v>
      </c>
      <c r="K181" s="13">
        <v>100215.51</v>
      </c>
      <c r="L181" s="14">
        <v>8.3999999999999995E-3</v>
      </c>
      <c r="N181" s="12">
        <v>98.28</v>
      </c>
      <c r="O181" s="86">
        <v>120.12</v>
      </c>
      <c r="P181" s="78"/>
      <c r="Q181" s="2">
        <f t="shared" si="26"/>
        <v>120.1199935274693</v>
      </c>
    </row>
    <row r="182" spans="1:17" ht="33" customHeight="1" x14ac:dyDescent="0.2">
      <c r="A182" s="9" t="s">
        <v>394</v>
      </c>
      <c r="B182" s="15">
        <v>97111</v>
      </c>
      <c r="C182" s="9" t="s">
        <v>56</v>
      </c>
      <c r="D182" s="46" t="s">
        <v>395</v>
      </c>
      <c r="E182" s="11" t="s">
        <v>26</v>
      </c>
      <c r="F182" s="17">
        <v>766.25300000000004</v>
      </c>
      <c r="G182" s="73">
        <f>N182*$S$6</f>
        <v>153.89999999999998</v>
      </c>
      <c r="H182" s="73">
        <f t="shared" si="27"/>
        <v>117926.33</v>
      </c>
      <c r="I182" s="73">
        <f>O182*$S$6</f>
        <v>188.10750000000002</v>
      </c>
      <c r="J182" s="73">
        <f t="shared" si="30"/>
        <v>144137.93</v>
      </c>
      <c r="K182" s="13">
        <v>192183.91</v>
      </c>
      <c r="L182" s="14">
        <v>1.61E-2</v>
      </c>
      <c r="N182" s="12">
        <v>205.2</v>
      </c>
      <c r="O182" s="86">
        <v>250.81</v>
      </c>
      <c r="P182" s="78"/>
      <c r="Q182" s="2">
        <f t="shared" si="26"/>
        <v>250.80999356609371</v>
      </c>
    </row>
    <row r="183" spans="1:17" ht="33" customHeight="1" x14ac:dyDescent="0.2">
      <c r="A183" s="9" t="s">
        <v>396</v>
      </c>
      <c r="B183" s="15">
        <v>94992</v>
      </c>
      <c r="C183" s="9" t="s">
        <v>56</v>
      </c>
      <c r="D183" s="47" t="s">
        <v>397</v>
      </c>
      <c r="E183" s="11" t="s">
        <v>26</v>
      </c>
      <c r="F183" s="17">
        <v>548.673</v>
      </c>
      <c r="G183" s="73">
        <f>N183*$S$6</f>
        <v>60.382500000000007</v>
      </c>
      <c r="H183" s="73">
        <f t="shared" si="27"/>
        <v>33130.239999999998</v>
      </c>
      <c r="I183" s="73">
        <f>O183*$S$6</f>
        <v>73.800000000000011</v>
      </c>
      <c r="J183" s="73">
        <f t="shared" si="30"/>
        <v>40492.06</v>
      </c>
      <c r="K183" s="13">
        <v>53989.42</v>
      </c>
      <c r="L183" s="14">
        <v>4.4999999999999997E-3</v>
      </c>
      <c r="N183" s="12">
        <v>80.510000000000005</v>
      </c>
      <c r="O183" s="86">
        <v>98.4</v>
      </c>
      <c r="P183" s="78"/>
      <c r="Q183" s="2">
        <f t="shared" si="26"/>
        <v>98.399994167746542</v>
      </c>
    </row>
    <row r="184" spans="1:17" ht="33" customHeight="1" x14ac:dyDescent="0.2">
      <c r="A184" s="9" t="s">
        <v>398</v>
      </c>
      <c r="B184" s="15">
        <v>94279</v>
      </c>
      <c r="C184" s="9" t="s">
        <v>56</v>
      </c>
      <c r="D184" s="47" t="s">
        <v>399</v>
      </c>
      <c r="E184" s="11" t="s">
        <v>99</v>
      </c>
      <c r="F184" s="17">
        <v>202.65799999999999</v>
      </c>
      <c r="G184" s="73">
        <f>N184*$S$6</f>
        <v>42.344999999999999</v>
      </c>
      <c r="H184" s="73">
        <f t="shared" si="27"/>
        <v>8581.5499999999993</v>
      </c>
      <c r="I184" s="73">
        <f>O184*$S$6</f>
        <v>51.757500000000007</v>
      </c>
      <c r="J184" s="73">
        <f t="shared" si="30"/>
        <v>10489.07</v>
      </c>
      <c r="K184" s="13">
        <v>13985.42</v>
      </c>
      <c r="L184" s="14">
        <v>1.1999999999999999E-3</v>
      </c>
      <c r="N184" s="12">
        <v>56.46</v>
      </c>
      <c r="O184" s="86">
        <v>69.010000000000005</v>
      </c>
      <c r="P184" s="78"/>
      <c r="Q184" s="2">
        <f t="shared" si="26"/>
        <v>69.009957662663211</v>
      </c>
    </row>
    <row r="185" spans="1:17" ht="33" customHeight="1" x14ac:dyDescent="0.2">
      <c r="A185" s="9" t="s">
        <v>400</v>
      </c>
      <c r="B185" s="15">
        <v>171843</v>
      </c>
      <c r="C185" s="9" t="s">
        <v>335</v>
      </c>
      <c r="D185" s="47" t="s">
        <v>401</v>
      </c>
      <c r="E185" s="11" t="s">
        <v>26</v>
      </c>
      <c r="F185" s="17">
        <v>483.697</v>
      </c>
      <c r="G185" s="73">
        <f>N185*$S$6</f>
        <v>138.8175</v>
      </c>
      <c r="H185" s="73">
        <f t="shared" si="27"/>
        <v>67145.600000000006</v>
      </c>
      <c r="I185" s="73">
        <f>O185*$S$6</f>
        <v>169.67249999999999</v>
      </c>
      <c r="J185" s="73">
        <f t="shared" si="30"/>
        <v>82070.070000000007</v>
      </c>
      <c r="K185" s="13">
        <v>109426.77</v>
      </c>
      <c r="L185" s="14">
        <v>9.1999999999999998E-3</v>
      </c>
      <c r="N185" s="12">
        <v>185.09</v>
      </c>
      <c r="O185" s="86">
        <v>226.23</v>
      </c>
      <c r="P185" s="78"/>
      <c r="Q185" s="2">
        <f t="shared" si="26"/>
        <v>226.22999522428299</v>
      </c>
    </row>
    <row r="186" spans="1:17" ht="33" customHeight="1" x14ac:dyDescent="0.2">
      <c r="A186" s="5" t="s">
        <v>402</v>
      </c>
      <c r="B186" s="4"/>
      <c r="C186" s="4"/>
      <c r="D186" s="45" t="s">
        <v>403</v>
      </c>
      <c r="E186" s="4"/>
      <c r="F186" s="6">
        <v>1</v>
      </c>
      <c r="G186" s="71"/>
      <c r="H186" s="73">
        <f t="shared" si="27"/>
        <v>0</v>
      </c>
      <c r="I186" s="71"/>
      <c r="J186" s="76">
        <f>SUM(J187:J190)</f>
        <v>74607.58</v>
      </c>
      <c r="K186" s="7">
        <v>99476.78</v>
      </c>
      <c r="L186" s="8">
        <v>8.3000000000000001E-3</v>
      </c>
      <c r="N186" s="4"/>
      <c r="O186" s="88">
        <v>99476.78</v>
      </c>
      <c r="P186" s="78"/>
      <c r="Q186" s="2">
        <f t="shared" si="26"/>
        <v>99476.78</v>
      </c>
    </row>
    <row r="187" spans="1:17" ht="33" customHeight="1" x14ac:dyDescent="0.2">
      <c r="A187" s="9" t="s">
        <v>404</v>
      </c>
      <c r="B187" s="15">
        <v>101965</v>
      </c>
      <c r="C187" s="9" t="s">
        <v>56</v>
      </c>
      <c r="D187" s="47" t="s">
        <v>405</v>
      </c>
      <c r="E187" s="11" t="s">
        <v>99</v>
      </c>
      <c r="F187" s="17">
        <v>42.094999999999999</v>
      </c>
      <c r="G187" s="73">
        <f>N187*$S$6</f>
        <v>110.17500000000001</v>
      </c>
      <c r="H187" s="73">
        <f t="shared" si="27"/>
        <v>4637.8100000000004</v>
      </c>
      <c r="I187" s="73">
        <f>O187*$S$6</f>
        <v>134.66250000000002</v>
      </c>
      <c r="J187" s="73">
        <f t="shared" si="30"/>
        <v>5668.61</v>
      </c>
      <c r="K187" s="13">
        <v>7558.15</v>
      </c>
      <c r="L187" s="14">
        <v>5.9999999999999995E-4</v>
      </c>
      <c r="N187" s="12">
        <v>146.9</v>
      </c>
      <c r="O187" s="86">
        <v>179.55</v>
      </c>
      <c r="P187" s="78"/>
      <c r="Q187" s="2">
        <f t="shared" si="26"/>
        <v>179.54982777051907</v>
      </c>
    </row>
    <row r="188" spans="1:17" ht="33" customHeight="1" x14ac:dyDescent="0.2">
      <c r="A188" s="9" t="s">
        <v>406</v>
      </c>
      <c r="B188" s="15">
        <v>101966</v>
      </c>
      <c r="C188" s="9" t="s">
        <v>56</v>
      </c>
      <c r="D188" s="47" t="s">
        <v>407</v>
      </c>
      <c r="E188" s="11" t="s">
        <v>99</v>
      </c>
      <c r="F188" s="17">
        <v>336.04300000000001</v>
      </c>
      <c r="G188" s="73">
        <f>N188*$S$6</f>
        <v>132.03750000000002</v>
      </c>
      <c r="H188" s="73">
        <f t="shared" si="27"/>
        <v>44370.27</v>
      </c>
      <c r="I188" s="73">
        <f>O188*$S$6</f>
        <v>161.38499999999999</v>
      </c>
      <c r="J188" s="73">
        <f t="shared" si="30"/>
        <v>54232.29</v>
      </c>
      <c r="K188" s="13">
        <v>72309.73</v>
      </c>
      <c r="L188" s="14">
        <v>6.1000000000000004E-3</v>
      </c>
      <c r="N188" s="12">
        <v>176.05</v>
      </c>
      <c r="O188" s="86">
        <v>215.18</v>
      </c>
      <c r="P188" s="78"/>
      <c r="Q188" s="2">
        <f t="shared" si="26"/>
        <v>215.17999184628155</v>
      </c>
    </row>
    <row r="189" spans="1:17" ht="33" customHeight="1" x14ac:dyDescent="0.2">
      <c r="A189" s="9" t="s">
        <v>408</v>
      </c>
      <c r="B189" s="10" t="s">
        <v>409</v>
      </c>
      <c r="C189" s="9" t="s">
        <v>24</v>
      </c>
      <c r="D189" s="47" t="s">
        <v>410</v>
      </c>
      <c r="E189" s="11" t="s">
        <v>99</v>
      </c>
      <c r="F189" s="12">
        <v>230.05</v>
      </c>
      <c r="G189" s="73">
        <f>N189*$S$6</f>
        <v>48.457499999999996</v>
      </c>
      <c r="H189" s="73">
        <f t="shared" si="27"/>
        <v>11147.64</v>
      </c>
      <c r="I189" s="73">
        <f>O189*$S$6</f>
        <v>59.227499999999999</v>
      </c>
      <c r="J189" s="73">
        <f t="shared" si="30"/>
        <v>13625.28</v>
      </c>
      <c r="K189" s="13">
        <v>18167.04</v>
      </c>
      <c r="L189" s="14">
        <v>1.5E-3</v>
      </c>
      <c r="N189" s="12">
        <v>64.61</v>
      </c>
      <c r="O189" s="86">
        <v>78.97</v>
      </c>
      <c r="P189" s="78"/>
      <c r="Q189" s="2">
        <f t="shared" si="26"/>
        <v>78.969963051510547</v>
      </c>
    </row>
    <row r="190" spans="1:17" ht="33" customHeight="1" x14ac:dyDescent="0.2">
      <c r="A190" s="9" t="s">
        <v>411</v>
      </c>
      <c r="B190" s="15">
        <v>97736</v>
      </c>
      <c r="C190" s="9" t="s">
        <v>56</v>
      </c>
      <c r="D190" s="47" t="s">
        <v>412</v>
      </c>
      <c r="E190" s="11" t="s">
        <v>118</v>
      </c>
      <c r="F190" s="17">
        <v>0.69399999999999995</v>
      </c>
      <c r="G190" s="73">
        <f>N190*$S$6</f>
        <v>1274.8274999999999</v>
      </c>
      <c r="H190" s="73">
        <f t="shared" si="27"/>
        <v>884.73</v>
      </c>
      <c r="I190" s="73">
        <f>O190*$S$6</f>
        <v>1558.2149999999999</v>
      </c>
      <c r="J190" s="73">
        <f t="shared" si="30"/>
        <v>1081.4000000000001</v>
      </c>
      <c r="K190" s="13">
        <v>1441.86</v>
      </c>
      <c r="L190" s="14">
        <v>1E-4</v>
      </c>
      <c r="N190" s="13">
        <v>1699.77</v>
      </c>
      <c r="O190" s="89">
        <v>2077.62</v>
      </c>
      <c r="P190" s="78"/>
      <c r="Q190" s="2">
        <f t="shared" si="26"/>
        <v>2077.6080691642651</v>
      </c>
    </row>
    <row r="191" spans="1:17" ht="33" customHeight="1" x14ac:dyDescent="0.2">
      <c r="A191" s="3">
        <v>7</v>
      </c>
      <c r="B191" s="4"/>
      <c r="C191" s="4"/>
      <c r="D191" s="45" t="s">
        <v>413</v>
      </c>
      <c r="E191" s="4"/>
      <c r="F191" s="6">
        <v>1</v>
      </c>
      <c r="G191" s="71"/>
      <c r="H191" s="73">
        <f t="shared" si="27"/>
        <v>0</v>
      </c>
      <c r="I191" s="71"/>
      <c r="J191" s="76">
        <f>J192+J196+J201+J204</f>
        <v>223705.16</v>
      </c>
      <c r="K191" s="7">
        <v>298273.57</v>
      </c>
      <c r="L191" s="8">
        <v>2.5000000000000001E-2</v>
      </c>
      <c r="N191" s="4"/>
      <c r="O191" s="88">
        <v>298273.57</v>
      </c>
      <c r="P191" s="78"/>
      <c r="Q191" s="2">
        <f t="shared" si="26"/>
        <v>298273.57</v>
      </c>
    </row>
    <row r="192" spans="1:17" ht="33" customHeight="1" x14ac:dyDescent="0.2">
      <c r="A192" s="5" t="s">
        <v>414</v>
      </c>
      <c r="B192" s="4"/>
      <c r="C192" s="4"/>
      <c r="D192" s="45" t="s">
        <v>415</v>
      </c>
      <c r="E192" s="4"/>
      <c r="F192" s="6">
        <v>1</v>
      </c>
      <c r="G192" s="71"/>
      <c r="H192" s="73">
        <f t="shared" si="27"/>
        <v>0</v>
      </c>
      <c r="I192" s="71"/>
      <c r="J192" s="76">
        <f>SUM(J193:J195)</f>
        <v>100694.79000000001</v>
      </c>
      <c r="K192" s="7">
        <v>134259.72</v>
      </c>
      <c r="L192" s="8">
        <v>1.1299999999999999E-2</v>
      </c>
      <c r="N192" s="4"/>
      <c r="O192" s="88">
        <v>134259.72</v>
      </c>
      <c r="P192" s="78"/>
      <c r="Q192" s="2">
        <f t="shared" si="26"/>
        <v>134259.72</v>
      </c>
    </row>
    <row r="193" spans="1:17" ht="33" customHeight="1" x14ac:dyDescent="0.2">
      <c r="A193" s="9" t="s">
        <v>416</v>
      </c>
      <c r="B193" s="15">
        <v>88485</v>
      </c>
      <c r="C193" s="9" t="s">
        <v>56</v>
      </c>
      <c r="D193" s="46" t="s">
        <v>417</v>
      </c>
      <c r="E193" s="11" t="s">
        <v>26</v>
      </c>
      <c r="F193" s="17">
        <v>3376.1179999999999</v>
      </c>
      <c r="G193" s="73">
        <f>N193*$S$6</f>
        <v>4.0724999999999998</v>
      </c>
      <c r="H193" s="73">
        <f t="shared" si="27"/>
        <v>13749.24</v>
      </c>
      <c r="I193" s="73">
        <f>O193*$S$6</f>
        <v>4.9725000000000001</v>
      </c>
      <c r="J193" s="73">
        <f t="shared" si="30"/>
        <v>16787.740000000002</v>
      </c>
      <c r="K193" s="13">
        <v>22383.66</v>
      </c>
      <c r="L193" s="14">
        <v>1.9E-3</v>
      </c>
      <c r="N193" s="12">
        <v>5.43</v>
      </c>
      <c r="O193" s="86">
        <v>6.63</v>
      </c>
      <c r="P193" s="78"/>
      <c r="Q193" s="2">
        <f t="shared" si="26"/>
        <v>6.6299993068962637</v>
      </c>
    </row>
    <row r="194" spans="1:17" ht="33" customHeight="1" x14ac:dyDescent="0.2">
      <c r="A194" s="9" t="s">
        <v>418</v>
      </c>
      <c r="B194" s="15">
        <v>88497</v>
      </c>
      <c r="C194" s="9" t="s">
        <v>56</v>
      </c>
      <c r="D194" s="47" t="s">
        <v>419</v>
      </c>
      <c r="E194" s="11" t="s">
        <v>26</v>
      </c>
      <c r="F194" s="17">
        <v>2257.8420000000001</v>
      </c>
      <c r="G194" s="73">
        <f>N194*$S$6</f>
        <v>18.037500000000001</v>
      </c>
      <c r="H194" s="73">
        <f t="shared" si="27"/>
        <v>40725.82</v>
      </c>
      <c r="I194" s="73">
        <f>O194*$S$6</f>
        <v>22.0425</v>
      </c>
      <c r="J194" s="73">
        <f t="shared" si="30"/>
        <v>49768.480000000003</v>
      </c>
      <c r="K194" s="13">
        <v>66357.97</v>
      </c>
      <c r="L194" s="14">
        <v>5.5999999999999999E-3</v>
      </c>
      <c r="N194" s="12">
        <v>24.05</v>
      </c>
      <c r="O194" s="86">
        <v>29.39</v>
      </c>
      <c r="P194" s="78"/>
      <c r="Q194" s="2">
        <f t="shared" si="26"/>
        <v>29.389997174292976</v>
      </c>
    </row>
    <row r="195" spans="1:17" ht="33" customHeight="1" x14ac:dyDescent="0.2">
      <c r="A195" s="9" t="s">
        <v>420</v>
      </c>
      <c r="B195" s="15">
        <v>88489</v>
      </c>
      <c r="C195" s="9" t="s">
        <v>56</v>
      </c>
      <c r="D195" s="46" t="s">
        <v>421</v>
      </c>
      <c r="E195" s="11" t="s">
        <v>26</v>
      </c>
      <c r="F195" s="17">
        <v>2257.8420000000001</v>
      </c>
      <c r="G195" s="73">
        <f>N195*$S$6</f>
        <v>12.375</v>
      </c>
      <c r="H195" s="73">
        <f t="shared" si="27"/>
        <v>27940.79</v>
      </c>
      <c r="I195" s="73">
        <f>O195*$S$6</f>
        <v>15.120000000000001</v>
      </c>
      <c r="J195" s="73">
        <f t="shared" si="30"/>
        <v>34138.57</v>
      </c>
      <c r="K195" s="13">
        <v>45518.09</v>
      </c>
      <c r="L195" s="14">
        <v>3.8E-3</v>
      </c>
      <c r="N195" s="12">
        <v>16.5</v>
      </c>
      <c r="O195" s="86">
        <v>20.16</v>
      </c>
      <c r="P195" s="78"/>
      <c r="Q195" s="2">
        <f t="shared" si="26"/>
        <v>20.159997909508281</v>
      </c>
    </row>
    <row r="196" spans="1:17" ht="33" customHeight="1" x14ac:dyDescent="0.2">
      <c r="A196" s="5" t="s">
        <v>422</v>
      </c>
      <c r="B196" s="4"/>
      <c r="C196" s="4"/>
      <c r="D196" s="45" t="s">
        <v>423</v>
      </c>
      <c r="E196" s="4"/>
      <c r="F196" s="6">
        <v>1</v>
      </c>
      <c r="G196" s="71"/>
      <c r="H196" s="73">
        <f t="shared" si="27"/>
        <v>0</v>
      </c>
      <c r="I196" s="71"/>
      <c r="J196" s="76">
        <f>SUM(J197:J200)</f>
        <v>116273.37</v>
      </c>
      <c r="K196" s="7">
        <v>155031.17000000001</v>
      </c>
      <c r="L196" s="8">
        <v>1.2999999999999999E-2</v>
      </c>
      <c r="N196" s="4"/>
      <c r="O196" s="88">
        <v>155031.17000000001</v>
      </c>
      <c r="P196" s="78"/>
      <c r="Q196" s="2">
        <f t="shared" si="26"/>
        <v>155031.17000000001</v>
      </c>
    </row>
    <row r="197" spans="1:17" ht="33" customHeight="1" x14ac:dyDescent="0.2">
      <c r="A197" s="9" t="s">
        <v>424</v>
      </c>
      <c r="B197" s="15">
        <v>100717</v>
      </c>
      <c r="C197" s="9" t="s">
        <v>56</v>
      </c>
      <c r="D197" s="47" t="s">
        <v>425</v>
      </c>
      <c r="E197" s="11" t="s">
        <v>26</v>
      </c>
      <c r="F197" s="17">
        <v>39.978999999999999</v>
      </c>
      <c r="G197" s="73">
        <f>N197*$S$6</f>
        <v>10.23</v>
      </c>
      <c r="H197" s="73">
        <f t="shared" si="27"/>
        <v>408.98</v>
      </c>
      <c r="I197" s="73">
        <f>O197*$S$6</f>
        <v>12.502500000000001</v>
      </c>
      <c r="J197" s="73">
        <f t="shared" si="30"/>
        <v>499.83</v>
      </c>
      <c r="K197" s="12">
        <v>666.44</v>
      </c>
      <c r="L197" s="14">
        <v>1E-4</v>
      </c>
      <c r="N197" s="12">
        <v>13.64</v>
      </c>
      <c r="O197" s="86">
        <v>16.670000000000002</v>
      </c>
      <c r="P197" s="78"/>
      <c r="Q197" s="2">
        <f t="shared" si="26"/>
        <v>16.669751619600291</v>
      </c>
    </row>
    <row r="198" spans="1:17" ht="33" customHeight="1" x14ac:dyDescent="0.2">
      <c r="A198" s="9" t="s">
        <v>426</v>
      </c>
      <c r="B198" s="15">
        <v>100720</v>
      </c>
      <c r="C198" s="9" t="s">
        <v>56</v>
      </c>
      <c r="D198" s="47" t="s">
        <v>427</v>
      </c>
      <c r="E198" s="11" t="s">
        <v>26</v>
      </c>
      <c r="F198" s="29">
        <v>1359.8</v>
      </c>
      <c r="G198" s="73">
        <f>N198*$S$6</f>
        <v>11.22</v>
      </c>
      <c r="H198" s="73">
        <f t="shared" si="27"/>
        <v>15256.95</v>
      </c>
      <c r="I198" s="73">
        <f>O198*$S$6</f>
        <v>13.71</v>
      </c>
      <c r="J198" s="73">
        <f t="shared" si="30"/>
        <v>18642.849999999999</v>
      </c>
      <c r="K198" s="13">
        <v>24857.14</v>
      </c>
      <c r="L198" s="14">
        <v>2.0999999999999999E-3</v>
      </c>
      <c r="N198" s="12">
        <v>14.96</v>
      </c>
      <c r="O198" s="86">
        <v>18.28</v>
      </c>
      <c r="P198" s="78"/>
      <c r="Q198" s="2">
        <f t="shared" si="26"/>
        <v>18.27999705839094</v>
      </c>
    </row>
    <row r="199" spans="1:17" ht="33" customHeight="1" x14ac:dyDescent="0.2">
      <c r="A199" s="9" t="s">
        <v>428</v>
      </c>
      <c r="B199" s="15">
        <v>100759</v>
      </c>
      <c r="C199" s="9" t="s">
        <v>56</v>
      </c>
      <c r="D199" s="47" t="s">
        <v>429</v>
      </c>
      <c r="E199" s="11" t="s">
        <v>26</v>
      </c>
      <c r="F199" s="29">
        <v>1359.8</v>
      </c>
      <c r="G199" s="73">
        <f>N199*$S$6</f>
        <v>50.662499999999994</v>
      </c>
      <c r="H199" s="73">
        <f t="shared" si="27"/>
        <v>68890.86</v>
      </c>
      <c r="I199" s="73">
        <f>O199*$S$6</f>
        <v>61.92</v>
      </c>
      <c r="J199" s="73">
        <f t="shared" si="30"/>
        <v>84198.81</v>
      </c>
      <c r="K199" s="13">
        <v>112265.08</v>
      </c>
      <c r="L199" s="14">
        <v>9.4000000000000004E-3</v>
      </c>
      <c r="N199" s="12">
        <v>67.55</v>
      </c>
      <c r="O199" s="86">
        <v>82.56</v>
      </c>
      <c r="P199" s="78"/>
      <c r="Q199" s="2">
        <f t="shared" ref="Q199:Q262" si="37">K199/F199</f>
        <v>82.55999411678188</v>
      </c>
    </row>
    <row r="200" spans="1:17" ht="33" customHeight="1" x14ac:dyDescent="0.2">
      <c r="A200" s="9" t="s">
        <v>430</v>
      </c>
      <c r="B200" s="27" t="s">
        <v>431</v>
      </c>
      <c r="C200" s="9" t="s">
        <v>24</v>
      </c>
      <c r="D200" s="47" t="s">
        <v>432</v>
      </c>
      <c r="E200" s="11" t="s">
        <v>180</v>
      </c>
      <c r="F200" s="17">
        <v>940.67200000000003</v>
      </c>
      <c r="G200" s="73">
        <f>N200*$S$6</f>
        <v>11.25</v>
      </c>
      <c r="H200" s="73">
        <f t="shared" ref="H200:H263" si="38">TRUNC(G200*F200,2)</f>
        <v>10582.56</v>
      </c>
      <c r="I200" s="73">
        <f>O200*$S$6</f>
        <v>13.747499999999999</v>
      </c>
      <c r="J200" s="73">
        <f t="shared" ref="J200:J263" si="39">TRUNC(I200*F200,2)</f>
        <v>12931.88</v>
      </c>
      <c r="K200" s="13">
        <v>17242.509999999998</v>
      </c>
      <c r="L200" s="14">
        <v>1.4E-3</v>
      </c>
      <c r="N200" s="12">
        <v>15</v>
      </c>
      <c r="O200" s="86">
        <v>18.329999999999998</v>
      </c>
      <c r="P200" s="78"/>
      <c r="Q200" s="2">
        <f t="shared" si="37"/>
        <v>18.329991750578309</v>
      </c>
    </row>
    <row r="201" spans="1:17" ht="33" customHeight="1" x14ac:dyDescent="0.2">
      <c r="A201" s="5" t="s">
        <v>433</v>
      </c>
      <c r="B201" s="4"/>
      <c r="C201" s="4"/>
      <c r="D201" s="45" t="s">
        <v>434</v>
      </c>
      <c r="E201" s="4"/>
      <c r="F201" s="6">
        <v>1</v>
      </c>
      <c r="G201" s="71"/>
      <c r="H201" s="73">
        <f t="shared" si="38"/>
        <v>0</v>
      </c>
      <c r="I201" s="71"/>
      <c r="J201" s="76">
        <f>SUM(J202:J203)</f>
        <v>4798.12</v>
      </c>
      <c r="K201" s="7">
        <v>6397.49</v>
      </c>
      <c r="L201" s="8">
        <v>5.0000000000000001E-4</v>
      </c>
      <c r="N201" s="4"/>
      <c r="O201" s="88">
        <v>6397.49</v>
      </c>
      <c r="P201" s="78"/>
      <c r="Q201" s="2">
        <f t="shared" si="37"/>
        <v>6397.49</v>
      </c>
    </row>
    <row r="202" spans="1:17" ht="33" customHeight="1" x14ac:dyDescent="0.2">
      <c r="A202" s="9" t="s">
        <v>435</v>
      </c>
      <c r="B202" s="15">
        <v>102507</v>
      </c>
      <c r="C202" s="9" t="s">
        <v>56</v>
      </c>
      <c r="D202" s="47" t="s">
        <v>436</v>
      </c>
      <c r="E202" s="11" t="s">
        <v>99</v>
      </c>
      <c r="F202" s="17">
        <v>374.10399999999998</v>
      </c>
      <c r="G202" s="73">
        <f>N202*$S$6</f>
        <v>6.4875000000000007</v>
      </c>
      <c r="H202" s="73">
        <f t="shared" si="38"/>
        <v>2426.9899999999998</v>
      </c>
      <c r="I202" s="73">
        <f>O202*$S$6</f>
        <v>7.9275000000000002</v>
      </c>
      <c r="J202" s="73">
        <f t="shared" si="39"/>
        <v>2965.7</v>
      </c>
      <c r="K202" s="13">
        <v>3954.27</v>
      </c>
      <c r="L202" s="14">
        <v>2.9999999999999997E-4</v>
      </c>
      <c r="N202" s="12">
        <v>8.65</v>
      </c>
      <c r="O202" s="86">
        <v>10.57</v>
      </c>
      <c r="P202" s="78"/>
      <c r="Q202" s="2">
        <f t="shared" si="37"/>
        <v>10.569975194063684</v>
      </c>
    </row>
    <row r="203" spans="1:17" ht="33" customHeight="1" x14ac:dyDescent="0.2">
      <c r="A203" s="9" t="s">
        <v>437</v>
      </c>
      <c r="B203" s="15">
        <v>102491</v>
      </c>
      <c r="C203" s="9" t="s">
        <v>56</v>
      </c>
      <c r="D203" s="47" t="s">
        <v>438</v>
      </c>
      <c r="E203" s="11" t="s">
        <v>26</v>
      </c>
      <c r="F203" s="17">
        <v>73.769000000000005</v>
      </c>
      <c r="G203" s="73">
        <f>N203*$S$6</f>
        <v>20.325000000000003</v>
      </c>
      <c r="H203" s="73">
        <f t="shared" si="38"/>
        <v>1499.35</v>
      </c>
      <c r="I203" s="73">
        <f>O203*$S$6</f>
        <v>24.839999999999996</v>
      </c>
      <c r="J203" s="73">
        <f t="shared" si="39"/>
        <v>1832.42</v>
      </c>
      <c r="K203" s="13">
        <v>2443.2199999999998</v>
      </c>
      <c r="L203" s="14">
        <v>2.0000000000000001E-4</v>
      </c>
      <c r="N203" s="12">
        <v>27.1</v>
      </c>
      <c r="O203" s="86">
        <v>33.119999999999997</v>
      </c>
      <c r="P203" s="78"/>
      <c r="Q203" s="2">
        <f t="shared" si="37"/>
        <v>33.119874201900522</v>
      </c>
    </row>
    <row r="204" spans="1:17" ht="33" customHeight="1" x14ac:dyDescent="0.2">
      <c r="A204" s="5" t="s">
        <v>439</v>
      </c>
      <c r="B204" s="4"/>
      <c r="C204" s="4"/>
      <c r="D204" s="45" t="s">
        <v>440</v>
      </c>
      <c r="E204" s="4"/>
      <c r="F204" s="6">
        <v>1</v>
      </c>
      <c r="G204" s="71"/>
      <c r="H204" s="73">
        <f t="shared" si="38"/>
        <v>0</v>
      </c>
      <c r="I204" s="71"/>
      <c r="J204" s="76">
        <f>SUM(J205:J207)</f>
        <v>1938.88</v>
      </c>
      <c r="K204" s="7">
        <v>2585.19</v>
      </c>
      <c r="L204" s="8">
        <v>2.0000000000000001E-4</v>
      </c>
      <c r="N204" s="4"/>
      <c r="O204" s="88">
        <v>2585.19</v>
      </c>
      <c r="P204" s="78"/>
      <c r="Q204" s="2">
        <f t="shared" si="37"/>
        <v>2585.19</v>
      </c>
    </row>
    <row r="205" spans="1:17" ht="33" customHeight="1" x14ac:dyDescent="0.2">
      <c r="A205" s="9" t="s">
        <v>441</v>
      </c>
      <c r="B205" s="15">
        <v>88484</v>
      </c>
      <c r="C205" s="9" t="s">
        <v>56</v>
      </c>
      <c r="D205" s="46" t="s">
        <v>442</v>
      </c>
      <c r="E205" s="11" t="s">
        <v>26</v>
      </c>
      <c r="F205" s="17">
        <v>29.904</v>
      </c>
      <c r="G205" s="73">
        <f>N205*$S$6</f>
        <v>5.0999999999999996</v>
      </c>
      <c r="H205" s="73">
        <f t="shared" si="38"/>
        <v>152.51</v>
      </c>
      <c r="I205" s="73">
        <f>O205*$S$6</f>
        <v>6.2324999999999999</v>
      </c>
      <c r="J205" s="73">
        <f t="shared" si="39"/>
        <v>186.37</v>
      </c>
      <c r="K205" s="12">
        <v>248.5</v>
      </c>
      <c r="L205" s="14">
        <v>0</v>
      </c>
      <c r="N205" s="12">
        <v>6.8</v>
      </c>
      <c r="O205" s="86">
        <v>8.31</v>
      </c>
      <c r="P205" s="78"/>
      <c r="Q205" s="2">
        <f t="shared" si="37"/>
        <v>8.3099250936329589</v>
      </c>
    </row>
    <row r="206" spans="1:17" ht="33" customHeight="1" x14ac:dyDescent="0.2">
      <c r="A206" s="9" t="s">
        <v>443</v>
      </c>
      <c r="B206" s="15">
        <v>88496</v>
      </c>
      <c r="C206" s="9" t="s">
        <v>56</v>
      </c>
      <c r="D206" s="46" t="s">
        <v>444</v>
      </c>
      <c r="E206" s="11" t="s">
        <v>26</v>
      </c>
      <c r="F206" s="17">
        <v>29.904</v>
      </c>
      <c r="G206" s="73">
        <f>N206*$S$6</f>
        <v>33.06</v>
      </c>
      <c r="H206" s="73">
        <f t="shared" si="38"/>
        <v>988.62</v>
      </c>
      <c r="I206" s="73">
        <f>O206*$S$6</f>
        <v>40.402499999999996</v>
      </c>
      <c r="J206" s="73">
        <f t="shared" si="39"/>
        <v>1208.19</v>
      </c>
      <c r="K206" s="13">
        <v>1610.92</v>
      </c>
      <c r="L206" s="14">
        <v>1E-4</v>
      </c>
      <c r="N206" s="12">
        <v>44.08</v>
      </c>
      <c r="O206" s="86">
        <v>53.87</v>
      </c>
      <c r="P206" s="78"/>
      <c r="Q206" s="2">
        <f t="shared" si="37"/>
        <v>53.8697164258962</v>
      </c>
    </row>
    <row r="207" spans="1:17" ht="33" customHeight="1" x14ac:dyDescent="0.2">
      <c r="A207" s="9" t="s">
        <v>445</v>
      </c>
      <c r="B207" s="15">
        <v>88488</v>
      </c>
      <c r="C207" s="9" t="s">
        <v>56</v>
      </c>
      <c r="D207" s="47" t="s">
        <v>446</v>
      </c>
      <c r="E207" s="11" t="s">
        <v>26</v>
      </c>
      <c r="F207" s="17">
        <v>29.904</v>
      </c>
      <c r="G207" s="73">
        <f>N207*$S$6</f>
        <v>14.895</v>
      </c>
      <c r="H207" s="73">
        <f t="shared" si="38"/>
        <v>445.42</v>
      </c>
      <c r="I207" s="73">
        <f>O207*$S$6</f>
        <v>18.202500000000001</v>
      </c>
      <c r="J207" s="73">
        <f t="shared" si="39"/>
        <v>544.32000000000005</v>
      </c>
      <c r="K207" s="12">
        <v>725.77</v>
      </c>
      <c r="L207" s="14">
        <v>1E-4</v>
      </c>
      <c r="N207" s="12">
        <v>19.86</v>
      </c>
      <c r="O207" s="86">
        <v>24.27</v>
      </c>
      <c r="P207" s="78"/>
      <c r="Q207" s="2">
        <f t="shared" si="37"/>
        <v>24.269997324772604</v>
      </c>
    </row>
    <row r="208" spans="1:17" ht="33" customHeight="1" x14ac:dyDescent="0.2">
      <c r="A208" s="3">
        <v>8</v>
      </c>
      <c r="B208" s="31"/>
      <c r="C208" s="31"/>
      <c r="D208" s="45" t="s">
        <v>447</v>
      </c>
      <c r="E208" s="31"/>
      <c r="F208" s="6">
        <v>1</v>
      </c>
      <c r="G208" s="71"/>
      <c r="H208" s="73">
        <f t="shared" si="38"/>
        <v>0</v>
      </c>
      <c r="I208" s="71"/>
      <c r="J208" s="76">
        <f>J209+J222+J233+J246+J251</f>
        <v>776170.2100000002</v>
      </c>
      <c r="K208" s="7">
        <v>1034893.68</v>
      </c>
      <c r="L208" s="8">
        <v>8.6699999999999999E-2</v>
      </c>
      <c r="N208" s="31"/>
      <c r="O208" s="88">
        <v>1034893.68</v>
      </c>
      <c r="P208" s="78"/>
      <c r="Q208" s="2">
        <f t="shared" si="37"/>
        <v>1034893.68</v>
      </c>
    </row>
    <row r="209" spans="1:17" ht="33" customHeight="1" x14ac:dyDescent="0.2">
      <c r="A209" s="5" t="s">
        <v>448</v>
      </c>
      <c r="B209" s="4"/>
      <c r="C209" s="4"/>
      <c r="D209" s="45" t="s">
        <v>449</v>
      </c>
      <c r="E209" s="4"/>
      <c r="F209" s="6">
        <v>1</v>
      </c>
      <c r="G209" s="71"/>
      <c r="H209" s="73">
        <f t="shared" si="38"/>
        <v>0</v>
      </c>
      <c r="I209" s="71"/>
      <c r="J209" s="76">
        <f>SUM(J210:J221)</f>
        <v>203394.77000000002</v>
      </c>
      <c r="K209" s="7">
        <v>271193.06</v>
      </c>
      <c r="L209" s="8">
        <v>2.2700000000000001E-2</v>
      </c>
      <c r="N209" s="4"/>
      <c r="O209" s="88">
        <v>271193.06</v>
      </c>
      <c r="P209" s="78"/>
      <c r="Q209" s="2">
        <f t="shared" si="37"/>
        <v>271193.06</v>
      </c>
    </row>
    <row r="210" spans="1:17" ht="33" customHeight="1" x14ac:dyDescent="0.2">
      <c r="A210" s="9" t="s">
        <v>450</v>
      </c>
      <c r="B210" s="15">
        <v>90790</v>
      </c>
      <c r="C210" s="9" t="s">
        <v>56</v>
      </c>
      <c r="D210" s="47" t="s">
        <v>451</v>
      </c>
      <c r="E210" s="11" t="s">
        <v>84</v>
      </c>
      <c r="F210" s="16">
        <v>26</v>
      </c>
      <c r="G210" s="73">
        <f t="shared" ref="G210:G221" si="40">N210*$S$6</f>
        <v>740.51250000000005</v>
      </c>
      <c r="H210" s="73">
        <f t="shared" si="38"/>
        <v>19253.32</v>
      </c>
      <c r="I210" s="73">
        <f t="shared" ref="I210:I221" si="41">O210*$S$6</f>
        <v>905.12249999999995</v>
      </c>
      <c r="J210" s="73">
        <f t="shared" si="39"/>
        <v>23533.18</v>
      </c>
      <c r="K210" s="13">
        <v>31377.58</v>
      </c>
      <c r="L210" s="14">
        <v>2.5999999999999999E-3</v>
      </c>
      <c r="N210" s="12">
        <v>987.35</v>
      </c>
      <c r="O210" s="89">
        <v>1206.83</v>
      </c>
      <c r="P210" s="78"/>
      <c r="Q210" s="2">
        <f t="shared" si="37"/>
        <v>1206.8300000000002</v>
      </c>
    </row>
    <row r="211" spans="1:17" ht="33" customHeight="1" x14ac:dyDescent="0.2">
      <c r="A211" s="9" t="s">
        <v>452</v>
      </c>
      <c r="B211" s="15">
        <v>90793</v>
      </c>
      <c r="C211" s="9" t="s">
        <v>56</v>
      </c>
      <c r="D211" s="47" t="s">
        <v>453</v>
      </c>
      <c r="E211" s="11" t="s">
        <v>84</v>
      </c>
      <c r="F211" s="16">
        <v>2</v>
      </c>
      <c r="G211" s="73">
        <f t="shared" si="40"/>
        <v>913.29</v>
      </c>
      <c r="H211" s="73">
        <f t="shared" si="38"/>
        <v>1826.58</v>
      </c>
      <c r="I211" s="73">
        <f t="shared" si="41"/>
        <v>1116.3075000000001</v>
      </c>
      <c r="J211" s="73">
        <f t="shared" si="39"/>
        <v>2232.61</v>
      </c>
      <c r="K211" s="13">
        <v>2976.82</v>
      </c>
      <c r="L211" s="14">
        <v>2.0000000000000001E-4</v>
      </c>
      <c r="N211" s="13">
        <v>1217.72</v>
      </c>
      <c r="O211" s="89">
        <v>1488.41</v>
      </c>
      <c r="P211" s="78"/>
      <c r="Q211" s="2">
        <f t="shared" si="37"/>
        <v>1488.41</v>
      </c>
    </row>
    <row r="212" spans="1:17" ht="33" customHeight="1" x14ac:dyDescent="0.2">
      <c r="A212" s="9" t="s">
        <v>454</v>
      </c>
      <c r="B212" s="15">
        <v>110460</v>
      </c>
      <c r="C212" s="9" t="s">
        <v>335</v>
      </c>
      <c r="D212" s="47" t="s">
        <v>455</v>
      </c>
      <c r="E212" s="11" t="s">
        <v>84</v>
      </c>
      <c r="F212" s="16">
        <v>11</v>
      </c>
      <c r="G212" s="73">
        <f t="shared" si="40"/>
        <v>2082.5025000000001</v>
      </c>
      <c r="H212" s="73">
        <f t="shared" si="38"/>
        <v>22907.52</v>
      </c>
      <c r="I212" s="73">
        <f t="shared" si="41"/>
        <v>2545.44</v>
      </c>
      <c r="J212" s="73">
        <f t="shared" si="39"/>
        <v>27999.84</v>
      </c>
      <c r="K212" s="13">
        <v>37333.120000000003</v>
      </c>
      <c r="L212" s="14">
        <v>3.0999999999999999E-3</v>
      </c>
      <c r="N212" s="13">
        <v>2776.67</v>
      </c>
      <c r="O212" s="89">
        <v>3393.92</v>
      </c>
      <c r="P212" s="78"/>
      <c r="Q212" s="2">
        <f t="shared" si="37"/>
        <v>3393.92</v>
      </c>
    </row>
    <row r="213" spans="1:17" ht="33" customHeight="1" x14ac:dyDescent="0.2">
      <c r="A213" s="9" t="s">
        <v>456</v>
      </c>
      <c r="B213" s="9" t="s">
        <v>457</v>
      </c>
      <c r="C213" s="9" t="s">
        <v>209</v>
      </c>
      <c r="D213" s="47" t="s">
        <v>458</v>
      </c>
      <c r="E213" s="11" t="s">
        <v>84</v>
      </c>
      <c r="F213" s="16">
        <v>11</v>
      </c>
      <c r="G213" s="73">
        <f t="shared" si="40"/>
        <v>2009.73</v>
      </c>
      <c r="H213" s="73">
        <f t="shared" si="38"/>
        <v>22107.03</v>
      </c>
      <c r="I213" s="73">
        <f t="shared" si="41"/>
        <v>2456.4900000000002</v>
      </c>
      <c r="J213" s="73">
        <f t="shared" si="39"/>
        <v>27021.39</v>
      </c>
      <c r="K213" s="13">
        <v>36028.519999999997</v>
      </c>
      <c r="L213" s="14">
        <v>3.0000000000000001E-3</v>
      </c>
      <c r="N213" s="13">
        <v>2679.64</v>
      </c>
      <c r="O213" s="89">
        <v>3275.32</v>
      </c>
      <c r="P213" s="78"/>
      <c r="Q213" s="2">
        <f t="shared" si="37"/>
        <v>3275.3199999999997</v>
      </c>
    </row>
    <row r="214" spans="1:17" ht="33" customHeight="1" x14ac:dyDescent="0.2">
      <c r="A214" s="9" t="s">
        <v>459</v>
      </c>
      <c r="B214" s="15">
        <v>91341</v>
      </c>
      <c r="C214" s="9" t="s">
        <v>56</v>
      </c>
      <c r="D214" s="46" t="s">
        <v>460</v>
      </c>
      <c r="E214" s="11" t="s">
        <v>26</v>
      </c>
      <c r="F214" s="12">
        <v>10.71</v>
      </c>
      <c r="G214" s="73">
        <f t="shared" si="40"/>
        <v>697.86750000000006</v>
      </c>
      <c r="H214" s="73">
        <f t="shared" si="38"/>
        <v>7474.16</v>
      </c>
      <c r="I214" s="73">
        <f t="shared" si="41"/>
        <v>852.99749999999995</v>
      </c>
      <c r="J214" s="73">
        <f t="shared" si="39"/>
        <v>9135.6</v>
      </c>
      <c r="K214" s="13">
        <v>12180.8</v>
      </c>
      <c r="L214" s="14">
        <v>1E-3</v>
      </c>
      <c r="N214" s="12">
        <v>930.49</v>
      </c>
      <c r="O214" s="89">
        <v>1137.33</v>
      </c>
      <c r="P214" s="78"/>
      <c r="Q214" s="2">
        <f t="shared" si="37"/>
        <v>1137.329598506069</v>
      </c>
    </row>
    <row r="215" spans="1:17" ht="33" customHeight="1" x14ac:dyDescent="0.2">
      <c r="A215" s="9" t="s">
        <v>461</v>
      </c>
      <c r="B215" s="15">
        <v>90838</v>
      </c>
      <c r="C215" s="9" t="s">
        <v>56</v>
      </c>
      <c r="D215" s="46" t="s">
        <v>462</v>
      </c>
      <c r="E215" s="11" t="s">
        <v>84</v>
      </c>
      <c r="F215" s="16">
        <v>1</v>
      </c>
      <c r="G215" s="73">
        <f t="shared" si="40"/>
        <v>1446.0674999999999</v>
      </c>
      <c r="H215" s="73">
        <f t="shared" si="38"/>
        <v>1446.06</v>
      </c>
      <c r="I215" s="73">
        <f t="shared" si="41"/>
        <v>1767.5249999999999</v>
      </c>
      <c r="J215" s="73">
        <f t="shared" si="39"/>
        <v>1767.52</v>
      </c>
      <c r="K215" s="13">
        <v>2356.6999999999998</v>
      </c>
      <c r="L215" s="14">
        <v>2.0000000000000001E-4</v>
      </c>
      <c r="N215" s="13">
        <v>1928.09</v>
      </c>
      <c r="O215" s="89">
        <v>2356.6999999999998</v>
      </c>
      <c r="P215" s="78"/>
      <c r="Q215" s="2">
        <f t="shared" si="37"/>
        <v>2356.6999999999998</v>
      </c>
    </row>
    <row r="216" spans="1:17" ht="33" customHeight="1" x14ac:dyDescent="0.2">
      <c r="A216" s="9" t="s">
        <v>463</v>
      </c>
      <c r="B216" s="15">
        <v>90830</v>
      </c>
      <c r="C216" s="9" t="s">
        <v>56</v>
      </c>
      <c r="D216" s="46" t="s">
        <v>464</v>
      </c>
      <c r="E216" s="11" t="s">
        <v>84</v>
      </c>
      <c r="F216" s="16">
        <v>26</v>
      </c>
      <c r="G216" s="73">
        <f t="shared" si="40"/>
        <v>182.85000000000002</v>
      </c>
      <c r="H216" s="73">
        <f t="shared" si="38"/>
        <v>4754.1000000000004</v>
      </c>
      <c r="I216" s="73">
        <f t="shared" si="41"/>
        <v>223.49250000000001</v>
      </c>
      <c r="J216" s="73">
        <f t="shared" si="39"/>
        <v>5810.8</v>
      </c>
      <c r="K216" s="13">
        <v>7747.74</v>
      </c>
      <c r="L216" s="14">
        <v>5.9999999999999995E-4</v>
      </c>
      <c r="N216" s="12">
        <v>243.8</v>
      </c>
      <c r="O216" s="86">
        <v>297.99</v>
      </c>
      <c r="P216" s="78"/>
      <c r="Q216" s="2">
        <f t="shared" si="37"/>
        <v>297.99</v>
      </c>
    </row>
    <row r="217" spans="1:17" ht="33" customHeight="1" x14ac:dyDescent="0.2">
      <c r="A217" s="9" t="s">
        <v>465</v>
      </c>
      <c r="B217" s="15">
        <v>90831</v>
      </c>
      <c r="C217" s="9" t="s">
        <v>56</v>
      </c>
      <c r="D217" s="46" t="s">
        <v>466</v>
      </c>
      <c r="E217" s="11" t="s">
        <v>84</v>
      </c>
      <c r="F217" s="16">
        <v>2</v>
      </c>
      <c r="G217" s="73">
        <f t="shared" si="40"/>
        <v>157.71</v>
      </c>
      <c r="H217" s="73">
        <f t="shared" si="38"/>
        <v>315.42</v>
      </c>
      <c r="I217" s="73">
        <f t="shared" si="41"/>
        <v>192.76499999999999</v>
      </c>
      <c r="J217" s="73">
        <f t="shared" si="39"/>
        <v>385.53</v>
      </c>
      <c r="K217" s="12">
        <v>514.04</v>
      </c>
      <c r="L217" s="14">
        <v>0</v>
      </c>
      <c r="N217" s="12">
        <v>210.28</v>
      </c>
      <c r="O217" s="86">
        <v>257.02</v>
      </c>
      <c r="P217" s="78"/>
      <c r="Q217" s="2">
        <f t="shared" si="37"/>
        <v>257.02</v>
      </c>
    </row>
    <row r="218" spans="1:17" ht="33" customHeight="1" x14ac:dyDescent="0.2">
      <c r="A218" s="9" t="s">
        <v>467</v>
      </c>
      <c r="B218" s="10" t="s">
        <v>468</v>
      </c>
      <c r="C218" s="9" t="s">
        <v>24</v>
      </c>
      <c r="D218" s="47" t="s">
        <v>469</v>
      </c>
      <c r="E218" s="11" t="s">
        <v>99</v>
      </c>
      <c r="F218" s="29">
        <v>3.6</v>
      </c>
      <c r="G218" s="73">
        <f t="shared" si="40"/>
        <v>47.43</v>
      </c>
      <c r="H218" s="73">
        <f t="shared" si="38"/>
        <v>170.74</v>
      </c>
      <c r="I218" s="73">
        <f t="shared" si="41"/>
        <v>57.967500000000001</v>
      </c>
      <c r="J218" s="73">
        <f t="shared" si="39"/>
        <v>208.68</v>
      </c>
      <c r="K218" s="12">
        <v>278.24</v>
      </c>
      <c r="L218" s="14">
        <v>0</v>
      </c>
      <c r="N218" s="12">
        <v>63.24</v>
      </c>
      <c r="O218" s="86">
        <v>77.290000000000006</v>
      </c>
      <c r="P218" s="78"/>
      <c r="Q218" s="2">
        <f t="shared" si="37"/>
        <v>77.288888888888891</v>
      </c>
    </row>
    <row r="219" spans="1:17" ht="33" customHeight="1" x14ac:dyDescent="0.2">
      <c r="A219" s="28">
        <v>40391</v>
      </c>
      <c r="B219" s="9" t="s">
        <v>470</v>
      </c>
      <c r="C219" s="9" t="s">
        <v>209</v>
      </c>
      <c r="D219" s="47" t="s">
        <v>471</v>
      </c>
      <c r="E219" s="11" t="s">
        <v>84</v>
      </c>
      <c r="F219" s="16">
        <v>18</v>
      </c>
      <c r="G219" s="73">
        <f t="shared" si="40"/>
        <v>754.58249999999998</v>
      </c>
      <c r="H219" s="73">
        <f t="shared" si="38"/>
        <v>13582.48</v>
      </c>
      <c r="I219" s="73">
        <f t="shared" si="41"/>
        <v>922.31999999999994</v>
      </c>
      <c r="J219" s="73">
        <f t="shared" si="39"/>
        <v>16601.759999999998</v>
      </c>
      <c r="K219" s="13">
        <v>22135.68</v>
      </c>
      <c r="L219" s="14">
        <v>1.9E-3</v>
      </c>
      <c r="N219" s="13">
        <v>1006.11</v>
      </c>
      <c r="O219" s="89">
        <v>1229.76</v>
      </c>
      <c r="P219" s="78"/>
      <c r="Q219" s="2">
        <f t="shared" si="37"/>
        <v>1229.76</v>
      </c>
    </row>
    <row r="220" spans="1:17" ht="33" customHeight="1" x14ac:dyDescent="0.2">
      <c r="A220" s="28">
        <v>40756</v>
      </c>
      <c r="B220" s="10" t="s">
        <v>472</v>
      </c>
      <c r="C220" s="9" t="s">
        <v>24</v>
      </c>
      <c r="D220" s="47" t="s">
        <v>473</v>
      </c>
      <c r="E220" s="11" t="s">
        <v>26</v>
      </c>
      <c r="F220" s="17">
        <v>73.483000000000004</v>
      </c>
      <c r="G220" s="73">
        <f t="shared" si="40"/>
        <v>875.84999999999991</v>
      </c>
      <c r="H220" s="73">
        <f t="shared" si="38"/>
        <v>64360.08</v>
      </c>
      <c r="I220" s="73">
        <f t="shared" si="41"/>
        <v>1070.5500000000002</v>
      </c>
      <c r="J220" s="73">
        <f t="shared" si="39"/>
        <v>78667.22</v>
      </c>
      <c r="K220" s="13">
        <v>104889.63</v>
      </c>
      <c r="L220" s="14">
        <v>8.8000000000000005E-3</v>
      </c>
      <c r="N220" s="13">
        <v>1167.8</v>
      </c>
      <c r="O220" s="89">
        <v>1427.4</v>
      </c>
      <c r="P220" s="78"/>
      <c r="Q220" s="2">
        <f t="shared" si="37"/>
        <v>1427.3999428439231</v>
      </c>
    </row>
    <row r="221" spans="1:17" ht="33" customHeight="1" x14ac:dyDescent="0.2">
      <c r="A221" s="28">
        <v>41122</v>
      </c>
      <c r="B221" s="9" t="s">
        <v>474</v>
      </c>
      <c r="C221" s="9" t="s">
        <v>209</v>
      </c>
      <c r="D221" s="47" t="s">
        <v>475</v>
      </c>
      <c r="E221" s="11" t="s">
        <v>84</v>
      </c>
      <c r="F221" s="16">
        <v>1</v>
      </c>
      <c r="G221" s="73">
        <f t="shared" si="40"/>
        <v>8206.3724999999995</v>
      </c>
      <c r="H221" s="73">
        <f t="shared" si="38"/>
        <v>8206.3700000000008</v>
      </c>
      <c r="I221" s="73">
        <f t="shared" si="41"/>
        <v>10030.6425</v>
      </c>
      <c r="J221" s="73">
        <f t="shared" si="39"/>
        <v>10030.64</v>
      </c>
      <c r="K221" s="13">
        <v>13374.19</v>
      </c>
      <c r="L221" s="14">
        <v>1.1000000000000001E-3</v>
      </c>
      <c r="N221" s="13">
        <v>10941.83</v>
      </c>
      <c r="O221" s="89">
        <v>13374.19</v>
      </c>
      <c r="P221" s="78"/>
      <c r="Q221" s="2">
        <f t="shared" si="37"/>
        <v>13374.19</v>
      </c>
    </row>
    <row r="222" spans="1:17" ht="33" customHeight="1" x14ac:dyDescent="0.2">
      <c r="A222" s="5" t="s">
        <v>476</v>
      </c>
      <c r="B222" s="4"/>
      <c r="C222" s="4"/>
      <c r="D222" s="45" t="s">
        <v>477</v>
      </c>
      <c r="E222" s="4"/>
      <c r="F222" s="6">
        <v>1</v>
      </c>
      <c r="G222" s="71"/>
      <c r="H222" s="73">
        <f t="shared" si="38"/>
        <v>0</v>
      </c>
      <c r="I222" s="71"/>
      <c r="J222" s="76">
        <f>SUM(J223:J232)</f>
        <v>210068.30000000002</v>
      </c>
      <c r="K222" s="7">
        <v>280091.08</v>
      </c>
      <c r="L222" s="8">
        <v>2.35E-2</v>
      </c>
      <c r="N222" s="4"/>
      <c r="O222" s="88">
        <v>280091.08</v>
      </c>
      <c r="P222" s="78"/>
      <c r="Q222" s="2">
        <f t="shared" si="37"/>
        <v>280091.08</v>
      </c>
    </row>
    <row r="223" spans="1:17" ht="33" customHeight="1" x14ac:dyDescent="0.2">
      <c r="A223" s="9" t="s">
        <v>478</v>
      </c>
      <c r="B223" s="25" t="s">
        <v>479</v>
      </c>
      <c r="C223" s="9" t="s">
        <v>24</v>
      </c>
      <c r="D223" s="46" t="s">
        <v>480</v>
      </c>
      <c r="E223" s="11" t="s">
        <v>26</v>
      </c>
      <c r="F223" s="17">
        <v>14.077999999999999</v>
      </c>
      <c r="G223" s="73">
        <f t="shared" ref="G223:G232" si="42">N223*$S$6</f>
        <v>478.95000000000005</v>
      </c>
      <c r="H223" s="73">
        <f t="shared" si="38"/>
        <v>6742.65</v>
      </c>
      <c r="I223" s="73">
        <f t="shared" ref="I223:I232" si="43">O223*$S$6</f>
        <v>585.41999999999996</v>
      </c>
      <c r="J223" s="73">
        <f t="shared" si="39"/>
        <v>8241.5400000000009</v>
      </c>
      <c r="K223" s="13">
        <v>10988.72</v>
      </c>
      <c r="L223" s="14">
        <v>8.9999999999999998E-4</v>
      </c>
      <c r="N223" s="12">
        <v>638.6</v>
      </c>
      <c r="O223" s="86">
        <v>780.56</v>
      </c>
      <c r="P223" s="78"/>
      <c r="Q223" s="2">
        <f t="shared" si="37"/>
        <v>780.55973859923279</v>
      </c>
    </row>
    <row r="224" spans="1:17" ht="33" customHeight="1" x14ac:dyDescent="0.2">
      <c r="A224" s="9" t="s">
        <v>481</v>
      </c>
      <c r="B224" s="10" t="s">
        <v>482</v>
      </c>
      <c r="C224" s="9" t="s">
        <v>24</v>
      </c>
      <c r="D224" s="46" t="s">
        <v>483</v>
      </c>
      <c r="E224" s="11" t="s">
        <v>84</v>
      </c>
      <c r="F224" s="16">
        <v>4</v>
      </c>
      <c r="G224" s="73">
        <f t="shared" si="42"/>
        <v>141.19499999999999</v>
      </c>
      <c r="H224" s="73">
        <f t="shared" si="38"/>
        <v>564.78</v>
      </c>
      <c r="I224" s="73">
        <f t="shared" si="43"/>
        <v>172.58250000000001</v>
      </c>
      <c r="J224" s="73">
        <f t="shared" si="39"/>
        <v>690.33</v>
      </c>
      <c r="K224" s="12">
        <v>920.44</v>
      </c>
      <c r="L224" s="14">
        <v>1E-4</v>
      </c>
      <c r="N224" s="12">
        <v>188.26</v>
      </c>
      <c r="O224" s="86">
        <v>230.11</v>
      </c>
      <c r="P224" s="78"/>
      <c r="Q224" s="2">
        <f t="shared" si="37"/>
        <v>230.11</v>
      </c>
    </row>
    <row r="225" spans="1:17" ht="33" customHeight="1" x14ac:dyDescent="0.2">
      <c r="A225" s="9" t="s">
        <v>484</v>
      </c>
      <c r="B225" s="15">
        <v>102185</v>
      </c>
      <c r="C225" s="9" t="s">
        <v>56</v>
      </c>
      <c r="D225" s="47" t="s">
        <v>485</v>
      </c>
      <c r="E225" s="11" t="s">
        <v>84</v>
      </c>
      <c r="F225" s="16">
        <v>2</v>
      </c>
      <c r="G225" s="73">
        <f t="shared" si="42"/>
        <v>3876.3825000000002</v>
      </c>
      <c r="H225" s="73">
        <f t="shared" si="38"/>
        <v>7752.76</v>
      </c>
      <c r="I225" s="73">
        <f t="shared" si="43"/>
        <v>4738.0950000000003</v>
      </c>
      <c r="J225" s="73">
        <f t="shared" si="39"/>
        <v>9476.19</v>
      </c>
      <c r="K225" s="13">
        <v>12634.92</v>
      </c>
      <c r="L225" s="14">
        <v>1.1000000000000001E-3</v>
      </c>
      <c r="N225" s="13">
        <v>5168.51</v>
      </c>
      <c r="O225" s="89">
        <v>6317.46</v>
      </c>
      <c r="P225" s="78"/>
      <c r="Q225" s="2">
        <f t="shared" si="37"/>
        <v>6317.46</v>
      </c>
    </row>
    <row r="226" spans="1:17" ht="33" customHeight="1" x14ac:dyDescent="0.2">
      <c r="A226" s="9" t="s">
        <v>486</v>
      </c>
      <c r="B226" s="15">
        <v>102184</v>
      </c>
      <c r="C226" s="9" t="s">
        <v>56</v>
      </c>
      <c r="D226" s="47" t="s">
        <v>487</v>
      </c>
      <c r="E226" s="11" t="s">
        <v>84</v>
      </c>
      <c r="F226" s="16">
        <v>2</v>
      </c>
      <c r="G226" s="73">
        <f t="shared" si="42"/>
        <v>1932.0749999999998</v>
      </c>
      <c r="H226" s="73">
        <f t="shared" si="38"/>
        <v>3864.15</v>
      </c>
      <c r="I226" s="73">
        <f t="shared" si="43"/>
        <v>2361.5700000000002</v>
      </c>
      <c r="J226" s="73">
        <f t="shared" si="39"/>
        <v>4723.1400000000003</v>
      </c>
      <c r="K226" s="13">
        <v>6297.52</v>
      </c>
      <c r="L226" s="14">
        <v>5.0000000000000001E-4</v>
      </c>
      <c r="N226" s="13">
        <v>2576.1</v>
      </c>
      <c r="O226" s="89">
        <v>3148.76</v>
      </c>
      <c r="P226" s="78"/>
      <c r="Q226" s="2">
        <f t="shared" si="37"/>
        <v>3148.76</v>
      </c>
    </row>
    <row r="227" spans="1:17" ht="33" customHeight="1" x14ac:dyDescent="0.2">
      <c r="A227" s="9" t="s">
        <v>488</v>
      </c>
      <c r="B227" s="25" t="s">
        <v>489</v>
      </c>
      <c r="C227" s="9" t="s">
        <v>24</v>
      </c>
      <c r="D227" s="47" t="s">
        <v>490</v>
      </c>
      <c r="E227" s="11" t="s">
        <v>26</v>
      </c>
      <c r="F227" s="17">
        <v>192.67599999999999</v>
      </c>
      <c r="G227" s="73">
        <f t="shared" si="42"/>
        <v>485.12250000000006</v>
      </c>
      <c r="H227" s="73">
        <f t="shared" si="38"/>
        <v>93471.46</v>
      </c>
      <c r="I227" s="73">
        <f t="shared" si="43"/>
        <v>592.96500000000003</v>
      </c>
      <c r="J227" s="73">
        <f t="shared" si="39"/>
        <v>114250.12</v>
      </c>
      <c r="K227" s="13">
        <v>152333.49</v>
      </c>
      <c r="L227" s="14">
        <v>1.2800000000000001E-2</v>
      </c>
      <c r="N227" s="12">
        <v>646.83000000000004</v>
      </c>
      <c r="O227" s="86">
        <v>790.62</v>
      </c>
      <c r="P227" s="78"/>
      <c r="Q227" s="2">
        <f t="shared" si="37"/>
        <v>790.61995266665281</v>
      </c>
    </row>
    <row r="228" spans="1:17" ht="33" customHeight="1" x14ac:dyDescent="0.2">
      <c r="A228" s="9" t="s">
        <v>491</v>
      </c>
      <c r="B228" s="10" t="s">
        <v>492</v>
      </c>
      <c r="C228" s="9" t="s">
        <v>24</v>
      </c>
      <c r="D228" s="47" t="s">
        <v>493</v>
      </c>
      <c r="E228" s="11" t="s">
        <v>26</v>
      </c>
      <c r="F228" s="17">
        <v>140.98599999999999</v>
      </c>
      <c r="G228" s="73">
        <f t="shared" si="42"/>
        <v>321.47249999999997</v>
      </c>
      <c r="H228" s="73">
        <f t="shared" si="38"/>
        <v>45323.12</v>
      </c>
      <c r="I228" s="73">
        <f t="shared" si="43"/>
        <v>392.9325</v>
      </c>
      <c r="J228" s="73">
        <f t="shared" si="39"/>
        <v>55397.98</v>
      </c>
      <c r="K228" s="13">
        <v>73863.97</v>
      </c>
      <c r="L228" s="14">
        <v>6.1999999999999998E-3</v>
      </c>
      <c r="N228" s="12">
        <v>428.63</v>
      </c>
      <c r="O228" s="86">
        <v>523.91</v>
      </c>
      <c r="P228" s="78"/>
      <c r="Q228" s="2">
        <f t="shared" si="37"/>
        <v>523.90996269133109</v>
      </c>
    </row>
    <row r="229" spans="1:17" ht="33" customHeight="1" x14ac:dyDescent="0.2">
      <c r="A229" s="9" t="s">
        <v>494</v>
      </c>
      <c r="B229" s="10" t="s">
        <v>495</v>
      </c>
      <c r="C229" s="9" t="s">
        <v>24</v>
      </c>
      <c r="D229" s="46" t="s">
        <v>496</v>
      </c>
      <c r="E229" s="11" t="s">
        <v>26</v>
      </c>
      <c r="F229" s="17">
        <v>5.6769999999999996</v>
      </c>
      <c r="G229" s="73">
        <f t="shared" si="42"/>
        <v>1184.31</v>
      </c>
      <c r="H229" s="73">
        <f t="shared" si="38"/>
        <v>6723.32</v>
      </c>
      <c r="I229" s="73">
        <f t="shared" si="43"/>
        <v>1447.5749999999998</v>
      </c>
      <c r="J229" s="73">
        <f t="shared" si="39"/>
        <v>8217.8799999999992</v>
      </c>
      <c r="K229" s="13">
        <v>10957.17</v>
      </c>
      <c r="L229" s="14">
        <v>8.9999999999999998E-4</v>
      </c>
      <c r="N229" s="13">
        <v>1579.08</v>
      </c>
      <c r="O229" s="89">
        <v>1930.1</v>
      </c>
      <c r="P229" s="78"/>
      <c r="Q229" s="2">
        <f t="shared" si="37"/>
        <v>1930.0986436498151</v>
      </c>
    </row>
    <row r="230" spans="1:17" ht="33" customHeight="1" x14ac:dyDescent="0.2">
      <c r="A230" s="9" t="s">
        <v>497</v>
      </c>
      <c r="B230" s="10" t="s">
        <v>498</v>
      </c>
      <c r="C230" s="9" t="s">
        <v>24</v>
      </c>
      <c r="D230" s="47" t="s">
        <v>499</v>
      </c>
      <c r="E230" s="11" t="s">
        <v>26</v>
      </c>
      <c r="F230" s="17">
        <v>1.944</v>
      </c>
      <c r="G230" s="73">
        <f t="shared" si="42"/>
        <v>1129.5525</v>
      </c>
      <c r="H230" s="73">
        <f t="shared" si="38"/>
        <v>2195.85</v>
      </c>
      <c r="I230" s="73">
        <f t="shared" si="43"/>
        <v>1380.645</v>
      </c>
      <c r="J230" s="73">
        <f t="shared" si="39"/>
        <v>2683.97</v>
      </c>
      <c r="K230" s="13">
        <v>3578.63</v>
      </c>
      <c r="L230" s="14">
        <v>2.9999999999999997E-4</v>
      </c>
      <c r="N230" s="13">
        <v>1506.07</v>
      </c>
      <c r="O230" s="89">
        <v>1840.86</v>
      </c>
      <c r="P230" s="78"/>
      <c r="Q230" s="2">
        <f t="shared" si="37"/>
        <v>1840.8590534979426</v>
      </c>
    </row>
    <row r="231" spans="1:17" ht="33" customHeight="1" x14ac:dyDescent="0.2">
      <c r="A231" s="9" t="s">
        <v>500</v>
      </c>
      <c r="B231" s="10" t="s">
        <v>501</v>
      </c>
      <c r="C231" s="9" t="s">
        <v>209</v>
      </c>
      <c r="D231" s="46" t="s">
        <v>502</v>
      </c>
      <c r="E231" s="11" t="s">
        <v>84</v>
      </c>
      <c r="F231" s="16">
        <v>1</v>
      </c>
      <c r="G231" s="73">
        <f t="shared" si="42"/>
        <v>4827.7950000000001</v>
      </c>
      <c r="H231" s="73">
        <f t="shared" si="38"/>
        <v>4827.79</v>
      </c>
      <c r="I231" s="73">
        <f t="shared" si="43"/>
        <v>5901.0074999999997</v>
      </c>
      <c r="J231" s="73">
        <f t="shared" si="39"/>
        <v>5901</v>
      </c>
      <c r="K231" s="13">
        <v>7868.01</v>
      </c>
      <c r="L231" s="14">
        <v>6.9999999999999999E-4</v>
      </c>
      <c r="N231" s="13">
        <v>6437.06</v>
      </c>
      <c r="O231" s="89">
        <v>7868.01</v>
      </c>
      <c r="P231" s="78"/>
      <c r="Q231" s="2">
        <f t="shared" si="37"/>
        <v>7868.01</v>
      </c>
    </row>
    <row r="232" spans="1:17" ht="33" customHeight="1" x14ac:dyDescent="0.2">
      <c r="A232" s="28">
        <v>40392</v>
      </c>
      <c r="B232" s="15">
        <v>140561</v>
      </c>
      <c r="C232" s="9" t="s">
        <v>335</v>
      </c>
      <c r="D232" s="47" t="s">
        <v>503</v>
      </c>
      <c r="E232" s="11" t="s">
        <v>84</v>
      </c>
      <c r="F232" s="16">
        <v>3</v>
      </c>
      <c r="G232" s="73">
        <f t="shared" si="42"/>
        <v>132.58500000000001</v>
      </c>
      <c r="H232" s="73">
        <f t="shared" si="38"/>
        <v>397.75</v>
      </c>
      <c r="I232" s="73">
        <f t="shared" si="43"/>
        <v>162.05250000000001</v>
      </c>
      <c r="J232" s="73">
        <f t="shared" si="39"/>
        <v>486.15</v>
      </c>
      <c r="K232" s="12">
        <v>648.21</v>
      </c>
      <c r="L232" s="14">
        <v>1E-4</v>
      </c>
      <c r="N232" s="12">
        <v>176.78</v>
      </c>
      <c r="O232" s="86">
        <v>216.07</v>
      </c>
      <c r="P232" s="78"/>
      <c r="Q232" s="2">
        <f t="shared" si="37"/>
        <v>216.07000000000002</v>
      </c>
    </row>
    <row r="233" spans="1:17" ht="33" customHeight="1" x14ac:dyDescent="0.2">
      <c r="A233" s="5" t="s">
        <v>504</v>
      </c>
      <c r="B233" s="4"/>
      <c r="C233" s="4"/>
      <c r="D233" s="45" t="s">
        <v>505</v>
      </c>
      <c r="E233" s="4"/>
      <c r="F233" s="6">
        <v>1</v>
      </c>
      <c r="G233" s="71"/>
      <c r="H233" s="73">
        <f t="shared" si="38"/>
        <v>0</v>
      </c>
      <c r="I233" s="71"/>
      <c r="J233" s="76">
        <f>SUM(J234:J245)</f>
        <v>181278.31</v>
      </c>
      <c r="K233" s="7">
        <v>241704.43</v>
      </c>
      <c r="L233" s="8">
        <v>2.0299999999999999E-2</v>
      </c>
      <c r="N233" s="4"/>
      <c r="O233" s="88">
        <v>241704.43</v>
      </c>
      <c r="P233" s="78"/>
      <c r="Q233" s="2">
        <f t="shared" si="37"/>
        <v>241704.43</v>
      </c>
    </row>
    <row r="234" spans="1:17" ht="33" customHeight="1" x14ac:dyDescent="0.2">
      <c r="A234" s="9" t="s">
        <v>506</v>
      </c>
      <c r="B234" s="10" t="s">
        <v>507</v>
      </c>
      <c r="C234" s="9" t="s">
        <v>24</v>
      </c>
      <c r="D234" s="47" t="s">
        <v>508</v>
      </c>
      <c r="E234" s="11" t="s">
        <v>99</v>
      </c>
      <c r="F234" s="12">
        <v>27.93</v>
      </c>
      <c r="G234" s="73">
        <f t="shared" ref="G234:G245" si="44">N234*$S$6</f>
        <v>391.59000000000003</v>
      </c>
      <c r="H234" s="73">
        <f t="shared" si="38"/>
        <v>10937.1</v>
      </c>
      <c r="I234" s="73">
        <f t="shared" ref="I234:I245" si="45">O234*$S$6</f>
        <v>478.63499999999999</v>
      </c>
      <c r="J234" s="73">
        <f t="shared" si="39"/>
        <v>13368.27</v>
      </c>
      <c r="K234" s="13">
        <v>17824.36</v>
      </c>
      <c r="L234" s="14">
        <v>1.5E-3</v>
      </c>
      <c r="N234" s="12">
        <v>522.12</v>
      </c>
      <c r="O234" s="86">
        <v>638.17999999999995</v>
      </c>
      <c r="P234" s="78"/>
      <c r="Q234" s="2">
        <f t="shared" si="37"/>
        <v>638.17973505191549</v>
      </c>
    </row>
    <row r="235" spans="1:17" ht="33" customHeight="1" x14ac:dyDescent="0.2">
      <c r="A235" s="9" t="s">
        <v>509</v>
      </c>
      <c r="B235" s="15">
        <v>111700</v>
      </c>
      <c r="C235" s="9" t="s">
        <v>335</v>
      </c>
      <c r="D235" s="47" t="s">
        <v>510</v>
      </c>
      <c r="E235" s="11" t="s">
        <v>99</v>
      </c>
      <c r="F235" s="17">
        <v>6.2030000000000003</v>
      </c>
      <c r="G235" s="73">
        <f t="shared" si="44"/>
        <v>652.32749999999999</v>
      </c>
      <c r="H235" s="73">
        <f t="shared" si="38"/>
        <v>4046.38</v>
      </c>
      <c r="I235" s="73">
        <f t="shared" si="45"/>
        <v>797.33249999999998</v>
      </c>
      <c r="J235" s="73">
        <f t="shared" si="39"/>
        <v>4945.8500000000004</v>
      </c>
      <c r="K235" s="13">
        <v>6594.47</v>
      </c>
      <c r="L235" s="14">
        <v>5.9999999999999995E-4</v>
      </c>
      <c r="N235" s="12">
        <v>869.77</v>
      </c>
      <c r="O235" s="89">
        <v>1063.1099999999999</v>
      </c>
      <c r="P235" s="78"/>
      <c r="Q235" s="2">
        <f t="shared" si="37"/>
        <v>1063.1097855876189</v>
      </c>
    </row>
    <row r="236" spans="1:17" ht="33" customHeight="1" x14ac:dyDescent="0.2">
      <c r="A236" s="9" t="s">
        <v>511</v>
      </c>
      <c r="B236" s="9" t="s">
        <v>512</v>
      </c>
      <c r="C236" s="9" t="s">
        <v>209</v>
      </c>
      <c r="D236" s="47" t="s">
        <v>513</v>
      </c>
      <c r="E236" s="11" t="s">
        <v>84</v>
      </c>
      <c r="F236" s="16">
        <v>12</v>
      </c>
      <c r="G236" s="73">
        <f t="shared" si="44"/>
        <v>285.90749999999997</v>
      </c>
      <c r="H236" s="73">
        <f t="shared" si="38"/>
        <v>3430.89</v>
      </c>
      <c r="I236" s="73">
        <f t="shared" si="45"/>
        <v>349.46249999999998</v>
      </c>
      <c r="J236" s="73">
        <f t="shared" si="39"/>
        <v>4193.55</v>
      </c>
      <c r="K236" s="13">
        <v>5591.4</v>
      </c>
      <c r="L236" s="14">
        <v>5.0000000000000001E-4</v>
      </c>
      <c r="N236" s="12">
        <v>381.21</v>
      </c>
      <c r="O236" s="86">
        <v>465.95</v>
      </c>
      <c r="P236" s="78"/>
      <c r="Q236" s="2">
        <f t="shared" si="37"/>
        <v>465.95</v>
      </c>
    </row>
    <row r="237" spans="1:17" ht="33" customHeight="1" x14ac:dyDescent="0.2">
      <c r="A237" s="9" t="s">
        <v>514</v>
      </c>
      <c r="B237" s="9" t="s">
        <v>515</v>
      </c>
      <c r="C237" s="9" t="s">
        <v>209</v>
      </c>
      <c r="D237" s="47" t="s">
        <v>516</v>
      </c>
      <c r="E237" s="11" t="s">
        <v>84</v>
      </c>
      <c r="F237" s="16">
        <v>1</v>
      </c>
      <c r="G237" s="73">
        <f t="shared" si="44"/>
        <v>8255.91</v>
      </c>
      <c r="H237" s="73">
        <f t="shared" si="38"/>
        <v>8255.91</v>
      </c>
      <c r="I237" s="73">
        <f t="shared" si="45"/>
        <v>10091.1975</v>
      </c>
      <c r="J237" s="73">
        <f t="shared" si="39"/>
        <v>10091.19</v>
      </c>
      <c r="K237" s="13">
        <v>13454.93</v>
      </c>
      <c r="L237" s="14">
        <v>1.1000000000000001E-3</v>
      </c>
      <c r="N237" s="13">
        <v>11007.88</v>
      </c>
      <c r="O237" s="89">
        <v>13454.93</v>
      </c>
      <c r="P237" s="78"/>
      <c r="Q237" s="2">
        <f t="shared" si="37"/>
        <v>13454.93</v>
      </c>
    </row>
    <row r="238" spans="1:17" ht="33" customHeight="1" x14ac:dyDescent="0.2">
      <c r="A238" s="9" t="s">
        <v>517</v>
      </c>
      <c r="B238" s="10" t="s">
        <v>518</v>
      </c>
      <c r="C238" s="9" t="s">
        <v>24</v>
      </c>
      <c r="D238" s="47" t="s">
        <v>519</v>
      </c>
      <c r="E238" s="11" t="s">
        <v>26</v>
      </c>
      <c r="F238" s="17">
        <v>115.76900000000001</v>
      </c>
      <c r="G238" s="73">
        <f t="shared" si="44"/>
        <v>712.5</v>
      </c>
      <c r="H238" s="73">
        <f t="shared" si="38"/>
        <v>82485.41</v>
      </c>
      <c r="I238" s="73">
        <f t="shared" si="45"/>
        <v>870.88499999999999</v>
      </c>
      <c r="J238" s="73">
        <f t="shared" si="39"/>
        <v>100821.48</v>
      </c>
      <c r="K238" s="13">
        <v>134428.64000000001</v>
      </c>
      <c r="L238" s="14">
        <v>1.1299999999999999E-2</v>
      </c>
      <c r="N238" s="12">
        <v>950</v>
      </c>
      <c r="O238" s="89">
        <v>1161.18</v>
      </c>
      <c r="P238" s="78"/>
      <c r="Q238" s="2">
        <f t="shared" si="37"/>
        <v>1161.1799359068491</v>
      </c>
    </row>
    <row r="239" spans="1:17" ht="33" customHeight="1" x14ac:dyDescent="0.2">
      <c r="A239" s="9" t="s">
        <v>520</v>
      </c>
      <c r="B239" s="10" t="s">
        <v>521</v>
      </c>
      <c r="C239" s="9" t="s">
        <v>24</v>
      </c>
      <c r="D239" s="47" t="s">
        <v>522</v>
      </c>
      <c r="E239" s="11" t="s">
        <v>99</v>
      </c>
      <c r="F239" s="17">
        <v>5.1369999999999996</v>
      </c>
      <c r="G239" s="73">
        <f t="shared" si="44"/>
        <v>658.6875</v>
      </c>
      <c r="H239" s="73">
        <f t="shared" si="38"/>
        <v>3383.67</v>
      </c>
      <c r="I239" s="73">
        <f t="shared" si="45"/>
        <v>805.11</v>
      </c>
      <c r="J239" s="73">
        <f t="shared" si="39"/>
        <v>4135.8500000000004</v>
      </c>
      <c r="K239" s="13">
        <v>5514.46</v>
      </c>
      <c r="L239" s="14">
        <v>5.0000000000000001E-4</v>
      </c>
      <c r="N239" s="12">
        <v>878.25</v>
      </c>
      <c r="O239" s="89">
        <v>1073.48</v>
      </c>
      <c r="P239" s="78"/>
      <c r="Q239" s="2">
        <f t="shared" si="37"/>
        <v>1073.4786840568427</v>
      </c>
    </row>
    <row r="240" spans="1:17" ht="33" customHeight="1" x14ac:dyDescent="0.2">
      <c r="A240" s="9" t="s">
        <v>523</v>
      </c>
      <c r="B240" s="10" t="s">
        <v>524</v>
      </c>
      <c r="C240" s="9" t="s">
        <v>24</v>
      </c>
      <c r="D240" s="47" t="s">
        <v>525</v>
      </c>
      <c r="E240" s="11" t="s">
        <v>84</v>
      </c>
      <c r="F240" s="16">
        <v>120</v>
      </c>
      <c r="G240" s="73">
        <f t="shared" si="44"/>
        <v>90.967500000000001</v>
      </c>
      <c r="H240" s="73">
        <f t="shared" si="38"/>
        <v>10916.1</v>
      </c>
      <c r="I240" s="73">
        <f t="shared" si="45"/>
        <v>111.1875</v>
      </c>
      <c r="J240" s="73">
        <f t="shared" si="39"/>
        <v>13342.5</v>
      </c>
      <c r="K240" s="13">
        <v>17790</v>
      </c>
      <c r="L240" s="14">
        <v>1.5E-3</v>
      </c>
      <c r="N240" s="12">
        <v>121.29</v>
      </c>
      <c r="O240" s="86">
        <v>148.25</v>
      </c>
      <c r="P240" s="78"/>
      <c r="Q240" s="2">
        <f t="shared" si="37"/>
        <v>148.25</v>
      </c>
    </row>
    <row r="241" spans="1:17" ht="33" customHeight="1" x14ac:dyDescent="0.2">
      <c r="A241" s="9" t="s">
        <v>526</v>
      </c>
      <c r="B241" s="10" t="s">
        <v>527</v>
      </c>
      <c r="C241" s="9" t="s">
        <v>24</v>
      </c>
      <c r="D241" s="46" t="s">
        <v>528</v>
      </c>
      <c r="E241" s="11" t="s">
        <v>26</v>
      </c>
      <c r="F241" s="17">
        <v>20.318000000000001</v>
      </c>
      <c r="G241" s="73">
        <f t="shared" si="44"/>
        <v>559.31999999999994</v>
      </c>
      <c r="H241" s="73">
        <f t="shared" si="38"/>
        <v>11364.26</v>
      </c>
      <c r="I241" s="73">
        <f t="shared" si="45"/>
        <v>683.65499999999997</v>
      </c>
      <c r="J241" s="73">
        <f t="shared" si="39"/>
        <v>13890.5</v>
      </c>
      <c r="K241" s="13">
        <v>18520.66</v>
      </c>
      <c r="L241" s="14">
        <v>1.6000000000000001E-3</v>
      </c>
      <c r="N241" s="12">
        <v>745.76</v>
      </c>
      <c r="O241" s="86">
        <v>911.54</v>
      </c>
      <c r="P241" s="78"/>
      <c r="Q241" s="2">
        <f t="shared" si="37"/>
        <v>911.53952160645724</v>
      </c>
    </row>
    <row r="242" spans="1:17" ht="33" customHeight="1" x14ac:dyDescent="0.2">
      <c r="A242" s="9" t="s">
        <v>529</v>
      </c>
      <c r="B242" s="15">
        <v>100701</v>
      </c>
      <c r="C242" s="9" t="s">
        <v>56</v>
      </c>
      <c r="D242" s="47" t="s">
        <v>530</v>
      </c>
      <c r="E242" s="11" t="s">
        <v>26</v>
      </c>
      <c r="F242" s="12">
        <v>6.86</v>
      </c>
      <c r="G242" s="73">
        <f t="shared" si="44"/>
        <v>589.77750000000003</v>
      </c>
      <c r="H242" s="73">
        <f t="shared" si="38"/>
        <v>4045.87</v>
      </c>
      <c r="I242" s="73">
        <f t="shared" si="45"/>
        <v>720.88499999999999</v>
      </c>
      <c r="J242" s="73">
        <f t="shared" si="39"/>
        <v>4945.2700000000004</v>
      </c>
      <c r="K242" s="13">
        <v>6593.69</v>
      </c>
      <c r="L242" s="14">
        <v>5.9999999999999995E-4</v>
      </c>
      <c r="N242" s="12">
        <v>786.37</v>
      </c>
      <c r="O242" s="86">
        <v>961.18</v>
      </c>
      <c r="P242" s="78"/>
      <c r="Q242" s="2">
        <f t="shared" si="37"/>
        <v>961.17930029154513</v>
      </c>
    </row>
    <row r="243" spans="1:17" ht="33" customHeight="1" x14ac:dyDescent="0.2">
      <c r="A243" s="28">
        <v>40393</v>
      </c>
      <c r="B243" s="15">
        <v>111034</v>
      </c>
      <c r="C243" s="9" t="s">
        <v>335</v>
      </c>
      <c r="D243" s="47" t="s">
        <v>531</v>
      </c>
      <c r="E243" s="11" t="s">
        <v>26</v>
      </c>
      <c r="F243" s="17">
        <v>11.638</v>
      </c>
      <c r="G243" s="73">
        <f t="shared" si="44"/>
        <v>720.48</v>
      </c>
      <c r="H243" s="73">
        <f t="shared" si="38"/>
        <v>8384.94</v>
      </c>
      <c r="I243" s="73">
        <f t="shared" si="45"/>
        <v>880.64250000000004</v>
      </c>
      <c r="J243" s="73">
        <f t="shared" si="39"/>
        <v>10248.91</v>
      </c>
      <c r="K243" s="13">
        <v>13665.22</v>
      </c>
      <c r="L243" s="14">
        <v>1.1000000000000001E-3</v>
      </c>
      <c r="N243" s="12">
        <v>960.64</v>
      </c>
      <c r="O243" s="89">
        <v>1174.19</v>
      </c>
      <c r="P243" s="78"/>
      <c r="Q243" s="2">
        <f t="shared" si="37"/>
        <v>1174.189723320158</v>
      </c>
    </row>
    <row r="244" spans="1:17" ht="33" customHeight="1" x14ac:dyDescent="0.2">
      <c r="A244" s="28">
        <v>40758</v>
      </c>
      <c r="B244" s="15">
        <v>112564</v>
      </c>
      <c r="C244" s="9" t="s">
        <v>335</v>
      </c>
      <c r="D244" s="47" t="s">
        <v>532</v>
      </c>
      <c r="E244" s="11" t="s">
        <v>84</v>
      </c>
      <c r="F244" s="16">
        <v>1</v>
      </c>
      <c r="G244" s="73">
        <f t="shared" si="44"/>
        <v>984.24749999999995</v>
      </c>
      <c r="H244" s="73">
        <f t="shared" si="38"/>
        <v>984.24</v>
      </c>
      <c r="I244" s="73">
        <f t="shared" si="45"/>
        <v>1203.0450000000001</v>
      </c>
      <c r="J244" s="73">
        <f t="shared" si="39"/>
        <v>1203.04</v>
      </c>
      <c r="K244" s="13">
        <v>1604.06</v>
      </c>
      <c r="L244" s="14">
        <v>1E-4</v>
      </c>
      <c r="N244" s="13">
        <v>1312.33</v>
      </c>
      <c r="O244" s="89">
        <v>1604.06</v>
      </c>
      <c r="P244" s="78"/>
      <c r="Q244" s="2">
        <f t="shared" si="37"/>
        <v>1604.06</v>
      </c>
    </row>
    <row r="245" spans="1:17" ht="33" customHeight="1" x14ac:dyDescent="0.2">
      <c r="A245" s="28">
        <v>41124</v>
      </c>
      <c r="B245" s="27" t="s">
        <v>533</v>
      </c>
      <c r="C245" s="9" t="s">
        <v>24</v>
      </c>
      <c r="D245" s="46" t="s">
        <v>534</v>
      </c>
      <c r="E245" s="11" t="s">
        <v>84</v>
      </c>
      <c r="F245" s="16">
        <v>2</v>
      </c>
      <c r="G245" s="73">
        <f t="shared" si="44"/>
        <v>37.597500000000004</v>
      </c>
      <c r="H245" s="73">
        <f t="shared" si="38"/>
        <v>75.19</v>
      </c>
      <c r="I245" s="73">
        <f t="shared" si="45"/>
        <v>45.952500000000001</v>
      </c>
      <c r="J245" s="73">
        <f t="shared" si="39"/>
        <v>91.9</v>
      </c>
      <c r="K245" s="12">
        <v>122.54</v>
      </c>
      <c r="L245" s="14">
        <v>0</v>
      </c>
      <c r="N245" s="12">
        <v>50.13</v>
      </c>
      <c r="O245" s="86">
        <v>61.27</v>
      </c>
      <c r="P245" s="78"/>
      <c r="Q245" s="2">
        <f t="shared" si="37"/>
        <v>61.27</v>
      </c>
    </row>
    <row r="246" spans="1:17" ht="33" customHeight="1" x14ac:dyDescent="0.2">
      <c r="A246" s="5" t="s">
        <v>535</v>
      </c>
      <c r="B246" s="4"/>
      <c r="C246" s="4"/>
      <c r="D246" s="45" t="s">
        <v>536</v>
      </c>
      <c r="E246" s="4"/>
      <c r="F246" s="6">
        <v>1</v>
      </c>
      <c r="G246" s="71"/>
      <c r="H246" s="73">
        <f t="shared" si="38"/>
        <v>0</v>
      </c>
      <c r="I246" s="71"/>
      <c r="J246" s="76">
        <f>SUM(J247:J250)</f>
        <v>163252.4</v>
      </c>
      <c r="K246" s="7">
        <v>217669.87</v>
      </c>
      <c r="L246" s="8">
        <v>1.8200000000000001E-2</v>
      </c>
      <c r="N246" s="4"/>
      <c r="O246" s="88">
        <v>217669.87</v>
      </c>
      <c r="P246" s="78"/>
      <c r="Q246" s="2">
        <f t="shared" si="37"/>
        <v>217669.87</v>
      </c>
    </row>
    <row r="247" spans="1:17" ht="33" customHeight="1" x14ac:dyDescent="0.2">
      <c r="A247" s="9" t="s">
        <v>537</v>
      </c>
      <c r="B247" s="9" t="s">
        <v>538</v>
      </c>
      <c r="C247" s="9" t="s">
        <v>209</v>
      </c>
      <c r="D247" s="47" t="s">
        <v>539</v>
      </c>
      <c r="E247" s="11" t="s">
        <v>540</v>
      </c>
      <c r="F247" s="17">
        <v>30.593</v>
      </c>
      <c r="G247" s="73">
        <f>N247*$S$6</f>
        <v>341.66250000000002</v>
      </c>
      <c r="H247" s="73">
        <f t="shared" si="38"/>
        <v>10452.48</v>
      </c>
      <c r="I247" s="73">
        <f>O247*$S$6</f>
        <v>417.60749999999996</v>
      </c>
      <c r="J247" s="73">
        <f t="shared" si="39"/>
        <v>12775.86</v>
      </c>
      <c r="K247" s="13">
        <v>17034.48</v>
      </c>
      <c r="L247" s="14">
        <v>1.4E-3</v>
      </c>
      <c r="N247" s="12">
        <v>455.55</v>
      </c>
      <c r="O247" s="86">
        <v>556.80999999999995</v>
      </c>
      <c r="P247" s="78"/>
      <c r="Q247" s="2">
        <f t="shared" si="37"/>
        <v>556.80972771549045</v>
      </c>
    </row>
    <row r="248" spans="1:17" ht="33" customHeight="1" x14ac:dyDescent="0.2">
      <c r="A248" s="9" t="s">
        <v>541</v>
      </c>
      <c r="B248" s="32">
        <v>90120</v>
      </c>
      <c r="C248" s="9" t="s">
        <v>335</v>
      </c>
      <c r="D248" s="47" t="s">
        <v>542</v>
      </c>
      <c r="E248" s="11" t="s">
        <v>26</v>
      </c>
      <c r="F248" s="17">
        <v>173.72300000000001</v>
      </c>
      <c r="G248" s="73">
        <f>N248*$S$6</f>
        <v>369.07500000000005</v>
      </c>
      <c r="H248" s="73">
        <f t="shared" si="38"/>
        <v>64116.81</v>
      </c>
      <c r="I248" s="73">
        <f>O248*$S$6</f>
        <v>451.11750000000001</v>
      </c>
      <c r="J248" s="73">
        <f t="shared" si="39"/>
        <v>78369.48</v>
      </c>
      <c r="K248" s="13">
        <v>104492.64</v>
      </c>
      <c r="L248" s="14">
        <v>8.8000000000000005E-3</v>
      </c>
      <c r="N248" s="12">
        <v>492.1</v>
      </c>
      <c r="O248" s="86">
        <v>601.49</v>
      </c>
      <c r="P248" s="78"/>
      <c r="Q248" s="2">
        <f t="shared" si="37"/>
        <v>601.48995815177034</v>
      </c>
    </row>
    <row r="249" spans="1:17" ht="33" customHeight="1" x14ac:dyDescent="0.2">
      <c r="A249" s="9" t="s">
        <v>543</v>
      </c>
      <c r="B249" s="9" t="s">
        <v>544</v>
      </c>
      <c r="C249" s="9" t="s">
        <v>209</v>
      </c>
      <c r="D249" s="46" t="s">
        <v>545</v>
      </c>
      <c r="E249" s="11" t="s">
        <v>99</v>
      </c>
      <c r="F249" s="17">
        <v>322.73500000000001</v>
      </c>
      <c r="G249" s="73">
        <f>N249*$S$6</f>
        <v>43.125</v>
      </c>
      <c r="H249" s="73">
        <f t="shared" si="38"/>
        <v>13917.94</v>
      </c>
      <c r="I249" s="73">
        <f>O249*$S$6</f>
        <v>52.71</v>
      </c>
      <c r="J249" s="73">
        <f t="shared" si="39"/>
        <v>17011.36</v>
      </c>
      <c r="K249" s="13">
        <v>22681.81</v>
      </c>
      <c r="L249" s="14">
        <v>1.9E-3</v>
      </c>
      <c r="N249" s="12">
        <v>57.5</v>
      </c>
      <c r="O249" s="86">
        <v>70.28</v>
      </c>
      <c r="P249" s="78"/>
      <c r="Q249" s="2">
        <f t="shared" si="37"/>
        <v>70.279982028599321</v>
      </c>
    </row>
    <row r="250" spans="1:17" ht="33" customHeight="1" x14ac:dyDescent="0.2">
      <c r="A250" s="9" t="s">
        <v>546</v>
      </c>
      <c r="B250" s="15">
        <v>200503</v>
      </c>
      <c r="C250" s="9" t="s">
        <v>335</v>
      </c>
      <c r="D250" s="47" t="s">
        <v>547</v>
      </c>
      <c r="E250" s="11" t="s">
        <v>26</v>
      </c>
      <c r="F250" s="17">
        <v>208.96299999999999</v>
      </c>
      <c r="G250" s="73">
        <f>N250*$S$6</f>
        <v>215.715</v>
      </c>
      <c r="H250" s="73">
        <f t="shared" si="38"/>
        <v>45076.45</v>
      </c>
      <c r="I250" s="73">
        <f>O250*$S$6</f>
        <v>263.66250000000002</v>
      </c>
      <c r="J250" s="73">
        <f t="shared" si="39"/>
        <v>55095.7</v>
      </c>
      <c r="K250" s="13">
        <v>73460.94</v>
      </c>
      <c r="L250" s="14">
        <v>6.1999999999999998E-3</v>
      </c>
      <c r="N250" s="12">
        <v>287.62</v>
      </c>
      <c r="O250" s="86">
        <v>351.55</v>
      </c>
      <c r="P250" s="78"/>
      <c r="Q250" s="2">
        <f t="shared" si="37"/>
        <v>351.5499873183291</v>
      </c>
    </row>
    <row r="251" spans="1:17" ht="33" customHeight="1" x14ac:dyDescent="0.2">
      <c r="A251" s="5" t="s">
        <v>548</v>
      </c>
      <c r="B251" s="4"/>
      <c r="C251" s="4"/>
      <c r="D251" s="45" t="s">
        <v>549</v>
      </c>
      <c r="E251" s="4"/>
      <c r="F251" s="6">
        <v>1</v>
      </c>
      <c r="G251" s="71"/>
      <c r="H251" s="73">
        <f t="shared" si="38"/>
        <v>0</v>
      </c>
      <c r="I251" s="71"/>
      <c r="J251" s="76">
        <f>J252</f>
        <v>18176.43</v>
      </c>
      <c r="K251" s="7">
        <v>24235.24</v>
      </c>
      <c r="L251" s="8">
        <v>2E-3</v>
      </c>
      <c r="N251" s="4"/>
      <c r="O251" s="88">
        <v>24235.24</v>
      </c>
      <c r="P251" s="78"/>
      <c r="Q251" s="2">
        <f t="shared" si="37"/>
        <v>24235.24</v>
      </c>
    </row>
    <row r="252" spans="1:17" ht="33" customHeight="1" x14ac:dyDescent="0.2">
      <c r="A252" s="9" t="s">
        <v>550</v>
      </c>
      <c r="B252" s="9" t="s">
        <v>551</v>
      </c>
      <c r="C252" s="9" t="s">
        <v>209</v>
      </c>
      <c r="D252" s="47" t="s">
        <v>552</v>
      </c>
      <c r="E252" s="11" t="s">
        <v>26</v>
      </c>
      <c r="F252" s="17">
        <v>15.467000000000001</v>
      </c>
      <c r="G252" s="73">
        <f>N252*$S$6</f>
        <v>961.44749999999999</v>
      </c>
      <c r="H252" s="73">
        <f t="shared" si="38"/>
        <v>14870.7</v>
      </c>
      <c r="I252" s="73">
        <f>O252*$S$6</f>
        <v>1175.1750000000002</v>
      </c>
      <c r="J252" s="73">
        <f t="shared" si="39"/>
        <v>18176.43</v>
      </c>
      <c r="K252" s="13">
        <v>24235.24</v>
      </c>
      <c r="L252" s="14">
        <v>2E-3</v>
      </c>
      <c r="N252" s="13">
        <v>1281.93</v>
      </c>
      <c r="O252" s="89">
        <v>1566.9</v>
      </c>
      <c r="P252" s="78"/>
      <c r="Q252" s="2">
        <f t="shared" si="37"/>
        <v>1566.8998512963083</v>
      </c>
    </row>
    <row r="253" spans="1:17" ht="33" customHeight="1" x14ac:dyDescent="0.2">
      <c r="A253" s="3">
        <v>9</v>
      </c>
      <c r="B253" s="4"/>
      <c r="C253" s="4"/>
      <c r="D253" s="45" t="s">
        <v>553</v>
      </c>
      <c r="E253" s="4"/>
      <c r="F253" s="6">
        <v>1</v>
      </c>
      <c r="G253" s="71"/>
      <c r="H253" s="73">
        <f t="shared" si="38"/>
        <v>0</v>
      </c>
      <c r="I253" s="71"/>
      <c r="J253" s="76">
        <f>J254+J294+J329+J354+J390+J406+J432+J444+J449</f>
        <v>338195.32000000007</v>
      </c>
      <c r="K253" s="7">
        <v>450927.73</v>
      </c>
      <c r="L253" s="8">
        <v>3.78E-2</v>
      </c>
      <c r="N253" s="4"/>
      <c r="O253" s="88">
        <v>450927.73</v>
      </c>
      <c r="P253" s="78"/>
      <c r="Q253" s="2">
        <f t="shared" si="37"/>
        <v>450927.73</v>
      </c>
    </row>
    <row r="254" spans="1:17" ht="33" customHeight="1" x14ac:dyDescent="0.2">
      <c r="A254" s="5" t="s">
        <v>554</v>
      </c>
      <c r="B254" s="4"/>
      <c r="C254" s="4"/>
      <c r="D254" s="45" t="s">
        <v>555</v>
      </c>
      <c r="E254" s="4"/>
      <c r="F254" s="6">
        <v>1</v>
      </c>
      <c r="G254" s="71"/>
      <c r="H254" s="73">
        <f t="shared" si="38"/>
        <v>0</v>
      </c>
      <c r="I254" s="71"/>
      <c r="J254" s="76">
        <f>SUM(J255:J293)</f>
        <v>18060.789999999994</v>
      </c>
      <c r="K254" s="7">
        <v>24081.17</v>
      </c>
      <c r="L254" s="8">
        <v>2E-3</v>
      </c>
      <c r="N254" s="4"/>
      <c r="O254" s="88">
        <v>24081.17</v>
      </c>
      <c r="P254" s="78"/>
      <c r="Q254" s="2">
        <f t="shared" si="37"/>
        <v>24081.17</v>
      </c>
    </row>
    <row r="255" spans="1:17" ht="33" customHeight="1" x14ac:dyDescent="0.2">
      <c r="A255" s="18" t="s">
        <v>556</v>
      </c>
      <c r="B255" s="19">
        <v>12774</v>
      </c>
      <c r="C255" s="18" t="s">
        <v>56</v>
      </c>
      <c r="D255" s="48" t="s">
        <v>557</v>
      </c>
      <c r="E255" s="20" t="s">
        <v>84</v>
      </c>
      <c r="F255" s="21">
        <v>1</v>
      </c>
      <c r="G255" s="75">
        <f t="shared" ref="G255:G293" si="46">N255*$S$6</f>
        <v>253.02</v>
      </c>
      <c r="H255" s="73">
        <f t="shared" si="38"/>
        <v>253.02</v>
      </c>
      <c r="I255" s="75">
        <f t="shared" ref="I255:I293" si="47">O255*$S$6</f>
        <v>309.26250000000005</v>
      </c>
      <c r="J255" s="75">
        <f t="shared" si="39"/>
        <v>309.26</v>
      </c>
      <c r="K255" s="22">
        <v>412.35</v>
      </c>
      <c r="L255" s="24">
        <v>0</v>
      </c>
      <c r="N255" s="22">
        <v>337.36</v>
      </c>
      <c r="O255" s="87">
        <v>412.35</v>
      </c>
      <c r="P255" s="78"/>
      <c r="Q255" s="2">
        <f t="shared" si="37"/>
        <v>412.35</v>
      </c>
    </row>
    <row r="256" spans="1:17" ht="33" customHeight="1" x14ac:dyDescent="0.2">
      <c r="A256" s="9" t="s">
        <v>558</v>
      </c>
      <c r="B256" s="15">
        <v>95635</v>
      </c>
      <c r="C256" s="9" t="s">
        <v>56</v>
      </c>
      <c r="D256" s="47" t="s">
        <v>559</v>
      </c>
      <c r="E256" s="11" t="s">
        <v>84</v>
      </c>
      <c r="F256" s="16">
        <v>1</v>
      </c>
      <c r="G256" s="73">
        <f t="shared" si="46"/>
        <v>189.36750000000001</v>
      </c>
      <c r="H256" s="73">
        <f t="shared" si="38"/>
        <v>189.36</v>
      </c>
      <c r="I256" s="73">
        <f t="shared" si="47"/>
        <v>231.45750000000001</v>
      </c>
      <c r="J256" s="73">
        <f t="shared" si="39"/>
        <v>231.45</v>
      </c>
      <c r="K256" s="12">
        <v>308.61</v>
      </c>
      <c r="L256" s="14">
        <v>0</v>
      </c>
      <c r="N256" s="12">
        <v>252.49</v>
      </c>
      <c r="O256" s="86">
        <v>308.61</v>
      </c>
      <c r="P256" s="78"/>
      <c r="Q256" s="2">
        <f t="shared" si="37"/>
        <v>308.61</v>
      </c>
    </row>
    <row r="257" spans="1:17" ht="33" customHeight="1" x14ac:dyDescent="0.2">
      <c r="A257" s="9" t="s">
        <v>560</v>
      </c>
      <c r="B257" s="10" t="s">
        <v>561</v>
      </c>
      <c r="C257" s="9" t="s">
        <v>24</v>
      </c>
      <c r="D257" s="47" t="s">
        <v>562</v>
      </c>
      <c r="E257" s="11" t="s">
        <v>84</v>
      </c>
      <c r="F257" s="16">
        <v>1</v>
      </c>
      <c r="G257" s="73">
        <f t="shared" si="46"/>
        <v>442.3125</v>
      </c>
      <c r="H257" s="73">
        <f t="shared" si="38"/>
        <v>442.31</v>
      </c>
      <c r="I257" s="73">
        <f t="shared" si="47"/>
        <v>540.63750000000005</v>
      </c>
      <c r="J257" s="73">
        <f t="shared" si="39"/>
        <v>540.63</v>
      </c>
      <c r="K257" s="12">
        <v>720.85</v>
      </c>
      <c r="L257" s="14">
        <v>1E-4</v>
      </c>
      <c r="N257" s="12">
        <v>589.75</v>
      </c>
      <c r="O257" s="86">
        <v>720.85</v>
      </c>
      <c r="P257" s="78"/>
      <c r="Q257" s="2">
        <f t="shared" si="37"/>
        <v>720.85</v>
      </c>
    </row>
    <row r="258" spans="1:17" ht="33" customHeight="1" x14ac:dyDescent="0.2">
      <c r="A258" s="9" t="s">
        <v>563</v>
      </c>
      <c r="B258" s="15">
        <v>102113</v>
      </c>
      <c r="C258" s="9" t="s">
        <v>56</v>
      </c>
      <c r="D258" s="47" t="s">
        <v>564</v>
      </c>
      <c r="E258" s="11" t="s">
        <v>84</v>
      </c>
      <c r="F258" s="16">
        <v>3</v>
      </c>
      <c r="G258" s="73">
        <f t="shared" si="46"/>
        <v>1157.2425000000001</v>
      </c>
      <c r="H258" s="73">
        <f t="shared" si="38"/>
        <v>3471.72</v>
      </c>
      <c r="I258" s="73">
        <f t="shared" si="47"/>
        <v>1414.4925000000001</v>
      </c>
      <c r="J258" s="73">
        <f t="shared" si="39"/>
        <v>4243.47</v>
      </c>
      <c r="K258" s="13">
        <v>5657.97</v>
      </c>
      <c r="L258" s="14">
        <v>5.0000000000000001E-4</v>
      </c>
      <c r="N258" s="13">
        <v>1542.99</v>
      </c>
      <c r="O258" s="89">
        <v>1885.99</v>
      </c>
      <c r="P258" s="78"/>
      <c r="Q258" s="2">
        <f t="shared" si="37"/>
        <v>1885.99</v>
      </c>
    </row>
    <row r="259" spans="1:17" ht="33" customHeight="1" x14ac:dyDescent="0.2">
      <c r="A259" s="9" t="s">
        <v>565</v>
      </c>
      <c r="B259" s="15">
        <v>102116</v>
      </c>
      <c r="C259" s="9" t="s">
        <v>56</v>
      </c>
      <c r="D259" s="47" t="s">
        <v>566</v>
      </c>
      <c r="E259" s="11" t="s">
        <v>84</v>
      </c>
      <c r="F259" s="16">
        <v>2</v>
      </c>
      <c r="G259" s="73">
        <f t="shared" si="46"/>
        <v>1229.79</v>
      </c>
      <c r="H259" s="73">
        <f t="shared" si="38"/>
        <v>2459.58</v>
      </c>
      <c r="I259" s="73">
        <f t="shared" si="47"/>
        <v>1503.165</v>
      </c>
      <c r="J259" s="73">
        <f t="shared" si="39"/>
        <v>3006.33</v>
      </c>
      <c r="K259" s="13">
        <v>4008.44</v>
      </c>
      <c r="L259" s="14">
        <v>2.9999999999999997E-4</v>
      </c>
      <c r="N259" s="13">
        <v>1639.72</v>
      </c>
      <c r="O259" s="89">
        <v>2004.22</v>
      </c>
      <c r="P259" s="78"/>
      <c r="Q259" s="2">
        <f t="shared" si="37"/>
        <v>2004.22</v>
      </c>
    </row>
    <row r="260" spans="1:17" ht="33" customHeight="1" x14ac:dyDescent="0.2">
      <c r="A260" s="9" t="s">
        <v>567</v>
      </c>
      <c r="B260" s="15">
        <v>99629</v>
      </c>
      <c r="C260" s="9" t="s">
        <v>56</v>
      </c>
      <c r="D260" s="46" t="s">
        <v>568</v>
      </c>
      <c r="E260" s="11" t="s">
        <v>84</v>
      </c>
      <c r="F260" s="16">
        <v>2</v>
      </c>
      <c r="G260" s="73">
        <f t="shared" si="46"/>
        <v>86.842500000000001</v>
      </c>
      <c r="H260" s="73">
        <f t="shared" si="38"/>
        <v>173.68</v>
      </c>
      <c r="I260" s="73">
        <f t="shared" si="47"/>
        <v>106.14750000000001</v>
      </c>
      <c r="J260" s="73">
        <f t="shared" si="39"/>
        <v>212.29</v>
      </c>
      <c r="K260" s="12">
        <v>283.06</v>
      </c>
      <c r="L260" s="14">
        <v>0</v>
      </c>
      <c r="N260" s="12">
        <v>115.79</v>
      </c>
      <c r="O260" s="86">
        <v>141.53</v>
      </c>
      <c r="P260" s="78"/>
      <c r="Q260" s="2">
        <f t="shared" si="37"/>
        <v>141.53</v>
      </c>
    </row>
    <row r="261" spans="1:17" ht="33" customHeight="1" x14ac:dyDescent="0.2">
      <c r="A261" s="9" t="s">
        <v>569</v>
      </c>
      <c r="B261" s="15">
        <v>99632</v>
      </c>
      <c r="C261" s="9" t="s">
        <v>56</v>
      </c>
      <c r="D261" s="46" t="s">
        <v>570</v>
      </c>
      <c r="E261" s="11" t="s">
        <v>84</v>
      </c>
      <c r="F261" s="16">
        <v>1</v>
      </c>
      <c r="G261" s="73">
        <f t="shared" si="46"/>
        <v>216.78750000000002</v>
      </c>
      <c r="H261" s="73">
        <f t="shared" si="38"/>
        <v>216.78</v>
      </c>
      <c r="I261" s="73">
        <f t="shared" si="47"/>
        <v>264.97500000000002</v>
      </c>
      <c r="J261" s="73">
        <f t="shared" si="39"/>
        <v>264.97000000000003</v>
      </c>
      <c r="K261" s="12">
        <v>353.3</v>
      </c>
      <c r="L261" s="14">
        <v>0</v>
      </c>
      <c r="N261" s="12">
        <v>289.05</v>
      </c>
      <c r="O261" s="86">
        <v>353.3</v>
      </c>
      <c r="P261" s="78"/>
      <c r="Q261" s="2">
        <f t="shared" si="37"/>
        <v>353.3</v>
      </c>
    </row>
    <row r="262" spans="1:17" ht="33" customHeight="1" x14ac:dyDescent="0.2">
      <c r="A262" s="9" t="s">
        <v>571</v>
      </c>
      <c r="B262" s="15">
        <v>104031</v>
      </c>
      <c r="C262" s="9" t="s">
        <v>56</v>
      </c>
      <c r="D262" s="47" t="s">
        <v>572</v>
      </c>
      <c r="E262" s="11" t="s">
        <v>84</v>
      </c>
      <c r="F262" s="16">
        <v>1</v>
      </c>
      <c r="G262" s="73">
        <f t="shared" si="46"/>
        <v>19.837499999999999</v>
      </c>
      <c r="H262" s="73">
        <f t="shared" si="38"/>
        <v>19.829999999999998</v>
      </c>
      <c r="I262" s="73">
        <f t="shared" si="47"/>
        <v>24.240000000000002</v>
      </c>
      <c r="J262" s="73">
        <f t="shared" si="39"/>
        <v>24.24</v>
      </c>
      <c r="K262" s="12">
        <v>32.32</v>
      </c>
      <c r="L262" s="14">
        <v>0</v>
      </c>
      <c r="N262" s="12">
        <v>26.45</v>
      </c>
      <c r="O262" s="86">
        <v>32.32</v>
      </c>
      <c r="P262" s="78"/>
      <c r="Q262" s="2">
        <f t="shared" si="37"/>
        <v>32.32</v>
      </c>
    </row>
    <row r="263" spans="1:17" ht="33" customHeight="1" x14ac:dyDescent="0.2">
      <c r="A263" s="9" t="s">
        <v>573</v>
      </c>
      <c r="B263" s="15">
        <v>103979</v>
      </c>
      <c r="C263" s="9" t="s">
        <v>56</v>
      </c>
      <c r="D263" s="47" t="s">
        <v>574</v>
      </c>
      <c r="E263" s="11" t="s">
        <v>99</v>
      </c>
      <c r="F263" s="29">
        <v>12.1</v>
      </c>
      <c r="G263" s="73">
        <f t="shared" si="46"/>
        <v>27.022500000000001</v>
      </c>
      <c r="H263" s="73">
        <f t="shared" si="38"/>
        <v>326.97000000000003</v>
      </c>
      <c r="I263" s="73">
        <f t="shared" si="47"/>
        <v>33.022500000000001</v>
      </c>
      <c r="J263" s="73">
        <f t="shared" si="39"/>
        <v>399.57</v>
      </c>
      <c r="K263" s="12">
        <v>532.76</v>
      </c>
      <c r="L263" s="14">
        <v>0</v>
      </c>
      <c r="N263" s="12">
        <v>36.03</v>
      </c>
      <c r="O263" s="86">
        <v>44.03</v>
      </c>
      <c r="P263" s="78"/>
      <c r="Q263" s="2">
        <f t="shared" ref="Q263:Q326" si="48">K263/F263</f>
        <v>44.029752066115705</v>
      </c>
    </row>
    <row r="264" spans="1:17" ht="33" customHeight="1" x14ac:dyDescent="0.2">
      <c r="A264" s="28">
        <v>40422</v>
      </c>
      <c r="B264" s="15">
        <v>103978</v>
      </c>
      <c r="C264" s="9" t="s">
        <v>56</v>
      </c>
      <c r="D264" s="47" t="s">
        <v>575</v>
      </c>
      <c r="E264" s="11" t="s">
        <v>99</v>
      </c>
      <c r="F264" s="29">
        <v>0.3</v>
      </c>
      <c r="G264" s="73">
        <f t="shared" si="46"/>
        <v>23.557500000000001</v>
      </c>
      <c r="H264" s="73">
        <f t="shared" ref="H264:H327" si="49">TRUNC(G264*F264,2)</f>
        <v>7.06</v>
      </c>
      <c r="I264" s="73">
        <f t="shared" si="47"/>
        <v>28.7925</v>
      </c>
      <c r="J264" s="73">
        <f t="shared" ref="J264:J327" si="50">TRUNC(I264*F264,2)</f>
        <v>8.6300000000000008</v>
      </c>
      <c r="K264" s="12">
        <v>11.51</v>
      </c>
      <c r="L264" s="14">
        <v>0</v>
      </c>
      <c r="N264" s="12">
        <v>31.41</v>
      </c>
      <c r="O264" s="86">
        <v>38.39</v>
      </c>
      <c r="P264" s="78"/>
      <c r="Q264" s="2">
        <f t="shared" si="48"/>
        <v>38.366666666666667</v>
      </c>
    </row>
    <row r="265" spans="1:17" ht="33" customHeight="1" x14ac:dyDescent="0.2">
      <c r="A265" s="28">
        <v>40787</v>
      </c>
      <c r="B265" s="15">
        <v>89357</v>
      </c>
      <c r="C265" s="9" t="s">
        <v>56</v>
      </c>
      <c r="D265" s="47" t="s">
        <v>576</v>
      </c>
      <c r="E265" s="11" t="s">
        <v>99</v>
      </c>
      <c r="F265" s="29">
        <v>109.7</v>
      </c>
      <c r="G265" s="73">
        <f t="shared" si="46"/>
        <v>31.740000000000002</v>
      </c>
      <c r="H265" s="73">
        <f t="shared" si="49"/>
        <v>3481.87</v>
      </c>
      <c r="I265" s="73">
        <f t="shared" si="47"/>
        <v>38.79</v>
      </c>
      <c r="J265" s="73">
        <f t="shared" si="50"/>
        <v>4255.26</v>
      </c>
      <c r="K265" s="13">
        <v>5673.68</v>
      </c>
      <c r="L265" s="14">
        <v>5.0000000000000001E-4</v>
      </c>
      <c r="N265" s="12">
        <v>42.32</v>
      </c>
      <c r="O265" s="86">
        <v>51.72</v>
      </c>
      <c r="P265" s="78"/>
      <c r="Q265" s="2">
        <f t="shared" si="48"/>
        <v>51.719963536918868</v>
      </c>
    </row>
    <row r="266" spans="1:17" ht="33" customHeight="1" x14ac:dyDescent="0.2">
      <c r="A266" s="28">
        <v>41153</v>
      </c>
      <c r="B266" s="15">
        <v>89356</v>
      </c>
      <c r="C266" s="9" t="s">
        <v>56</v>
      </c>
      <c r="D266" s="47" t="s">
        <v>577</v>
      </c>
      <c r="E266" s="11" t="s">
        <v>99</v>
      </c>
      <c r="F266" s="29">
        <v>39.700000000000003</v>
      </c>
      <c r="G266" s="73">
        <f t="shared" si="46"/>
        <v>23.865000000000002</v>
      </c>
      <c r="H266" s="73">
        <f t="shared" si="49"/>
        <v>947.44</v>
      </c>
      <c r="I266" s="73">
        <f t="shared" si="47"/>
        <v>29.1675</v>
      </c>
      <c r="J266" s="73">
        <f t="shared" si="50"/>
        <v>1157.94</v>
      </c>
      <c r="K266" s="13">
        <v>1543.93</v>
      </c>
      <c r="L266" s="14">
        <v>1E-4</v>
      </c>
      <c r="N266" s="12">
        <v>31.82</v>
      </c>
      <c r="O266" s="86">
        <v>38.89</v>
      </c>
      <c r="P266" s="78"/>
      <c r="Q266" s="2">
        <f t="shared" si="48"/>
        <v>38.889924433249369</v>
      </c>
    </row>
    <row r="267" spans="1:17" ht="33" customHeight="1" x14ac:dyDescent="0.2">
      <c r="A267" s="28">
        <v>41518</v>
      </c>
      <c r="B267" s="15">
        <v>103042</v>
      </c>
      <c r="C267" s="9" t="s">
        <v>56</v>
      </c>
      <c r="D267" s="46" t="s">
        <v>578</v>
      </c>
      <c r="E267" s="11" t="s">
        <v>84</v>
      </c>
      <c r="F267" s="16">
        <v>1</v>
      </c>
      <c r="G267" s="73">
        <f t="shared" si="46"/>
        <v>27.787499999999998</v>
      </c>
      <c r="H267" s="73">
        <f t="shared" si="49"/>
        <v>27.78</v>
      </c>
      <c r="I267" s="73">
        <f t="shared" si="47"/>
        <v>33.96</v>
      </c>
      <c r="J267" s="73">
        <f t="shared" si="50"/>
        <v>33.96</v>
      </c>
      <c r="K267" s="12">
        <v>45.28</v>
      </c>
      <c r="L267" s="14">
        <v>0</v>
      </c>
      <c r="N267" s="12">
        <v>37.049999999999997</v>
      </c>
      <c r="O267" s="86">
        <v>45.28</v>
      </c>
      <c r="P267" s="78"/>
      <c r="Q267" s="2">
        <f t="shared" si="48"/>
        <v>45.28</v>
      </c>
    </row>
    <row r="268" spans="1:17" ht="33" customHeight="1" x14ac:dyDescent="0.2">
      <c r="A268" s="28">
        <v>41883</v>
      </c>
      <c r="B268" s="15">
        <v>94489</v>
      </c>
      <c r="C268" s="9" t="s">
        <v>56</v>
      </c>
      <c r="D268" s="47" t="s">
        <v>579</v>
      </c>
      <c r="E268" s="11" t="s">
        <v>84</v>
      </c>
      <c r="F268" s="16">
        <v>1</v>
      </c>
      <c r="G268" s="73">
        <f t="shared" si="46"/>
        <v>33.532499999999999</v>
      </c>
      <c r="H268" s="73">
        <f t="shared" si="49"/>
        <v>33.53</v>
      </c>
      <c r="I268" s="73">
        <f t="shared" si="47"/>
        <v>40.980000000000004</v>
      </c>
      <c r="J268" s="73">
        <f t="shared" si="50"/>
        <v>40.98</v>
      </c>
      <c r="K268" s="12">
        <v>54.64</v>
      </c>
      <c r="L268" s="14">
        <v>0</v>
      </c>
      <c r="N268" s="12">
        <v>44.71</v>
      </c>
      <c r="O268" s="86">
        <v>54.64</v>
      </c>
      <c r="P268" s="78"/>
      <c r="Q268" s="2">
        <f t="shared" si="48"/>
        <v>54.64</v>
      </c>
    </row>
    <row r="269" spans="1:17" ht="33" customHeight="1" x14ac:dyDescent="0.2">
      <c r="A269" s="28">
        <v>42248</v>
      </c>
      <c r="B269" s="15">
        <v>94490</v>
      </c>
      <c r="C269" s="9" t="s">
        <v>56</v>
      </c>
      <c r="D269" s="47" t="s">
        <v>580</v>
      </c>
      <c r="E269" s="11" t="s">
        <v>84</v>
      </c>
      <c r="F269" s="16">
        <v>8</v>
      </c>
      <c r="G269" s="73">
        <f t="shared" si="46"/>
        <v>49.987500000000004</v>
      </c>
      <c r="H269" s="73">
        <f t="shared" si="49"/>
        <v>399.9</v>
      </c>
      <c r="I269" s="73">
        <f t="shared" si="47"/>
        <v>61.094999999999999</v>
      </c>
      <c r="J269" s="73">
        <f t="shared" si="50"/>
        <v>488.76</v>
      </c>
      <c r="K269" s="12">
        <v>651.67999999999995</v>
      </c>
      <c r="L269" s="14">
        <v>1E-4</v>
      </c>
      <c r="N269" s="12">
        <v>66.650000000000006</v>
      </c>
      <c r="O269" s="86">
        <v>81.459999999999994</v>
      </c>
      <c r="P269" s="78"/>
      <c r="Q269" s="2">
        <f t="shared" si="48"/>
        <v>81.459999999999994</v>
      </c>
    </row>
    <row r="270" spans="1:17" ht="33" customHeight="1" x14ac:dyDescent="0.2">
      <c r="A270" s="28">
        <v>42614</v>
      </c>
      <c r="B270" s="15">
        <v>94492</v>
      </c>
      <c r="C270" s="9" t="s">
        <v>56</v>
      </c>
      <c r="D270" s="46" t="s">
        <v>581</v>
      </c>
      <c r="E270" s="11" t="s">
        <v>84</v>
      </c>
      <c r="F270" s="16">
        <v>2</v>
      </c>
      <c r="G270" s="73">
        <f t="shared" si="46"/>
        <v>69.84</v>
      </c>
      <c r="H270" s="73">
        <f t="shared" si="49"/>
        <v>139.68</v>
      </c>
      <c r="I270" s="73">
        <f t="shared" si="47"/>
        <v>85.364999999999995</v>
      </c>
      <c r="J270" s="73">
        <f t="shared" si="50"/>
        <v>170.73</v>
      </c>
      <c r="K270" s="12">
        <v>227.64</v>
      </c>
      <c r="L270" s="14">
        <v>0</v>
      </c>
      <c r="N270" s="12">
        <v>93.12</v>
      </c>
      <c r="O270" s="86">
        <v>113.82</v>
      </c>
      <c r="P270" s="78"/>
      <c r="Q270" s="2">
        <f t="shared" si="48"/>
        <v>113.82</v>
      </c>
    </row>
    <row r="271" spans="1:17" ht="33" customHeight="1" x14ac:dyDescent="0.2">
      <c r="A271" s="28">
        <v>42979</v>
      </c>
      <c r="B271" s="15">
        <v>94664</v>
      </c>
      <c r="C271" s="9" t="s">
        <v>56</v>
      </c>
      <c r="D271" s="47" t="s">
        <v>582</v>
      </c>
      <c r="E271" s="11" t="s">
        <v>84</v>
      </c>
      <c r="F271" s="16">
        <v>1</v>
      </c>
      <c r="G271" s="73">
        <f t="shared" si="46"/>
        <v>17.085000000000001</v>
      </c>
      <c r="H271" s="73">
        <f t="shared" si="49"/>
        <v>17.079999999999998</v>
      </c>
      <c r="I271" s="73">
        <f t="shared" si="47"/>
        <v>20.88</v>
      </c>
      <c r="J271" s="73">
        <f t="shared" si="50"/>
        <v>20.88</v>
      </c>
      <c r="K271" s="12">
        <v>27.84</v>
      </c>
      <c r="L271" s="14">
        <v>0</v>
      </c>
      <c r="N271" s="12">
        <v>22.78</v>
      </c>
      <c r="O271" s="86">
        <v>27.84</v>
      </c>
      <c r="P271" s="78"/>
      <c r="Q271" s="2">
        <f t="shared" si="48"/>
        <v>27.84</v>
      </c>
    </row>
    <row r="272" spans="1:17" ht="33" customHeight="1" x14ac:dyDescent="0.2">
      <c r="A272" s="28">
        <v>43344</v>
      </c>
      <c r="B272" s="15">
        <v>94658</v>
      </c>
      <c r="C272" s="9" t="s">
        <v>56</v>
      </c>
      <c r="D272" s="47" t="s">
        <v>583</v>
      </c>
      <c r="E272" s="11" t="s">
        <v>84</v>
      </c>
      <c r="F272" s="16">
        <v>3</v>
      </c>
      <c r="G272" s="73">
        <f t="shared" si="46"/>
        <v>4.7324999999999999</v>
      </c>
      <c r="H272" s="73">
        <f t="shared" si="49"/>
        <v>14.19</v>
      </c>
      <c r="I272" s="73">
        <f t="shared" si="47"/>
        <v>5.7824999999999998</v>
      </c>
      <c r="J272" s="73">
        <f t="shared" si="50"/>
        <v>17.34</v>
      </c>
      <c r="K272" s="12">
        <v>23.13</v>
      </c>
      <c r="L272" s="14">
        <v>0</v>
      </c>
      <c r="N272" s="12">
        <v>6.31</v>
      </c>
      <c r="O272" s="86">
        <v>7.71</v>
      </c>
      <c r="P272" s="78"/>
      <c r="Q272" s="2">
        <f t="shared" si="48"/>
        <v>7.71</v>
      </c>
    </row>
    <row r="273" spans="1:17" ht="33" customHeight="1" x14ac:dyDescent="0.2">
      <c r="A273" s="28">
        <v>43709</v>
      </c>
      <c r="B273" s="15">
        <v>89429</v>
      </c>
      <c r="C273" s="9" t="s">
        <v>56</v>
      </c>
      <c r="D273" s="47" t="s">
        <v>584</v>
      </c>
      <c r="E273" s="11" t="s">
        <v>84</v>
      </c>
      <c r="F273" s="16">
        <v>1</v>
      </c>
      <c r="G273" s="73">
        <f t="shared" si="46"/>
        <v>5.9850000000000003</v>
      </c>
      <c r="H273" s="73">
        <f t="shared" si="49"/>
        <v>5.98</v>
      </c>
      <c r="I273" s="73">
        <f t="shared" si="47"/>
        <v>7.3125</v>
      </c>
      <c r="J273" s="73">
        <f t="shared" si="50"/>
        <v>7.31</v>
      </c>
      <c r="K273" s="12">
        <v>9.75</v>
      </c>
      <c r="L273" s="14">
        <v>0</v>
      </c>
      <c r="N273" s="12">
        <v>7.98</v>
      </c>
      <c r="O273" s="86">
        <v>9.75</v>
      </c>
      <c r="P273" s="78"/>
      <c r="Q273" s="2">
        <f t="shared" si="48"/>
        <v>9.75</v>
      </c>
    </row>
    <row r="274" spans="1:17" ht="33" customHeight="1" x14ac:dyDescent="0.2">
      <c r="A274" s="28">
        <v>44075</v>
      </c>
      <c r="B274" s="15">
        <v>104009</v>
      </c>
      <c r="C274" s="9" t="s">
        <v>56</v>
      </c>
      <c r="D274" s="46" t="s">
        <v>585</v>
      </c>
      <c r="E274" s="11" t="s">
        <v>84</v>
      </c>
      <c r="F274" s="16">
        <v>2</v>
      </c>
      <c r="G274" s="73">
        <f t="shared" si="46"/>
        <v>12.315000000000001</v>
      </c>
      <c r="H274" s="73">
        <f t="shared" si="49"/>
        <v>24.63</v>
      </c>
      <c r="I274" s="73">
        <f t="shared" si="47"/>
        <v>15.0525</v>
      </c>
      <c r="J274" s="73">
        <f t="shared" si="50"/>
        <v>30.1</v>
      </c>
      <c r="K274" s="12">
        <v>40.14</v>
      </c>
      <c r="L274" s="14">
        <v>0</v>
      </c>
      <c r="N274" s="12">
        <v>16.420000000000002</v>
      </c>
      <c r="O274" s="86">
        <v>20.07</v>
      </c>
      <c r="P274" s="78"/>
      <c r="Q274" s="2">
        <f t="shared" si="48"/>
        <v>20.07</v>
      </c>
    </row>
    <row r="275" spans="1:17" ht="33" customHeight="1" x14ac:dyDescent="0.2">
      <c r="A275" s="28">
        <v>44440</v>
      </c>
      <c r="B275" s="15">
        <v>89368</v>
      </c>
      <c r="C275" s="9" t="s">
        <v>56</v>
      </c>
      <c r="D275" s="47" t="s">
        <v>586</v>
      </c>
      <c r="E275" s="11" t="s">
        <v>84</v>
      </c>
      <c r="F275" s="16">
        <v>1</v>
      </c>
      <c r="G275" s="73">
        <f t="shared" si="46"/>
        <v>14.1675</v>
      </c>
      <c r="H275" s="73">
        <f t="shared" si="49"/>
        <v>14.16</v>
      </c>
      <c r="I275" s="73">
        <f t="shared" si="47"/>
        <v>17.309999999999999</v>
      </c>
      <c r="J275" s="73">
        <f t="shared" si="50"/>
        <v>17.309999999999999</v>
      </c>
      <c r="K275" s="12">
        <v>23.08</v>
      </c>
      <c r="L275" s="14">
        <v>0</v>
      </c>
      <c r="N275" s="12">
        <v>18.89</v>
      </c>
      <c r="O275" s="86">
        <v>23.08</v>
      </c>
      <c r="P275" s="78"/>
      <c r="Q275" s="2">
        <f t="shared" si="48"/>
        <v>23.08</v>
      </c>
    </row>
    <row r="276" spans="1:17" ht="33" customHeight="1" x14ac:dyDescent="0.2">
      <c r="A276" s="28">
        <v>44805</v>
      </c>
      <c r="B276" s="15">
        <v>89362</v>
      </c>
      <c r="C276" s="9" t="s">
        <v>56</v>
      </c>
      <c r="D276" s="47" t="s">
        <v>587</v>
      </c>
      <c r="E276" s="11" t="s">
        <v>84</v>
      </c>
      <c r="F276" s="16">
        <v>4</v>
      </c>
      <c r="G276" s="73">
        <f t="shared" si="46"/>
        <v>9.6150000000000002</v>
      </c>
      <c r="H276" s="73">
        <f t="shared" si="49"/>
        <v>38.46</v>
      </c>
      <c r="I276" s="73">
        <f t="shared" si="47"/>
        <v>11.745000000000001</v>
      </c>
      <c r="J276" s="73">
        <f t="shared" si="50"/>
        <v>46.98</v>
      </c>
      <c r="K276" s="12">
        <v>62.64</v>
      </c>
      <c r="L276" s="14">
        <v>0</v>
      </c>
      <c r="N276" s="12">
        <v>12.82</v>
      </c>
      <c r="O276" s="86">
        <v>15.66</v>
      </c>
      <c r="P276" s="78"/>
      <c r="Q276" s="2">
        <f t="shared" si="48"/>
        <v>15.66</v>
      </c>
    </row>
    <row r="277" spans="1:17" ht="33" customHeight="1" x14ac:dyDescent="0.2">
      <c r="A277" s="28">
        <v>45170</v>
      </c>
      <c r="B277" s="15">
        <v>89367</v>
      </c>
      <c r="C277" s="9" t="s">
        <v>56</v>
      </c>
      <c r="D277" s="47" t="s">
        <v>588</v>
      </c>
      <c r="E277" s="11" t="s">
        <v>84</v>
      </c>
      <c r="F277" s="16">
        <v>26</v>
      </c>
      <c r="G277" s="73">
        <f t="shared" si="46"/>
        <v>12.825000000000001</v>
      </c>
      <c r="H277" s="73">
        <f t="shared" si="49"/>
        <v>333.45</v>
      </c>
      <c r="I277" s="73">
        <f t="shared" si="47"/>
        <v>15.674999999999999</v>
      </c>
      <c r="J277" s="73">
        <f t="shared" si="50"/>
        <v>407.55</v>
      </c>
      <c r="K277" s="12">
        <v>543.4</v>
      </c>
      <c r="L277" s="14">
        <v>0</v>
      </c>
      <c r="N277" s="12">
        <v>17.100000000000001</v>
      </c>
      <c r="O277" s="86">
        <v>20.9</v>
      </c>
      <c r="P277" s="78"/>
      <c r="Q277" s="2">
        <f t="shared" si="48"/>
        <v>20.9</v>
      </c>
    </row>
    <row r="278" spans="1:17" ht="33" customHeight="1" x14ac:dyDescent="0.2">
      <c r="A278" s="28">
        <v>45536</v>
      </c>
      <c r="B278" s="15">
        <v>103980</v>
      </c>
      <c r="C278" s="9" t="s">
        <v>56</v>
      </c>
      <c r="D278" s="47" t="s">
        <v>589</v>
      </c>
      <c r="E278" s="11" t="s">
        <v>84</v>
      </c>
      <c r="F278" s="16">
        <v>2</v>
      </c>
      <c r="G278" s="73">
        <f t="shared" si="46"/>
        <v>16.447499999999998</v>
      </c>
      <c r="H278" s="73">
        <f t="shared" si="49"/>
        <v>32.89</v>
      </c>
      <c r="I278" s="73">
        <f t="shared" si="47"/>
        <v>20.100000000000001</v>
      </c>
      <c r="J278" s="73">
        <f t="shared" si="50"/>
        <v>40.200000000000003</v>
      </c>
      <c r="K278" s="12">
        <v>53.6</v>
      </c>
      <c r="L278" s="14">
        <v>0</v>
      </c>
      <c r="N278" s="12">
        <v>21.93</v>
      </c>
      <c r="O278" s="86">
        <v>26.8</v>
      </c>
      <c r="P278" s="78"/>
      <c r="Q278" s="2">
        <f t="shared" si="48"/>
        <v>26.8</v>
      </c>
    </row>
    <row r="279" spans="1:17" ht="33" customHeight="1" x14ac:dyDescent="0.2">
      <c r="A279" s="28">
        <v>45901</v>
      </c>
      <c r="B279" s="15">
        <v>103984</v>
      </c>
      <c r="C279" s="9" t="s">
        <v>56</v>
      </c>
      <c r="D279" s="46" t="s">
        <v>590</v>
      </c>
      <c r="E279" s="11" t="s">
        <v>84</v>
      </c>
      <c r="F279" s="16">
        <v>8</v>
      </c>
      <c r="G279" s="73">
        <f t="shared" si="46"/>
        <v>18.502500000000001</v>
      </c>
      <c r="H279" s="73">
        <f t="shared" si="49"/>
        <v>148.02000000000001</v>
      </c>
      <c r="I279" s="73">
        <f t="shared" si="47"/>
        <v>22.612499999999997</v>
      </c>
      <c r="J279" s="73">
        <f t="shared" si="50"/>
        <v>180.9</v>
      </c>
      <c r="K279" s="12">
        <v>241.2</v>
      </c>
      <c r="L279" s="14">
        <v>0</v>
      </c>
      <c r="N279" s="12">
        <v>24.67</v>
      </c>
      <c r="O279" s="86">
        <v>30.15</v>
      </c>
      <c r="P279" s="78"/>
      <c r="Q279" s="2">
        <f t="shared" si="48"/>
        <v>30.15</v>
      </c>
    </row>
    <row r="280" spans="1:17" ht="33" customHeight="1" x14ac:dyDescent="0.2">
      <c r="A280" s="28">
        <v>46266</v>
      </c>
      <c r="B280" s="15">
        <v>103951</v>
      </c>
      <c r="C280" s="9" t="s">
        <v>56</v>
      </c>
      <c r="D280" s="46" t="s">
        <v>591</v>
      </c>
      <c r="E280" s="11" t="s">
        <v>84</v>
      </c>
      <c r="F280" s="16">
        <v>1</v>
      </c>
      <c r="G280" s="73">
        <f t="shared" si="46"/>
        <v>14.04</v>
      </c>
      <c r="H280" s="73">
        <f t="shared" si="49"/>
        <v>14.04</v>
      </c>
      <c r="I280" s="73">
        <f t="shared" si="47"/>
        <v>17.16</v>
      </c>
      <c r="J280" s="73">
        <f t="shared" si="50"/>
        <v>17.16</v>
      </c>
      <c r="K280" s="12">
        <v>22.88</v>
      </c>
      <c r="L280" s="14">
        <v>0</v>
      </c>
      <c r="N280" s="12">
        <v>18.72</v>
      </c>
      <c r="O280" s="86">
        <v>22.88</v>
      </c>
      <c r="P280" s="78"/>
      <c r="Q280" s="2">
        <f t="shared" si="48"/>
        <v>22.88</v>
      </c>
    </row>
    <row r="281" spans="1:17" ht="33" customHeight="1" x14ac:dyDescent="0.2">
      <c r="A281" s="28">
        <v>46631</v>
      </c>
      <c r="B281" s="15">
        <v>89431</v>
      </c>
      <c r="C281" s="9" t="s">
        <v>56</v>
      </c>
      <c r="D281" s="47" t="s">
        <v>592</v>
      </c>
      <c r="E281" s="11" t="s">
        <v>84</v>
      </c>
      <c r="F281" s="16">
        <v>4</v>
      </c>
      <c r="G281" s="73">
        <f t="shared" si="46"/>
        <v>8.58</v>
      </c>
      <c r="H281" s="73">
        <f t="shared" si="49"/>
        <v>34.32</v>
      </c>
      <c r="I281" s="73">
        <f t="shared" si="47"/>
        <v>10.484999999999999</v>
      </c>
      <c r="J281" s="73">
        <f t="shared" si="50"/>
        <v>41.94</v>
      </c>
      <c r="K281" s="12">
        <v>55.92</v>
      </c>
      <c r="L281" s="14">
        <v>0</v>
      </c>
      <c r="N281" s="12">
        <v>11.44</v>
      </c>
      <c r="O281" s="86">
        <v>13.98</v>
      </c>
      <c r="P281" s="78"/>
      <c r="Q281" s="2">
        <f t="shared" si="48"/>
        <v>13.98</v>
      </c>
    </row>
    <row r="282" spans="1:17" ht="33" customHeight="1" x14ac:dyDescent="0.2">
      <c r="A282" s="28">
        <v>46997</v>
      </c>
      <c r="B282" s="15">
        <v>103995</v>
      </c>
      <c r="C282" s="9" t="s">
        <v>56</v>
      </c>
      <c r="D282" s="47" t="s">
        <v>593</v>
      </c>
      <c r="E282" s="11" t="s">
        <v>84</v>
      </c>
      <c r="F282" s="16">
        <v>3</v>
      </c>
      <c r="G282" s="73">
        <f t="shared" si="46"/>
        <v>13.919999999999998</v>
      </c>
      <c r="H282" s="73">
        <f t="shared" si="49"/>
        <v>41.76</v>
      </c>
      <c r="I282" s="73">
        <f t="shared" si="47"/>
        <v>17.009999999999998</v>
      </c>
      <c r="J282" s="73">
        <f t="shared" si="50"/>
        <v>51.03</v>
      </c>
      <c r="K282" s="12">
        <v>68.040000000000006</v>
      </c>
      <c r="L282" s="14">
        <v>0</v>
      </c>
      <c r="N282" s="12">
        <v>18.559999999999999</v>
      </c>
      <c r="O282" s="86">
        <v>22.68</v>
      </c>
      <c r="P282" s="78"/>
      <c r="Q282" s="2">
        <f t="shared" si="48"/>
        <v>22.680000000000003</v>
      </c>
    </row>
    <row r="283" spans="1:17" ht="33" customHeight="1" x14ac:dyDescent="0.2">
      <c r="A283" s="28">
        <v>47362</v>
      </c>
      <c r="B283" s="15">
        <v>89398</v>
      </c>
      <c r="C283" s="9" t="s">
        <v>56</v>
      </c>
      <c r="D283" s="47" t="s">
        <v>594</v>
      </c>
      <c r="E283" s="11" t="s">
        <v>84</v>
      </c>
      <c r="F283" s="16">
        <v>4</v>
      </c>
      <c r="G283" s="73">
        <f t="shared" si="46"/>
        <v>17.737499999999997</v>
      </c>
      <c r="H283" s="73">
        <f t="shared" si="49"/>
        <v>70.95</v>
      </c>
      <c r="I283" s="73">
        <f t="shared" si="47"/>
        <v>21.674999999999997</v>
      </c>
      <c r="J283" s="73">
        <f t="shared" si="50"/>
        <v>86.7</v>
      </c>
      <c r="K283" s="12">
        <v>115.6</v>
      </c>
      <c r="L283" s="14">
        <v>0</v>
      </c>
      <c r="N283" s="12">
        <v>23.65</v>
      </c>
      <c r="O283" s="86">
        <v>28.9</v>
      </c>
      <c r="P283" s="78"/>
      <c r="Q283" s="2">
        <f t="shared" si="48"/>
        <v>28.9</v>
      </c>
    </row>
    <row r="284" spans="1:17" ht="33" customHeight="1" x14ac:dyDescent="0.2">
      <c r="A284" s="28">
        <v>47727</v>
      </c>
      <c r="B284" s="15">
        <v>104004</v>
      </c>
      <c r="C284" s="9" t="s">
        <v>56</v>
      </c>
      <c r="D284" s="47" t="s">
        <v>595</v>
      </c>
      <c r="E284" s="11" t="s">
        <v>84</v>
      </c>
      <c r="F284" s="16">
        <v>1</v>
      </c>
      <c r="G284" s="73">
        <f t="shared" si="46"/>
        <v>27.39</v>
      </c>
      <c r="H284" s="73">
        <f t="shared" si="49"/>
        <v>27.39</v>
      </c>
      <c r="I284" s="73">
        <f t="shared" si="47"/>
        <v>33.472500000000004</v>
      </c>
      <c r="J284" s="73">
        <f t="shared" si="50"/>
        <v>33.47</v>
      </c>
      <c r="K284" s="12">
        <v>44.63</v>
      </c>
      <c r="L284" s="14">
        <v>0</v>
      </c>
      <c r="N284" s="12">
        <v>36.520000000000003</v>
      </c>
      <c r="O284" s="86">
        <v>44.63</v>
      </c>
      <c r="P284" s="78"/>
      <c r="Q284" s="2">
        <f t="shared" si="48"/>
        <v>44.63</v>
      </c>
    </row>
    <row r="285" spans="1:17" ht="33" customHeight="1" x14ac:dyDescent="0.2">
      <c r="A285" s="28">
        <v>48092</v>
      </c>
      <c r="B285" s="15">
        <v>89626</v>
      </c>
      <c r="C285" s="9" t="s">
        <v>56</v>
      </c>
      <c r="D285" s="47" t="s">
        <v>596</v>
      </c>
      <c r="E285" s="11" t="s">
        <v>84</v>
      </c>
      <c r="F285" s="16">
        <v>1</v>
      </c>
      <c r="G285" s="73">
        <f t="shared" si="46"/>
        <v>25.275000000000002</v>
      </c>
      <c r="H285" s="73">
        <f t="shared" si="49"/>
        <v>25.27</v>
      </c>
      <c r="I285" s="73">
        <f t="shared" si="47"/>
        <v>30.892499999999998</v>
      </c>
      <c r="J285" s="73">
        <f t="shared" si="50"/>
        <v>30.89</v>
      </c>
      <c r="K285" s="12">
        <v>41.19</v>
      </c>
      <c r="L285" s="14">
        <v>0</v>
      </c>
      <c r="N285" s="12">
        <v>33.700000000000003</v>
      </c>
      <c r="O285" s="86">
        <v>41.19</v>
      </c>
      <c r="P285" s="78"/>
      <c r="Q285" s="2">
        <f t="shared" si="48"/>
        <v>41.19</v>
      </c>
    </row>
    <row r="286" spans="1:17" ht="33" customHeight="1" x14ac:dyDescent="0.2">
      <c r="A286" s="28">
        <v>48458</v>
      </c>
      <c r="B286" s="15">
        <v>89552</v>
      </c>
      <c r="C286" s="9" t="s">
        <v>56</v>
      </c>
      <c r="D286" s="47" t="s">
        <v>597</v>
      </c>
      <c r="E286" s="11" t="s">
        <v>84</v>
      </c>
      <c r="F286" s="16">
        <v>5</v>
      </c>
      <c r="G286" s="73">
        <f t="shared" si="46"/>
        <v>14.805</v>
      </c>
      <c r="H286" s="73">
        <f t="shared" si="49"/>
        <v>74.02</v>
      </c>
      <c r="I286" s="73">
        <f t="shared" si="47"/>
        <v>18.09</v>
      </c>
      <c r="J286" s="73">
        <f t="shared" si="50"/>
        <v>90.45</v>
      </c>
      <c r="K286" s="12">
        <v>120.6</v>
      </c>
      <c r="L286" s="14">
        <v>0</v>
      </c>
      <c r="N286" s="12">
        <v>19.739999999999998</v>
      </c>
      <c r="O286" s="86">
        <v>24.12</v>
      </c>
      <c r="P286" s="78"/>
      <c r="Q286" s="2">
        <f t="shared" si="48"/>
        <v>24.119999999999997</v>
      </c>
    </row>
    <row r="287" spans="1:17" ht="33" customHeight="1" x14ac:dyDescent="0.2">
      <c r="A287" s="28">
        <v>48823</v>
      </c>
      <c r="B287" s="15">
        <v>89568</v>
      </c>
      <c r="C287" s="9" t="s">
        <v>56</v>
      </c>
      <c r="D287" s="46" t="s">
        <v>598</v>
      </c>
      <c r="E287" s="11" t="s">
        <v>84</v>
      </c>
      <c r="F287" s="16">
        <v>2</v>
      </c>
      <c r="G287" s="73">
        <f t="shared" si="46"/>
        <v>25.462500000000002</v>
      </c>
      <c r="H287" s="73">
        <f t="shared" si="49"/>
        <v>50.92</v>
      </c>
      <c r="I287" s="73">
        <f t="shared" si="47"/>
        <v>31.1175</v>
      </c>
      <c r="J287" s="73">
        <f t="shared" si="50"/>
        <v>62.23</v>
      </c>
      <c r="K287" s="12">
        <v>82.98</v>
      </c>
      <c r="L287" s="14">
        <v>0</v>
      </c>
      <c r="N287" s="12">
        <v>33.950000000000003</v>
      </c>
      <c r="O287" s="86">
        <v>41.49</v>
      </c>
      <c r="P287" s="78"/>
      <c r="Q287" s="2">
        <f t="shared" si="48"/>
        <v>41.49</v>
      </c>
    </row>
    <row r="288" spans="1:17" ht="33" customHeight="1" x14ac:dyDescent="0.2">
      <c r="A288" s="28">
        <v>49188</v>
      </c>
      <c r="B288" s="15">
        <v>89594</v>
      </c>
      <c r="C288" s="9" t="s">
        <v>56</v>
      </c>
      <c r="D288" s="46" t="s">
        <v>599</v>
      </c>
      <c r="E288" s="11" t="s">
        <v>84</v>
      </c>
      <c r="F288" s="16">
        <v>1</v>
      </c>
      <c r="G288" s="73">
        <f t="shared" si="46"/>
        <v>28.402499999999996</v>
      </c>
      <c r="H288" s="73">
        <f t="shared" si="49"/>
        <v>28.4</v>
      </c>
      <c r="I288" s="73">
        <f t="shared" si="47"/>
        <v>34.71</v>
      </c>
      <c r="J288" s="73">
        <f t="shared" si="50"/>
        <v>34.71</v>
      </c>
      <c r="K288" s="12">
        <v>46.28</v>
      </c>
      <c r="L288" s="14">
        <v>0</v>
      </c>
      <c r="N288" s="12">
        <v>37.869999999999997</v>
      </c>
      <c r="O288" s="86">
        <v>46.28</v>
      </c>
      <c r="P288" s="78"/>
      <c r="Q288" s="2">
        <f t="shared" si="48"/>
        <v>46.28</v>
      </c>
    </row>
    <row r="289" spans="1:17" ht="33" customHeight="1" x14ac:dyDescent="0.2">
      <c r="A289" s="28">
        <v>49553</v>
      </c>
      <c r="B289" s="9" t="s">
        <v>600</v>
      </c>
      <c r="C289" s="9" t="s">
        <v>209</v>
      </c>
      <c r="D289" s="47" t="s">
        <v>601</v>
      </c>
      <c r="E289" s="11" t="s">
        <v>84</v>
      </c>
      <c r="F289" s="16">
        <v>1</v>
      </c>
      <c r="G289" s="73">
        <f t="shared" si="46"/>
        <v>306.54000000000002</v>
      </c>
      <c r="H289" s="73">
        <f t="shared" si="49"/>
        <v>306.54000000000002</v>
      </c>
      <c r="I289" s="73">
        <f t="shared" si="47"/>
        <v>374.67750000000001</v>
      </c>
      <c r="J289" s="73">
        <f t="shared" si="50"/>
        <v>374.67</v>
      </c>
      <c r="K289" s="12">
        <v>499.57</v>
      </c>
      <c r="L289" s="14">
        <v>0</v>
      </c>
      <c r="N289" s="12">
        <v>408.72</v>
      </c>
      <c r="O289" s="86">
        <v>499.57</v>
      </c>
      <c r="P289" s="78"/>
      <c r="Q289" s="2">
        <f t="shared" si="48"/>
        <v>499.57</v>
      </c>
    </row>
    <row r="290" spans="1:17" ht="33" customHeight="1" x14ac:dyDescent="0.2">
      <c r="A290" s="28">
        <v>49919</v>
      </c>
      <c r="B290" s="15">
        <v>89412</v>
      </c>
      <c r="C290" s="9" t="s">
        <v>56</v>
      </c>
      <c r="D290" s="46" t="s">
        <v>602</v>
      </c>
      <c r="E290" s="11" t="s">
        <v>84</v>
      </c>
      <c r="F290" s="16">
        <v>1</v>
      </c>
      <c r="G290" s="73">
        <f t="shared" si="46"/>
        <v>9.4499999999999993</v>
      </c>
      <c r="H290" s="73">
        <f t="shared" si="49"/>
        <v>9.4499999999999993</v>
      </c>
      <c r="I290" s="73">
        <f t="shared" si="47"/>
        <v>11.55</v>
      </c>
      <c r="J290" s="73">
        <f t="shared" si="50"/>
        <v>11.55</v>
      </c>
      <c r="K290" s="12">
        <v>15.4</v>
      </c>
      <c r="L290" s="14">
        <v>0</v>
      </c>
      <c r="N290" s="12">
        <v>12.6</v>
      </c>
      <c r="O290" s="86">
        <v>15.4</v>
      </c>
      <c r="P290" s="78"/>
      <c r="Q290" s="2">
        <f t="shared" si="48"/>
        <v>15.4</v>
      </c>
    </row>
    <row r="291" spans="1:17" ht="33" customHeight="1" x14ac:dyDescent="0.2">
      <c r="A291" s="28">
        <v>50284</v>
      </c>
      <c r="B291" s="15">
        <v>94797</v>
      </c>
      <c r="C291" s="9" t="s">
        <v>56</v>
      </c>
      <c r="D291" s="46" t="s">
        <v>603</v>
      </c>
      <c r="E291" s="11" t="s">
        <v>84</v>
      </c>
      <c r="F291" s="16">
        <v>1</v>
      </c>
      <c r="G291" s="73">
        <f t="shared" si="46"/>
        <v>91.710000000000008</v>
      </c>
      <c r="H291" s="73">
        <f t="shared" si="49"/>
        <v>91.71</v>
      </c>
      <c r="I291" s="73">
        <f t="shared" si="47"/>
        <v>112.095</v>
      </c>
      <c r="J291" s="73">
        <f t="shared" si="50"/>
        <v>112.09</v>
      </c>
      <c r="K291" s="12">
        <v>149.46</v>
      </c>
      <c r="L291" s="14">
        <v>0</v>
      </c>
      <c r="N291" s="12">
        <v>122.28</v>
      </c>
      <c r="O291" s="86">
        <v>149.46</v>
      </c>
      <c r="P291" s="78"/>
      <c r="Q291" s="2">
        <f t="shared" si="48"/>
        <v>149.46</v>
      </c>
    </row>
    <row r="292" spans="1:17" ht="33" customHeight="1" x14ac:dyDescent="0.2">
      <c r="A292" s="28">
        <v>50649</v>
      </c>
      <c r="B292" s="15">
        <v>111221</v>
      </c>
      <c r="C292" s="9" t="s">
        <v>335</v>
      </c>
      <c r="D292" s="47" t="s">
        <v>604</v>
      </c>
      <c r="E292" s="11" t="s">
        <v>26</v>
      </c>
      <c r="F292" s="12">
        <v>1.08</v>
      </c>
      <c r="G292" s="73">
        <f t="shared" si="46"/>
        <v>396.03749999999997</v>
      </c>
      <c r="H292" s="73">
        <f t="shared" si="49"/>
        <v>427.72</v>
      </c>
      <c r="I292" s="73">
        <f t="shared" si="47"/>
        <v>484.07249999999999</v>
      </c>
      <c r="J292" s="73">
        <f t="shared" si="50"/>
        <v>522.79</v>
      </c>
      <c r="K292" s="12">
        <v>697.06</v>
      </c>
      <c r="L292" s="14">
        <v>1E-4</v>
      </c>
      <c r="N292" s="12">
        <v>528.04999999999995</v>
      </c>
      <c r="O292" s="86">
        <v>645.42999999999995</v>
      </c>
      <c r="P292" s="78"/>
      <c r="Q292" s="2">
        <f t="shared" si="48"/>
        <v>645.42592592592587</v>
      </c>
    </row>
    <row r="293" spans="1:17" ht="33" customHeight="1" x14ac:dyDescent="0.2">
      <c r="A293" s="28">
        <v>51014</v>
      </c>
      <c r="B293" s="15">
        <v>102137</v>
      </c>
      <c r="C293" s="9" t="s">
        <v>56</v>
      </c>
      <c r="D293" s="46" t="s">
        <v>605</v>
      </c>
      <c r="E293" s="11" t="s">
        <v>84</v>
      </c>
      <c r="F293" s="16">
        <v>3</v>
      </c>
      <c r="G293" s="73">
        <f t="shared" si="46"/>
        <v>118.38</v>
      </c>
      <c r="H293" s="73">
        <f t="shared" si="49"/>
        <v>355.14</v>
      </c>
      <c r="I293" s="73">
        <f t="shared" si="47"/>
        <v>144.69</v>
      </c>
      <c r="J293" s="73">
        <f t="shared" si="50"/>
        <v>434.07</v>
      </c>
      <c r="K293" s="12">
        <v>578.76</v>
      </c>
      <c r="L293" s="14">
        <v>0</v>
      </c>
      <c r="N293" s="12">
        <v>157.84</v>
      </c>
      <c r="O293" s="86">
        <v>192.92</v>
      </c>
      <c r="P293" s="78"/>
      <c r="Q293" s="2">
        <f t="shared" si="48"/>
        <v>192.92</v>
      </c>
    </row>
    <row r="294" spans="1:17" ht="33" customHeight="1" x14ac:dyDescent="0.2">
      <c r="A294" s="5" t="s">
        <v>606</v>
      </c>
      <c r="B294" s="4"/>
      <c r="C294" s="4"/>
      <c r="D294" s="45" t="s">
        <v>607</v>
      </c>
      <c r="E294" s="4"/>
      <c r="F294" s="6">
        <v>1</v>
      </c>
      <c r="G294" s="71"/>
      <c r="H294" s="73">
        <f t="shared" si="49"/>
        <v>0</v>
      </c>
      <c r="I294" s="76"/>
      <c r="J294" s="76">
        <f>SUM(J295:J328)</f>
        <v>21390.739999999994</v>
      </c>
      <c r="K294" s="7">
        <v>28521.08</v>
      </c>
      <c r="L294" s="8">
        <v>2.3999999999999998E-3</v>
      </c>
      <c r="N294" s="4"/>
      <c r="O294" s="88">
        <v>28521.08</v>
      </c>
      <c r="P294" s="78"/>
      <c r="Q294" s="2">
        <f t="shared" si="48"/>
        <v>28521.08</v>
      </c>
    </row>
    <row r="295" spans="1:17" ht="33" customHeight="1" x14ac:dyDescent="0.2">
      <c r="A295" s="9" t="s">
        <v>608</v>
      </c>
      <c r="B295" s="15">
        <v>103979</v>
      </c>
      <c r="C295" s="9" t="s">
        <v>56</v>
      </c>
      <c r="D295" s="47" t="s">
        <v>574</v>
      </c>
      <c r="E295" s="11" t="s">
        <v>99</v>
      </c>
      <c r="F295" s="29">
        <v>35.6</v>
      </c>
      <c r="G295" s="73">
        <f t="shared" ref="G295:G328" si="51">N295*$S$6</f>
        <v>27.022500000000001</v>
      </c>
      <c r="H295" s="73">
        <f t="shared" si="49"/>
        <v>962</v>
      </c>
      <c r="I295" s="73">
        <f t="shared" ref="I295:I328" si="52">O295*$S$6</f>
        <v>33.022500000000001</v>
      </c>
      <c r="J295" s="73">
        <f t="shared" si="50"/>
        <v>1175.5999999999999</v>
      </c>
      <c r="K295" s="13">
        <v>1567.46</v>
      </c>
      <c r="L295" s="14">
        <v>1E-4</v>
      </c>
      <c r="N295" s="12">
        <v>36.03</v>
      </c>
      <c r="O295" s="86">
        <v>44.03</v>
      </c>
      <c r="P295" s="78"/>
      <c r="Q295" s="2">
        <f t="shared" si="48"/>
        <v>44.029775280898875</v>
      </c>
    </row>
    <row r="296" spans="1:17" ht="33" customHeight="1" x14ac:dyDescent="0.2">
      <c r="A296" s="9" t="s">
        <v>609</v>
      </c>
      <c r="B296" s="15">
        <v>103978</v>
      </c>
      <c r="C296" s="9" t="s">
        <v>56</v>
      </c>
      <c r="D296" s="47" t="s">
        <v>575</v>
      </c>
      <c r="E296" s="11" t="s">
        <v>99</v>
      </c>
      <c r="F296" s="16">
        <v>126</v>
      </c>
      <c r="G296" s="73">
        <f t="shared" si="51"/>
        <v>23.557500000000001</v>
      </c>
      <c r="H296" s="73">
        <f t="shared" si="49"/>
        <v>2968.24</v>
      </c>
      <c r="I296" s="73">
        <f t="shared" si="52"/>
        <v>28.7925</v>
      </c>
      <c r="J296" s="73">
        <f t="shared" si="50"/>
        <v>3627.85</v>
      </c>
      <c r="K296" s="13">
        <v>4837.1400000000003</v>
      </c>
      <c r="L296" s="14">
        <v>4.0000000000000002E-4</v>
      </c>
      <c r="N296" s="12">
        <v>31.41</v>
      </c>
      <c r="O296" s="86">
        <v>38.39</v>
      </c>
      <c r="P296" s="78"/>
      <c r="Q296" s="2">
        <f t="shared" si="48"/>
        <v>38.39</v>
      </c>
    </row>
    <row r="297" spans="1:17" ht="33" customHeight="1" x14ac:dyDescent="0.2">
      <c r="A297" s="9" t="s">
        <v>610</v>
      </c>
      <c r="B297" s="15">
        <v>89356</v>
      </c>
      <c r="C297" s="9" t="s">
        <v>56</v>
      </c>
      <c r="D297" s="47" t="s">
        <v>577</v>
      </c>
      <c r="E297" s="11" t="s">
        <v>99</v>
      </c>
      <c r="F297" s="29">
        <v>172.4</v>
      </c>
      <c r="G297" s="73">
        <f t="shared" si="51"/>
        <v>23.865000000000002</v>
      </c>
      <c r="H297" s="73">
        <f t="shared" si="49"/>
        <v>4114.32</v>
      </c>
      <c r="I297" s="73">
        <f t="shared" si="52"/>
        <v>29.1675</v>
      </c>
      <c r="J297" s="73">
        <f t="shared" si="50"/>
        <v>5028.47</v>
      </c>
      <c r="K297" s="13">
        <v>6704.63</v>
      </c>
      <c r="L297" s="14">
        <v>5.9999999999999995E-4</v>
      </c>
      <c r="N297" s="12">
        <v>31.82</v>
      </c>
      <c r="O297" s="86">
        <v>38.89</v>
      </c>
      <c r="P297" s="78"/>
      <c r="Q297" s="2">
        <f t="shared" si="48"/>
        <v>38.88996519721578</v>
      </c>
    </row>
    <row r="298" spans="1:17" ht="33" customHeight="1" x14ac:dyDescent="0.2">
      <c r="A298" s="9" t="s">
        <v>611</v>
      </c>
      <c r="B298" s="15">
        <v>94491</v>
      </c>
      <c r="C298" s="9" t="s">
        <v>56</v>
      </c>
      <c r="D298" s="47" t="s">
        <v>612</v>
      </c>
      <c r="E298" s="11" t="s">
        <v>84</v>
      </c>
      <c r="F298" s="16">
        <v>2</v>
      </c>
      <c r="G298" s="73">
        <f t="shared" si="51"/>
        <v>67.89</v>
      </c>
      <c r="H298" s="73">
        <f t="shared" si="49"/>
        <v>135.78</v>
      </c>
      <c r="I298" s="73">
        <f t="shared" si="52"/>
        <v>82.98</v>
      </c>
      <c r="J298" s="73">
        <f t="shared" si="50"/>
        <v>165.96</v>
      </c>
      <c r="K298" s="12">
        <v>221.28</v>
      </c>
      <c r="L298" s="14">
        <v>0</v>
      </c>
      <c r="N298" s="12">
        <v>90.52</v>
      </c>
      <c r="O298" s="86">
        <v>110.64</v>
      </c>
      <c r="P298" s="78"/>
      <c r="Q298" s="2">
        <f t="shared" si="48"/>
        <v>110.64</v>
      </c>
    </row>
    <row r="299" spans="1:17" ht="33" customHeight="1" x14ac:dyDescent="0.2">
      <c r="A299" s="9" t="s">
        <v>613</v>
      </c>
      <c r="B299" s="15">
        <v>94492</v>
      </c>
      <c r="C299" s="9" t="s">
        <v>56</v>
      </c>
      <c r="D299" s="46" t="s">
        <v>581</v>
      </c>
      <c r="E299" s="11" t="s">
        <v>84</v>
      </c>
      <c r="F299" s="16">
        <v>5</v>
      </c>
      <c r="G299" s="73">
        <f t="shared" si="51"/>
        <v>69.84</v>
      </c>
      <c r="H299" s="73">
        <f t="shared" si="49"/>
        <v>349.2</v>
      </c>
      <c r="I299" s="73">
        <f t="shared" si="52"/>
        <v>85.364999999999995</v>
      </c>
      <c r="J299" s="73">
        <f t="shared" si="50"/>
        <v>426.82</v>
      </c>
      <c r="K299" s="12">
        <v>569.1</v>
      </c>
      <c r="L299" s="14">
        <v>0</v>
      </c>
      <c r="N299" s="12">
        <v>93.12</v>
      </c>
      <c r="O299" s="86">
        <v>113.82</v>
      </c>
      <c r="P299" s="78"/>
      <c r="Q299" s="2">
        <f t="shared" si="48"/>
        <v>113.82000000000001</v>
      </c>
    </row>
    <row r="300" spans="1:17" ht="33" customHeight="1" x14ac:dyDescent="0.2">
      <c r="A300" s="9" t="s">
        <v>614</v>
      </c>
      <c r="B300" s="15">
        <v>89987</v>
      </c>
      <c r="C300" s="9" t="s">
        <v>56</v>
      </c>
      <c r="D300" s="46" t="s">
        <v>615</v>
      </c>
      <c r="E300" s="11" t="s">
        <v>84</v>
      </c>
      <c r="F300" s="16">
        <v>28</v>
      </c>
      <c r="G300" s="73">
        <f t="shared" si="51"/>
        <v>61.050000000000004</v>
      </c>
      <c r="H300" s="73">
        <f t="shared" si="49"/>
        <v>1709.4</v>
      </c>
      <c r="I300" s="73">
        <f t="shared" si="52"/>
        <v>74.617499999999993</v>
      </c>
      <c r="J300" s="73">
        <f t="shared" si="50"/>
        <v>2089.29</v>
      </c>
      <c r="K300" s="13">
        <v>2785.72</v>
      </c>
      <c r="L300" s="14">
        <v>2.0000000000000001E-4</v>
      </c>
      <c r="N300" s="12">
        <v>81.400000000000006</v>
      </c>
      <c r="O300" s="86">
        <v>99.49</v>
      </c>
      <c r="P300" s="78"/>
      <c r="Q300" s="2">
        <f t="shared" si="48"/>
        <v>99.49</v>
      </c>
    </row>
    <row r="301" spans="1:17" ht="33" customHeight="1" x14ac:dyDescent="0.2">
      <c r="A301" s="9" t="s">
        <v>616</v>
      </c>
      <c r="B301" s="15">
        <v>89985</v>
      </c>
      <c r="C301" s="9" t="s">
        <v>56</v>
      </c>
      <c r="D301" s="46" t="s">
        <v>617</v>
      </c>
      <c r="E301" s="11" t="s">
        <v>84</v>
      </c>
      <c r="F301" s="16">
        <v>4</v>
      </c>
      <c r="G301" s="73">
        <f t="shared" si="51"/>
        <v>58.252499999999998</v>
      </c>
      <c r="H301" s="73">
        <f t="shared" si="49"/>
        <v>233.01</v>
      </c>
      <c r="I301" s="73">
        <f t="shared" si="52"/>
        <v>71.197500000000005</v>
      </c>
      <c r="J301" s="73">
        <f t="shared" si="50"/>
        <v>284.79000000000002</v>
      </c>
      <c r="K301" s="12">
        <v>379.72</v>
      </c>
      <c r="L301" s="14">
        <v>0</v>
      </c>
      <c r="N301" s="12">
        <v>77.67</v>
      </c>
      <c r="O301" s="86">
        <v>94.93</v>
      </c>
      <c r="P301" s="78"/>
      <c r="Q301" s="2">
        <f t="shared" si="48"/>
        <v>94.93</v>
      </c>
    </row>
    <row r="302" spans="1:17" ht="33" customHeight="1" x14ac:dyDescent="0.2">
      <c r="A302" s="9" t="s">
        <v>618</v>
      </c>
      <c r="B302" s="15">
        <v>103984</v>
      </c>
      <c r="C302" s="9" t="s">
        <v>56</v>
      </c>
      <c r="D302" s="46" t="s">
        <v>619</v>
      </c>
      <c r="E302" s="11" t="s">
        <v>84</v>
      </c>
      <c r="F302" s="16">
        <v>7</v>
      </c>
      <c r="G302" s="73">
        <f t="shared" si="51"/>
        <v>18.502500000000001</v>
      </c>
      <c r="H302" s="73">
        <f t="shared" si="49"/>
        <v>129.51</v>
      </c>
      <c r="I302" s="73">
        <f t="shared" si="52"/>
        <v>22.612499999999997</v>
      </c>
      <c r="J302" s="73">
        <f t="shared" si="50"/>
        <v>158.28</v>
      </c>
      <c r="K302" s="12">
        <v>211.05</v>
      </c>
      <c r="L302" s="14">
        <v>0</v>
      </c>
      <c r="N302" s="12">
        <v>24.67</v>
      </c>
      <c r="O302" s="86">
        <v>30.15</v>
      </c>
      <c r="P302" s="78"/>
      <c r="Q302" s="2">
        <f t="shared" si="48"/>
        <v>30.150000000000002</v>
      </c>
    </row>
    <row r="303" spans="1:17" ht="33" customHeight="1" x14ac:dyDescent="0.2">
      <c r="A303" s="9" t="s">
        <v>620</v>
      </c>
      <c r="B303" s="15">
        <v>89497</v>
      </c>
      <c r="C303" s="9" t="s">
        <v>56</v>
      </c>
      <c r="D303" s="47" t="s">
        <v>621</v>
      </c>
      <c r="E303" s="11" t="s">
        <v>84</v>
      </c>
      <c r="F303" s="16">
        <v>8</v>
      </c>
      <c r="G303" s="73">
        <f t="shared" si="51"/>
        <v>11.73</v>
      </c>
      <c r="H303" s="73">
        <f t="shared" si="49"/>
        <v>93.84</v>
      </c>
      <c r="I303" s="73">
        <f t="shared" si="52"/>
        <v>14.3325</v>
      </c>
      <c r="J303" s="73">
        <f t="shared" si="50"/>
        <v>114.66</v>
      </c>
      <c r="K303" s="12">
        <v>152.88</v>
      </c>
      <c r="L303" s="14">
        <v>0</v>
      </c>
      <c r="N303" s="12">
        <v>15.64</v>
      </c>
      <c r="O303" s="86">
        <v>19.11</v>
      </c>
      <c r="P303" s="78"/>
      <c r="Q303" s="2">
        <f t="shared" si="48"/>
        <v>19.11</v>
      </c>
    </row>
    <row r="304" spans="1:17" ht="33" customHeight="1" x14ac:dyDescent="0.2">
      <c r="A304" s="28">
        <v>40423</v>
      </c>
      <c r="B304" s="15">
        <v>89362</v>
      </c>
      <c r="C304" s="9" t="s">
        <v>56</v>
      </c>
      <c r="D304" s="47" t="s">
        <v>587</v>
      </c>
      <c r="E304" s="11" t="s">
        <v>84</v>
      </c>
      <c r="F304" s="16">
        <v>82</v>
      </c>
      <c r="G304" s="73">
        <f t="shared" si="51"/>
        <v>9.6150000000000002</v>
      </c>
      <c r="H304" s="73">
        <f t="shared" si="49"/>
        <v>788.43</v>
      </c>
      <c r="I304" s="73">
        <f t="shared" si="52"/>
        <v>11.745000000000001</v>
      </c>
      <c r="J304" s="73">
        <f t="shared" si="50"/>
        <v>963.09</v>
      </c>
      <c r="K304" s="13">
        <v>1284.1199999999999</v>
      </c>
      <c r="L304" s="14">
        <v>1E-4</v>
      </c>
      <c r="N304" s="12">
        <v>12.82</v>
      </c>
      <c r="O304" s="86">
        <v>15.66</v>
      </c>
      <c r="P304" s="78"/>
      <c r="Q304" s="2">
        <f t="shared" si="48"/>
        <v>15.659999999999998</v>
      </c>
    </row>
    <row r="305" spans="1:17" ht="33" customHeight="1" x14ac:dyDescent="0.2">
      <c r="A305" s="28">
        <v>40788</v>
      </c>
      <c r="B305" s="15">
        <v>89363</v>
      </c>
      <c r="C305" s="9" t="s">
        <v>56</v>
      </c>
      <c r="D305" s="47" t="s">
        <v>622</v>
      </c>
      <c r="E305" s="11" t="s">
        <v>84</v>
      </c>
      <c r="F305" s="16">
        <v>5</v>
      </c>
      <c r="G305" s="73">
        <f t="shared" si="51"/>
        <v>10.215</v>
      </c>
      <c r="H305" s="73">
        <f t="shared" si="49"/>
        <v>51.07</v>
      </c>
      <c r="I305" s="73">
        <f t="shared" si="52"/>
        <v>12.48</v>
      </c>
      <c r="J305" s="73">
        <f t="shared" si="50"/>
        <v>62.4</v>
      </c>
      <c r="K305" s="12">
        <v>83.2</v>
      </c>
      <c r="L305" s="14">
        <v>0</v>
      </c>
      <c r="N305" s="12">
        <v>13.62</v>
      </c>
      <c r="O305" s="86">
        <v>16.64</v>
      </c>
      <c r="P305" s="78"/>
      <c r="Q305" s="2">
        <f t="shared" si="48"/>
        <v>16.64</v>
      </c>
    </row>
    <row r="306" spans="1:17" ht="33" customHeight="1" x14ac:dyDescent="0.2">
      <c r="A306" s="28">
        <v>41154</v>
      </c>
      <c r="B306" s="15">
        <v>103981</v>
      </c>
      <c r="C306" s="9" t="s">
        <v>56</v>
      </c>
      <c r="D306" s="47" t="s">
        <v>623</v>
      </c>
      <c r="E306" s="11" t="s">
        <v>84</v>
      </c>
      <c r="F306" s="16">
        <v>7</v>
      </c>
      <c r="G306" s="73">
        <f t="shared" si="51"/>
        <v>16.4925</v>
      </c>
      <c r="H306" s="73">
        <f t="shared" si="49"/>
        <v>115.44</v>
      </c>
      <c r="I306" s="73">
        <f t="shared" si="52"/>
        <v>20.1525</v>
      </c>
      <c r="J306" s="73">
        <f t="shared" si="50"/>
        <v>141.06</v>
      </c>
      <c r="K306" s="12">
        <v>188.09</v>
      </c>
      <c r="L306" s="14">
        <v>0</v>
      </c>
      <c r="N306" s="12">
        <v>21.99</v>
      </c>
      <c r="O306" s="86">
        <v>26.87</v>
      </c>
      <c r="P306" s="78"/>
      <c r="Q306" s="2">
        <f t="shared" si="48"/>
        <v>26.87</v>
      </c>
    </row>
    <row r="307" spans="1:17" ht="33" customHeight="1" x14ac:dyDescent="0.2">
      <c r="A307" s="28">
        <v>41519</v>
      </c>
      <c r="B307" s="15">
        <v>89502</v>
      </c>
      <c r="C307" s="9" t="s">
        <v>56</v>
      </c>
      <c r="D307" s="47" t="s">
        <v>624</v>
      </c>
      <c r="E307" s="11" t="s">
        <v>84</v>
      </c>
      <c r="F307" s="16">
        <v>1</v>
      </c>
      <c r="G307" s="73">
        <f t="shared" si="51"/>
        <v>14.9175</v>
      </c>
      <c r="H307" s="73">
        <f t="shared" si="49"/>
        <v>14.91</v>
      </c>
      <c r="I307" s="73">
        <f t="shared" si="52"/>
        <v>18.232499999999998</v>
      </c>
      <c r="J307" s="73">
        <f t="shared" si="50"/>
        <v>18.23</v>
      </c>
      <c r="K307" s="12">
        <v>24.31</v>
      </c>
      <c r="L307" s="14">
        <v>0</v>
      </c>
      <c r="N307" s="12">
        <v>19.89</v>
      </c>
      <c r="O307" s="86">
        <v>24.31</v>
      </c>
      <c r="P307" s="78"/>
      <c r="Q307" s="2">
        <f t="shared" si="48"/>
        <v>24.31</v>
      </c>
    </row>
    <row r="308" spans="1:17" ht="33" customHeight="1" x14ac:dyDescent="0.2">
      <c r="A308" s="28">
        <v>41884</v>
      </c>
      <c r="B308" s="15">
        <v>103987</v>
      </c>
      <c r="C308" s="9" t="s">
        <v>56</v>
      </c>
      <c r="D308" s="47" t="s">
        <v>625</v>
      </c>
      <c r="E308" s="11" t="s">
        <v>84</v>
      </c>
      <c r="F308" s="16">
        <v>2</v>
      </c>
      <c r="G308" s="73">
        <f t="shared" si="51"/>
        <v>21.8475</v>
      </c>
      <c r="H308" s="73">
        <f t="shared" si="49"/>
        <v>43.69</v>
      </c>
      <c r="I308" s="73">
        <f t="shared" si="52"/>
        <v>26.700000000000003</v>
      </c>
      <c r="J308" s="73">
        <f t="shared" si="50"/>
        <v>53.4</v>
      </c>
      <c r="K308" s="12">
        <v>71.2</v>
      </c>
      <c r="L308" s="14">
        <v>0</v>
      </c>
      <c r="N308" s="12">
        <v>29.13</v>
      </c>
      <c r="O308" s="86">
        <v>35.6</v>
      </c>
      <c r="P308" s="78"/>
      <c r="Q308" s="2">
        <f t="shared" si="48"/>
        <v>35.6</v>
      </c>
    </row>
    <row r="309" spans="1:17" ht="33" customHeight="1" x14ac:dyDescent="0.2">
      <c r="A309" s="28">
        <v>42249</v>
      </c>
      <c r="B309" s="15">
        <v>103995</v>
      </c>
      <c r="C309" s="9" t="s">
        <v>56</v>
      </c>
      <c r="D309" s="47" t="s">
        <v>593</v>
      </c>
      <c r="E309" s="11" t="s">
        <v>84</v>
      </c>
      <c r="F309" s="16">
        <v>6</v>
      </c>
      <c r="G309" s="73">
        <f t="shared" si="51"/>
        <v>13.919999999999998</v>
      </c>
      <c r="H309" s="73">
        <f t="shared" si="49"/>
        <v>83.52</v>
      </c>
      <c r="I309" s="73">
        <f t="shared" si="52"/>
        <v>17.009999999999998</v>
      </c>
      <c r="J309" s="73">
        <f t="shared" si="50"/>
        <v>102.06</v>
      </c>
      <c r="K309" s="12">
        <v>136.08000000000001</v>
      </c>
      <c r="L309" s="14">
        <v>0</v>
      </c>
      <c r="N309" s="12">
        <v>18.559999999999999</v>
      </c>
      <c r="O309" s="86">
        <v>22.68</v>
      </c>
      <c r="P309" s="78"/>
      <c r="Q309" s="2">
        <f t="shared" si="48"/>
        <v>22.680000000000003</v>
      </c>
    </row>
    <row r="310" spans="1:17" ht="33" customHeight="1" x14ac:dyDescent="0.2">
      <c r="A310" s="28">
        <v>42615</v>
      </c>
      <c r="B310" s="15">
        <v>104159</v>
      </c>
      <c r="C310" s="9" t="s">
        <v>56</v>
      </c>
      <c r="D310" s="47" t="s">
        <v>626</v>
      </c>
      <c r="E310" s="11" t="s">
        <v>84</v>
      </c>
      <c r="F310" s="16">
        <v>1</v>
      </c>
      <c r="G310" s="73">
        <f t="shared" si="51"/>
        <v>30.547499999999999</v>
      </c>
      <c r="H310" s="73">
        <f t="shared" si="49"/>
        <v>30.54</v>
      </c>
      <c r="I310" s="73">
        <f t="shared" si="52"/>
        <v>37.335000000000001</v>
      </c>
      <c r="J310" s="73">
        <f t="shared" si="50"/>
        <v>37.33</v>
      </c>
      <c r="K310" s="12">
        <v>49.78</v>
      </c>
      <c r="L310" s="14">
        <v>0</v>
      </c>
      <c r="N310" s="12">
        <v>40.729999999999997</v>
      </c>
      <c r="O310" s="86">
        <v>49.78</v>
      </c>
      <c r="P310" s="78"/>
      <c r="Q310" s="2">
        <f t="shared" si="48"/>
        <v>49.78</v>
      </c>
    </row>
    <row r="311" spans="1:17" ht="33" customHeight="1" x14ac:dyDescent="0.2">
      <c r="A311" s="28">
        <v>42980</v>
      </c>
      <c r="B311" s="15">
        <v>103988</v>
      </c>
      <c r="C311" s="9" t="s">
        <v>56</v>
      </c>
      <c r="D311" s="47" t="s">
        <v>627</v>
      </c>
      <c r="E311" s="11" t="s">
        <v>84</v>
      </c>
      <c r="F311" s="16">
        <v>23</v>
      </c>
      <c r="G311" s="73">
        <f t="shared" si="51"/>
        <v>11.73</v>
      </c>
      <c r="H311" s="73">
        <f t="shared" si="49"/>
        <v>269.79000000000002</v>
      </c>
      <c r="I311" s="73">
        <f t="shared" si="52"/>
        <v>14.3325</v>
      </c>
      <c r="J311" s="73">
        <f t="shared" si="50"/>
        <v>329.64</v>
      </c>
      <c r="K311" s="12">
        <v>439.53</v>
      </c>
      <c r="L311" s="14">
        <v>0</v>
      </c>
      <c r="N311" s="12">
        <v>15.64</v>
      </c>
      <c r="O311" s="86">
        <v>19.11</v>
      </c>
      <c r="P311" s="78"/>
      <c r="Q311" s="2">
        <f t="shared" si="48"/>
        <v>19.11</v>
      </c>
    </row>
    <row r="312" spans="1:17" ht="33" customHeight="1" x14ac:dyDescent="0.2">
      <c r="A312" s="28">
        <v>43345</v>
      </c>
      <c r="B312" s="15">
        <v>89378</v>
      </c>
      <c r="C312" s="9" t="s">
        <v>56</v>
      </c>
      <c r="D312" s="47" t="s">
        <v>628</v>
      </c>
      <c r="E312" s="11" t="s">
        <v>84</v>
      </c>
      <c r="F312" s="16">
        <v>28</v>
      </c>
      <c r="G312" s="73">
        <f t="shared" si="51"/>
        <v>6.9674999999999994</v>
      </c>
      <c r="H312" s="73">
        <f t="shared" si="49"/>
        <v>195.09</v>
      </c>
      <c r="I312" s="73">
        <f t="shared" si="52"/>
        <v>8.5124999999999993</v>
      </c>
      <c r="J312" s="73">
        <f t="shared" si="50"/>
        <v>238.35</v>
      </c>
      <c r="K312" s="12">
        <v>317.8</v>
      </c>
      <c r="L312" s="14">
        <v>0</v>
      </c>
      <c r="N312" s="12">
        <v>9.2899999999999991</v>
      </c>
      <c r="O312" s="86">
        <v>11.35</v>
      </c>
      <c r="P312" s="78"/>
      <c r="Q312" s="2">
        <f t="shared" si="48"/>
        <v>11.35</v>
      </c>
    </row>
    <row r="313" spans="1:17" ht="33" customHeight="1" x14ac:dyDescent="0.2">
      <c r="A313" s="28">
        <v>43710</v>
      </c>
      <c r="B313" s="15">
        <v>104004</v>
      </c>
      <c r="C313" s="9" t="s">
        <v>56</v>
      </c>
      <c r="D313" s="47" t="s">
        <v>595</v>
      </c>
      <c r="E313" s="11" t="s">
        <v>84</v>
      </c>
      <c r="F313" s="16">
        <v>7</v>
      </c>
      <c r="G313" s="73">
        <f t="shared" si="51"/>
        <v>27.39</v>
      </c>
      <c r="H313" s="73">
        <f t="shared" si="49"/>
        <v>191.73</v>
      </c>
      <c r="I313" s="73">
        <f t="shared" si="52"/>
        <v>33.472500000000004</v>
      </c>
      <c r="J313" s="73">
        <f t="shared" si="50"/>
        <v>234.3</v>
      </c>
      <c r="K313" s="12">
        <v>312.41000000000003</v>
      </c>
      <c r="L313" s="14">
        <v>0</v>
      </c>
      <c r="N313" s="12">
        <v>36.520000000000003</v>
      </c>
      <c r="O313" s="86">
        <v>44.63</v>
      </c>
      <c r="P313" s="78"/>
      <c r="Q313" s="2">
        <f t="shared" si="48"/>
        <v>44.63</v>
      </c>
    </row>
    <row r="314" spans="1:17" ht="33" customHeight="1" x14ac:dyDescent="0.2">
      <c r="A314" s="28">
        <v>44076</v>
      </c>
      <c r="B314" s="15">
        <v>94692</v>
      </c>
      <c r="C314" s="9" t="s">
        <v>56</v>
      </c>
      <c r="D314" s="47" t="s">
        <v>629</v>
      </c>
      <c r="E314" s="11" t="s">
        <v>84</v>
      </c>
      <c r="F314" s="16">
        <v>16</v>
      </c>
      <c r="G314" s="73">
        <f t="shared" si="51"/>
        <v>16.634999999999998</v>
      </c>
      <c r="H314" s="73">
        <f t="shared" si="49"/>
        <v>266.16000000000003</v>
      </c>
      <c r="I314" s="73">
        <f t="shared" si="52"/>
        <v>20.3325</v>
      </c>
      <c r="J314" s="73">
        <f t="shared" si="50"/>
        <v>325.32</v>
      </c>
      <c r="K314" s="12">
        <v>433.76</v>
      </c>
      <c r="L314" s="14">
        <v>0</v>
      </c>
      <c r="N314" s="12">
        <v>22.18</v>
      </c>
      <c r="O314" s="86">
        <v>27.11</v>
      </c>
      <c r="P314" s="78"/>
      <c r="Q314" s="2">
        <f t="shared" si="48"/>
        <v>27.11</v>
      </c>
    </row>
    <row r="315" spans="1:17" ht="33" customHeight="1" x14ac:dyDescent="0.2">
      <c r="A315" s="28">
        <v>44441</v>
      </c>
      <c r="B315" s="15">
        <v>89440</v>
      </c>
      <c r="C315" s="9" t="s">
        <v>56</v>
      </c>
      <c r="D315" s="47" t="s">
        <v>630</v>
      </c>
      <c r="E315" s="11" t="s">
        <v>84</v>
      </c>
      <c r="F315" s="16">
        <v>29</v>
      </c>
      <c r="G315" s="73">
        <f t="shared" si="51"/>
        <v>12</v>
      </c>
      <c r="H315" s="73">
        <f t="shared" si="49"/>
        <v>348</v>
      </c>
      <c r="I315" s="73">
        <f t="shared" si="52"/>
        <v>14.662500000000001</v>
      </c>
      <c r="J315" s="73">
        <f t="shared" si="50"/>
        <v>425.21</v>
      </c>
      <c r="K315" s="12">
        <v>566.95000000000005</v>
      </c>
      <c r="L315" s="14">
        <v>0</v>
      </c>
      <c r="N315" s="12">
        <v>16</v>
      </c>
      <c r="O315" s="86">
        <v>19.55</v>
      </c>
      <c r="P315" s="78"/>
      <c r="Q315" s="2">
        <f t="shared" si="48"/>
        <v>19.55</v>
      </c>
    </row>
    <row r="316" spans="1:17" ht="33" customHeight="1" x14ac:dyDescent="0.2">
      <c r="A316" s="28">
        <v>44806</v>
      </c>
      <c r="B316" s="15">
        <v>89626</v>
      </c>
      <c r="C316" s="9" t="s">
        <v>56</v>
      </c>
      <c r="D316" s="47" t="s">
        <v>596</v>
      </c>
      <c r="E316" s="11" t="s">
        <v>84</v>
      </c>
      <c r="F316" s="16">
        <v>6</v>
      </c>
      <c r="G316" s="73">
        <f t="shared" si="51"/>
        <v>25.275000000000002</v>
      </c>
      <c r="H316" s="73">
        <f t="shared" si="49"/>
        <v>151.65</v>
      </c>
      <c r="I316" s="73">
        <f t="shared" si="52"/>
        <v>30.892499999999998</v>
      </c>
      <c r="J316" s="73">
        <f t="shared" si="50"/>
        <v>185.35</v>
      </c>
      <c r="K316" s="12">
        <v>247.14</v>
      </c>
      <c r="L316" s="14">
        <v>0</v>
      </c>
      <c r="N316" s="12">
        <v>33.700000000000003</v>
      </c>
      <c r="O316" s="86">
        <v>41.19</v>
      </c>
      <c r="P316" s="78"/>
      <c r="Q316" s="2">
        <f t="shared" si="48"/>
        <v>41.19</v>
      </c>
    </row>
    <row r="317" spans="1:17" ht="33" customHeight="1" x14ac:dyDescent="0.2">
      <c r="A317" s="28">
        <v>45171</v>
      </c>
      <c r="B317" s="15">
        <v>105189</v>
      </c>
      <c r="C317" s="9" t="s">
        <v>56</v>
      </c>
      <c r="D317" s="47" t="s">
        <v>631</v>
      </c>
      <c r="E317" s="11" t="s">
        <v>84</v>
      </c>
      <c r="F317" s="16">
        <v>1</v>
      </c>
      <c r="G317" s="73">
        <f t="shared" si="51"/>
        <v>18.697499999999998</v>
      </c>
      <c r="H317" s="73">
        <f t="shared" si="49"/>
        <v>18.690000000000001</v>
      </c>
      <c r="I317" s="73">
        <f t="shared" si="52"/>
        <v>22.852499999999999</v>
      </c>
      <c r="J317" s="73">
        <f t="shared" si="50"/>
        <v>22.85</v>
      </c>
      <c r="K317" s="12">
        <v>30.47</v>
      </c>
      <c r="L317" s="14">
        <v>0</v>
      </c>
      <c r="N317" s="12">
        <v>24.93</v>
      </c>
      <c r="O317" s="86">
        <v>30.47</v>
      </c>
      <c r="P317" s="78"/>
      <c r="Q317" s="2">
        <f t="shared" si="48"/>
        <v>30.47</v>
      </c>
    </row>
    <row r="318" spans="1:17" ht="33" customHeight="1" x14ac:dyDescent="0.2">
      <c r="A318" s="28">
        <v>45537</v>
      </c>
      <c r="B318" s="15">
        <v>103999</v>
      </c>
      <c r="C318" s="9" t="s">
        <v>56</v>
      </c>
      <c r="D318" s="47" t="s">
        <v>632</v>
      </c>
      <c r="E318" s="11" t="s">
        <v>84</v>
      </c>
      <c r="F318" s="16">
        <v>3</v>
      </c>
      <c r="G318" s="73">
        <f t="shared" si="51"/>
        <v>11.4375</v>
      </c>
      <c r="H318" s="73">
        <f t="shared" si="49"/>
        <v>34.31</v>
      </c>
      <c r="I318" s="73">
        <f t="shared" si="52"/>
        <v>13.98</v>
      </c>
      <c r="J318" s="73">
        <f t="shared" si="50"/>
        <v>41.94</v>
      </c>
      <c r="K318" s="12">
        <v>55.92</v>
      </c>
      <c r="L318" s="14">
        <v>0</v>
      </c>
      <c r="N318" s="12">
        <v>15.25</v>
      </c>
      <c r="O318" s="86">
        <v>18.64</v>
      </c>
      <c r="P318" s="78"/>
      <c r="Q318" s="2">
        <f t="shared" si="48"/>
        <v>18.64</v>
      </c>
    </row>
    <row r="319" spans="1:17" ht="33" customHeight="1" x14ac:dyDescent="0.2">
      <c r="A319" s="28">
        <v>45902</v>
      </c>
      <c r="B319" s="15">
        <v>104014</v>
      </c>
      <c r="C319" s="9" t="s">
        <v>56</v>
      </c>
      <c r="D319" s="46" t="s">
        <v>633</v>
      </c>
      <c r="E319" s="11" t="s">
        <v>84</v>
      </c>
      <c r="F319" s="16">
        <v>24</v>
      </c>
      <c r="G319" s="73">
        <f t="shared" si="51"/>
        <v>9.93</v>
      </c>
      <c r="H319" s="73">
        <f t="shared" si="49"/>
        <v>238.32</v>
      </c>
      <c r="I319" s="73">
        <f t="shared" si="52"/>
        <v>12.135</v>
      </c>
      <c r="J319" s="73">
        <f t="shared" si="50"/>
        <v>291.24</v>
      </c>
      <c r="K319" s="12">
        <v>388.32</v>
      </c>
      <c r="L319" s="14">
        <v>0</v>
      </c>
      <c r="N319" s="12">
        <v>13.24</v>
      </c>
      <c r="O319" s="86">
        <v>16.18</v>
      </c>
      <c r="P319" s="78"/>
      <c r="Q319" s="2">
        <f t="shared" si="48"/>
        <v>16.18</v>
      </c>
    </row>
    <row r="320" spans="1:17" ht="33" customHeight="1" x14ac:dyDescent="0.2">
      <c r="A320" s="28">
        <v>46267</v>
      </c>
      <c r="B320" s="15">
        <v>104009</v>
      </c>
      <c r="C320" s="9" t="s">
        <v>56</v>
      </c>
      <c r="D320" s="46" t="s">
        <v>634</v>
      </c>
      <c r="E320" s="11" t="s">
        <v>84</v>
      </c>
      <c r="F320" s="16">
        <v>4</v>
      </c>
      <c r="G320" s="73">
        <f t="shared" si="51"/>
        <v>12.315000000000001</v>
      </c>
      <c r="H320" s="73">
        <f t="shared" si="49"/>
        <v>49.26</v>
      </c>
      <c r="I320" s="73">
        <f t="shared" si="52"/>
        <v>15.0525</v>
      </c>
      <c r="J320" s="73">
        <f t="shared" si="50"/>
        <v>60.21</v>
      </c>
      <c r="K320" s="12">
        <v>80.28</v>
      </c>
      <c r="L320" s="14">
        <v>0</v>
      </c>
      <c r="N320" s="12">
        <v>16.420000000000002</v>
      </c>
      <c r="O320" s="86">
        <v>20.07</v>
      </c>
      <c r="P320" s="78"/>
      <c r="Q320" s="2">
        <f t="shared" si="48"/>
        <v>20.07</v>
      </c>
    </row>
    <row r="321" spans="1:17" ht="33" customHeight="1" x14ac:dyDescent="0.2">
      <c r="A321" s="28">
        <v>46632</v>
      </c>
      <c r="B321" s="15">
        <v>94706</v>
      </c>
      <c r="C321" s="9" t="s">
        <v>56</v>
      </c>
      <c r="D321" s="47" t="s">
        <v>635</v>
      </c>
      <c r="E321" s="11" t="s">
        <v>84</v>
      </c>
      <c r="F321" s="16">
        <v>2</v>
      </c>
      <c r="G321" s="73">
        <f t="shared" si="51"/>
        <v>29.505000000000003</v>
      </c>
      <c r="H321" s="73">
        <f t="shared" si="49"/>
        <v>59.01</v>
      </c>
      <c r="I321" s="73">
        <f t="shared" si="52"/>
        <v>36.06</v>
      </c>
      <c r="J321" s="73">
        <f t="shared" si="50"/>
        <v>72.12</v>
      </c>
      <c r="K321" s="12">
        <v>96.16</v>
      </c>
      <c r="L321" s="14">
        <v>0</v>
      </c>
      <c r="N321" s="12">
        <v>39.340000000000003</v>
      </c>
      <c r="O321" s="86">
        <v>48.08</v>
      </c>
      <c r="P321" s="78"/>
      <c r="Q321" s="2">
        <f t="shared" si="48"/>
        <v>48.08</v>
      </c>
    </row>
    <row r="322" spans="1:17" ht="33" customHeight="1" x14ac:dyDescent="0.2">
      <c r="A322" s="28">
        <v>46998</v>
      </c>
      <c r="B322" s="15">
        <v>89383</v>
      </c>
      <c r="C322" s="9" t="s">
        <v>56</v>
      </c>
      <c r="D322" s="47" t="s">
        <v>636</v>
      </c>
      <c r="E322" s="11" t="s">
        <v>84</v>
      </c>
      <c r="F322" s="16">
        <v>56</v>
      </c>
      <c r="G322" s="73">
        <f t="shared" si="51"/>
        <v>6.5249999999999995</v>
      </c>
      <c r="H322" s="73">
        <f t="shared" si="49"/>
        <v>365.4</v>
      </c>
      <c r="I322" s="73">
        <f t="shared" si="52"/>
        <v>7.9725000000000001</v>
      </c>
      <c r="J322" s="73">
        <f t="shared" si="50"/>
        <v>446.46</v>
      </c>
      <c r="K322" s="12">
        <v>595.28</v>
      </c>
      <c r="L322" s="14">
        <v>0</v>
      </c>
      <c r="N322" s="12">
        <v>8.6999999999999993</v>
      </c>
      <c r="O322" s="86">
        <v>10.63</v>
      </c>
      <c r="P322" s="78"/>
      <c r="Q322" s="2">
        <f t="shared" si="48"/>
        <v>10.629999999999999</v>
      </c>
    </row>
    <row r="323" spans="1:17" ht="33" customHeight="1" x14ac:dyDescent="0.2">
      <c r="A323" s="28">
        <v>47363</v>
      </c>
      <c r="B323" s="15">
        <v>94672</v>
      </c>
      <c r="C323" s="9" t="s">
        <v>56</v>
      </c>
      <c r="D323" s="47" t="s">
        <v>637</v>
      </c>
      <c r="E323" s="11" t="s">
        <v>84</v>
      </c>
      <c r="F323" s="16">
        <v>6</v>
      </c>
      <c r="G323" s="73">
        <f t="shared" si="51"/>
        <v>5.4450000000000003</v>
      </c>
      <c r="H323" s="73">
        <f t="shared" si="49"/>
        <v>32.67</v>
      </c>
      <c r="I323" s="73">
        <f t="shared" si="52"/>
        <v>6.6524999999999999</v>
      </c>
      <c r="J323" s="73">
        <f t="shared" si="50"/>
        <v>39.909999999999997</v>
      </c>
      <c r="K323" s="12">
        <v>53.22</v>
      </c>
      <c r="L323" s="14">
        <v>0</v>
      </c>
      <c r="N323" s="12">
        <v>7.26</v>
      </c>
      <c r="O323" s="86">
        <v>8.8699999999999992</v>
      </c>
      <c r="P323" s="78"/>
      <c r="Q323" s="2">
        <f t="shared" si="48"/>
        <v>8.8699999999999992</v>
      </c>
    </row>
    <row r="324" spans="1:17" ht="33" customHeight="1" x14ac:dyDescent="0.2">
      <c r="A324" s="28">
        <v>47728</v>
      </c>
      <c r="B324" s="15">
        <v>90373</v>
      </c>
      <c r="C324" s="9" t="s">
        <v>56</v>
      </c>
      <c r="D324" s="46" t="s">
        <v>638</v>
      </c>
      <c r="E324" s="11" t="s">
        <v>84</v>
      </c>
      <c r="F324" s="16">
        <v>51</v>
      </c>
      <c r="G324" s="73">
        <f t="shared" si="51"/>
        <v>11.9925</v>
      </c>
      <c r="H324" s="73">
        <f t="shared" si="49"/>
        <v>611.61</v>
      </c>
      <c r="I324" s="73">
        <f t="shared" si="52"/>
        <v>14.654999999999999</v>
      </c>
      <c r="J324" s="73">
        <f t="shared" si="50"/>
        <v>747.4</v>
      </c>
      <c r="K324" s="12">
        <v>996.54</v>
      </c>
      <c r="L324" s="14">
        <v>1E-4</v>
      </c>
      <c r="N324" s="12">
        <v>15.99</v>
      </c>
      <c r="O324" s="86">
        <v>19.54</v>
      </c>
      <c r="P324" s="78"/>
      <c r="Q324" s="2">
        <f t="shared" si="48"/>
        <v>19.54</v>
      </c>
    </row>
    <row r="325" spans="1:17" ht="33" customHeight="1" x14ac:dyDescent="0.2">
      <c r="A325" s="28">
        <v>48093</v>
      </c>
      <c r="B325" s="15">
        <v>89396</v>
      </c>
      <c r="C325" s="9" t="s">
        <v>56</v>
      </c>
      <c r="D325" s="47" t="s">
        <v>639</v>
      </c>
      <c r="E325" s="11" t="s">
        <v>84</v>
      </c>
      <c r="F325" s="16">
        <v>24</v>
      </c>
      <c r="G325" s="73">
        <f t="shared" si="51"/>
        <v>18.36</v>
      </c>
      <c r="H325" s="73">
        <f t="shared" si="49"/>
        <v>440.64</v>
      </c>
      <c r="I325" s="73">
        <f t="shared" si="52"/>
        <v>22.44</v>
      </c>
      <c r="J325" s="73">
        <f t="shared" si="50"/>
        <v>538.55999999999995</v>
      </c>
      <c r="K325" s="12">
        <v>718.08</v>
      </c>
      <c r="L325" s="14">
        <v>1E-4</v>
      </c>
      <c r="N325" s="12">
        <v>24.48</v>
      </c>
      <c r="O325" s="86">
        <v>29.92</v>
      </c>
      <c r="P325" s="78"/>
      <c r="Q325" s="2">
        <f t="shared" si="48"/>
        <v>29.92</v>
      </c>
    </row>
    <row r="326" spans="1:17" ht="33" customHeight="1" x14ac:dyDescent="0.2">
      <c r="A326" s="28">
        <v>48459</v>
      </c>
      <c r="B326" s="15">
        <v>89536</v>
      </c>
      <c r="C326" s="9" t="s">
        <v>56</v>
      </c>
      <c r="D326" s="47" t="s">
        <v>640</v>
      </c>
      <c r="E326" s="11" t="s">
        <v>84</v>
      </c>
      <c r="F326" s="16">
        <v>1</v>
      </c>
      <c r="G326" s="73">
        <f t="shared" si="51"/>
        <v>9.6449999999999996</v>
      </c>
      <c r="H326" s="73">
        <f t="shared" si="49"/>
        <v>9.64</v>
      </c>
      <c r="I326" s="73">
        <f t="shared" si="52"/>
        <v>11.782500000000001</v>
      </c>
      <c r="J326" s="73">
        <f t="shared" si="50"/>
        <v>11.78</v>
      </c>
      <c r="K326" s="12">
        <v>15.71</v>
      </c>
      <c r="L326" s="14">
        <v>0</v>
      </c>
      <c r="N326" s="12">
        <v>12.86</v>
      </c>
      <c r="O326" s="86">
        <v>15.71</v>
      </c>
      <c r="P326" s="78"/>
      <c r="Q326" s="2">
        <f t="shared" si="48"/>
        <v>15.71</v>
      </c>
    </row>
    <row r="327" spans="1:17" ht="33" customHeight="1" x14ac:dyDescent="0.2">
      <c r="A327" s="28">
        <v>48824</v>
      </c>
      <c r="B327" s="15">
        <v>104779</v>
      </c>
      <c r="C327" s="9" t="s">
        <v>56</v>
      </c>
      <c r="D327" s="46" t="s">
        <v>641</v>
      </c>
      <c r="E327" s="11" t="s">
        <v>99</v>
      </c>
      <c r="F327" s="12">
        <v>107.83</v>
      </c>
      <c r="G327" s="73">
        <f t="shared" si="51"/>
        <v>6.87</v>
      </c>
      <c r="H327" s="73">
        <f t="shared" si="49"/>
        <v>740.79</v>
      </c>
      <c r="I327" s="73">
        <f t="shared" si="52"/>
        <v>8.3925000000000001</v>
      </c>
      <c r="J327" s="73">
        <f t="shared" si="50"/>
        <v>904.96</v>
      </c>
      <c r="K327" s="13">
        <v>1206.6099999999999</v>
      </c>
      <c r="L327" s="14">
        <v>1E-4</v>
      </c>
      <c r="N327" s="12">
        <v>9.16</v>
      </c>
      <c r="O327" s="86">
        <v>11.19</v>
      </c>
      <c r="P327" s="78"/>
      <c r="Q327" s="2">
        <f t="shared" ref="Q327:Q390" si="53">K327/F327</f>
        <v>11.189928591301122</v>
      </c>
    </row>
    <row r="328" spans="1:17" ht="33" customHeight="1" x14ac:dyDescent="0.2">
      <c r="A328" s="28">
        <v>49189</v>
      </c>
      <c r="B328" s="15">
        <v>90466</v>
      </c>
      <c r="C328" s="9" t="s">
        <v>56</v>
      </c>
      <c r="D328" s="46" t="s">
        <v>642</v>
      </c>
      <c r="E328" s="11" t="s">
        <v>99</v>
      </c>
      <c r="F328" s="12">
        <v>107.83</v>
      </c>
      <c r="G328" s="73">
        <f t="shared" si="51"/>
        <v>15.375</v>
      </c>
      <c r="H328" s="73">
        <f t="shared" ref="H328:H391" si="54">TRUNC(G328*F328,2)</f>
        <v>1657.88</v>
      </c>
      <c r="I328" s="73">
        <f t="shared" si="52"/>
        <v>18.787500000000001</v>
      </c>
      <c r="J328" s="73">
        <f t="shared" ref="J328:J391" si="55">TRUNC(I328*F328,2)</f>
        <v>2025.85</v>
      </c>
      <c r="K328" s="13">
        <v>2701.14</v>
      </c>
      <c r="L328" s="14">
        <v>2.0000000000000001E-4</v>
      </c>
      <c r="N328" s="12">
        <v>20.5</v>
      </c>
      <c r="O328" s="86">
        <v>25.05</v>
      </c>
      <c r="P328" s="78"/>
      <c r="Q328" s="2">
        <f t="shared" si="53"/>
        <v>25.049986089214503</v>
      </c>
    </row>
    <row r="329" spans="1:17" ht="33" customHeight="1" x14ac:dyDescent="0.2">
      <c r="A329" s="5" t="s">
        <v>643</v>
      </c>
      <c r="B329" s="4"/>
      <c r="C329" s="4"/>
      <c r="D329" s="45" t="s">
        <v>644</v>
      </c>
      <c r="E329" s="4"/>
      <c r="F329" s="6">
        <v>1</v>
      </c>
      <c r="G329" s="71"/>
      <c r="H329" s="73">
        <f t="shared" si="54"/>
        <v>0</v>
      </c>
      <c r="I329" s="71"/>
      <c r="J329" s="76">
        <f>SUM(J330:J353)</f>
        <v>5546.58</v>
      </c>
      <c r="K329" s="7">
        <v>7395.51</v>
      </c>
      <c r="L329" s="8">
        <v>5.9999999999999995E-4</v>
      </c>
      <c r="N329" s="4"/>
      <c r="O329" s="88">
        <v>7395.51</v>
      </c>
      <c r="P329" s="78"/>
      <c r="Q329" s="2">
        <f t="shared" si="53"/>
        <v>7395.51</v>
      </c>
    </row>
    <row r="330" spans="1:17" ht="33" customHeight="1" x14ac:dyDescent="0.2">
      <c r="A330" s="9" t="s">
        <v>645</v>
      </c>
      <c r="B330" s="15">
        <v>103979</v>
      </c>
      <c r="C330" s="9" t="s">
        <v>56</v>
      </c>
      <c r="D330" s="47" t="s">
        <v>574</v>
      </c>
      <c r="E330" s="11" t="s">
        <v>99</v>
      </c>
      <c r="F330" s="29">
        <v>12.7</v>
      </c>
      <c r="G330" s="73">
        <f t="shared" ref="G330:G353" si="56">N330*$S$6</f>
        <v>27.022500000000001</v>
      </c>
      <c r="H330" s="73">
        <f t="shared" si="54"/>
        <v>343.18</v>
      </c>
      <c r="I330" s="73">
        <f t="shared" ref="I330:I353" si="57">O330*$S$6</f>
        <v>33.022500000000001</v>
      </c>
      <c r="J330" s="73">
        <f t="shared" si="55"/>
        <v>419.38</v>
      </c>
      <c r="K330" s="12">
        <v>559.17999999999995</v>
      </c>
      <c r="L330" s="14">
        <v>0</v>
      </c>
      <c r="N330" s="12">
        <v>36.03</v>
      </c>
      <c r="O330" s="86">
        <v>44.03</v>
      </c>
      <c r="P330" s="78"/>
      <c r="Q330" s="2">
        <f t="shared" si="53"/>
        <v>44.029921259842517</v>
      </c>
    </row>
    <row r="331" spans="1:17" ht="33" customHeight="1" x14ac:dyDescent="0.2">
      <c r="A331" s="9" t="s">
        <v>646</v>
      </c>
      <c r="B331" s="15">
        <v>89403</v>
      </c>
      <c r="C331" s="9" t="s">
        <v>56</v>
      </c>
      <c r="D331" s="47" t="s">
        <v>647</v>
      </c>
      <c r="E331" s="11" t="s">
        <v>99</v>
      </c>
      <c r="F331" s="29">
        <v>1.1000000000000001</v>
      </c>
      <c r="G331" s="73">
        <f t="shared" si="56"/>
        <v>17.52</v>
      </c>
      <c r="H331" s="73">
        <f t="shared" si="54"/>
        <v>19.27</v>
      </c>
      <c r="I331" s="73">
        <f t="shared" si="57"/>
        <v>21.412500000000001</v>
      </c>
      <c r="J331" s="73">
        <f t="shared" si="55"/>
        <v>23.55</v>
      </c>
      <c r="K331" s="12">
        <v>31.4</v>
      </c>
      <c r="L331" s="14">
        <v>0</v>
      </c>
      <c r="N331" s="12">
        <v>23.36</v>
      </c>
      <c r="O331" s="86">
        <v>28.55</v>
      </c>
      <c r="P331" s="78"/>
      <c r="Q331" s="2">
        <f t="shared" si="53"/>
        <v>28.545454545454543</v>
      </c>
    </row>
    <row r="332" spans="1:17" ht="33" customHeight="1" x14ac:dyDescent="0.2">
      <c r="A332" s="9" t="s">
        <v>648</v>
      </c>
      <c r="B332" s="15">
        <v>89356</v>
      </c>
      <c r="C332" s="9" t="s">
        <v>56</v>
      </c>
      <c r="D332" s="47" t="s">
        <v>577</v>
      </c>
      <c r="E332" s="11" t="s">
        <v>99</v>
      </c>
      <c r="F332" s="29">
        <v>103.2</v>
      </c>
      <c r="G332" s="73">
        <f t="shared" si="56"/>
        <v>23.865000000000002</v>
      </c>
      <c r="H332" s="73">
        <f t="shared" si="54"/>
        <v>2462.86</v>
      </c>
      <c r="I332" s="73">
        <f t="shared" si="57"/>
        <v>29.1675</v>
      </c>
      <c r="J332" s="73">
        <f t="shared" si="55"/>
        <v>3010.08</v>
      </c>
      <c r="K332" s="13">
        <v>4013.44</v>
      </c>
      <c r="L332" s="14">
        <v>2.9999999999999997E-4</v>
      </c>
      <c r="N332" s="12">
        <v>31.82</v>
      </c>
      <c r="O332" s="86">
        <v>38.89</v>
      </c>
      <c r="P332" s="78"/>
      <c r="Q332" s="2">
        <f t="shared" si="53"/>
        <v>38.889922480620157</v>
      </c>
    </row>
    <row r="333" spans="1:17" ht="33" customHeight="1" x14ac:dyDescent="0.2">
      <c r="A333" s="9" t="s">
        <v>649</v>
      </c>
      <c r="B333" s="15">
        <v>94489</v>
      </c>
      <c r="C333" s="9" t="s">
        <v>56</v>
      </c>
      <c r="D333" s="46" t="s">
        <v>650</v>
      </c>
      <c r="E333" s="11" t="s">
        <v>84</v>
      </c>
      <c r="F333" s="16">
        <v>2</v>
      </c>
      <c r="G333" s="73">
        <f t="shared" si="56"/>
        <v>33.532499999999999</v>
      </c>
      <c r="H333" s="73">
        <f t="shared" si="54"/>
        <v>67.06</v>
      </c>
      <c r="I333" s="73">
        <f t="shared" si="57"/>
        <v>40.980000000000004</v>
      </c>
      <c r="J333" s="73">
        <f t="shared" si="55"/>
        <v>81.96</v>
      </c>
      <c r="K333" s="12">
        <v>109.28</v>
      </c>
      <c r="L333" s="14">
        <v>0</v>
      </c>
      <c r="N333" s="12">
        <v>44.71</v>
      </c>
      <c r="O333" s="86">
        <v>54.64</v>
      </c>
      <c r="P333" s="78"/>
      <c r="Q333" s="2">
        <f t="shared" si="53"/>
        <v>54.64</v>
      </c>
    </row>
    <row r="334" spans="1:17" ht="33" customHeight="1" x14ac:dyDescent="0.2">
      <c r="A334" s="9" t="s">
        <v>651</v>
      </c>
      <c r="B334" s="15">
        <v>94490</v>
      </c>
      <c r="C334" s="9" t="s">
        <v>56</v>
      </c>
      <c r="D334" s="46" t="s">
        <v>652</v>
      </c>
      <c r="E334" s="11" t="s">
        <v>84</v>
      </c>
      <c r="F334" s="16">
        <v>2</v>
      </c>
      <c r="G334" s="73">
        <f t="shared" si="56"/>
        <v>49.987500000000004</v>
      </c>
      <c r="H334" s="73">
        <f t="shared" si="54"/>
        <v>99.97</v>
      </c>
      <c r="I334" s="73">
        <f t="shared" si="57"/>
        <v>61.094999999999999</v>
      </c>
      <c r="J334" s="73">
        <f t="shared" si="55"/>
        <v>122.19</v>
      </c>
      <c r="K334" s="12">
        <v>162.91999999999999</v>
      </c>
      <c r="L334" s="14">
        <v>0</v>
      </c>
      <c r="N334" s="12">
        <v>66.650000000000006</v>
      </c>
      <c r="O334" s="86">
        <v>81.459999999999994</v>
      </c>
      <c r="P334" s="78"/>
      <c r="Q334" s="2">
        <f t="shared" si="53"/>
        <v>81.459999999999994</v>
      </c>
    </row>
    <row r="335" spans="1:17" ht="33" customHeight="1" x14ac:dyDescent="0.2">
      <c r="A335" s="9" t="s">
        <v>653</v>
      </c>
      <c r="B335" s="15">
        <v>94492</v>
      </c>
      <c r="C335" s="9" t="s">
        <v>56</v>
      </c>
      <c r="D335" s="47" t="s">
        <v>654</v>
      </c>
      <c r="E335" s="11" t="s">
        <v>84</v>
      </c>
      <c r="F335" s="16">
        <v>2</v>
      </c>
      <c r="G335" s="73">
        <f t="shared" si="56"/>
        <v>69.84</v>
      </c>
      <c r="H335" s="73">
        <f t="shared" si="54"/>
        <v>139.68</v>
      </c>
      <c r="I335" s="73">
        <f t="shared" si="57"/>
        <v>85.364999999999995</v>
      </c>
      <c r="J335" s="73">
        <f t="shared" si="55"/>
        <v>170.73</v>
      </c>
      <c r="K335" s="12">
        <v>227.64</v>
      </c>
      <c r="L335" s="14">
        <v>0</v>
      </c>
      <c r="N335" s="12">
        <v>93.12</v>
      </c>
      <c r="O335" s="86">
        <v>113.82</v>
      </c>
      <c r="P335" s="78"/>
      <c r="Q335" s="2">
        <f t="shared" si="53"/>
        <v>113.82</v>
      </c>
    </row>
    <row r="336" spans="1:17" ht="33" customHeight="1" x14ac:dyDescent="0.2">
      <c r="A336" s="9" t="s">
        <v>655</v>
      </c>
      <c r="B336" s="15">
        <v>103984</v>
      </c>
      <c r="C336" s="9" t="s">
        <v>56</v>
      </c>
      <c r="D336" s="47" t="s">
        <v>656</v>
      </c>
      <c r="E336" s="11" t="s">
        <v>84</v>
      </c>
      <c r="F336" s="16">
        <v>6</v>
      </c>
      <c r="G336" s="73">
        <f t="shared" si="56"/>
        <v>18.502500000000001</v>
      </c>
      <c r="H336" s="73">
        <f t="shared" si="54"/>
        <v>111.01</v>
      </c>
      <c r="I336" s="73">
        <f t="shared" si="57"/>
        <v>22.612499999999997</v>
      </c>
      <c r="J336" s="73">
        <f t="shared" si="55"/>
        <v>135.66999999999999</v>
      </c>
      <c r="K336" s="12">
        <v>180.9</v>
      </c>
      <c r="L336" s="14">
        <v>0</v>
      </c>
      <c r="N336" s="12">
        <v>24.67</v>
      </c>
      <c r="O336" s="86">
        <v>30.15</v>
      </c>
      <c r="P336" s="78"/>
      <c r="Q336" s="2">
        <f t="shared" si="53"/>
        <v>30.150000000000002</v>
      </c>
    </row>
    <row r="337" spans="1:17" ht="33" customHeight="1" x14ac:dyDescent="0.2">
      <c r="A337" s="9" t="s">
        <v>657</v>
      </c>
      <c r="B337" s="15">
        <v>89413</v>
      </c>
      <c r="C337" s="9" t="s">
        <v>56</v>
      </c>
      <c r="D337" s="47" t="s">
        <v>658</v>
      </c>
      <c r="E337" s="11" t="s">
        <v>84</v>
      </c>
      <c r="F337" s="16">
        <v>1</v>
      </c>
      <c r="G337" s="73">
        <f t="shared" si="56"/>
        <v>11.805</v>
      </c>
      <c r="H337" s="73">
        <f t="shared" si="54"/>
        <v>11.8</v>
      </c>
      <c r="I337" s="73">
        <f t="shared" si="57"/>
        <v>14.422499999999999</v>
      </c>
      <c r="J337" s="73">
        <f t="shared" si="55"/>
        <v>14.42</v>
      </c>
      <c r="K337" s="12">
        <v>19.23</v>
      </c>
      <c r="L337" s="14">
        <v>0</v>
      </c>
      <c r="N337" s="12">
        <v>15.74</v>
      </c>
      <c r="O337" s="86">
        <v>19.23</v>
      </c>
      <c r="P337" s="78"/>
      <c r="Q337" s="2">
        <f t="shared" si="53"/>
        <v>19.23</v>
      </c>
    </row>
    <row r="338" spans="1:17" ht="33" customHeight="1" x14ac:dyDescent="0.2">
      <c r="A338" s="9" t="s">
        <v>659</v>
      </c>
      <c r="B338" s="15">
        <v>89363</v>
      </c>
      <c r="C338" s="9" t="s">
        <v>56</v>
      </c>
      <c r="D338" s="47" t="s">
        <v>622</v>
      </c>
      <c r="E338" s="11" t="s">
        <v>84</v>
      </c>
      <c r="F338" s="16">
        <v>1</v>
      </c>
      <c r="G338" s="73">
        <f t="shared" si="56"/>
        <v>10.215</v>
      </c>
      <c r="H338" s="73">
        <f t="shared" si="54"/>
        <v>10.210000000000001</v>
      </c>
      <c r="I338" s="73">
        <f t="shared" si="57"/>
        <v>12.48</v>
      </c>
      <c r="J338" s="73">
        <f t="shared" si="55"/>
        <v>12.48</v>
      </c>
      <c r="K338" s="12">
        <v>16.64</v>
      </c>
      <c r="L338" s="14">
        <v>0</v>
      </c>
      <c r="N338" s="12">
        <v>13.62</v>
      </c>
      <c r="O338" s="86">
        <v>16.64</v>
      </c>
      <c r="P338" s="78"/>
      <c r="Q338" s="2">
        <f t="shared" si="53"/>
        <v>16.64</v>
      </c>
    </row>
    <row r="339" spans="1:17" ht="33" customHeight="1" x14ac:dyDescent="0.2">
      <c r="A339" s="28">
        <v>40424</v>
      </c>
      <c r="B339" s="15">
        <v>89362</v>
      </c>
      <c r="C339" s="9" t="s">
        <v>56</v>
      </c>
      <c r="D339" s="47" t="s">
        <v>587</v>
      </c>
      <c r="E339" s="11" t="s">
        <v>84</v>
      </c>
      <c r="F339" s="16">
        <v>5</v>
      </c>
      <c r="G339" s="73">
        <f t="shared" si="56"/>
        <v>9.6150000000000002</v>
      </c>
      <c r="H339" s="73">
        <f t="shared" si="54"/>
        <v>48.07</v>
      </c>
      <c r="I339" s="73">
        <f t="shared" si="57"/>
        <v>11.745000000000001</v>
      </c>
      <c r="J339" s="73">
        <f t="shared" si="55"/>
        <v>58.72</v>
      </c>
      <c r="K339" s="12">
        <v>78.3</v>
      </c>
      <c r="L339" s="14">
        <v>0</v>
      </c>
      <c r="N339" s="12">
        <v>12.82</v>
      </c>
      <c r="O339" s="86">
        <v>15.66</v>
      </c>
      <c r="P339" s="78"/>
      <c r="Q339" s="2">
        <f t="shared" si="53"/>
        <v>15.66</v>
      </c>
    </row>
    <row r="340" spans="1:17" ht="33" customHeight="1" x14ac:dyDescent="0.2">
      <c r="A340" s="28">
        <v>40789</v>
      </c>
      <c r="B340" s="15">
        <v>89502</v>
      </c>
      <c r="C340" s="9" t="s">
        <v>56</v>
      </c>
      <c r="D340" s="47" t="s">
        <v>624</v>
      </c>
      <c r="E340" s="11" t="s">
        <v>84</v>
      </c>
      <c r="F340" s="16">
        <v>1</v>
      </c>
      <c r="G340" s="73">
        <f t="shared" si="56"/>
        <v>14.9175</v>
      </c>
      <c r="H340" s="73">
        <f t="shared" si="54"/>
        <v>14.91</v>
      </c>
      <c r="I340" s="73">
        <f t="shared" si="57"/>
        <v>18.232499999999998</v>
      </c>
      <c r="J340" s="73">
        <f t="shared" si="55"/>
        <v>18.23</v>
      </c>
      <c r="K340" s="12">
        <v>24.31</v>
      </c>
      <c r="L340" s="14">
        <v>0</v>
      </c>
      <c r="N340" s="12">
        <v>19.89</v>
      </c>
      <c r="O340" s="86">
        <v>24.31</v>
      </c>
      <c r="P340" s="78"/>
      <c r="Q340" s="2">
        <f t="shared" si="53"/>
        <v>24.31</v>
      </c>
    </row>
    <row r="341" spans="1:17" ht="33" customHeight="1" x14ac:dyDescent="0.2">
      <c r="A341" s="28">
        <v>41155</v>
      </c>
      <c r="B341" s="15">
        <v>103974</v>
      </c>
      <c r="C341" s="9" t="s">
        <v>56</v>
      </c>
      <c r="D341" s="46" t="s">
        <v>660</v>
      </c>
      <c r="E341" s="11" t="s">
        <v>84</v>
      </c>
      <c r="F341" s="16">
        <v>1</v>
      </c>
      <c r="G341" s="73">
        <f t="shared" si="56"/>
        <v>9.27</v>
      </c>
      <c r="H341" s="73">
        <f t="shared" si="54"/>
        <v>9.27</v>
      </c>
      <c r="I341" s="73">
        <f t="shared" si="57"/>
        <v>11.324999999999999</v>
      </c>
      <c r="J341" s="73">
        <f t="shared" si="55"/>
        <v>11.32</v>
      </c>
      <c r="K341" s="12">
        <v>15.1</v>
      </c>
      <c r="L341" s="14">
        <v>0</v>
      </c>
      <c r="N341" s="12">
        <v>12.36</v>
      </c>
      <c r="O341" s="86">
        <v>15.1</v>
      </c>
      <c r="P341" s="78"/>
      <c r="Q341" s="2">
        <f t="shared" si="53"/>
        <v>15.1</v>
      </c>
    </row>
    <row r="342" spans="1:17" ht="33" customHeight="1" x14ac:dyDescent="0.2">
      <c r="A342" s="28">
        <v>41520</v>
      </c>
      <c r="B342" s="15">
        <v>89432</v>
      </c>
      <c r="C342" s="9" t="s">
        <v>56</v>
      </c>
      <c r="D342" s="47" t="s">
        <v>661</v>
      </c>
      <c r="E342" s="11" t="s">
        <v>84</v>
      </c>
      <c r="F342" s="16">
        <v>1</v>
      </c>
      <c r="G342" s="73">
        <f t="shared" si="56"/>
        <v>24.150000000000002</v>
      </c>
      <c r="H342" s="73">
        <f t="shared" si="54"/>
        <v>24.15</v>
      </c>
      <c r="I342" s="73">
        <f t="shared" si="57"/>
        <v>29.512500000000003</v>
      </c>
      <c r="J342" s="73">
        <f t="shared" si="55"/>
        <v>29.51</v>
      </c>
      <c r="K342" s="12">
        <v>39.35</v>
      </c>
      <c r="L342" s="14">
        <v>0</v>
      </c>
      <c r="N342" s="12">
        <v>32.200000000000003</v>
      </c>
      <c r="O342" s="86">
        <v>39.35</v>
      </c>
      <c r="P342" s="78"/>
      <c r="Q342" s="2">
        <f t="shared" si="53"/>
        <v>39.35</v>
      </c>
    </row>
    <row r="343" spans="1:17" ht="33" customHeight="1" x14ac:dyDescent="0.2">
      <c r="A343" s="28">
        <v>41885</v>
      </c>
      <c r="B343" s="15">
        <v>104004</v>
      </c>
      <c r="C343" s="9" t="s">
        <v>56</v>
      </c>
      <c r="D343" s="47" t="s">
        <v>595</v>
      </c>
      <c r="E343" s="11" t="s">
        <v>84</v>
      </c>
      <c r="F343" s="16">
        <v>1</v>
      </c>
      <c r="G343" s="73">
        <f t="shared" si="56"/>
        <v>27.39</v>
      </c>
      <c r="H343" s="73">
        <f t="shared" si="54"/>
        <v>27.39</v>
      </c>
      <c r="I343" s="73">
        <f t="shared" si="57"/>
        <v>33.472500000000004</v>
      </c>
      <c r="J343" s="73">
        <f t="shared" si="55"/>
        <v>33.47</v>
      </c>
      <c r="K343" s="12">
        <v>44.63</v>
      </c>
      <c r="L343" s="14">
        <v>0</v>
      </c>
      <c r="N343" s="12">
        <v>36.520000000000003</v>
      </c>
      <c r="O343" s="86">
        <v>44.63</v>
      </c>
      <c r="P343" s="78"/>
      <c r="Q343" s="2">
        <f t="shared" si="53"/>
        <v>44.63</v>
      </c>
    </row>
    <row r="344" spans="1:17" ht="33" customHeight="1" x14ac:dyDescent="0.2">
      <c r="A344" s="28">
        <v>42250</v>
      </c>
      <c r="B344" s="15">
        <v>94690</v>
      </c>
      <c r="C344" s="9" t="s">
        <v>56</v>
      </c>
      <c r="D344" s="47" t="s">
        <v>662</v>
      </c>
      <c r="E344" s="11" t="s">
        <v>84</v>
      </c>
      <c r="F344" s="16">
        <v>1</v>
      </c>
      <c r="G344" s="73">
        <f t="shared" si="56"/>
        <v>10.095000000000001</v>
      </c>
      <c r="H344" s="73">
        <f t="shared" si="54"/>
        <v>10.09</v>
      </c>
      <c r="I344" s="73">
        <f t="shared" si="57"/>
        <v>12.337499999999999</v>
      </c>
      <c r="J344" s="73">
        <f t="shared" si="55"/>
        <v>12.33</v>
      </c>
      <c r="K344" s="12">
        <v>16.45</v>
      </c>
      <c r="L344" s="14">
        <v>0</v>
      </c>
      <c r="N344" s="12">
        <v>13.46</v>
      </c>
      <c r="O344" s="86">
        <v>16.45</v>
      </c>
      <c r="P344" s="78"/>
      <c r="Q344" s="2">
        <f t="shared" si="53"/>
        <v>16.45</v>
      </c>
    </row>
    <row r="345" spans="1:17" ht="33" customHeight="1" x14ac:dyDescent="0.2">
      <c r="A345" s="28">
        <v>42616</v>
      </c>
      <c r="B345" s="15">
        <v>89440</v>
      </c>
      <c r="C345" s="9" t="s">
        <v>56</v>
      </c>
      <c r="D345" s="47" t="s">
        <v>630</v>
      </c>
      <c r="E345" s="11" t="s">
        <v>84</v>
      </c>
      <c r="F345" s="16">
        <v>1</v>
      </c>
      <c r="G345" s="73">
        <f t="shared" si="56"/>
        <v>12</v>
      </c>
      <c r="H345" s="73">
        <f t="shared" si="54"/>
        <v>12</v>
      </c>
      <c r="I345" s="73">
        <f t="shared" si="57"/>
        <v>14.662500000000001</v>
      </c>
      <c r="J345" s="73">
        <f t="shared" si="55"/>
        <v>14.66</v>
      </c>
      <c r="K345" s="12">
        <v>19.55</v>
      </c>
      <c r="L345" s="14">
        <v>0</v>
      </c>
      <c r="N345" s="12">
        <v>16</v>
      </c>
      <c r="O345" s="86">
        <v>19.55</v>
      </c>
      <c r="P345" s="78"/>
      <c r="Q345" s="2">
        <f t="shared" si="53"/>
        <v>19.55</v>
      </c>
    </row>
    <row r="346" spans="1:17" ht="33" customHeight="1" x14ac:dyDescent="0.2">
      <c r="A346" s="28">
        <v>42981</v>
      </c>
      <c r="B346" s="15">
        <v>89627</v>
      </c>
      <c r="C346" s="9" t="s">
        <v>56</v>
      </c>
      <c r="D346" s="47" t="s">
        <v>663</v>
      </c>
      <c r="E346" s="11" t="s">
        <v>84</v>
      </c>
      <c r="F346" s="16">
        <v>2</v>
      </c>
      <c r="G346" s="73">
        <f t="shared" si="56"/>
        <v>17.377500000000001</v>
      </c>
      <c r="H346" s="73">
        <f t="shared" si="54"/>
        <v>34.75</v>
      </c>
      <c r="I346" s="73">
        <f t="shared" si="57"/>
        <v>21.240000000000002</v>
      </c>
      <c r="J346" s="73">
        <f t="shared" si="55"/>
        <v>42.48</v>
      </c>
      <c r="K346" s="12">
        <v>56.64</v>
      </c>
      <c r="L346" s="14">
        <v>0</v>
      </c>
      <c r="N346" s="12">
        <v>23.17</v>
      </c>
      <c r="O346" s="86">
        <v>28.32</v>
      </c>
      <c r="P346" s="78"/>
      <c r="Q346" s="2">
        <f t="shared" si="53"/>
        <v>28.32</v>
      </c>
    </row>
    <row r="347" spans="1:17" ht="33" customHeight="1" x14ac:dyDescent="0.2">
      <c r="A347" s="28">
        <v>43346</v>
      </c>
      <c r="B347" s="15">
        <v>103953</v>
      </c>
      <c r="C347" s="9" t="s">
        <v>56</v>
      </c>
      <c r="D347" s="47" t="s">
        <v>664</v>
      </c>
      <c r="E347" s="11" t="s">
        <v>84</v>
      </c>
      <c r="F347" s="16">
        <v>2</v>
      </c>
      <c r="G347" s="73">
        <f t="shared" si="56"/>
        <v>7.1325000000000003</v>
      </c>
      <c r="H347" s="73">
        <f t="shared" si="54"/>
        <v>14.26</v>
      </c>
      <c r="I347" s="73">
        <f t="shared" si="57"/>
        <v>8.7149999999999999</v>
      </c>
      <c r="J347" s="73">
        <f t="shared" si="55"/>
        <v>17.43</v>
      </c>
      <c r="K347" s="12">
        <v>23.24</v>
      </c>
      <c r="L347" s="14">
        <v>0</v>
      </c>
      <c r="N347" s="12">
        <v>9.51</v>
      </c>
      <c r="O347" s="86">
        <v>11.62</v>
      </c>
      <c r="P347" s="78"/>
      <c r="Q347" s="2">
        <f t="shared" si="53"/>
        <v>11.62</v>
      </c>
    </row>
    <row r="348" spans="1:17" ht="33" customHeight="1" x14ac:dyDescent="0.2">
      <c r="A348" s="28">
        <v>43711</v>
      </c>
      <c r="B348" s="15">
        <v>89383</v>
      </c>
      <c r="C348" s="9" t="s">
        <v>56</v>
      </c>
      <c r="D348" s="47" t="s">
        <v>636</v>
      </c>
      <c r="E348" s="11" t="s">
        <v>84</v>
      </c>
      <c r="F348" s="16">
        <v>2</v>
      </c>
      <c r="G348" s="73">
        <f t="shared" si="56"/>
        <v>6.5249999999999995</v>
      </c>
      <c r="H348" s="73">
        <f t="shared" si="54"/>
        <v>13.05</v>
      </c>
      <c r="I348" s="73">
        <f t="shared" si="57"/>
        <v>7.9725000000000001</v>
      </c>
      <c r="J348" s="73">
        <f t="shared" si="55"/>
        <v>15.94</v>
      </c>
      <c r="K348" s="12">
        <v>21.26</v>
      </c>
      <c r="L348" s="14">
        <v>0</v>
      </c>
      <c r="N348" s="12">
        <v>8.6999999999999993</v>
      </c>
      <c r="O348" s="86">
        <v>10.63</v>
      </c>
      <c r="P348" s="78"/>
      <c r="Q348" s="2">
        <f t="shared" si="53"/>
        <v>10.63</v>
      </c>
    </row>
    <row r="349" spans="1:17" ht="33" customHeight="1" x14ac:dyDescent="0.2">
      <c r="A349" s="28">
        <v>44077</v>
      </c>
      <c r="B349" s="15">
        <v>94672</v>
      </c>
      <c r="C349" s="9" t="s">
        <v>56</v>
      </c>
      <c r="D349" s="47" t="s">
        <v>637</v>
      </c>
      <c r="E349" s="11" t="s">
        <v>84</v>
      </c>
      <c r="F349" s="16">
        <v>2</v>
      </c>
      <c r="G349" s="73">
        <f t="shared" si="56"/>
        <v>5.4450000000000003</v>
      </c>
      <c r="H349" s="73">
        <f t="shared" si="54"/>
        <v>10.89</v>
      </c>
      <c r="I349" s="73">
        <f t="shared" si="57"/>
        <v>6.6524999999999999</v>
      </c>
      <c r="J349" s="73">
        <f t="shared" si="55"/>
        <v>13.3</v>
      </c>
      <c r="K349" s="12">
        <v>17.739999999999998</v>
      </c>
      <c r="L349" s="14">
        <v>0</v>
      </c>
      <c r="N349" s="12">
        <v>7.26</v>
      </c>
      <c r="O349" s="86">
        <v>8.8699999999999992</v>
      </c>
      <c r="P349" s="78"/>
      <c r="Q349" s="2">
        <f t="shared" si="53"/>
        <v>8.8699999999999992</v>
      </c>
    </row>
    <row r="350" spans="1:17" ht="33" customHeight="1" x14ac:dyDescent="0.2">
      <c r="A350" s="28">
        <v>44442</v>
      </c>
      <c r="B350" s="15">
        <v>90374</v>
      </c>
      <c r="C350" s="9" t="s">
        <v>56</v>
      </c>
      <c r="D350" s="46" t="s">
        <v>665</v>
      </c>
      <c r="E350" s="11" t="s">
        <v>84</v>
      </c>
      <c r="F350" s="16">
        <v>3</v>
      </c>
      <c r="G350" s="73">
        <f t="shared" si="56"/>
        <v>19.89</v>
      </c>
      <c r="H350" s="73">
        <f t="shared" si="54"/>
        <v>59.67</v>
      </c>
      <c r="I350" s="73">
        <f t="shared" si="57"/>
        <v>24.307499999999997</v>
      </c>
      <c r="J350" s="73">
        <f t="shared" si="55"/>
        <v>72.92</v>
      </c>
      <c r="K350" s="12">
        <v>97.23</v>
      </c>
      <c r="L350" s="14">
        <v>0</v>
      </c>
      <c r="N350" s="12">
        <v>26.52</v>
      </c>
      <c r="O350" s="86">
        <v>32.409999999999997</v>
      </c>
      <c r="P350" s="78"/>
      <c r="Q350" s="2">
        <f t="shared" si="53"/>
        <v>32.410000000000004</v>
      </c>
    </row>
    <row r="351" spans="1:17" ht="33" customHeight="1" x14ac:dyDescent="0.2">
      <c r="A351" s="28">
        <v>44807</v>
      </c>
      <c r="B351" s="15">
        <v>89594</v>
      </c>
      <c r="C351" s="9" t="s">
        <v>56</v>
      </c>
      <c r="D351" s="47" t="s">
        <v>666</v>
      </c>
      <c r="E351" s="11" t="s">
        <v>84</v>
      </c>
      <c r="F351" s="16">
        <v>2</v>
      </c>
      <c r="G351" s="73">
        <f t="shared" si="56"/>
        <v>28.402499999999996</v>
      </c>
      <c r="H351" s="73">
        <f t="shared" si="54"/>
        <v>56.8</v>
      </c>
      <c r="I351" s="73">
        <f t="shared" si="57"/>
        <v>34.71</v>
      </c>
      <c r="J351" s="73">
        <f t="shared" si="55"/>
        <v>69.42</v>
      </c>
      <c r="K351" s="12">
        <v>92.56</v>
      </c>
      <c r="L351" s="14">
        <v>0</v>
      </c>
      <c r="N351" s="12">
        <v>37.869999999999997</v>
      </c>
      <c r="O351" s="86">
        <v>46.28</v>
      </c>
      <c r="P351" s="78"/>
      <c r="Q351" s="2">
        <f t="shared" si="53"/>
        <v>46.28</v>
      </c>
    </row>
    <row r="352" spans="1:17" ht="33" customHeight="1" x14ac:dyDescent="0.2">
      <c r="A352" s="28">
        <v>45172</v>
      </c>
      <c r="B352" s="15">
        <v>89552</v>
      </c>
      <c r="C352" s="9" t="s">
        <v>56</v>
      </c>
      <c r="D352" s="46" t="s">
        <v>667</v>
      </c>
      <c r="E352" s="11" t="s">
        <v>84</v>
      </c>
      <c r="F352" s="16">
        <v>1</v>
      </c>
      <c r="G352" s="73">
        <f t="shared" si="56"/>
        <v>14.805</v>
      </c>
      <c r="H352" s="73">
        <f t="shared" si="54"/>
        <v>14.8</v>
      </c>
      <c r="I352" s="73">
        <f t="shared" si="57"/>
        <v>18.09</v>
      </c>
      <c r="J352" s="73">
        <f t="shared" si="55"/>
        <v>18.09</v>
      </c>
      <c r="K352" s="12">
        <v>24.12</v>
      </c>
      <c r="L352" s="14">
        <v>0</v>
      </c>
      <c r="N352" s="12">
        <v>19.739999999999998</v>
      </c>
      <c r="O352" s="86">
        <v>24.12</v>
      </c>
      <c r="P352" s="78"/>
      <c r="Q352" s="2">
        <f t="shared" si="53"/>
        <v>24.12</v>
      </c>
    </row>
    <row r="353" spans="1:17" ht="33" customHeight="1" x14ac:dyDescent="0.2">
      <c r="A353" s="28">
        <v>45538</v>
      </c>
      <c r="B353" s="15">
        <v>98114</v>
      </c>
      <c r="C353" s="9" t="s">
        <v>56</v>
      </c>
      <c r="D353" s="46" t="s">
        <v>668</v>
      </c>
      <c r="E353" s="11" t="s">
        <v>84</v>
      </c>
      <c r="F353" s="16">
        <v>2</v>
      </c>
      <c r="G353" s="73">
        <f t="shared" si="56"/>
        <v>461.54999999999995</v>
      </c>
      <c r="H353" s="73">
        <f t="shared" si="54"/>
        <v>923.1</v>
      </c>
      <c r="I353" s="73">
        <f t="shared" si="57"/>
        <v>564.15000000000009</v>
      </c>
      <c r="J353" s="73">
        <f t="shared" si="55"/>
        <v>1128.3</v>
      </c>
      <c r="K353" s="13">
        <v>1504.4</v>
      </c>
      <c r="L353" s="14">
        <v>1E-4</v>
      </c>
      <c r="N353" s="12">
        <v>615.4</v>
      </c>
      <c r="O353" s="86">
        <v>752.2</v>
      </c>
      <c r="P353" s="78"/>
      <c r="Q353" s="2">
        <f t="shared" si="53"/>
        <v>752.2</v>
      </c>
    </row>
    <row r="354" spans="1:17" ht="33" customHeight="1" x14ac:dyDescent="0.2">
      <c r="A354" s="5" t="s">
        <v>669</v>
      </c>
      <c r="B354" s="4"/>
      <c r="C354" s="4"/>
      <c r="D354" s="45" t="s">
        <v>670</v>
      </c>
      <c r="E354" s="4"/>
      <c r="F354" s="6">
        <v>1</v>
      </c>
      <c r="G354" s="71"/>
      <c r="H354" s="73">
        <f t="shared" si="54"/>
        <v>0</v>
      </c>
      <c r="I354" s="71"/>
      <c r="J354" s="76">
        <f>SUM(J355:J389)</f>
        <v>33074.689999999995</v>
      </c>
      <c r="K354" s="7">
        <v>44099.7</v>
      </c>
      <c r="L354" s="8">
        <v>3.7000000000000002E-3</v>
      </c>
      <c r="N354" s="4"/>
      <c r="O354" s="88">
        <v>44099.7</v>
      </c>
      <c r="P354" s="78"/>
      <c r="Q354" s="2">
        <f t="shared" si="53"/>
        <v>44099.7</v>
      </c>
    </row>
    <row r="355" spans="1:17" ht="33" customHeight="1" x14ac:dyDescent="0.2">
      <c r="A355" s="9" t="s">
        <v>671</v>
      </c>
      <c r="B355" s="15">
        <v>98102</v>
      </c>
      <c r="C355" s="9" t="s">
        <v>56</v>
      </c>
      <c r="D355" s="47" t="s">
        <v>672</v>
      </c>
      <c r="E355" s="11" t="s">
        <v>84</v>
      </c>
      <c r="F355" s="16">
        <v>1</v>
      </c>
      <c r="G355" s="73">
        <f t="shared" ref="G355:G389" si="58">N355*$S$6</f>
        <v>164.42249999999999</v>
      </c>
      <c r="H355" s="73">
        <f t="shared" si="54"/>
        <v>164.42</v>
      </c>
      <c r="I355" s="73">
        <f t="shared" ref="I355:I389" si="59">O355*$S$6</f>
        <v>200.96999999999997</v>
      </c>
      <c r="J355" s="73">
        <f t="shared" si="55"/>
        <v>200.97</v>
      </c>
      <c r="K355" s="12">
        <v>267.95999999999998</v>
      </c>
      <c r="L355" s="14">
        <v>0</v>
      </c>
      <c r="N355" s="12">
        <v>219.23</v>
      </c>
      <c r="O355" s="86">
        <v>267.95999999999998</v>
      </c>
      <c r="P355" s="78"/>
      <c r="Q355" s="2">
        <f t="shared" si="53"/>
        <v>267.95999999999998</v>
      </c>
    </row>
    <row r="356" spans="1:17" ht="33" customHeight="1" x14ac:dyDescent="0.2">
      <c r="A356" s="9" t="s">
        <v>673</v>
      </c>
      <c r="B356" s="15">
        <v>97974</v>
      </c>
      <c r="C356" s="9" t="s">
        <v>56</v>
      </c>
      <c r="D356" s="47" t="s">
        <v>674</v>
      </c>
      <c r="E356" s="11" t="s">
        <v>84</v>
      </c>
      <c r="F356" s="16">
        <v>9</v>
      </c>
      <c r="G356" s="73">
        <f t="shared" si="58"/>
        <v>444.01499999999999</v>
      </c>
      <c r="H356" s="73">
        <f t="shared" si="54"/>
        <v>3996.13</v>
      </c>
      <c r="I356" s="73">
        <f t="shared" si="59"/>
        <v>542.71500000000003</v>
      </c>
      <c r="J356" s="73">
        <f t="shared" si="55"/>
        <v>4884.43</v>
      </c>
      <c r="K356" s="13">
        <v>6512.58</v>
      </c>
      <c r="L356" s="14">
        <v>5.0000000000000001E-4</v>
      </c>
      <c r="N356" s="12">
        <v>592.02</v>
      </c>
      <c r="O356" s="86">
        <v>723.62</v>
      </c>
      <c r="P356" s="78"/>
      <c r="Q356" s="2">
        <f t="shared" si="53"/>
        <v>723.62</v>
      </c>
    </row>
    <row r="357" spans="1:17" ht="33" customHeight="1" x14ac:dyDescent="0.2">
      <c r="A357" s="9" t="s">
        <v>675</v>
      </c>
      <c r="B357" s="15">
        <v>98114</v>
      </c>
      <c r="C357" s="9" t="s">
        <v>56</v>
      </c>
      <c r="D357" s="46" t="s">
        <v>668</v>
      </c>
      <c r="E357" s="11" t="s">
        <v>84</v>
      </c>
      <c r="F357" s="16">
        <v>9</v>
      </c>
      <c r="G357" s="73">
        <f t="shared" si="58"/>
        <v>461.54999999999995</v>
      </c>
      <c r="H357" s="73">
        <f t="shared" si="54"/>
        <v>4153.95</v>
      </c>
      <c r="I357" s="73">
        <f t="shared" si="59"/>
        <v>564.15000000000009</v>
      </c>
      <c r="J357" s="73">
        <f t="shared" si="55"/>
        <v>5077.3500000000004</v>
      </c>
      <c r="K357" s="13">
        <v>6769.8</v>
      </c>
      <c r="L357" s="14">
        <v>5.9999999999999995E-4</v>
      </c>
      <c r="N357" s="12">
        <v>615.4</v>
      </c>
      <c r="O357" s="86">
        <v>752.2</v>
      </c>
      <c r="P357" s="78"/>
      <c r="Q357" s="2">
        <f t="shared" si="53"/>
        <v>752.2</v>
      </c>
    </row>
    <row r="358" spans="1:17" ht="33" customHeight="1" x14ac:dyDescent="0.2">
      <c r="A358" s="9" t="s">
        <v>676</v>
      </c>
      <c r="B358" s="15">
        <v>89707</v>
      </c>
      <c r="C358" s="9" t="s">
        <v>56</v>
      </c>
      <c r="D358" s="47" t="s">
        <v>677</v>
      </c>
      <c r="E358" s="11" t="s">
        <v>84</v>
      </c>
      <c r="F358" s="16">
        <v>21</v>
      </c>
      <c r="G358" s="73">
        <f t="shared" si="58"/>
        <v>50.625</v>
      </c>
      <c r="H358" s="73">
        <f t="shared" si="54"/>
        <v>1063.1199999999999</v>
      </c>
      <c r="I358" s="73">
        <f t="shared" si="59"/>
        <v>61.875</v>
      </c>
      <c r="J358" s="73">
        <f t="shared" si="55"/>
        <v>1299.3699999999999</v>
      </c>
      <c r="K358" s="13">
        <v>1732.5</v>
      </c>
      <c r="L358" s="14">
        <v>1E-4</v>
      </c>
      <c r="N358" s="12">
        <v>67.5</v>
      </c>
      <c r="O358" s="86">
        <v>82.5</v>
      </c>
      <c r="P358" s="78"/>
      <c r="Q358" s="2">
        <f t="shared" si="53"/>
        <v>82.5</v>
      </c>
    </row>
    <row r="359" spans="1:17" ht="33" customHeight="1" x14ac:dyDescent="0.2">
      <c r="A359" s="9" t="s">
        <v>678</v>
      </c>
      <c r="B359" s="15">
        <v>89708</v>
      </c>
      <c r="C359" s="9" t="s">
        <v>56</v>
      </c>
      <c r="D359" s="47" t="s">
        <v>679</v>
      </c>
      <c r="E359" s="11" t="s">
        <v>84</v>
      </c>
      <c r="F359" s="16">
        <v>6</v>
      </c>
      <c r="G359" s="73">
        <f t="shared" si="58"/>
        <v>107.1825</v>
      </c>
      <c r="H359" s="73">
        <f t="shared" si="54"/>
        <v>643.09</v>
      </c>
      <c r="I359" s="73">
        <f t="shared" si="59"/>
        <v>131.0025</v>
      </c>
      <c r="J359" s="73">
        <f t="shared" si="55"/>
        <v>786.01</v>
      </c>
      <c r="K359" s="13">
        <v>1048.02</v>
      </c>
      <c r="L359" s="14">
        <v>1E-4</v>
      </c>
      <c r="N359" s="12">
        <v>142.91</v>
      </c>
      <c r="O359" s="86">
        <v>174.67</v>
      </c>
      <c r="P359" s="78"/>
      <c r="Q359" s="2">
        <f t="shared" si="53"/>
        <v>174.67</v>
      </c>
    </row>
    <row r="360" spans="1:17" ht="33" customHeight="1" x14ac:dyDescent="0.2">
      <c r="A360" s="9" t="s">
        <v>680</v>
      </c>
      <c r="B360" s="15">
        <v>89711</v>
      </c>
      <c r="C360" s="9" t="s">
        <v>56</v>
      </c>
      <c r="D360" s="47" t="s">
        <v>681</v>
      </c>
      <c r="E360" s="11" t="s">
        <v>99</v>
      </c>
      <c r="F360" s="29">
        <v>42.2</v>
      </c>
      <c r="G360" s="73">
        <f t="shared" si="58"/>
        <v>21.337499999999999</v>
      </c>
      <c r="H360" s="73">
        <f t="shared" si="54"/>
        <v>900.44</v>
      </c>
      <c r="I360" s="73">
        <f t="shared" si="59"/>
        <v>26.077500000000001</v>
      </c>
      <c r="J360" s="73">
        <f t="shared" si="55"/>
        <v>1100.47</v>
      </c>
      <c r="K360" s="13">
        <v>1467.29</v>
      </c>
      <c r="L360" s="14">
        <v>1E-4</v>
      </c>
      <c r="N360" s="12">
        <v>28.45</v>
      </c>
      <c r="O360" s="86">
        <v>34.770000000000003</v>
      </c>
      <c r="P360" s="78"/>
      <c r="Q360" s="2">
        <f t="shared" si="53"/>
        <v>34.769905213270142</v>
      </c>
    </row>
    <row r="361" spans="1:17" ht="33" customHeight="1" x14ac:dyDescent="0.2">
      <c r="A361" s="9" t="s">
        <v>682</v>
      </c>
      <c r="B361" s="15">
        <v>89712</v>
      </c>
      <c r="C361" s="9" t="s">
        <v>56</v>
      </c>
      <c r="D361" s="47" t="s">
        <v>683</v>
      </c>
      <c r="E361" s="11" t="s">
        <v>99</v>
      </c>
      <c r="F361" s="29">
        <v>36.299999999999997</v>
      </c>
      <c r="G361" s="73">
        <f t="shared" si="58"/>
        <v>26.362499999999997</v>
      </c>
      <c r="H361" s="73">
        <f t="shared" si="54"/>
        <v>956.95</v>
      </c>
      <c r="I361" s="73">
        <f t="shared" si="59"/>
        <v>32.22</v>
      </c>
      <c r="J361" s="73">
        <f t="shared" si="55"/>
        <v>1169.58</v>
      </c>
      <c r="K361" s="13">
        <v>1559.44</v>
      </c>
      <c r="L361" s="14">
        <v>1E-4</v>
      </c>
      <c r="N361" s="12">
        <v>35.15</v>
      </c>
      <c r="O361" s="86">
        <v>42.96</v>
      </c>
      <c r="P361" s="78"/>
      <c r="Q361" s="2">
        <f t="shared" si="53"/>
        <v>42.959779614325072</v>
      </c>
    </row>
    <row r="362" spans="1:17" ht="33" customHeight="1" x14ac:dyDescent="0.2">
      <c r="A362" s="9" t="s">
        <v>684</v>
      </c>
      <c r="B362" s="15">
        <v>89713</v>
      </c>
      <c r="C362" s="9" t="s">
        <v>56</v>
      </c>
      <c r="D362" s="46" t="s">
        <v>685</v>
      </c>
      <c r="E362" s="11" t="s">
        <v>99</v>
      </c>
      <c r="F362" s="29">
        <v>5.3</v>
      </c>
      <c r="G362" s="73">
        <f t="shared" si="58"/>
        <v>32.655000000000001</v>
      </c>
      <c r="H362" s="73">
        <f t="shared" si="54"/>
        <v>173.07</v>
      </c>
      <c r="I362" s="73">
        <f t="shared" si="59"/>
        <v>39.907499999999999</v>
      </c>
      <c r="J362" s="73">
        <f t="shared" si="55"/>
        <v>211.5</v>
      </c>
      <c r="K362" s="12">
        <v>282.01</v>
      </c>
      <c r="L362" s="14">
        <v>0</v>
      </c>
      <c r="N362" s="12">
        <v>43.54</v>
      </c>
      <c r="O362" s="86">
        <v>53.21</v>
      </c>
      <c r="P362" s="78"/>
      <c r="Q362" s="2">
        <f t="shared" si="53"/>
        <v>53.20943396226415</v>
      </c>
    </row>
    <row r="363" spans="1:17" ht="33" customHeight="1" x14ac:dyDescent="0.2">
      <c r="A363" s="9" t="s">
        <v>686</v>
      </c>
      <c r="B363" s="15">
        <v>89714</v>
      </c>
      <c r="C363" s="9" t="s">
        <v>56</v>
      </c>
      <c r="D363" s="46" t="s">
        <v>687</v>
      </c>
      <c r="E363" s="11" t="s">
        <v>99</v>
      </c>
      <c r="F363" s="29">
        <v>227.2</v>
      </c>
      <c r="G363" s="73">
        <f t="shared" si="58"/>
        <v>36.727499999999999</v>
      </c>
      <c r="H363" s="73">
        <f t="shared" si="54"/>
        <v>8344.48</v>
      </c>
      <c r="I363" s="73">
        <f t="shared" si="59"/>
        <v>44.887500000000003</v>
      </c>
      <c r="J363" s="73">
        <f t="shared" si="55"/>
        <v>10198.44</v>
      </c>
      <c r="K363" s="13">
        <v>13597.92</v>
      </c>
      <c r="L363" s="14">
        <v>1.1000000000000001E-3</v>
      </c>
      <c r="N363" s="12">
        <v>48.97</v>
      </c>
      <c r="O363" s="86">
        <v>59.85</v>
      </c>
      <c r="P363" s="78"/>
      <c r="Q363" s="2">
        <f t="shared" si="53"/>
        <v>59.85</v>
      </c>
    </row>
    <row r="364" spans="1:17" ht="33" customHeight="1" x14ac:dyDescent="0.2">
      <c r="A364" s="28">
        <v>40425</v>
      </c>
      <c r="B364" s="15">
        <v>104086</v>
      </c>
      <c r="C364" s="9" t="s">
        <v>56</v>
      </c>
      <c r="D364" s="46" t="s">
        <v>688</v>
      </c>
      <c r="E364" s="11" t="s">
        <v>99</v>
      </c>
      <c r="F364" s="29">
        <v>11.5</v>
      </c>
      <c r="G364" s="73">
        <f t="shared" si="58"/>
        <v>82.905000000000001</v>
      </c>
      <c r="H364" s="73">
        <f t="shared" si="54"/>
        <v>953.4</v>
      </c>
      <c r="I364" s="73">
        <f t="shared" si="59"/>
        <v>101.33250000000001</v>
      </c>
      <c r="J364" s="73">
        <f t="shared" si="55"/>
        <v>1165.32</v>
      </c>
      <c r="K364" s="13">
        <v>1553.76</v>
      </c>
      <c r="L364" s="14">
        <v>1E-4</v>
      </c>
      <c r="N364" s="12">
        <v>110.54</v>
      </c>
      <c r="O364" s="86">
        <v>135.11000000000001</v>
      </c>
      <c r="P364" s="78"/>
      <c r="Q364" s="2">
        <f t="shared" si="53"/>
        <v>135.10956521739129</v>
      </c>
    </row>
    <row r="365" spans="1:17" ht="33" customHeight="1" x14ac:dyDescent="0.2">
      <c r="A365" s="28">
        <v>40790</v>
      </c>
      <c r="B365" s="15">
        <v>104063</v>
      </c>
      <c r="C365" s="9" t="s">
        <v>56</v>
      </c>
      <c r="D365" s="47" t="s">
        <v>689</v>
      </c>
      <c r="E365" s="11" t="s">
        <v>84</v>
      </c>
      <c r="F365" s="16">
        <v>6</v>
      </c>
      <c r="G365" s="73">
        <f t="shared" si="58"/>
        <v>58.342500000000001</v>
      </c>
      <c r="H365" s="73">
        <f t="shared" si="54"/>
        <v>350.05</v>
      </c>
      <c r="I365" s="73">
        <f t="shared" si="59"/>
        <v>71.31</v>
      </c>
      <c r="J365" s="73">
        <f t="shared" si="55"/>
        <v>427.86</v>
      </c>
      <c r="K365" s="12">
        <v>570.48</v>
      </c>
      <c r="L365" s="14">
        <v>0</v>
      </c>
      <c r="N365" s="12">
        <v>77.790000000000006</v>
      </c>
      <c r="O365" s="86">
        <v>95.08</v>
      </c>
      <c r="P365" s="78"/>
      <c r="Q365" s="2">
        <f t="shared" si="53"/>
        <v>95.08</v>
      </c>
    </row>
    <row r="366" spans="1:17" ht="33" customHeight="1" x14ac:dyDescent="0.2">
      <c r="A366" s="28">
        <v>41156</v>
      </c>
      <c r="B366" s="15">
        <v>89746</v>
      </c>
      <c r="C366" s="9" t="s">
        <v>56</v>
      </c>
      <c r="D366" s="47" t="s">
        <v>690</v>
      </c>
      <c r="E366" s="11" t="s">
        <v>84</v>
      </c>
      <c r="F366" s="16">
        <v>14</v>
      </c>
      <c r="G366" s="73">
        <f t="shared" si="58"/>
        <v>24.907499999999999</v>
      </c>
      <c r="H366" s="73">
        <f t="shared" si="54"/>
        <v>348.7</v>
      </c>
      <c r="I366" s="73">
        <f t="shared" si="59"/>
        <v>30.442500000000003</v>
      </c>
      <c r="J366" s="73">
        <f t="shared" si="55"/>
        <v>426.19</v>
      </c>
      <c r="K366" s="12">
        <v>568.26</v>
      </c>
      <c r="L366" s="14">
        <v>0</v>
      </c>
      <c r="N366" s="12">
        <v>33.21</v>
      </c>
      <c r="O366" s="86">
        <v>40.590000000000003</v>
      </c>
      <c r="P366" s="78"/>
      <c r="Q366" s="2">
        <f t="shared" si="53"/>
        <v>40.589999999999996</v>
      </c>
    </row>
    <row r="367" spans="1:17" ht="33" customHeight="1" x14ac:dyDescent="0.2">
      <c r="A367" s="28">
        <v>41521</v>
      </c>
      <c r="B367" s="15">
        <v>89739</v>
      </c>
      <c r="C367" s="9" t="s">
        <v>56</v>
      </c>
      <c r="D367" s="47" t="s">
        <v>691</v>
      </c>
      <c r="E367" s="11" t="s">
        <v>84</v>
      </c>
      <c r="F367" s="16">
        <v>2</v>
      </c>
      <c r="G367" s="73">
        <f t="shared" si="58"/>
        <v>20.774999999999999</v>
      </c>
      <c r="H367" s="73">
        <f t="shared" si="54"/>
        <v>41.55</v>
      </c>
      <c r="I367" s="73">
        <f t="shared" si="59"/>
        <v>25.387500000000003</v>
      </c>
      <c r="J367" s="73">
        <f t="shared" si="55"/>
        <v>50.77</v>
      </c>
      <c r="K367" s="12">
        <v>67.7</v>
      </c>
      <c r="L367" s="14">
        <v>0</v>
      </c>
      <c r="N367" s="12">
        <v>27.7</v>
      </c>
      <c r="O367" s="86">
        <v>33.85</v>
      </c>
      <c r="P367" s="78"/>
      <c r="Q367" s="2">
        <f t="shared" si="53"/>
        <v>33.85</v>
      </c>
    </row>
    <row r="368" spans="1:17" ht="33" customHeight="1" x14ac:dyDescent="0.2">
      <c r="A368" s="28">
        <v>41886</v>
      </c>
      <c r="B368" s="15">
        <v>89732</v>
      </c>
      <c r="C368" s="9" t="s">
        <v>56</v>
      </c>
      <c r="D368" s="47" t="s">
        <v>692</v>
      </c>
      <c r="E368" s="11" t="s">
        <v>84</v>
      </c>
      <c r="F368" s="16">
        <v>23</v>
      </c>
      <c r="G368" s="73">
        <f t="shared" si="58"/>
        <v>14.145</v>
      </c>
      <c r="H368" s="73">
        <f t="shared" si="54"/>
        <v>325.33</v>
      </c>
      <c r="I368" s="73">
        <f t="shared" si="59"/>
        <v>17.287500000000001</v>
      </c>
      <c r="J368" s="73">
        <f t="shared" si="55"/>
        <v>397.61</v>
      </c>
      <c r="K368" s="12">
        <v>530.15</v>
      </c>
      <c r="L368" s="14">
        <v>0</v>
      </c>
      <c r="N368" s="12">
        <v>18.86</v>
      </c>
      <c r="O368" s="86">
        <v>23.05</v>
      </c>
      <c r="P368" s="78"/>
      <c r="Q368" s="2">
        <f t="shared" si="53"/>
        <v>23.05</v>
      </c>
    </row>
    <row r="369" spans="1:17" ht="33" customHeight="1" x14ac:dyDescent="0.2">
      <c r="A369" s="28">
        <v>42251</v>
      </c>
      <c r="B369" s="15">
        <v>89726</v>
      </c>
      <c r="C369" s="9" t="s">
        <v>56</v>
      </c>
      <c r="D369" s="47" t="s">
        <v>693</v>
      </c>
      <c r="E369" s="11" t="s">
        <v>84</v>
      </c>
      <c r="F369" s="16">
        <v>16</v>
      </c>
      <c r="G369" s="73">
        <f t="shared" si="58"/>
        <v>10.17</v>
      </c>
      <c r="H369" s="73">
        <f t="shared" si="54"/>
        <v>162.72</v>
      </c>
      <c r="I369" s="73">
        <f t="shared" si="59"/>
        <v>12.4275</v>
      </c>
      <c r="J369" s="73">
        <f t="shared" si="55"/>
        <v>198.84</v>
      </c>
      <c r="K369" s="12">
        <v>265.12</v>
      </c>
      <c r="L369" s="14">
        <v>0</v>
      </c>
      <c r="N369" s="12">
        <v>13.56</v>
      </c>
      <c r="O369" s="86">
        <v>16.57</v>
      </c>
      <c r="P369" s="78"/>
      <c r="Q369" s="2">
        <f t="shared" si="53"/>
        <v>16.57</v>
      </c>
    </row>
    <row r="370" spans="1:17" ht="33" customHeight="1" x14ac:dyDescent="0.2">
      <c r="A370" s="28">
        <v>42617</v>
      </c>
      <c r="B370" s="15">
        <v>89744</v>
      </c>
      <c r="C370" s="9" t="s">
        <v>56</v>
      </c>
      <c r="D370" s="47" t="s">
        <v>694</v>
      </c>
      <c r="E370" s="11" t="s">
        <v>84</v>
      </c>
      <c r="F370" s="16">
        <v>28</v>
      </c>
      <c r="G370" s="73">
        <f t="shared" si="58"/>
        <v>24.217500000000001</v>
      </c>
      <c r="H370" s="73">
        <f t="shared" si="54"/>
        <v>678.09</v>
      </c>
      <c r="I370" s="73">
        <f t="shared" si="59"/>
        <v>29.594999999999999</v>
      </c>
      <c r="J370" s="73">
        <f t="shared" si="55"/>
        <v>828.66</v>
      </c>
      <c r="K370" s="13">
        <v>1104.8800000000001</v>
      </c>
      <c r="L370" s="14">
        <v>1E-4</v>
      </c>
      <c r="N370" s="12">
        <v>32.29</v>
      </c>
      <c r="O370" s="86">
        <v>39.46</v>
      </c>
      <c r="P370" s="78"/>
      <c r="Q370" s="2">
        <f t="shared" si="53"/>
        <v>39.46</v>
      </c>
    </row>
    <row r="371" spans="1:17" ht="33" customHeight="1" x14ac:dyDescent="0.2">
      <c r="A371" s="28">
        <v>42982</v>
      </c>
      <c r="B371" s="15">
        <v>89731</v>
      </c>
      <c r="C371" s="9" t="s">
        <v>56</v>
      </c>
      <c r="D371" s="47" t="s">
        <v>695</v>
      </c>
      <c r="E371" s="11" t="s">
        <v>84</v>
      </c>
      <c r="F371" s="16">
        <v>3</v>
      </c>
      <c r="G371" s="73">
        <f t="shared" si="58"/>
        <v>13.544999999999998</v>
      </c>
      <c r="H371" s="73">
        <f t="shared" si="54"/>
        <v>40.630000000000003</v>
      </c>
      <c r="I371" s="73">
        <f t="shared" si="59"/>
        <v>16.552500000000002</v>
      </c>
      <c r="J371" s="73">
        <f t="shared" si="55"/>
        <v>49.65</v>
      </c>
      <c r="K371" s="12">
        <v>66.209999999999994</v>
      </c>
      <c r="L371" s="14">
        <v>0</v>
      </c>
      <c r="N371" s="12">
        <v>18.059999999999999</v>
      </c>
      <c r="O371" s="86">
        <v>22.07</v>
      </c>
      <c r="P371" s="78"/>
      <c r="Q371" s="2">
        <f t="shared" si="53"/>
        <v>22.069999999999997</v>
      </c>
    </row>
    <row r="372" spans="1:17" ht="33" customHeight="1" x14ac:dyDescent="0.2">
      <c r="A372" s="28">
        <v>43347</v>
      </c>
      <c r="B372" s="15">
        <v>89724</v>
      </c>
      <c r="C372" s="9" t="s">
        <v>56</v>
      </c>
      <c r="D372" s="47" t="s">
        <v>696</v>
      </c>
      <c r="E372" s="11" t="s">
        <v>84</v>
      </c>
      <c r="F372" s="16">
        <v>36</v>
      </c>
      <c r="G372" s="73">
        <f t="shared" si="58"/>
        <v>9.9824999999999999</v>
      </c>
      <c r="H372" s="73">
        <f t="shared" si="54"/>
        <v>359.37</v>
      </c>
      <c r="I372" s="73">
        <f t="shared" si="59"/>
        <v>12.195</v>
      </c>
      <c r="J372" s="73">
        <f t="shared" si="55"/>
        <v>439.02</v>
      </c>
      <c r="K372" s="12">
        <v>585.36</v>
      </c>
      <c r="L372" s="14">
        <v>0</v>
      </c>
      <c r="N372" s="12">
        <v>13.31</v>
      </c>
      <c r="O372" s="86">
        <v>16.260000000000002</v>
      </c>
      <c r="P372" s="78"/>
      <c r="Q372" s="2">
        <f t="shared" si="53"/>
        <v>16.260000000000002</v>
      </c>
    </row>
    <row r="373" spans="1:17" ht="33" customHeight="1" x14ac:dyDescent="0.2">
      <c r="A373" s="28">
        <v>43712</v>
      </c>
      <c r="B373" s="15">
        <v>89748</v>
      </c>
      <c r="C373" s="9" t="s">
        <v>56</v>
      </c>
      <c r="D373" s="47" t="s">
        <v>697</v>
      </c>
      <c r="E373" s="11" t="s">
        <v>84</v>
      </c>
      <c r="F373" s="16">
        <v>18</v>
      </c>
      <c r="G373" s="73">
        <f t="shared" si="58"/>
        <v>36.555</v>
      </c>
      <c r="H373" s="73">
        <f t="shared" si="54"/>
        <v>657.99</v>
      </c>
      <c r="I373" s="73">
        <f t="shared" si="59"/>
        <v>44.677500000000002</v>
      </c>
      <c r="J373" s="73">
        <f t="shared" si="55"/>
        <v>804.19</v>
      </c>
      <c r="K373" s="13">
        <v>1072.26</v>
      </c>
      <c r="L373" s="14">
        <v>1E-4</v>
      </c>
      <c r="N373" s="12">
        <v>48.74</v>
      </c>
      <c r="O373" s="86">
        <v>59.57</v>
      </c>
      <c r="P373" s="78"/>
      <c r="Q373" s="2">
        <f t="shared" si="53"/>
        <v>59.57</v>
      </c>
    </row>
    <row r="374" spans="1:17" ht="33" customHeight="1" x14ac:dyDescent="0.2">
      <c r="A374" s="28">
        <v>44078</v>
      </c>
      <c r="B374" s="15">
        <v>89742</v>
      </c>
      <c r="C374" s="9" t="s">
        <v>56</v>
      </c>
      <c r="D374" s="47" t="s">
        <v>698</v>
      </c>
      <c r="E374" s="11" t="s">
        <v>84</v>
      </c>
      <c r="F374" s="16">
        <v>1</v>
      </c>
      <c r="G374" s="73">
        <f t="shared" si="58"/>
        <v>33.974999999999994</v>
      </c>
      <c r="H374" s="73">
        <f t="shared" si="54"/>
        <v>33.97</v>
      </c>
      <c r="I374" s="73">
        <f t="shared" si="59"/>
        <v>41.527499999999996</v>
      </c>
      <c r="J374" s="73">
        <f t="shared" si="55"/>
        <v>41.52</v>
      </c>
      <c r="K374" s="12">
        <v>55.37</v>
      </c>
      <c r="L374" s="14">
        <v>0</v>
      </c>
      <c r="N374" s="12">
        <v>45.3</v>
      </c>
      <c r="O374" s="86">
        <v>55.37</v>
      </c>
      <c r="P374" s="78"/>
      <c r="Q374" s="2">
        <f t="shared" si="53"/>
        <v>55.37</v>
      </c>
    </row>
    <row r="375" spans="1:17" ht="33" customHeight="1" x14ac:dyDescent="0.2">
      <c r="A375" s="28">
        <v>44443</v>
      </c>
      <c r="B375" s="15">
        <v>89733</v>
      </c>
      <c r="C375" s="9" t="s">
        <v>56</v>
      </c>
      <c r="D375" s="47" t="s">
        <v>699</v>
      </c>
      <c r="E375" s="11" t="s">
        <v>84</v>
      </c>
      <c r="F375" s="16">
        <v>1</v>
      </c>
      <c r="G375" s="73">
        <f t="shared" si="58"/>
        <v>20.482499999999998</v>
      </c>
      <c r="H375" s="73">
        <f t="shared" si="54"/>
        <v>20.48</v>
      </c>
      <c r="I375" s="73">
        <f t="shared" si="59"/>
        <v>25.035000000000004</v>
      </c>
      <c r="J375" s="73">
        <f t="shared" si="55"/>
        <v>25.03</v>
      </c>
      <c r="K375" s="12">
        <v>33.380000000000003</v>
      </c>
      <c r="L375" s="14">
        <v>0</v>
      </c>
      <c r="N375" s="12">
        <v>27.31</v>
      </c>
      <c r="O375" s="86">
        <v>33.380000000000003</v>
      </c>
      <c r="P375" s="78"/>
      <c r="Q375" s="2">
        <f t="shared" si="53"/>
        <v>33.380000000000003</v>
      </c>
    </row>
    <row r="376" spans="1:17" ht="33" customHeight="1" x14ac:dyDescent="0.2">
      <c r="A376" s="28">
        <v>44808</v>
      </c>
      <c r="B376" s="15">
        <v>89728</v>
      </c>
      <c r="C376" s="9" t="s">
        <v>56</v>
      </c>
      <c r="D376" s="47" t="s">
        <v>700</v>
      </c>
      <c r="E376" s="11" t="s">
        <v>84</v>
      </c>
      <c r="F376" s="16">
        <v>36</v>
      </c>
      <c r="G376" s="73">
        <f t="shared" si="58"/>
        <v>12.375</v>
      </c>
      <c r="H376" s="73">
        <f t="shared" si="54"/>
        <v>445.5</v>
      </c>
      <c r="I376" s="73">
        <f t="shared" si="59"/>
        <v>15.120000000000001</v>
      </c>
      <c r="J376" s="73">
        <f t="shared" si="55"/>
        <v>544.32000000000005</v>
      </c>
      <c r="K376" s="12">
        <v>725.76</v>
      </c>
      <c r="L376" s="14">
        <v>1E-4</v>
      </c>
      <c r="N376" s="12">
        <v>16.5</v>
      </c>
      <c r="O376" s="86">
        <v>20.16</v>
      </c>
      <c r="P376" s="78"/>
      <c r="Q376" s="2">
        <f t="shared" si="53"/>
        <v>20.16</v>
      </c>
    </row>
    <row r="377" spans="1:17" ht="33" customHeight="1" x14ac:dyDescent="0.2">
      <c r="A377" s="28">
        <v>45173</v>
      </c>
      <c r="B377" s="15">
        <v>89797</v>
      </c>
      <c r="C377" s="9" t="s">
        <v>56</v>
      </c>
      <c r="D377" s="47" t="s">
        <v>701</v>
      </c>
      <c r="E377" s="11" t="s">
        <v>84</v>
      </c>
      <c r="F377" s="16">
        <v>21</v>
      </c>
      <c r="G377" s="73">
        <f t="shared" si="58"/>
        <v>44.107500000000002</v>
      </c>
      <c r="H377" s="73">
        <f t="shared" si="54"/>
        <v>926.25</v>
      </c>
      <c r="I377" s="73">
        <f t="shared" si="59"/>
        <v>53.91</v>
      </c>
      <c r="J377" s="73">
        <f t="shared" si="55"/>
        <v>1132.1099999999999</v>
      </c>
      <c r="K377" s="13">
        <v>1509.48</v>
      </c>
      <c r="L377" s="14">
        <v>1E-4</v>
      </c>
      <c r="N377" s="12">
        <v>58.81</v>
      </c>
      <c r="O377" s="86">
        <v>71.88</v>
      </c>
      <c r="P377" s="78"/>
      <c r="Q377" s="2">
        <f t="shared" si="53"/>
        <v>71.88</v>
      </c>
    </row>
    <row r="378" spans="1:17" ht="33" customHeight="1" x14ac:dyDescent="0.2">
      <c r="A378" s="28">
        <v>45539</v>
      </c>
      <c r="B378" s="15">
        <v>104345</v>
      </c>
      <c r="C378" s="9" t="s">
        <v>56</v>
      </c>
      <c r="D378" s="46" t="s">
        <v>702</v>
      </c>
      <c r="E378" s="11" t="s">
        <v>84</v>
      </c>
      <c r="F378" s="16">
        <v>19</v>
      </c>
      <c r="G378" s="73">
        <f t="shared" si="58"/>
        <v>37.027499999999996</v>
      </c>
      <c r="H378" s="73">
        <f t="shared" si="54"/>
        <v>703.52</v>
      </c>
      <c r="I378" s="73">
        <f t="shared" si="59"/>
        <v>45.255000000000003</v>
      </c>
      <c r="J378" s="73">
        <f t="shared" si="55"/>
        <v>859.84</v>
      </c>
      <c r="K378" s="13">
        <v>1146.46</v>
      </c>
      <c r="L378" s="14">
        <v>1E-4</v>
      </c>
      <c r="N378" s="12">
        <v>49.37</v>
      </c>
      <c r="O378" s="86">
        <v>60.34</v>
      </c>
      <c r="P378" s="78"/>
      <c r="Q378" s="2">
        <f t="shared" si="53"/>
        <v>60.34</v>
      </c>
    </row>
    <row r="379" spans="1:17" ht="33" customHeight="1" x14ac:dyDescent="0.2">
      <c r="A379" s="28">
        <v>45904</v>
      </c>
      <c r="B379" s="15">
        <v>89795</v>
      </c>
      <c r="C379" s="9" t="s">
        <v>56</v>
      </c>
      <c r="D379" s="47" t="s">
        <v>703</v>
      </c>
      <c r="E379" s="11" t="s">
        <v>84</v>
      </c>
      <c r="F379" s="16">
        <v>1</v>
      </c>
      <c r="G379" s="73">
        <f t="shared" si="58"/>
        <v>35.2575</v>
      </c>
      <c r="H379" s="73">
        <f t="shared" si="54"/>
        <v>35.25</v>
      </c>
      <c r="I379" s="73">
        <f t="shared" si="59"/>
        <v>43.094999999999999</v>
      </c>
      <c r="J379" s="73">
        <f t="shared" si="55"/>
        <v>43.09</v>
      </c>
      <c r="K379" s="12">
        <v>57.46</v>
      </c>
      <c r="L379" s="14">
        <v>0</v>
      </c>
      <c r="N379" s="12">
        <v>47.01</v>
      </c>
      <c r="O379" s="86">
        <v>57.46</v>
      </c>
      <c r="P379" s="78"/>
      <c r="Q379" s="2">
        <f t="shared" si="53"/>
        <v>57.46</v>
      </c>
    </row>
    <row r="380" spans="1:17" ht="33" customHeight="1" x14ac:dyDescent="0.2">
      <c r="A380" s="28">
        <v>46269</v>
      </c>
      <c r="B380" s="15">
        <v>89783</v>
      </c>
      <c r="C380" s="9" t="s">
        <v>56</v>
      </c>
      <c r="D380" s="47" t="s">
        <v>704</v>
      </c>
      <c r="E380" s="11" t="s">
        <v>84</v>
      </c>
      <c r="F380" s="16">
        <v>8</v>
      </c>
      <c r="G380" s="73">
        <f t="shared" si="58"/>
        <v>14.362499999999999</v>
      </c>
      <c r="H380" s="73">
        <f t="shared" si="54"/>
        <v>114.9</v>
      </c>
      <c r="I380" s="73">
        <f t="shared" si="59"/>
        <v>17.549999999999997</v>
      </c>
      <c r="J380" s="73">
        <f t="shared" si="55"/>
        <v>140.4</v>
      </c>
      <c r="K380" s="12">
        <v>187.2</v>
      </c>
      <c r="L380" s="14">
        <v>0</v>
      </c>
      <c r="N380" s="12">
        <v>19.149999999999999</v>
      </c>
      <c r="O380" s="86">
        <v>23.4</v>
      </c>
      <c r="P380" s="78"/>
      <c r="Q380" s="2">
        <f t="shared" si="53"/>
        <v>23.4</v>
      </c>
    </row>
    <row r="381" spans="1:17" ht="33" customHeight="1" x14ac:dyDescent="0.2">
      <c r="A381" s="28">
        <v>46634</v>
      </c>
      <c r="B381" s="15">
        <v>89779</v>
      </c>
      <c r="C381" s="9" t="s">
        <v>56</v>
      </c>
      <c r="D381" s="47" t="s">
        <v>705</v>
      </c>
      <c r="E381" s="11" t="s">
        <v>84</v>
      </c>
      <c r="F381" s="16">
        <v>2</v>
      </c>
      <c r="G381" s="73">
        <f t="shared" si="58"/>
        <v>29.122499999999999</v>
      </c>
      <c r="H381" s="73">
        <f t="shared" si="54"/>
        <v>58.24</v>
      </c>
      <c r="I381" s="73">
        <f t="shared" si="59"/>
        <v>35.594999999999999</v>
      </c>
      <c r="J381" s="73">
        <f t="shared" si="55"/>
        <v>71.19</v>
      </c>
      <c r="K381" s="12">
        <v>94.92</v>
      </c>
      <c r="L381" s="14">
        <v>0</v>
      </c>
      <c r="N381" s="12">
        <v>38.83</v>
      </c>
      <c r="O381" s="86">
        <v>47.46</v>
      </c>
      <c r="P381" s="78"/>
      <c r="Q381" s="2">
        <f t="shared" si="53"/>
        <v>47.46</v>
      </c>
    </row>
    <row r="382" spans="1:17" ht="33" customHeight="1" x14ac:dyDescent="0.2">
      <c r="A382" s="28">
        <v>47000</v>
      </c>
      <c r="B382" s="15">
        <v>89754</v>
      </c>
      <c r="C382" s="9" t="s">
        <v>56</v>
      </c>
      <c r="D382" s="47" t="s">
        <v>706</v>
      </c>
      <c r="E382" s="11" t="s">
        <v>84</v>
      </c>
      <c r="F382" s="16">
        <v>3</v>
      </c>
      <c r="G382" s="73">
        <f t="shared" si="58"/>
        <v>17.82</v>
      </c>
      <c r="H382" s="73">
        <f t="shared" si="54"/>
        <v>53.46</v>
      </c>
      <c r="I382" s="73">
        <f t="shared" si="59"/>
        <v>21.78</v>
      </c>
      <c r="J382" s="73">
        <f t="shared" si="55"/>
        <v>65.34</v>
      </c>
      <c r="K382" s="12">
        <v>87.12</v>
      </c>
      <c r="L382" s="14">
        <v>0</v>
      </c>
      <c r="N382" s="12">
        <v>23.76</v>
      </c>
      <c r="O382" s="86">
        <v>29.04</v>
      </c>
      <c r="P382" s="78"/>
      <c r="Q382" s="2">
        <f t="shared" si="53"/>
        <v>29.040000000000003</v>
      </c>
    </row>
    <row r="383" spans="1:17" ht="33" customHeight="1" x14ac:dyDescent="0.2">
      <c r="A383" s="28">
        <v>47365</v>
      </c>
      <c r="B383" s="15">
        <v>89557</v>
      </c>
      <c r="C383" s="9" t="s">
        <v>56</v>
      </c>
      <c r="D383" s="46" t="s">
        <v>707</v>
      </c>
      <c r="E383" s="11" t="s">
        <v>84</v>
      </c>
      <c r="F383" s="16">
        <v>1</v>
      </c>
      <c r="G383" s="73">
        <f t="shared" si="58"/>
        <v>25.912499999999998</v>
      </c>
      <c r="H383" s="73">
        <f t="shared" si="54"/>
        <v>25.91</v>
      </c>
      <c r="I383" s="73">
        <f t="shared" si="59"/>
        <v>31.672499999999999</v>
      </c>
      <c r="J383" s="73">
        <f t="shared" si="55"/>
        <v>31.67</v>
      </c>
      <c r="K383" s="12">
        <v>42.23</v>
      </c>
      <c r="L383" s="14">
        <v>0</v>
      </c>
      <c r="N383" s="12">
        <v>34.549999999999997</v>
      </c>
      <c r="O383" s="86">
        <v>42.23</v>
      </c>
      <c r="P383" s="78"/>
      <c r="Q383" s="2">
        <f t="shared" si="53"/>
        <v>42.23</v>
      </c>
    </row>
    <row r="384" spans="1:17" ht="33" customHeight="1" x14ac:dyDescent="0.2">
      <c r="A384" s="28">
        <v>47730</v>
      </c>
      <c r="B384" s="32">
        <v>53508</v>
      </c>
      <c r="C384" s="9" t="s">
        <v>335</v>
      </c>
      <c r="D384" s="47" t="s">
        <v>708</v>
      </c>
      <c r="E384" s="11" t="s">
        <v>84</v>
      </c>
      <c r="F384" s="16">
        <v>4</v>
      </c>
      <c r="G384" s="73">
        <f t="shared" si="58"/>
        <v>28.724999999999998</v>
      </c>
      <c r="H384" s="73">
        <f t="shared" si="54"/>
        <v>114.9</v>
      </c>
      <c r="I384" s="73">
        <f t="shared" si="59"/>
        <v>35.107500000000002</v>
      </c>
      <c r="J384" s="73">
        <f t="shared" si="55"/>
        <v>140.43</v>
      </c>
      <c r="K384" s="12">
        <v>187.24</v>
      </c>
      <c r="L384" s="14">
        <v>0</v>
      </c>
      <c r="N384" s="12">
        <v>38.299999999999997</v>
      </c>
      <c r="O384" s="86">
        <v>46.81</v>
      </c>
      <c r="P384" s="78"/>
      <c r="Q384" s="2">
        <f t="shared" si="53"/>
        <v>46.81</v>
      </c>
    </row>
    <row r="385" spans="1:17" ht="33" customHeight="1" x14ac:dyDescent="0.2">
      <c r="A385" s="28">
        <v>48095</v>
      </c>
      <c r="B385" s="15">
        <v>89549</v>
      </c>
      <c r="C385" s="9" t="s">
        <v>56</v>
      </c>
      <c r="D385" s="46" t="s">
        <v>709</v>
      </c>
      <c r="E385" s="11" t="s">
        <v>84</v>
      </c>
      <c r="F385" s="16">
        <v>2</v>
      </c>
      <c r="G385" s="73">
        <f t="shared" si="58"/>
        <v>15.51</v>
      </c>
      <c r="H385" s="73">
        <f t="shared" si="54"/>
        <v>31.02</v>
      </c>
      <c r="I385" s="73">
        <f t="shared" si="59"/>
        <v>18.952500000000001</v>
      </c>
      <c r="J385" s="73">
        <f t="shared" si="55"/>
        <v>37.9</v>
      </c>
      <c r="K385" s="12">
        <v>50.54</v>
      </c>
      <c r="L385" s="14">
        <v>0</v>
      </c>
      <c r="N385" s="12">
        <v>20.68</v>
      </c>
      <c r="O385" s="86">
        <v>25.27</v>
      </c>
      <c r="P385" s="78"/>
      <c r="Q385" s="2">
        <f t="shared" si="53"/>
        <v>25.27</v>
      </c>
    </row>
    <row r="386" spans="1:17" ht="33" customHeight="1" x14ac:dyDescent="0.2">
      <c r="A386" s="28">
        <v>48461</v>
      </c>
      <c r="B386" s="15">
        <v>89796</v>
      </c>
      <c r="C386" s="9" t="s">
        <v>56</v>
      </c>
      <c r="D386" s="47" t="s">
        <v>710</v>
      </c>
      <c r="E386" s="11" t="s">
        <v>84</v>
      </c>
      <c r="F386" s="16">
        <v>1</v>
      </c>
      <c r="G386" s="73">
        <f t="shared" si="58"/>
        <v>37.515000000000001</v>
      </c>
      <c r="H386" s="73">
        <f t="shared" si="54"/>
        <v>37.51</v>
      </c>
      <c r="I386" s="73">
        <f t="shared" si="59"/>
        <v>45.847500000000004</v>
      </c>
      <c r="J386" s="73">
        <f t="shared" si="55"/>
        <v>45.84</v>
      </c>
      <c r="K386" s="12">
        <v>61.13</v>
      </c>
      <c r="L386" s="14">
        <v>0</v>
      </c>
      <c r="N386" s="12">
        <v>50.02</v>
      </c>
      <c r="O386" s="86">
        <v>61.13</v>
      </c>
      <c r="P386" s="78"/>
      <c r="Q386" s="2">
        <f t="shared" si="53"/>
        <v>61.13</v>
      </c>
    </row>
    <row r="387" spans="1:17" ht="33" customHeight="1" x14ac:dyDescent="0.2">
      <c r="A387" s="28">
        <v>48826</v>
      </c>
      <c r="B387" s="15">
        <v>104344</v>
      </c>
      <c r="C387" s="9" t="s">
        <v>56</v>
      </c>
      <c r="D387" s="47" t="s">
        <v>711</v>
      </c>
      <c r="E387" s="11" t="s">
        <v>84</v>
      </c>
      <c r="F387" s="16">
        <v>3</v>
      </c>
      <c r="G387" s="73">
        <f t="shared" si="58"/>
        <v>35.325000000000003</v>
      </c>
      <c r="H387" s="73">
        <f t="shared" si="54"/>
        <v>105.97</v>
      </c>
      <c r="I387" s="73">
        <f t="shared" si="59"/>
        <v>43.177500000000002</v>
      </c>
      <c r="J387" s="73">
        <f t="shared" si="55"/>
        <v>129.53</v>
      </c>
      <c r="K387" s="12">
        <v>172.71</v>
      </c>
      <c r="L387" s="14">
        <v>0</v>
      </c>
      <c r="N387" s="12">
        <v>47.1</v>
      </c>
      <c r="O387" s="86">
        <v>57.57</v>
      </c>
      <c r="P387" s="78"/>
      <c r="Q387" s="2">
        <f t="shared" si="53"/>
        <v>57.57</v>
      </c>
    </row>
    <row r="388" spans="1:17" ht="33" customHeight="1" x14ac:dyDescent="0.2">
      <c r="A388" s="28">
        <v>49191</v>
      </c>
      <c r="B388" s="15">
        <v>89784</v>
      </c>
      <c r="C388" s="9" t="s">
        <v>56</v>
      </c>
      <c r="D388" s="47" t="s">
        <v>712</v>
      </c>
      <c r="E388" s="11" t="s">
        <v>84</v>
      </c>
      <c r="F388" s="16">
        <v>1</v>
      </c>
      <c r="G388" s="73">
        <f t="shared" si="58"/>
        <v>21.502500000000001</v>
      </c>
      <c r="H388" s="73">
        <f t="shared" si="54"/>
        <v>21.5</v>
      </c>
      <c r="I388" s="73">
        <f t="shared" si="59"/>
        <v>26.28</v>
      </c>
      <c r="J388" s="73">
        <f t="shared" si="55"/>
        <v>26.28</v>
      </c>
      <c r="K388" s="12">
        <v>35.04</v>
      </c>
      <c r="L388" s="14">
        <v>0</v>
      </c>
      <c r="N388" s="12">
        <v>28.67</v>
      </c>
      <c r="O388" s="86">
        <v>35.04</v>
      </c>
      <c r="P388" s="78"/>
      <c r="Q388" s="2">
        <f t="shared" si="53"/>
        <v>35.04</v>
      </c>
    </row>
    <row r="389" spans="1:17" ht="33" customHeight="1" x14ac:dyDescent="0.2">
      <c r="A389" s="28">
        <v>49556</v>
      </c>
      <c r="B389" s="15">
        <v>104341</v>
      </c>
      <c r="C389" s="9" t="s">
        <v>56</v>
      </c>
      <c r="D389" s="46" t="s">
        <v>713</v>
      </c>
      <c r="E389" s="11" t="s">
        <v>84</v>
      </c>
      <c r="F389" s="16">
        <v>2</v>
      </c>
      <c r="G389" s="73">
        <f t="shared" si="58"/>
        <v>9.81</v>
      </c>
      <c r="H389" s="73">
        <f t="shared" si="54"/>
        <v>19.62</v>
      </c>
      <c r="I389" s="73">
        <f t="shared" si="59"/>
        <v>11.984999999999999</v>
      </c>
      <c r="J389" s="73">
        <f t="shared" si="55"/>
        <v>23.97</v>
      </c>
      <c r="K389" s="12">
        <v>31.96</v>
      </c>
      <c r="L389" s="14">
        <v>0</v>
      </c>
      <c r="N389" s="12">
        <v>13.08</v>
      </c>
      <c r="O389" s="86">
        <v>15.98</v>
      </c>
      <c r="P389" s="78"/>
      <c r="Q389" s="2">
        <f t="shared" si="53"/>
        <v>15.98</v>
      </c>
    </row>
    <row r="390" spans="1:17" ht="33" customHeight="1" x14ac:dyDescent="0.2">
      <c r="A390" s="5" t="s">
        <v>714</v>
      </c>
      <c r="B390" s="4"/>
      <c r="C390" s="4"/>
      <c r="D390" s="45" t="s">
        <v>715</v>
      </c>
      <c r="E390" s="4"/>
      <c r="F390" s="6">
        <v>1</v>
      </c>
      <c r="G390" s="71"/>
      <c r="H390" s="73">
        <f t="shared" si="54"/>
        <v>0</v>
      </c>
      <c r="I390" s="71"/>
      <c r="J390" s="76">
        <f>SUM(J391:J405)</f>
        <v>4887.5600000000004</v>
      </c>
      <c r="K390" s="7">
        <v>6516.8</v>
      </c>
      <c r="L390" s="8">
        <v>5.0000000000000001E-4</v>
      </c>
      <c r="N390" s="4"/>
      <c r="O390" s="88">
        <v>6516.8</v>
      </c>
      <c r="P390" s="78"/>
      <c r="Q390" s="2">
        <f t="shared" si="53"/>
        <v>6516.8</v>
      </c>
    </row>
    <row r="391" spans="1:17" ht="33" customHeight="1" x14ac:dyDescent="0.2">
      <c r="A391" s="9" t="s">
        <v>716</v>
      </c>
      <c r="B391" s="15">
        <v>89799</v>
      </c>
      <c r="C391" s="9" t="s">
        <v>56</v>
      </c>
      <c r="D391" s="46" t="s">
        <v>717</v>
      </c>
      <c r="E391" s="11" t="s">
        <v>99</v>
      </c>
      <c r="F391" s="29">
        <v>6.6</v>
      </c>
      <c r="G391" s="73">
        <f t="shared" ref="G391:G405" si="60">N391*$S$6</f>
        <v>20.377500000000001</v>
      </c>
      <c r="H391" s="73">
        <f t="shared" si="54"/>
        <v>134.49</v>
      </c>
      <c r="I391" s="73">
        <f t="shared" ref="I391:I405" si="61">O391*$S$6</f>
        <v>24.900000000000002</v>
      </c>
      <c r="J391" s="73">
        <f t="shared" si="55"/>
        <v>164.34</v>
      </c>
      <c r="K391" s="12">
        <v>219.12</v>
      </c>
      <c r="L391" s="14">
        <v>0</v>
      </c>
      <c r="N391" s="12">
        <v>27.17</v>
      </c>
      <c r="O391" s="86">
        <v>33.200000000000003</v>
      </c>
      <c r="P391" s="78"/>
      <c r="Q391" s="2">
        <f t="shared" ref="Q391:Q454" si="62">K391/F391</f>
        <v>33.200000000000003</v>
      </c>
    </row>
    <row r="392" spans="1:17" ht="33" customHeight="1" x14ac:dyDescent="0.2">
      <c r="A392" s="9" t="s">
        <v>718</v>
      </c>
      <c r="B392" s="15">
        <v>89798</v>
      </c>
      <c r="C392" s="9" t="s">
        <v>56</v>
      </c>
      <c r="D392" s="46" t="s">
        <v>719</v>
      </c>
      <c r="E392" s="11" t="s">
        <v>99</v>
      </c>
      <c r="F392" s="29">
        <v>154.5</v>
      </c>
      <c r="G392" s="73">
        <f t="shared" si="60"/>
        <v>11.557500000000001</v>
      </c>
      <c r="H392" s="73">
        <f t="shared" ref="H392:H455" si="63">TRUNC(G392*F392,2)</f>
        <v>1785.63</v>
      </c>
      <c r="I392" s="73">
        <f t="shared" si="61"/>
        <v>14.122499999999999</v>
      </c>
      <c r="J392" s="73">
        <f t="shared" ref="J392:J455" si="64">TRUNC(I392*F392,2)</f>
        <v>2181.92</v>
      </c>
      <c r="K392" s="13">
        <v>2909.23</v>
      </c>
      <c r="L392" s="14">
        <v>2.0000000000000001E-4</v>
      </c>
      <c r="N392" s="12">
        <v>15.41</v>
      </c>
      <c r="O392" s="86">
        <v>18.829999999999998</v>
      </c>
      <c r="P392" s="78"/>
      <c r="Q392" s="2">
        <f t="shared" si="62"/>
        <v>18.829967637540452</v>
      </c>
    </row>
    <row r="393" spans="1:17" ht="33" customHeight="1" x14ac:dyDescent="0.2">
      <c r="A393" s="9" t="s">
        <v>720</v>
      </c>
      <c r="B393" s="15">
        <v>89806</v>
      </c>
      <c r="C393" s="9" t="s">
        <v>56</v>
      </c>
      <c r="D393" s="47" t="s">
        <v>721</v>
      </c>
      <c r="E393" s="11" t="s">
        <v>84</v>
      </c>
      <c r="F393" s="16">
        <v>2</v>
      </c>
      <c r="G393" s="73">
        <f t="shared" si="60"/>
        <v>18.66</v>
      </c>
      <c r="H393" s="73">
        <f t="shared" si="63"/>
        <v>37.32</v>
      </c>
      <c r="I393" s="73">
        <f t="shared" si="61"/>
        <v>22.807500000000001</v>
      </c>
      <c r="J393" s="73">
        <f t="shared" si="64"/>
        <v>45.61</v>
      </c>
      <c r="K393" s="12">
        <v>60.82</v>
      </c>
      <c r="L393" s="14">
        <v>0</v>
      </c>
      <c r="N393" s="12">
        <v>24.88</v>
      </c>
      <c r="O393" s="86">
        <v>30.41</v>
      </c>
      <c r="P393" s="78"/>
      <c r="Q393" s="2">
        <f t="shared" si="62"/>
        <v>30.41</v>
      </c>
    </row>
    <row r="394" spans="1:17" ht="33" customHeight="1" x14ac:dyDescent="0.2">
      <c r="A394" s="9" t="s">
        <v>722</v>
      </c>
      <c r="B394" s="15">
        <v>89802</v>
      </c>
      <c r="C394" s="9" t="s">
        <v>56</v>
      </c>
      <c r="D394" s="47" t="s">
        <v>723</v>
      </c>
      <c r="E394" s="11" t="s">
        <v>84</v>
      </c>
      <c r="F394" s="16">
        <v>41</v>
      </c>
      <c r="G394" s="73">
        <f t="shared" si="60"/>
        <v>8.6025000000000009</v>
      </c>
      <c r="H394" s="73">
        <f t="shared" si="63"/>
        <v>352.7</v>
      </c>
      <c r="I394" s="73">
        <f t="shared" si="61"/>
        <v>10.5075</v>
      </c>
      <c r="J394" s="73">
        <f t="shared" si="64"/>
        <v>430.8</v>
      </c>
      <c r="K394" s="12">
        <v>574.41</v>
      </c>
      <c r="L394" s="14">
        <v>0</v>
      </c>
      <c r="N394" s="12">
        <v>11.47</v>
      </c>
      <c r="O394" s="86">
        <v>14.01</v>
      </c>
      <c r="P394" s="78"/>
      <c r="Q394" s="2">
        <f t="shared" si="62"/>
        <v>14.01</v>
      </c>
    </row>
    <row r="395" spans="1:17" ht="33" customHeight="1" x14ac:dyDescent="0.2">
      <c r="A395" s="9" t="s">
        <v>724</v>
      </c>
      <c r="B395" s="15">
        <v>89801</v>
      </c>
      <c r="C395" s="9" t="s">
        <v>56</v>
      </c>
      <c r="D395" s="47" t="s">
        <v>725</v>
      </c>
      <c r="E395" s="11" t="s">
        <v>84</v>
      </c>
      <c r="F395" s="16">
        <v>45</v>
      </c>
      <c r="G395" s="73">
        <f t="shared" si="60"/>
        <v>8.0024999999999995</v>
      </c>
      <c r="H395" s="73">
        <f t="shared" si="63"/>
        <v>360.11</v>
      </c>
      <c r="I395" s="73">
        <f t="shared" si="61"/>
        <v>9.7799999999999994</v>
      </c>
      <c r="J395" s="73">
        <f t="shared" si="64"/>
        <v>440.1</v>
      </c>
      <c r="K395" s="12">
        <v>586.79999999999995</v>
      </c>
      <c r="L395" s="14">
        <v>0</v>
      </c>
      <c r="N395" s="12">
        <v>10.67</v>
      </c>
      <c r="O395" s="86">
        <v>13.04</v>
      </c>
      <c r="P395" s="78"/>
      <c r="Q395" s="2">
        <f t="shared" si="62"/>
        <v>13.04</v>
      </c>
    </row>
    <row r="396" spans="1:17" ht="33" customHeight="1" x14ac:dyDescent="0.2">
      <c r="A396" s="9" t="s">
        <v>726</v>
      </c>
      <c r="B396" s="15">
        <v>89803</v>
      </c>
      <c r="C396" s="9" t="s">
        <v>56</v>
      </c>
      <c r="D396" s="47" t="s">
        <v>727</v>
      </c>
      <c r="E396" s="11" t="s">
        <v>84</v>
      </c>
      <c r="F396" s="16">
        <v>24</v>
      </c>
      <c r="G396" s="73">
        <f t="shared" si="60"/>
        <v>14.940000000000001</v>
      </c>
      <c r="H396" s="73">
        <f t="shared" si="63"/>
        <v>358.56</v>
      </c>
      <c r="I396" s="73">
        <f t="shared" si="61"/>
        <v>18.254999999999999</v>
      </c>
      <c r="J396" s="73">
        <f t="shared" si="64"/>
        <v>438.12</v>
      </c>
      <c r="K396" s="12">
        <v>584.16</v>
      </c>
      <c r="L396" s="14">
        <v>0</v>
      </c>
      <c r="N396" s="12">
        <v>19.920000000000002</v>
      </c>
      <c r="O396" s="86">
        <v>24.34</v>
      </c>
      <c r="P396" s="78"/>
      <c r="Q396" s="2">
        <f t="shared" si="62"/>
        <v>24.34</v>
      </c>
    </row>
    <row r="397" spans="1:17" ht="33" customHeight="1" x14ac:dyDescent="0.2">
      <c r="A397" s="9" t="s">
        <v>728</v>
      </c>
      <c r="B397" s="15">
        <v>89807</v>
      </c>
      <c r="C397" s="9" t="s">
        <v>56</v>
      </c>
      <c r="D397" s="47" t="s">
        <v>729</v>
      </c>
      <c r="E397" s="11" t="s">
        <v>84</v>
      </c>
      <c r="F397" s="16">
        <v>3</v>
      </c>
      <c r="G397" s="73">
        <f t="shared" si="60"/>
        <v>31.86</v>
      </c>
      <c r="H397" s="73">
        <f t="shared" si="63"/>
        <v>95.58</v>
      </c>
      <c r="I397" s="73">
        <f t="shared" si="61"/>
        <v>38.94</v>
      </c>
      <c r="J397" s="73">
        <f t="shared" si="64"/>
        <v>116.82</v>
      </c>
      <c r="K397" s="12">
        <v>155.76</v>
      </c>
      <c r="L397" s="14">
        <v>0</v>
      </c>
      <c r="N397" s="12">
        <v>42.48</v>
      </c>
      <c r="O397" s="86">
        <v>51.92</v>
      </c>
      <c r="P397" s="78"/>
      <c r="Q397" s="2">
        <f t="shared" si="62"/>
        <v>51.919999999999995</v>
      </c>
    </row>
    <row r="398" spans="1:17" ht="33" customHeight="1" x14ac:dyDescent="0.2">
      <c r="A398" s="9" t="s">
        <v>730</v>
      </c>
      <c r="B398" s="15">
        <v>89827</v>
      </c>
      <c r="C398" s="9" t="s">
        <v>56</v>
      </c>
      <c r="D398" s="47" t="s">
        <v>731</v>
      </c>
      <c r="E398" s="11" t="s">
        <v>84</v>
      </c>
      <c r="F398" s="16">
        <v>3</v>
      </c>
      <c r="G398" s="73">
        <f t="shared" si="60"/>
        <v>16.035</v>
      </c>
      <c r="H398" s="73">
        <f t="shared" si="63"/>
        <v>48.1</v>
      </c>
      <c r="I398" s="73">
        <f t="shared" si="61"/>
        <v>19.5975</v>
      </c>
      <c r="J398" s="73">
        <f t="shared" si="64"/>
        <v>58.79</v>
      </c>
      <c r="K398" s="12">
        <v>78.39</v>
      </c>
      <c r="L398" s="14">
        <v>0</v>
      </c>
      <c r="N398" s="12">
        <v>21.38</v>
      </c>
      <c r="O398" s="86">
        <v>26.13</v>
      </c>
      <c r="P398" s="78"/>
      <c r="Q398" s="2">
        <f t="shared" si="62"/>
        <v>26.13</v>
      </c>
    </row>
    <row r="399" spans="1:17" ht="33" customHeight="1" x14ac:dyDescent="0.2">
      <c r="A399" s="9" t="s">
        <v>732</v>
      </c>
      <c r="B399" s="15">
        <v>104350</v>
      </c>
      <c r="C399" s="9" t="s">
        <v>56</v>
      </c>
      <c r="D399" s="47" t="s">
        <v>733</v>
      </c>
      <c r="E399" s="11" t="s">
        <v>84</v>
      </c>
      <c r="F399" s="16">
        <v>3</v>
      </c>
      <c r="G399" s="73">
        <f t="shared" si="60"/>
        <v>25.244999999999997</v>
      </c>
      <c r="H399" s="73">
        <f t="shared" si="63"/>
        <v>75.73</v>
      </c>
      <c r="I399" s="73">
        <f t="shared" si="61"/>
        <v>30.855</v>
      </c>
      <c r="J399" s="73">
        <f t="shared" si="64"/>
        <v>92.56</v>
      </c>
      <c r="K399" s="12">
        <v>123.42</v>
      </c>
      <c r="L399" s="14">
        <v>0</v>
      </c>
      <c r="N399" s="12">
        <v>33.659999999999997</v>
      </c>
      <c r="O399" s="86">
        <v>41.14</v>
      </c>
      <c r="P399" s="78"/>
      <c r="Q399" s="2">
        <f t="shared" si="62"/>
        <v>41.14</v>
      </c>
    </row>
    <row r="400" spans="1:17" ht="33" customHeight="1" x14ac:dyDescent="0.2">
      <c r="A400" s="28">
        <v>40426</v>
      </c>
      <c r="B400" s="15">
        <v>89814</v>
      </c>
      <c r="C400" s="9" t="s">
        <v>56</v>
      </c>
      <c r="D400" s="47" t="s">
        <v>734</v>
      </c>
      <c r="E400" s="11" t="s">
        <v>84</v>
      </c>
      <c r="F400" s="16">
        <v>1</v>
      </c>
      <c r="G400" s="73">
        <f t="shared" si="60"/>
        <v>14.115</v>
      </c>
      <c r="H400" s="73">
        <f t="shared" si="63"/>
        <v>14.11</v>
      </c>
      <c r="I400" s="73">
        <f t="shared" si="61"/>
        <v>17.25</v>
      </c>
      <c r="J400" s="73">
        <f t="shared" si="64"/>
        <v>17.25</v>
      </c>
      <c r="K400" s="12">
        <v>23</v>
      </c>
      <c r="L400" s="14">
        <v>0</v>
      </c>
      <c r="N400" s="12">
        <v>18.82</v>
      </c>
      <c r="O400" s="86">
        <v>23</v>
      </c>
      <c r="P400" s="78"/>
      <c r="Q400" s="2">
        <f t="shared" si="62"/>
        <v>23</v>
      </c>
    </row>
    <row r="401" spans="1:17" ht="33" customHeight="1" x14ac:dyDescent="0.2">
      <c r="A401" s="28">
        <v>40791</v>
      </c>
      <c r="B401" s="15">
        <v>89825</v>
      </c>
      <c r="C401" s="9" t="s">
        <v>56</v>
      </c>
      <c r="D401" s="46" t="s">
        <v>735</v>
      </c>
      <c r="E401" s="11" t="s">
        <v>84</v>
      </c>
      <c r="F401" s="16">
        <v>38</v>
      </c>
      <c r="G401" s="73">
        <f t="shared" si="60"/>
        <v>14.107499999999998</v>
      </c>
      <c r="H401" s="73">
        <f t="shared" si="63"/>
        <v>536.08000000000004</v>
      </c>
      <c r="I401" s="73">
        <f t="shared" si="61"/>
        <v>17.2425</v>
      </c>
      <c r="J401" s="73">
        <f t="shared" si="64"/>
        <v>655.21</v>
      </c>
      <c r="K401" s="12">
        <v>873.62</v>
      </c>
      <c r="L401" s="14">
        <v>1E-4</v>
      </c>
      <c r="N401" s="12">
        <v>18.809999999999999</v>
      </c>
      <c r="O401" s="86">
        <v>22.99</v>
      </c>
      <c r="P401" s="78"/>
      <c r="Q401" s="2">
        <f t="shared" si="62"/>
        <v>22.99</v>
      </c>
    </row>
    <row r="402" spans="1:17" ht="33" customHeight="1" x14ac:dyDescent="0.2">
      <c r="A402" s="28">
        <v>41157</v>
      </c>
      <c r="B402" s="32">
        <v>53309</v>
      </c>
      <c r="C402" s="9" t="s">
        <v>335</v>
      </c>
      <c r="D402" s="47" t="s">
        <v>736</v>
      </c>
      <c r="E402" s="11" t="s">
        <v>84</v>
      </c>
      <c r="F402" s="16">
        <v>1</v>
      </c>
      <c r="G402" s="73">
        <f t="shared" si="60"/>
        <v>32.917500000000004</v>
      </c>
      <c r="H402" s="73">
        <f t="shared" si="63"/>
        <v>32.909999999999997</v>
      </c>
      <c r="I402" s="73">
        <f t="shared" si="61"/>
        <v>40.230000000000004</v>
      </c>
      <c r="J402" s="73">
        <f t="shared" si="64"/>
        <v>40.229999999999997</v>
      </c>
      <c r="K402" s="12">
        <v>53.64</v>
      </c>
      <c r="L402" s="14">
        <v>0</v>
      </c>
      <c r="N402" s="12">
        <v>43.89</v>
      </c>
      <c r="O402" s="86">
        <v>53.64</v>
      </c>
      <c r="P402" s="78"/>
      <c r="Q402" s="2">
        <f t="shared" si="62"/>
        <v>53.64</v>
      </c>
    </row>
    <row r="403" spans="1:17" ht="33" customHeight="1" x14ac:dyDescent="0.2">
      <c r="A403" s="28">
        <v>41522</v>
      </c>
      <c r="B403" s="15">
        <v>89549</v>
      </c>
      <c r="C403" s="9" t="s">
        <v>56</v>
      </c>
      <c r="D403" s="47" t="s">
        <v>737</v>
      </c>
      <c r="E403" s="11" t="s">
        <v>84</v>
      </c>
      <c r="F403" s="16">
        <v>3</v>
      </c>
      <c r="G403" s="73">
        <f t="shared" si="60"/>
        <v>15.51</v>
      </c>
      <c r="H403" s="73">
        <f t="shared" si="63"/>
        <v>46.53</v>
      </c>
      <c r="I403" s="73">
        <f t="shared" si="61"/>
        <v>18.952500000000001</v>
      </c>
      <c r="J403" s="73">
        <f t="shared" si="64"/>
        <v>56.85</v>
      </c>
      <c r="K403" s="12">
        <v>75.81</v>
      </c>
      <c r="L403" s="14">
        <v>0</v>
      </c>
      <c r="N403" s="12">
        <v>20.68</v>
      </c>
      <c r="O403" s="86">
        <v>25.27</v>
      </c>
      <c r="P403" s="78"/>
      <c r="Q403" s="2">
        <f t="shared" si="62"/>
        <v>25.27</v>
      </c>
    </row>
    <row r="404" spans="1:17" ht="33" customHeight="1" x14ac:dyDescent="0.2">
      <c r="A404" s="28">
        <v>41887</v>
      </c>
      <c r="B404" s="15">
        <v>104351</v>
      </c>
      <c r="C404" s="9" t="s">
        <v>56</v>
      </c>
      <c r="D404" s="47" t="s">
        <v>738</v>
      </c>
      <c r="E404" s="11" t="s">
        <v>84</v>
      </c>
      <c r="F404" s="16">
        <v>3</v>
      </c>
      <c r="G404" s="73">
        <f t="shared" si="60"/>
        <v>19.2075</v>
      </c>
      <c r="H404" s="73">
        <f t="shared" si="63"/>
        <v>57.62</v>
      </c>
      <c r="I404" s="73">
        <f t="shared" si="61"/>
        <v>23.475000000000001</v>
      </c>
      <c r="J404" s="73">
        <f t="shared" si="64"/>
        <v>70.42</v>
      </c>
      <c r="K404" s="12">
        <v>93.9</v>
      </c>
      <c r="L404" s="14">
        <v>0</v>
      </c>
      <c r="N404" s="12">
        <v>25.61</v>
      </c>
      <c r="O404" s="86">
        <v>31.3</v>
      </c>
      <c r="P404" s="78"/>
      <c r="Q404" s="2">
        <f t="shared" si="62"/>
        <v>31.3</v>
      </c>
    </row>
    <row r="405" spans="1:17" ht="33" customHeight="1" x14ac:dyDescent="0.2">
      <c r="A405" s="28">
        <v>42252</v>
      </c>
      <c r="B405" s="15">
        <v>104348</v>
      </c>
      <c r="C405" s="9" t="s">
        <v>56</v>
      </c>
      <c r="D405" s="47" t="s">
        <v>739</v>
      </c>
      <c r="E405" s="11" t="s">
        <v>84</v>
      </c>
      <c r="F405" s="16">
        <v>7</v>
      </c>
      <c r="G405" s="73">
        <f t="shared" si="60"/>
        <v>9.18</v>
      </c>
      <c r="H405" s="73">
        <f t="shared" si="63"/>
        <v>64.260000000000005</v>
      </c>
      <c r="I405" s="73">
        <f t="shared" si="61"/>
        <v>11.22</v>
      </c>
      <c r="J405" s="73">
        <f t="shared" si="64"/>
        <v>78.540000000000006</v>
      </c>
      <c r="K405" s="12">
        <v>104.72</v>
      </c>
      <c r="L405" s="14">
        <v>0</v>
      </c>
      <c r="N405" s="12">
        <v>12.24</v>
      </c>
      <c r="O405" s="86">
        <v>14.96</v>
      </c>
      <c r="P405" s="78"/>
      <c r="Q405" s="2">
        <f t="shared" si="62"/>
        <v>14.959999999999999</v>
      </c>
    </row>
    <row r="406" spans="1:17" ht="33" customHeight="1" x14ac:dyDescent="0.2">
      <c r="A406" s="5" t="s">
        <v>740</v>
      </c>
      <c r="B406" s="4"/>
      <c r="C406" s="4"/>
      <c r="D406" s="45" t="s">
        <v>741</v>
      </c>
      <c r="E406" s="4"/>
      <c r="F406" s="6">
        <v>1</v>
      </c>
      <c r="G406" s="71"/>
      <c r="H406" s="73">
        <f t="shared" si="63"/>
        <v>0</v>
      </c>
      <c r="I406" s="71"/>
      <c r="J406" s="76">
        <f>SUM(J407:J431)</f>
        <v>136557.19000000003</v>
      </c>
      <c r="K406" s="7">
        <v>182076.34</v>
      </c>
      <c r="L406" s="8">
        <v>1.5299999999999999E-2</v>
      </c>
      <c r="N406" s="4"/>
      <c r="O406" s="88">
        <v>182076.34</v>
      </c>
      <c r="P406" s="78"/>
      <c r="Q406" s="2">
        <f t="shared" si="62"/>
        <v>182076.34</v>
      </c>
    </row>
    <row r="407" spans="1:17" ht="33" customHeight="1" x14ac:dyDescent="0.2">
      <c r="A407" s="9" t="s">
        <v>742</v>
      </c>
      <c r="B407" s="15">
        <v>101802</v>
      </c>
      <c r="C407" s="9" t="s">
        <v>56</v>
      </c>
      <c r="D407" s="47" t="s">
        <v>743</v>
      </c>
      <c r="E407" s="11" t="s">
        <v>84</v>
      </c>
      <c r="F407" s="16">
        <v>6</v>
      </c>
      <c r="G407" s="73">
        <f t="shared" ref="G407:G431" si="65">N407*$S$6</f>
        <v>1477.23</v>
      </c>
      <c r="H407" s="73">
        <f t="shared" si="63"/>
        <v>8863.3799999999992</v>
      </c>
      <c r="I407" s="73">
        <f t="shared" ref="I407:I431" si="66">O407*$S$6</f>
        <v>1805.6174999999998</v>
      </c>
      <c r="J407" s="73">
        <f t="shared" si="64"/>
        <v>10833.7</v>
      </c>
      <c r="K407" s="13">
        <v>14444.94</v>
      </c>
      <c r="L407" s="14">
        <v>1.1999999999999999E-3</v>
      </c>
      <c r="N407" s="13">
        <v>1969.64</v>
      </c>
      <c r="O407" s="89">
        <v>2407.4899999999998</v>
      </c>
      <c r="P407" s="78"/>
      <c r="Q407" s="2">
        <f t="shared" si="62"/>
        <v>2407.4900000000002</v>
      </c>
    </row>
    <row r="408" spans="1:17" ht="33" customHeight="1" x14ac:dyDescent="0.2">
      <c r="A408" s="9" t="s">
        <v>744</v>
      </c>
      <c r="B408" s="15">
        <v>99285</v>
      </c>
      <c r="C408" s="9" t="s">
        <v>56</v>
      </c>
      <c r="D408" s="47" t="s">
        <v>745</v>
      </c>
      <c r="E408" s="11" t="s">
        <v>84</v>
      </c>
      <c r="F408" s="16">
        <v>7</v>
      </c>
      <c r="G408" s="73">
        <f t="shared" si="65"/>
        <v>1173.105</v>
      </c>
      <c r="H408" s="73">
        <f t="shared" si="63"/>
        <v>8211.73</v>
      </c>
      <c r="I408" s="73">
        <f t="shared" si="66"/>
        <v>1433.8799999999999</v>
      </c>
      <c r="J408" s="73">
        <f t="shared" si="64"/>
        <v>10037.16</v>
      </c>
      <c r="K408" s="13">
        <v>13382.88</v>
      </c>
      <c r="L408" s="14">
        <v>1.1000000000000001E-3</v>
      </c>
      <c r="N408" s="13">
        <v>1564.14</v>
      </c>
      <c r="O408" s="89">
        <v>1911.84</v>
      </c>
      <c r="P408" s="78"/>
      <c r="Q408" s="2">
        <f t="shared" si="62"/>
        <v>1911.84</v>
      </c>
    </row>
    <row r="409" spans="1:17" ht="33" customHeight="1" x14ac:dyDescent="0.2">
      <c r="A409" s="9" t="s">
        <v>746</v>
      </c>
      <c r="B409" s="15">
        <v>97933</v>
      </c>
      <c r="C409" s="9" t="s">
        <v>56</v>
      </c>
      <c r="D409" s="47" t="s">
        <v>747</v>
      </c>
      <c r="E409" s="11" t="s">
        <v>84</v>
      </c>
      <c r="F409" s="16">
        <v>13</v>
      </c>
      <c r="G409" s="73">
        <f t="shared" si="65"/>
        <v>1017.4875000000001</v>
      </c>
      <c r="H409" s="73">
        <f t="shared" si="63"/>
        <v>13227.33</v>
      </c>
      <c r="I409" s="73">
        <f t="shared" si="66"/>
        <v>1243.6725000000001</v>
      </c>
      <c r="J409" s="73">
        <f t="shared" si="64"/>
        <v>16167.74</v>
      </c>
      <c r="K409" s="13">
        <v>21556.99</v>
      </c>
      <c r="L409" s="14">
        <v>1.8E-3</v>
      </c>
      <c r="N409" s="13">
        <v>1356.65</v>
      </c>
      <c r="O409" s="89">
        <v>1658.23</v>
      </c>
      <c r="P409" s="78"/>
      <c r="Q409" s="2">
        <f t="shared" si="62"/>
        <v>1658.23</v>
      </c>
    </row>
    <row r="410" spans="1:17" ht="33" customHeight="1" x14ac:dyDescent="0.2">
      <c r="A410" s="9" t="s">
        <v>748</v>
      </c>
      <c r="B410" s="32">
        <v>53878</v>
      </c>
      <c r="C410" s="9" t="s">
        <v>335</v>
      </c>
      <c r="D410" s="47" t="s">
        <v>749</v>
      </c>
      <c r="E410" s="11" t="s">
        <v>99</v>
      </c>
      <c r="F410" s="16">
        <v>6</v>
      </c>
      <c r="G410" s="73">
        <f t="shared" si="65"/>
        <v>72.352499999999992</v>
      </c>
      <c r="H410" s="73">
        <f t="shared" si="63"/>
        <v>434.11</v>
      </c>
      <c r="I410" s="73">
        <f t="shared" si="66"/>
        <v>88.432500000000005</v>
      </c>
      <c r="J410" s="73">
        <f t="shared" si="64"/>
        <v>530.59</v>
      </c>
      <c r="K410" s="12">
        <v>707.46</v>
      </c>
      <c r="L410" s="14">
        <v>1E-4</v>
      </c>
      <c r="N410" s="12">
        <v>96.47</v>
      </c>
      <c r="O410" s="86">
        <v>117.91</v>
      </c>
      <c r="P410" s="78"/>
      <c r="Q410" s="2">
        <f t="shared" si="62"/>
        <v>117.91000000000001</v>
      </c>
    </row>
    <row r="411" spans="1:17" ht="33" customHeight="1" x14ac:dyDescent="0.2">
      <c r="A411" s="9" t="s">
        <v>750</v>
      </c>
      <c r="B411" s="15">
        <v>98114</v>
      </c>
      <c r="C411" s="9" t="s">
        <v>56</v>
      </c>
      <c r="D411" s="46" t="s">
        <v>668</v>
      </c>
      <c r="E411" s="11" t="s">
        <v>84</v>
      </c>
      <c r="F411" s="16">
        <v>7</v>
      </c>
      <c r="G411" s="73">
        <f t="shared" si="65"/>
        <v>461.54999999999995</v>
      </c>
      <c r="H411" s="73">
        <f t="shared" si="63"/>
        <v>3230.85</v>
      </c>
      <c r="I411" s="73">
        <f t="shared" si="66"/>
        <v>564.15000000000009</v>
      </c>
      <c r="J411" s="73">
        <f t="shared" si="64"/>
        <v>3949.05</v>
      </c>
      <c r="K411" s="13">
        <v>5265.4</v>
      </c>
      <c r="L411" s="14">
        <v>4.0000000000000002E-4</v>
      </c>
      <c r="N411" s="12">
        <v>615.4</v>
      </c>
      <c r="O411" s="86">
        <v>752.2</v>
      </c>
      <c r="P411" s="78"/>
      <c r="Q411" s="2">
        <f t="shared" si="62"/>
        <v>752.19999999999993</v>
      </c>
    </row>
    <row r="412" spans="1:17" ht="33" customHeight="1" x14ac:dyDescent="0.2">
      <c r="A412" s="9" t="s">
        <v>751</v>
      </c>
      <c r="B412" s="15">
        <v>89512</v>
      </c>
      <c r="C412" s="9" t="s">
        <v>56</v>
      </c>
      <c r="D412" s="47" t="s">
        <v>752</v>
      </c>
      <c r="E412" s="11" t="s">
        <v>99</v>
      </c>
      <c r="F412" s="29">
        <v>259.8</v>
      </c>
      <c r="G412" s="73">
        <f t="shared" si="65"/>
        <v>45.435000000000002</v>
      </c>
      <c r="H412" s="73">
        <f t="shared" si="63"/>
        <v>11804.01</v>
      </c>
      <c r="I412" s="73">
        <f t="shared" si="66"/>
        <v>55.53</v>
      </c>
      <c r="J412" s="73">
        <f t="shared" si="64"/>
        <v>14426.69</v>
      </c>
      <c r="K412" s="13">
        <v>19235.59</v>
      </c>
      <c r="L412" s="14">
        <v>1.6000000000000001E-3</v>
      </c>
      <c r="N412" s="12">
        <v>60.58</v>
      </c>
      <c r="O412" s="86">
        <v>74.040000000000006</v>
      </c>
      <c r="P412" s="78"/>
      <c r="Q412" s="2">
        <f t="shared" si="62"/>
        <v>74.039992301770596</v>
      </c>
    </row>
    <row r="413" spans="1:17" ht="33" customHeight="1" x14ac:dyDescent="0.2">
      <c r="A413" s="9" t="s">
        <v>753</v>
      </c>
      <c r="B413" s="15">
        <v>104166</v>
      </c>
      <c r="C413" s="9" t="s">
        <v>56</v>
      </c>
      <c r="D413" s="47" t="s">
        <v>754</v>
      </c>
      <c r="E413" s="11" t="s">
        <v>99</v>
      </c>
      <c r="F413" s="29">
        <v>59.4</v>
      </c>
      <c r="G413" s="73">
        <f t="shared" si="65"/>
        <v>63.997500000000002</v>
      </c>
      <c r="H413" s="73">
        <f t="shared" si="63"/>
        <v>3801.45</v>
      </c>
      <c r="I413" s="73">
        <f t="shared" si="66"/>
        <v>78.217500000000001</v>
      </c>
      <c r="J413" s="73">
        <f t="shared" si="64"/>
        <v>4646.1099999999997</v>
      </c>
      <c r="K413" s="13">
        <v>6194.82</v>
      </c>
      <c r="L413" s="14">
        <v>5.0000000000000001E-4</v>
      </c>
      <c r="N413" s="12">
        <v>85.33</v>
      </c>
      <c r="O413" s="86">
        <v>104.29</v>
      </c>
      <c r="P413" s="78"/>
      <c r="Q413" s="2">
        <f t="shared" si="62"/>
        <v>104.28989898989899</v>
      </c>
    </row>
    <row r="414" spans="1:17" ht="33" customHeight="1" x14ac:dyDescent="0.2">
      <c r="A414" s="9" t="s">
        <v>755</v>
      </c>
      <c r="B414" s="15">
        <v>90696</v>
      </c>
      <c r="C414" s="9" t="s">
        <v>56</v>
      </c>
      <c r="D414" s="46" t="s">
        <v>756</v>
      </c>
      <c r="E414" s="11" t="s">
        <v>99</v>
      </c>
      <c r="F414" s="29">
        <v>46.6</v>
      </c>
      <c r="G414" s="73">
        <f t="shared" si="65"/>
        <v>121.185</v>
      </c>
      <c r="H414" s="73">
        <f t="shared" si="63"/>
        <v>5647.22</v>
      </c>
      <c r="I414" s="73">
        <f t="shared" si="66"/>
        <v>148.11750000000001</v>
      </c>
      <c r="J414" s="73">
        <f t="shared" si="64"/>
        <v>6902.27</v>
      </c>
      <c r="K414" s="13">
        <v>9203.0300000000007</v>
      </c>
      <c r="L414" s="14">
        <v>8.0000000000000004E-4</v>
      </c>
      <c r="N414" s="12">
        <v>161.58000000000001</v>
      </c>
      <c r="O414" s="86">
        <v>197.49</v>
      </c>
      <c r="P414" s="78"/>
      <c r="Q414" s="2">
        <f t="shared" si="62"/>
        <v>197.48991416309013</v>
      </c>
    </row>
    <row r="415" spans="1:17" ht="33" customHeight="1" x14ac:dyDescent="0.2">
      <c r="A415" s="9" t="s">
        <v>757</v>
      </c>
      <c r="B415" s="15">
        <v>90697</v>
      </c>
      <c r="C415" s="9" t="s">
        <v>56</v>
      </c>
      <c r="D415" s="46" t="s">
        <v>758</v>
      </c>
      <c r="E415" s="11" t="s">
        <v>99</v>
      </c>
      <c r="F415" s="29">
        <v>48.2</v>
      </c>
      <c r="G415" s="73">
        <f t="shared" si="65"/>
        <v>187.3425</v>
      </c>
      <c r="H415" s="73">
        <f t="shared" si="63"/>
        <v>9029.9</v>
      </c>
      <c r="I415" s="73">
        <f t="shared" si="66"/>
        <v>228.98250000000002</v>
      </c>
      <c r="J415" s="73">
        <f t="shared" si="64"/>
        <v>11036.95</v>
      </c>
      <c r="K415" s="13">
        <v>14715.94</v>
      </c>
      <c r="L415" s="14">
        <v>1.1999999999999999E-3</v>
      </c>
      <c r="N415" s="12">
        <v>249.79</v>
      </c>
      <c r="O415" s="86">
        <v>305.31</v>
      </c>
      <c r="P415" s="78"/>
      <c r="Q415" s="2">
        <f t="shared" si="62"/>
        <v>305.30995850622406</v>
      </c>
    </row>
    <row r="416" spans="1:17" ht="33" customHeight="1" x14ac:dyDescent="0.2">
      <c r="A416" s="28">
        <v>40427</v>
      </c>
      <c r="B416" s="15">
        <v>90698</v>
      </c>
      <c r="C416" s="9" t="s">
        <v>56</v>
      </c>
      <c r="D416" s="46" t="s">
        <v>759</v>
      </c>
      <c r="E416" s="11" t="s">
        <v>99</v>
      </c>
      <c r="F416" s="29">
        <v>88.7</v>
      </c>
      <c r="G416" s="73">
        <f t="shared" si="65"/>
        <v>285.59250000000003</v>
      </c>
      <c r="H416" s="73">
        <f t="shared" si="63"/>
        <v>25332.05</v>
      </c>
      <c r="I416" s="73">
        <f t="shared" si="66"/>
        <v>349.07249999999999</v>
      </c>
      <c r="J416" s="73">
        <f t="shared" si="64"/>
        <v>30962.73</v>
      </c>
      <c r="K416" s="13">
        <v>41283.64</v>
      </c>
      <c r="L416" s="14">
        <v>3.5000000000000001E-3</v>
      </c>
      <c r="N416" s="12">
        <v>380.79</v>
      </c>
      <c r="O416" s="86">
        <v>465.43</v>
      </c>
      <c r="P416" s="78"/>
      <c r="Q416" s="2">
        <f t="shared" si="62"/>
        <v>465.42998872604284</v>
      </c>
    </row>
    <row r="417" spans="1:17" ht="33" customHeight="1" x14ac:dyDescent="0.2">
      <c r="A417" s="28">
        <v>40792</v>
      </c>
      <c r="B417" s="15">
        <v>104168</v>
      </c>
      <c r="C417" s="9" t="s">
        <v>56</v>
      </c>
      <c r="D417" s="46" t="s">
        <v>760</v>
      </c>
      <c r="E417" s="11" t="s">
        <v>84</v>
      </c>
      <c r="F417" s="16">
        <v>1</v>
      </c>
      <c r="G417" s="73">
        <f t="shared" si="65"/>
        <v>96.877499999999998</v>
      </c>
      <c r="H417" s="73">
        <f t="shared" si="63"/>
        <v>96.87</v>
      </c>
      <c r="I417" s="73">
        <f t="shared" si="66"/>
        <v>118.41</v>
      </c>
      <c r="J417" s="73">
        <f t="shared" si="64"/>
        <v>118.41</v>
      </c>
      <c r="K417" s="12">
        <v>157.88</v>
      </c>
      <c r="L417" s="14">
        <v>0</v>
      </c>
      <c r="N417" s="12">
        <v>129.16999999999999</v>
      </c>
      <c r="O417" s="86">
        <v>157.88</v>
      </c>
      <c r="P417" s="78"/>
      <c r="Q417" s="2">
        <f t="shared" si="62"/>
        <v>157.88</v>
      </c>
    </row>
    <row r="418" spans="1:17" ht="33" customHeight="1" x14ac:dyDescent="0.2">
      <c r="A418" s="28">
        <v>41158</v>
      </c>
      <c r="B418" s="15">
        <v>89529</v>
      </c>
      <c r="C418" s="9" t="s">
        <v>56</v>
      </c>
      <c r="D418" s="46" t="s">
        <v>761</v>
      </c>
      <c r="E418" s="11" t="s">
        <v>84</v>
      </c>
      <c r="F418" s="16">
        <v>14</v>
      </c>
      <c r="G418" s="73">
        <f t="shared" si="65"/>
        <v>30.697499999999998</v>
      </c>
      <c r="H418" s="73">
        <f t="shared" si="63"/>
        <v>429.76</v>
      </c>
      <c r="I418" s="73">
        <f t="shared" si="66"/>
        <v>37.515000000000001</v>
      </c>
      <c r="J418" s="73">
        <f t="shared" si="64"/>
        <v>525.21</v>
      </c>
      <c r="K418" s="12">
        <v>700.28</v>
      </c>
      <c r="L418" s="14">
        <v>1E-4</v>
      </c>
      <c r="N418" s="12">
        <v>40.93</v>
      </c>
      <c r="O418" s="86">
        <v>50.02</v>
      </c>
      <c r="P418" s="78"/>
      <c r="Q418" s="2">
        <f t="shared" si="62"/>
        <v>50.019999999999996</v>
      </c>
    </row>
    <row r="419" spans="1:17" ht="33" customHeight="1" x14ac:dyDescent="0.2">
      <c r="A419" s="28">
        <v>41523</v>
      </c>
      <c r="B419" s="15">
        <v>104167</v>
      </c>
      <c r="C419" s="9" t="s">
        <v>56</v>
      </c>
      <c r="D419" s="47" t="s">
        <v>762</v>
      </c>
      <c r="E419" s="11" t="s">
        <v>84</v>
      </c>
      <c r="F419" s="16">
        <v>1</v>
      </c>
      <c r="G419" s="73">
        <f t="shared" si="65"/>
        <v>99.45750000000001</v>
      </c>
      <c r="H419" s="73">
        <f t="shared" si="63"/>
        <v>99.45</v>
      </c>
      <c r="I419" s="73">
        <f t="shared" si="66"/>
        <v>121.56</v>
      </c>
      <c r="J419" s="73">
        <f t="shared" si="64"/>
        <v>121.56</v>
      </c>
      <c r="K419" s="12">
        <v>162.08000000000001</v>
      </c>
      <c r="L419" s="14">
        <v>0</v>
      </c>
      <c r="N419" s="12">
        <v>132.61000000000001</v>
      </c>
      <c r="O419" s="86">
        <v>162.08000000000001</v>
      </c>
      <c r="P419" s="78"/>
      <c r="Q419" s="2">
        <f t="shared" si="62"/>
        <v>162.08000000000001</v>
      </c>
    </row>
    <row r="420" spans="1:17" ht="33" customHeight="1" x14ac:dyDescent="0.2">
      <c r="A420" s="28">
        <v>41888</v>
      </c>
      <c r="B420" s="32">
        <v>53542</v>
      </c>
      <c r="C420" s="9" t="s">
        <v>335</v>
      </c>
      <c r="D420" s="47" t="s">
        <v>763</v>
      </c>
      <c r="E420" s="11" t="s">
        <v>84</v>
      </c>
      <c r="F420" s="16">
        <v>1</v>
      </c>
      <c r="G420" s="73">
        <f t="shared" si="65"/>
        <v>189.39000000000001</v>
      </c>
      <c r="H420" s="73">
        <f t="shared" si="63"/>
        <v>189.39</v>
      </c>
      <c r="I420" s="73">
        <f t="shared" si="66"/>
        <v>231.48749999999998</v>
      </c>
      <c r="J420" s="73">
        <f t="shared" si="64"/>
        <v>231.48</v>
      </c>
      <c r="K420" s="12">
        <v>308.64999999999998</v>
      </c>
      <c r="L420" s="14">
        <v>0</v>
      </c>
      <c r="N420" s="12">
        <v>252.52</v>
      </c>
      <c r="O420" s="86">
        <v>308.64999999999998</v>
      </c>
      <c r="P420" s="78"/>
      <c r="Q420" s="2">
        <f t="shared" si="62"/>
        <v>308.64999999999998</v>
      </c>
    </row>
    <row r="421" spans="1:17" ht="33" customHeight="1" x14ac:dyDescent="0.2">
      <c r="A421" s="28">
        <v>42253</v>
      </c>
      <c r="B421" s="32">
        <v>53541</v>
      </c>
      <c r="C421" s="9" t="s">
        <v>335</v>
      </c>
      <c r="D421" s="47" t="s">
        <v>764</v>
      </c>
      <c r="E421" s="11" t="s">
        <v>84</v>
      </c>
      <c r="F421" s="16">
        <v>14</v>
      </c>
      <c r="G421" s="73">
        <f t="shared" si="65"/>
        <v>69.254999999999995</v>
      </c>
      <c r="H421" s="73">
        <f t="shared" si="63"/>
        <v>969.57</v>
      </c>
      <c r="I421" s="73">
        <f t="shared" si="66"/>
        <v>84.644999999999996</v>
      </c>
      <c r="J421" s="73">
        <f t="shared" si="64"/>
        <v>1185.03</v>
      </c>
      <c r="K421" s="13">
        <v>1580.04</v>
      </c>
      <c r="L421" s="14">
        <v>1E-4</v>
      </c>
      <c r="N421" s="12">
        <v>92.34</v>
      </c>
      <c r="O421" s="86">
        <v>112.86</v>
      </c>
      <c r="P421" s="78"/>
      <c r="Q421" s="2">
        <f t="shared" si="62"/>
        <v>112.86</v>
      </c>
    </row>
    <row r="422" spans="1:17" ht="33" customHeight="1" x14ac:dyDescent="0.2">
      <c r="A422" s="28">
        <v>42619</v>
      </c>
      <c r="B422" s="32">
        <v>53545</v>
      </c>
      <c r="C422" s="9" t="s">
        <v>335</v>
      </c>
      <c r="D422" s="47" t="s">
        <v>765</v>
      </c>
      <c r="E422" s="11" t="s">
        <v>84</v>
      </c>
      <c r="F422" s="16">
        <v>1</v>
      </c>
      <c r="G422" s="73">
        <f t="shared" si="65"/>
        <v>184.45499999999998</v>
      </c>
      <c r="H422" s="73">
        <f t="shared" si="63"/>
        <v>184.45</v>
      </c>
      <c r="I422" s="73">
        <f t="shared" si="66"/>
        <v>225.45750000000001</v>
      </c>
      <c r="J422" s="73">
        <f t="shared" si="64"/>
        <v>225.45</v>
      </c>
      <c r="K422" s="12">
        <v>300.61</v>
      </c>
      <c r="L422" s="14">
        <v>0</v>
      </c>
      <c r="N422" s="12">
        <v>245.94</v>
      </c>
      <c r="O422" s="86">
        <v>300.61</v>
      </c>
      <c r="P422" s="78"/>
      <c r="Q422" s="2">
        <f t="shared" si="62"/>
        <v>300.61</v>
      </c>
    </row>
    <row r="423" spans="1:17" ht="33" customHeight="1" x14ac:dyDescent="0.2">
      <c r="A423" s="28">
        <v>42984</v>
      </c>
      <c r="B423" s="15">
        <v>95694</v>
      </c>
      <c r="C423" s="9" t="s">
        <v>56</v>
      </c>
      <c r="D423" s="46" t="s">
        <v>766</v>
      </c>
      <c r="E423" s="11" t="s">
        <v>84</v>
      </c>
      <c r="F423" s="16">
        <v>29</v>
      </c>
      <c r="G423" s="73">
        <f t="shared" si="65"/>
        <v>43.897500000000001</v>
      </c>
      <c r="H423" s="73">
        <f t="shared" si="63"/>
        <v>1273.02</v>
      </c>
      <c r="I423" s="73">
        <f t="shared" si="66"/>
        <v>53.655000000000001</v>
      </c>
      <c r="J423" s="73">
        <f t="shared" si="64"/>
        <v>1555.99</v>
      </c>
      <c r="K423" s="13">
        <v>2074.66</v>
      </c>
      <c r="L423" s="14">
        <v>2.0000000000000001E-4</v>
      </c>
      <c r="N423" s="12">
        <v>58.53</v>
      </c>
      <c r="O423" s="86">
        <v>71.540000000000006</v>
      </c>
      <c r="P423" s="78"/>
      <c r="Q423" s="2">
        <f t="shared" si="62"/>
        <v>71.539999999999992</v>
      </c>
    </row>
    <row r="424" spans="1:17" ht="33" customHeight="1" x14ac:dyDescent="0.2">
      <c r="A424" s="28">
        <v>43349</v>
      </c>
      <c r="B424" s="32">
        <v>53705</v>
      </c>
      <c r="C424" s="9" t="s">
        <v>335</v>
      </c>
      <c r="D424" s="47" t="s">
        <v>767</v>
      </c>
      <c r="E424" s="11" t="s">
        <v>84</v>
      </c>
      <c r="F424" s="16">
        <v>2</v>
      </c>
      <c r="G424" s="73">
        <f t="shared" si="65"/>
        <v>422.86500000000001</v>
      </c>
      <c r="H424" s="73">
        <f t="shared" si="63"/>
        <v>845.73</v>
      </c>
      <c r="I424" s="73">
        <f t="shared" si="66"/>
        <v>516.86249999999995</v>
      </c>
      <c r="J424" s="73">
        <f t="shared" si="64"/>
        <v>1033.72</v>
      </c>
      <c r="K424" s="13">
        <v>1378.3</v>
      </c>
      <c r="L424" s="14">
        <v>1E-4</v>
      </c>
      <c r="N424" s="12">
        <v>563.82000000000005</v>
      </c>
      <c r="O424" s="86">
        <v>689.15</v>
      </c>
      <c r="P424" s="78"/>
      <c r="Q424" s="2">
        <f t="shared" si="62"/>
        <v>689.15</v>
      </c>
    </row>
    <row r="425" spans="1:17" ht="33" customHeight="1" x14ac:dyDescent="0.2">
      <c r="A425" s="28">
        <v>43714</v>
      </c>
      <c r="B425" s="15">
        <v>104174</v>
      </c>
      <c r="C425" s="9" t="s">
        <v>56</v>
      </c>
      <c r="D425" s="46" t="s">
        <v>768</v>
      </c>
      <c r="E425" s="11" t="s">
        <v>84</v>
      </c>
      <c r="F425" s="16">
        <v>2</v>
      </c>
      <c r="G425" s="73">
        <f t="shared" si="65"/>
        <v>153.02250000000001</v>
      </c>
      <c r="H425" s="73">
        <f t="shared" si="63"/>
        <v>306.04000000000002</v>
      </c>
      <c r="I425" s="73">
        <f t="shared" si="66"/>
        <v>187.035</v>
      </c>
      <c r="J425" s="73">
        <f t="shared" si="64"/>
        <v>374.07</v>
      </c>
      <c r="K425" s="12">
        <v>498.76</v>
      </c>
      <c r="L425" s="14">
        <v>0</v>
      </c>
      <c r="N425" s="12">
        <v>204.03</v>
      </c>
      <c r="O425" s="86">
        <v>249.38</v>
      </c>
      <c r="P425" s="78"/>
      <c r="Q425" s="2">
        <f t="shared" si="62"/>
        <v>249.38</v>
      </c>
    </row>
    <row r="426" spans="1:17" ht="33" customHeight="1" x14ac:dyDescent="0.2">
      <c r="A426" s="28">
        <v>44080</v>
      </c>
      <c r="B426" s="15">
        <v>89556</v>
      </c>
      <c r="C426" s="9" t="s">
        <v>56</v>
      </c>
      <c r="D426" s="46" t="s">
        <v>769</v>
      </c>
      <c r="E426" s="11" t="s">
        <v>84</v>
      </c>
      <c r="F426" s="16">
        <v>16</v>
      </c>
      <c r="G426" s="73">
        <f t="shared" si="65"/>
        <v>32.594999999999999</v>
      </c>
      <c r="H426" s="73">
        <f t="shared" si="63"/>
        <v>521.52</v>
      </c>
      <c r="I426" s="73">
        <f t="shared" si="66"/>
        <v>39.839999999999996</v>
      </c>
      <c r="J426" s="73">
        <f t="shared" si="64"/>
        <v>637.44000000000005</v>
      </c>
      <c r="K426" s="12">
        <v>849.92</v>
      </c>
      <c r="L426" s="14">
        <v>1E-4</v>
      </c>
      <c r="N426" s="12">
        <v>43.46</v>
      </c>
      <c r="O426" s="86">
        <v>53.12</v>
      </c>
      <c r="P426" s="78"/>
      <c r="Q426" s="2">
        <f t="shared" si="62"/>
        <v>53.12</v>
      </c>
    </row>
    <row r="427" spans="1:17" ht="33" customHeight="1" x14ac:dyDescent="0.2">
      <c r="A427" s="28">
        <v>44445</v>
      </c>
      <c r="B427" s="15">
        <v>104173</v>
      </c>
      <c r="C427" s="9" t="s">
        <v>56</v>
      </c>
      <c r="D427" s="46" t="s">
        <v>770</v>
      </c>
      <c r="E427" s="11" t="s">
        <v>84</v>
      </c>
      <c r="F427" s="16">
        <v>3</v>
      </c>
      <c r="G427" s="73">
        <f t="shared" si="65"/>
        <v>68.557500000000005</v>
      </c>
      <c r="H427" s="73">
        <f t="shared" si="63"/>
        <v>205.67</v>
      </c>
      <c r="I427" s="73">
        <f t="shared" si="66"/>
        <v>83.797499999999999</v>
      </c>
      <c r="J427" s="73">
        <f t="shared" si="64"/>
        <v>251.39</v>
      </c>
      <c r="K427" s="12">
        <v>335.19</v>
      </c>
      <c r="L427" s="14">
        <v>0</v>
      </c>
      <c r="N427" s="12">
        <v>91.41</v>
      </c>
      <c r="O427" s="86">
        <v>111.73</v>
      </c>
      <c r="P427" s="78"/>
      <c r="Q427" s="2">
        <f t="shared" si="62"/>
        <v>111.73</v>
      </c>
    </row>
    <row r="428" spans="1:17" ht="33" customHeight="1" x14ac:dyDescent="0.2">
      <c r="A428" s="28">
        <v>44810</v>
      </c>
      <c r="B428" s="25" t="s">
        <v>771</v>
      </c>
      <c r="C428" s="9" t="s">
        <v>24</v>
      </c>
      <c r="D428" s="47" t="s">
        <v>772</v>
      </c>
      <c r="E428" s="11" t="s">
        <v>84</v>
      </c>
      <c r="F428" s="16">
        <v>14</v>
      </c>
      <c r="G428" s="73">
        <f t="shared" si="65"/>
        <v>32.647500000000001</v>
      </c>
      <c r="H428" s="73">
        <f t="shared" si="63"/>
        <v>457.06</v>
      </c>
      <c r="I428" s="73">
        <f t="shared" si="66"/>
        <v>39.900000000000006</v>
      </c>
      <c r="J428" s="73">
        <f t="shared" si="64"/>
        <v>558.6</v>
      </c>
      <c r="K428" s="12">
        <v>744.8</v>
      </c>
      <c r="L428" s="14">
        <v>1E-4</v>
      </c>
      <c r="N428" s="12">
        <v>43.53</v>
      </c>
      <c r="O428" s="86">
        <v>53.2</v>
      </c>
      <c r="P428" s="78"/>
      <c r="Q428" s="2">
        <f t="shared" si="62"/>
        <v>53.199999999999996</v>
      </c>
    </row>
    <row r="429" spans="1:17" ht="33" customHeight="1" x14ac:dyDescent="0.2">
      <c r="A429" s="28">
        <v>45175</v>
      </c>
      <c r="B429" s="9" t="s">
        <v>773</v>
      </c>
      <c r="C429" s="9" t="s">
        <v>774</v>
      </c>
      <c r="D429" s="47" t="s">
        <v>775</v>
      </c>
      <c r="E429" s="11" t="s">
        <v>776</v>
      </c>
      <c r="F429" s="16">
        <v>1</v>
      </c>
      <c r="G429" s="73">
        <f t="shared" si="65"/>
        <v>14017.5</v>
      </c>
      <c r="H429" s="73">
        <f t="shared" si="63"/>
        <v>14017.5</v>
      </c>
      <c r="I429" s="73">
        <f t="shared" si="66"/>
        <v>17133.584999999999</v>
      </c>
      <c r="J429" s="73">
        <f t="shared" si="64"/>
        <v>17133.580000000002</v>
      </c>
      <c r="K429" s="13">
        <v>22844.78</v>
      </c>
      <c r="L429" s="14">
        <v>1.9E-3</v>
      </c>
      <c r="N429" s="13">
        <v>18690</v>
      </c>
      <c r="O429" s="89">
        <v>22844.78</v>
      </c>
      <c r="P429" s="78"/>
      <c r="Q429" s="2">
        <f t="shared" si="62"/>
        <v>22844.78</v>
      </c>
    </row>
    <row r="430" spans="1:17" ht="33" customHeight="1" x14ac:dyDescent="0.2">
      <c r="A430" s="28">
        <v>45541</v>
      </c>
      <c r="B430" s="9" t="s">
        <v>777</v>
      </c>
      <c r="C430" s="9" t="s">
        <v>774</v>
      </c>
      <c r="D430" s="47" t="s">
        <v>778</v>
      </c>
      <c r="E430" s="11" t="s">
        <v>776</v>
      </c>
      <c r="F430" s="16">
        <v>1</v>
      </c>
      <c r="G430" s="73">
        <f t="shared" si="65"/>
        <v>933.75</v>
      </c>
      <c r="H430" s="73">
        <f t="shared" si="63"/>
        <v>933.75</v>
      </c>
      <c r="I430" s="73">
        <f t="shared" si="66"/>
        <v>1141.32</v>
      </c>
      <c r="J430" s="73">
        <f t="shared" si="64"/>
        <v>1141.32</v>
      </c>
      <c r="K430" s="13">
        <v>1521.76</v>
      </c>
      <c r="L430" s="14">
        <v>1E-4</v>
      </c>
      <c r="N430" s="13">
        <v>1245</v>
      </c>
      <c r="O430" s="89">
        <v>1521.76</v>
      </c>
      <c r="P430" s="78"/>
      <c r="Q430" s="2">
        <f t="shared" si="62"/>
        <v>1521.76</v>
      </c>
    </row>
    <row r="431" spans="1:17" ht="33" customHeight="1" x14ac:dyDescent="0.2">
      <c r="A431" s="28">
        <v>45906</v>
      </c>
      <c r="B431" s="9" t="s">
        <v>779</v>
      </c>
      <c r="C431" s="9" t="s">
        <v>774</v>
      </c>
      <c r="D431" s="47" t="s">
        <v>780</v>
      </c>
      <c r="E431" s="11" t="s">
        <v>776</v>
      </c>
      <c r="F431" s="16">
        <v>1</v>
      </c>
      <c r="G431" s="73">
        <f t="shared" si="65"/>
        <v>1612.5</v>
      </c>
      <c r="H431" s="73">
        <f t="shared" si="63"/>
        <v>1612.5</v>
      </c>
      <c r="I431" s="73">
        <f t="shared" si="66"/>
        <v>1970.9549999999999</v>
      </c>
      <c r="J431" s="73">
        <f t="shared" si="64"/>
        <v>1970.95</v>
      </c>
      <c r="K431" s="13">
        <v>2627.94</v>
      </c>
      <c r="L431" s="14">
        <v>2.0000000000000001E-4</v>
      </c>
      <c r="N431" s="13">
        <v>2150</v>
      </c>
      <c r="O431" s="89">
        <v>2627.94</v>
      </c>
      <c r="P431" s="78"/>
      <c r="Q431" s="2">
        <f t="shared" si="62"/>
        <v>2627.94</v>
      </c>
    </row>
    <row r="432" spans="1:17" ht="33" customHeight="1" x14ac:dyDescent="0.2">
      <c r="A432" s="5" t="s">
        <v>781</v>
      </c>
      <c r="B432" s="4"/>
      <c r="C432" s="4"/>
      <c r="D432" s="45" t="s">
        <v>782</v>
      </c>
      <c r="E432" s="4"/>
      <c r="F432" s="6">
        <v>1</v>
      </c>
      <c r="G432" s="71"/>
      <c r="H432" s="73">
        <f t="shared" si="63"/>
        <v>0</v>
      </c>
      <c r="I432" s="71"/>
      <c r="J432" s="76">
        <f>SUM(J433:J443)</f>
        <v>12269.570000000003</v>
      </c>
      <c r="K432" s="7">
        <v>16359.46</v>
      </c>
      <c r="L432" s="8">
        <v>1.4E-3</v>
      </c>
      <c r="N432" s="4"/>
      <c r="O432" s="88">
        <v>16359.46</v>
      </c>
      <c r="P432" s="78"/>
      <c r="Q432" s="2">
        <f t="shared" si="62"/>
        <v>16359.46</v>
      </c>
    </row>
    <row r="433" spans="1:17" ht="33" customHeight="1" x14ac:dyDescent="0.2">
      <c r="A433" s="9" t="s">
        <v>783</v>
      </c>
      <c r="B433" s="15">
        <v>104316</v>
      </c>
      <c r="C433" s="9" t="s">
        <v>56</v>
      </c>
      <c r="D433" s="47" t="s">
        <v>784</v>
      </c>
      <c r="E433" s="11" t="s">
        <v>99</v>
      </c>
      <c r="F433" s="29">
        <v>216.2</v>
      </c>
      <c r="G433" s="73">
        <f t="shared" ref="G433:G443" si="67">N433*$S$6</f>
        <v>21.997499999999999</v>
      </c>
      <c r="H433" s="73">
        <f t="shared" si="63"/>
        <v>4755.8500000000004</v>
      </c>
      <c r="I433" s="73">
        <f t="shared" ref="I433:I443" si="68">O433*$S$6</f>
        <v>26.887500000000003</v>
      </c>
      <c r="J433" s="73">
        <f t="shared" si="64"/>
        <v>5813.07</v>
      </c>
      <c r="K433" s="13">
        <v>7750.77</v>
      </c>
      <c r="L433" s="14">
        <v>5.9999999999999995E-4</v>
      </c>
      <c r="N433" s="12">
        <v>29.33</v>
      </c>
      <c r="O433" s="86">
        <v>35.85</v>
      </c>
      <c r="P433" s="78"/>
      <c r="Q433" s="2">
        <f t="shared" si="62"/>
        <v>35.85</v>
      </c>
    </row>
    <row r="434" spans="1:17" ht="33" customHeight="1" x14ac:dyDescent="0.2">
      <c r="A434" s="9" t="s">
        <v>785</v>
      </c>
      <c r="B434" s="15">
        <v>94650</v>
      </c>
      <c r="C434" s="9" t="s">
        <v>56</v>
      </c>
      <c r="D434" s="47" t="s">
        <v>786</v>
      </c>
      <c r="E434" s="11" t="s">
        <v>99</v>
      </c>
      <c r="F434" s="29">
        <v>78.400000000000006</v>
      </c>
      <c r="G434" s="73">
        <f t="shared" si="67"/>
        <v>15.877500000000001</v>
      </c>
      <c r="H434" s="73">
        <f t="shared" si="63"/>
        <v>1244.79</v>
      </c>
      <c r="I434" s="73">
        <f t="shared" si="68"/>
        <v>19.4025</v>
      </c>
      <c r="J434" s="73">
        <f t="shared" si="64"/>
        <v>1521.15</v>
      </c>
      <c r="K434" s="13">
        <v>2028.2</v>
      </c>
      <c r="L434" s="14">
        <v>2.0000000000000001E-4</v>
      </c>
      <c r="N434" s="12">
        <v>21.17</v>
      </c>
      <c r="O434" s="86">
        <v>25.87</v>
      </c>
      <c r="P434" s="78"/>
      <c r="Q434" s="2">
        <f t="shared" si="62"/>
        <v>25.869897959183671</v>
      </c>
    </row>
    <row r="435" spans="1:17" ht="33" customHeight="1" x14ac:dyDescent="0.2">
      <c r="A435" s="9" t="s">
        <v>787</v>
      </c>
      <c r="B435" s="15">
        <v>104320</v>
      </c>
      <c r="C435" s="9" t="s">
        <v>56</v>
      </c>
      <c r="D435" s="47" t="s">
        <v>788</v>
      </c>
      <c r="E435" s="11" t="s">
        <v>84</v>
      </c>
      <c r="F435" s="16">
        <v>83</v>
      </c>
      <c r="G435" s="73">
        <f t="shared" si="67"/>
        <v>10.754999999999999</v>
      </c>
      <c r="H435" s="73">
        <f t="shared" si="63"/>
        <v>892.66</v>
      </c>
      <c r="I435" s="73">
        <f t="shared" si="68"/>
        <v>13.14</v>
      </c>
      <c r="J435" s="73">
        <f t="shared" si="64"/>
        <v>1090.6199999999999</v>
      </c>
      <c r="K435" s="13">
        <v>1454.16</v>
      </c>
      <c r="L435" s="14">
        <v>1E-4</v>
      </c>
      <c r="N435" s="12">
        <v>14.34</v>
      </c>
      <c r="O435" s="86">
        <v>17.52</v>
      </c>
      <c r="P435" s="78"/>
      <c r="Q435" s="2">
        <f t="shared" si="62"/>
        <v>17.52</v>
      </c>
    </row>
    <row r="436" spans="1:17" ht="33" customHeight="1" x14ac:dyDescent="0.2">
      <c r="A436" s="9" t="s">
        <v>789</v>
      </c>
      <c r="B436" s="15">
        <v>104319</v>
      </c>
      <c r="C436" s="9" t="s">
        <v>56</v>
      </c>
      <c r="D436" s="47" t="s">
        <v>790</v>
      </c>
      <c r="E436" s="11" t="s">
        <v>84</v>
      </c>
      <c r="F436" s="16">
        <v>157</v>
      </c>
      <c r="G436" s="73">
        <f t="shared" si="67"/>
        <v>9.4125000000000014</v>
      </c>
      <c r="H436" s="73">
        <f t="shared" si="63"/>
        <v>1477.76</v>
      </c>
      <c r="I436" s="73">
        <f t="shared" si="68"/>
        <v>11.4975</v>
      </c>
      <c r="J436" s="73">
        <f t="shared" si="64"/>
        <v>1805.1</v>
      </c>
      <c r="K436" s="13">
        <v>2406.81</v>
      </c>
      <c r="L436" s="14">
        <v>2.0000000000000001E-4</v>
      </c>
      <c r="N436" s="12">
        <v>12.55</v>
      </c>
      <c r="O436" s="86">
        <v>15.33</v>
      </c>
      <c r="P436" s="78"/>
      <c r="Q436" s="2">
        <f t="shared" si="62"/>
        <v>15.33</v>
      </c>
    </row>
    <row r="437" spans="1:17" ht="33" customHeight="1" x14ac:dyDescent="0.2">
      <c r="A437" s="9" t="s">
        <v>791</v>
      </c>
      <c r="B437" s="15">
        <v>105180</v>
      </c>
      <c r="C437" s="9" t="s">
        <v>56</v>
      </c>
      <c r="D437" s="47" t="s">
        <v>792</v>
      </c>
      <c r="E437" s="11" t="s">
        <v>84</v>
      </c>
      <c r="F437" s="16">
        <v>8</v>
      </c>
      <c r="G437" s="73">
        <f t="shared" si="67"/>
        <v>11.5425</v>
      </c>
      <c r="H437" s="73">
        <f t="shared" si="63"/>
        <v>92.34</v>
      </c>
      <c r="I437" s="73">
        <f t="shared" si="68"/>
        <v>14.107499999999998</v>
      </c>
      <c r="J437" s="73">
        <f t="shared" si="64"/>
        <v>112.86</v>
      </c>
      <c r="K437" s="12">
        <v>150.47999999999999</v>
      </c>
      <c r="L437" s="14">
        <v>0</v>
      </c>
      <c r="N437" s="12">
        <v>15.39</v>
      </c>
      <c r="O437" s="86">
        <v>18.809999999999999</v>
      </c>
      <c r="P437" s="78"/>
      <c r="Q437" s="2">
        <f t="shared" si="62"/>
        <v>18.809999999999999</v>
      </c>
    </row>
    <row r="438" spans="1:17" ht="33" customHeight="1" x14ac:dyDescent="0.2">
      <c r="A438" s="9" t="s">
        <v>793</v>
      </c>
      <c r="B438" s="15">
        <v>104159</v>
      </c>
      <c r="C438" s="9" t="s">
        <v>56</v>
      </c>
      <c r="D438" s="47" t="s">
        <v>626</v>
      </c>
      <c r="E438" s="11" t="s">
        <v>84</v>
      </c>
      <c r="F438" s="16">
        <v>1</v>
      </c>
      <c r="G438" s="73">
        <f t="shared" si="67"/>
        <v>30.547499999999999</v>
      </c>
      <c r="H438" s="73">
        <f t="shared" si="63"/>
        <v>30.54</v>
      </c>
      <c r="I438" s="73">
        <f t="shared" si="68"/>
        <v>37.335000000000001</v>
      </c>
      <c r="J438" s="73">
        <f t="shared" si="64"/>
        <v>37.33</v>
      </c>
      <c r="K438" s="12">
        <v>49.78</v>
      </c>
      <c r="L438" s="14">
        <v>0</v>
      </c>
      <c r="N438" s="12">
        <v>40.729999999999997</v>
      </c>
      <c r="O438" s="86">
        <v>49.78</v>
      </c>
      <c r="P438" s="78"/>
      <c r="Q438" s="2">
        <f t="shared" si="62"/>
        <v>49.78</v>
      </c>
    </row>
    <row r="439" spans="1:17" ht="33" customHeight="1" x14ac:dyDescent="0.2">
      <c r="A439" s="9" t="s">
        <v>794</v>
      </c>
      <c r="B439" s="15">
        <v>105143</v>
      </c>
      <c r="C439" s="9" t="s">
        <v>56</v>
      </c>
      <c r="D439" s="47" t="s">
        <v>795</v>
      </c>
      <c r="E439" s="11" t="s">
        <v>84</v>
      </c>
      <c r="F439" s="16">
        <v>9</v>
      </c>
      <c r="G439" s="73">
        <f t="shared" si="67"/>
        <v>8.6174999999999997</v>
      </c>
      <c r="H439" s="73">
        <f t="shared" si="63"/>
        <v>77.55</v>
      </c>
      <c r="I439" s="73">
        <f t="shared" si="68"/>
        <v>10.53</v>
      </c>
      <c r="J439" s="73">
        <f t="shared" si="64"/>
        <v>94.77</v>
      </c>
      <c r="K439" s="12">
        <v>126.36</v>
      </c>
      <c r="L439" s="14">
        <v>0</v>
      </c>
      <c r="N439" s="12">
        <v>11.49</v>
      </c>
      <c r="O439" s="86">
        <v>14.04</v>
      </c>
      <c r="P439" s="78"/>
      <c r="Q439" s="2">
        <f t="shared" si="62"/>
        <v>14.04</v>
      </c>
    </row>
    <row r="440" spans="1:17" ht="33" customHeight="1" x14ac:dyDescent="0.2">
      <c r="A440" s="9" t="s">
        <v>796</v>
      </c>
      <c r="B440" s="15">
        <v>104322</v>
      </c>
      <c r="C440" s="9" t="s">
        <v>56</v>
      </c>
      <c r="D440" s="47" t="s">
        <v>797</v>
      </c>
      <c r="E440" s="11" t="s">
        <v>84</v>
      </c>
      <c r="F440" s="16">
        <v>36</v>
      </c>
      <c r="G440" s="73">
        <f t="shared" si="67"/>
        <v>6.9674999999999994</v>
      </c>
      <c r="H440" s="73">
        <f t="shared" si="63"/>
        <v>250.83</v>
      </c>
      <c r="I440" s="73">
        <f t="shared" si="68"/>
        <v>8.5124999999999993</v>
      </c>
      <c r="J440" s="73">
        <f t="shared" si="64"/>
        <v>306.45</v>
      </c>
      <c r="K440" s="12">
        <v>408.6</v>
      </c>
      <c r="L440" s="14">
        <v>0</v>
      </c>
      <c r="N440" s="12">
        <v>9.2899999999999991</v>
      </c>
      <c r="O440" s="86">
        <v>11.35</v>
      </c>
      <c r="P440" s="78"/>
      <c r="Q440" s="2">
        <f t="shared" si="62"/>
        <v>11.350000000000001</v>
      </c>
    </row>
    <row r="441" spans="1:17" ht="33" customHeight="1" x14ac:dyDescent="0.2">
      <c r="A441" s="9" t="s">
        <v>798</v>
      </c>
      <c r="B441" s="15">
        <v>104324</v>
      </c>
      <c r="C441" s="9" t="s">
        <v>56</v>
      </c>
      <c r="D441" s="47" t="s">
        <v>799</v>
      </c>
      <c r="E441" s="11" t="s">
        <v>84</v>
      </c>
      <c r="F441" s="16">
        <v>24</v>
      </c>
      <c r="G441" s="73">
        <f t="shared" si="67"/>
        <v>13.162500000000001</v>
      </c>
      <c r="H441" s="73">
        <f t="shared" si="63"/>
        <v>315.89999999999998</v>
      </c>
      <c r="I441" s="73">
        <f t="shared" si="68"/>
        <v>16.087499999999999</v>
      </c>
      <c r="J441" s="73">
        <f t="shared" si="64"/>
        <v>386.1</v>
      </c>
      <c r="K441" s="12">
        <v>514.79999999999995</v>
      </c>
      <c r="L441" s="14">
        <v>0</v>
      </c>
      <c r="N441" s="12">
        <v>17.55</v>
      </c>
      <c r="O441" s="86">
        <v>21.45</v>
      </c>
      <c r="P441" s="78"/>
      <c r="Q441" s="2">
        <f t="shared" si="62"/>
        <v>21.45</v>
      </c>
    </row>
    <row r="442" spans="1:17" ht="33" customHeight="1" x14ac:dyDescent="0.2">
      <c r="A442" s="28">
        <v>40428</v>
      </c>
      <c r="B442" s="15">
        <v>94692</v>
      </c>
      <c r="C442" s="9" t="s">
        <v>56</v>
      </c>
      <c r="D442" s="47" t="s">
        <v>629</v>
      </c>
      <c r="E442" s="11" t="s">
        <v>84</v>
      </c>
      <c r="F442" s="16">
        <v>5</v>
      </c>
      <c r="G442" s="73">
        <f t="shared" si="67"/>
        <v>16.634999999999998</v>
      </c>
      <c r="H442" s="73">
        <f t="shared" si="63"/>
        <v>83.17</v>
      </c>
      <c r="I442" s="73">
        <f t="shared" si="68"/>
        <v>20.3325</v>
      </c>
      <c r="J442" s="73">
        <f t="shared" si="64"/>
        <v>101.66</v>
      </c>
      <c r="K442" s="12">
        <v>135.55000000000001</v>
      </c>
      <c r="L442" s="14">
        <v>0</v>
      </c>
      <c r="N442" s="12">
        <v>22.18</v>
      </c>
      <c r="O442" s="86">
        <v>27.11</v>
      </c>
      <c r="P442" s="78"/>
      <c r="Q442" s="2">
        <f t="shared" si="62"/>
        <v>27.110000000000003</v>
      </c>
    </row>
    <row r="443" spans="1:17" ht="33" customHeight="1" x14ac:dyDescent="0.2">
      <c r="A443" s="33">
        <v>40793</v>
      </c>
      <c r="B443" s="19">
        <v>39707</v>
      </c>
      <c r="C443" s="18" t="s">
        <v>56</v>
      </c>
      <c r="D443" s="49" t="s">
        <v>800</v>
      </c>
      <c r="E443" s="20" t="s">
        <v>99</v>
      </c>
      <c r="F443" s="34">
        <v>216.2</v>
      </c>
      <c r="G443" s="75">
        <f t="shared" si="67"/>
        <v>3.7874999999999996</v>
      </c>
      <c r="H443" s="73">
        <f t="shared" si="63"/>
        <v>818.85</v>
      </c>
      <c r="I443" s="75">
        <f t="shared" si="68"/>
        <v>4.6274999999999995</v>
      </c>
      <c r="J443" s="75">
        <f t="shared" si="64"/>
        <v>1000.46</v>
      </c>
      <c r="K443" s="23">
        <v>1333.95</v>
      </c>
      <c r="L443" s="24">
        <v>1E-4</v>
      </c>
      <c r="N443" s="22">
        <v>5.05</v>
      </c>
      <c r="O443" s="87">
        <v>6.17</v>
      </c>
      <c r="P443" s="78"/>
      <c r="Q443" s="2">
        <f t="shared" si="62"/>
        <v>6.1699814986123966</v>
      </c>
    </row>
    <row r="444" spans="1:17" ht="33" customHeight="1" x14ac:dyDescent="0.2">
      <c r="A444" s="5" t="s">
        <v>801</v>
      </c>
      <c r="B444" s="4"/>
      <c r="C444" s="4"/>
      <c r="D444" s="45" t="s">
        <v>802</v>
      </c>
      <c r="E444" s="4"/>
      <c r="F444" s="6">
        <v>1</v>
      </c>
      <c r="G444" s="71"/>
      <c r="H444" s="73">
        <f t="shared" si="63"/>
        <v>0</v>
      </c>
      <c r="I444" s="71"/>
      <c r="J444" s="76">
        <f>SUM(J445:J448)</f>
        <v>35102.980000000003</v>
      </c>
      <c r="K444" s="7">
        <v>46803.98</v>
      </c>
      <c r="L444" s="8">
        <v>3.8999999999999998E-3</v>
      </c>
      <c r="N444" s="4"/>
      <c r="O444" s="88">
        <v>46803.98</v>
      </c>
      <c r="P444" s="78"/>
      <c r="Q444" s="2">
        <f t="shared" si="62"/>
        <v>46803.98</v>
      </c>
    </row>
    <row r="445" spans="1:17" ht="33" customHeight="1" x14ac:dyDescent="0.2">
      <c r="A445" s="9" t="s">
        <v>803</v>
      </c>
      <c r="B445" s="15">
        <v>98055</v>
      </c>
      <c r="C445" s="9" t="s">
        <v>56</v>
      </c>
      <c r="D445" s="47" t="s">
        <v>804</v>
      </c>
      <c r="E445" s="11" t="s">
        <v>84</v>
      </c>
      <c r="F445" s="16">
        <v>1</v>
      </c>
      <c r="G445" s="73">
        <f>N445*$S$6</f>
        <v>5704.7550000000001</v>
      </c>
      <c r="H445" s="73">
        <f t="shared" si="63"/>
        <v>5704.75</v>
      </c>
      <c r="I445" s="73">
        <f>O445*$S$6</f>
        <v>6972.9149999999991</v>
      </c>
      <c r="J445" s="73">
        <f t="shared" si="64"/>
        <v>6972.91</v>
      </c>
      <c r="K445" s="13">
        <v>9297.2199999999993</v>
      </c>
      <c r="L445" s="14">
        <v>8.0000000000000004E-4</v>
      </c>
      <c r="N445" s="13">
        <v>7606.34</v>
      </c>
      <c r="O445" s="89">
        <v>9297.2199999999993</v>
      </c>
      <c r="P445" s="78"/>
      <c r="Q445" s="2">
        <f t="shared" si="62"/>
        <v>9297.2199999999993</v>
      </c>
    </row>
    <row r="446" spans="1:17" ht="33" customHeight="1" x14ac:dyDescent="0.2">
      <c r="A446" s="9" t="s">
        <v>805</v>
      </c>
      <c r="B446" s="15">
        <v>98061</v>
      </c>
      <c r="C446" s="9" t="s">
        <v>56</v>
      </c>
      <c r="D446" s="47" t="s">
        <v>806</v>
      </c>
      <c r="E446" s="11" t="s">
        <v>84</v>
      </c>
      <c r="F446" s="16">
        <v>1</v>
      </c>
      <c r="G446" s="73">
        <f>N446*$S$6</f>
        <v>6581.5949999999993</v>
      </c>
      <c r="H446" s="73">
        <f t="shared" si="63"/>
        <v>6581.59</v>
      </c>
      <c r="I446" s="73">
        <f>O446*$S$6</f>
        <v>8044.68</v>
      </c>
      <c r="J446" s="73">
        <f t="shared" si="64"/>
        <v>8044.68</v>
      </c>
      <c r="K446" s="13">
        <v>10726.24</v>
      </c>
      <c r="L446" s="14">
        <v>8.9999999999999998E-4</v>
      </c>
      <c r="N446" s="13">
        <v>8775.4599999999991</v>
      </c>
      <c r="O446" s="89">
        <v>10726.24</v>
      </c>
      <c r="P446" s="78"/>
      <c r="Q446" s="2">
        <f t="shared" si="62"/>
        <v>10726.24</v>
      </c>
    </row>
    <row r="447" spans="1:17" ht="33" customHeight="1" x14ac:dyDescent="0.2">
      <c r="A447" s="9" t="s">
        <v>807</v>
      </c>
      <c r="B447" s="10" t="s">
        <v>808</v>
      </c>
      <c r="C447" s="9" t="s">
        <v>24</v>
      </c>
      <c r="D447" s="47" t="s">
        <v>809</v>
      </c>
      <c r="E447" s="11" t="s">
        <v>84</v>
      </c>
      <c r="F447" s="16">
        <v>2</v>
      </c>
      <c r="G447" s="73">
        <f>N447*$S$6</f>
        <v>7293.1350000000002</v>
      </c>
      <c r="H447" s="73">
        <f t="shared" si="63"/>
        <v>14586.27</v>
      </c>
      <c r="I447" s="73">
        <f>O447*$S$6</f>
        <v>8914.3950000000004</v>
      </c>
      <c r="J447" s="73">
        <f t="shared" si="64"/>
        <v>17828.79</v>
      </c>
      <c r="K447" s="13">
        <v>23771.72</v>
      </c>
      <c r="L447" s="14">
        <v>2E-3</v>
      </c>
      <c r="N447" s="13">
        <v>9724.18</v>
      </c>
      <c r="O447" s="89">
        <v>11885.86</v>
      </c>
      <c r="P447" s="78"/>
      <c r="Q447" s="2">
        <f t="shared" si="62"/>
        <v>11885.86</v>
      </c>
    </row>
    <row r="448" spans="1:17" ht="33" customHeight="1" x14ac:dyDescent="0.2">
      <c r="A448" s="9" t="s">
        <v>810</v>
      </c>
      <c r="B448" s="15">
        <v>98114</v>
      </c>
      <c r="C448" s="9" t="s">
        <v>56</v>
      </c>
      <c r="D448" s="46" t="s">
        <v>668</v>
      </c>
      <c r="E448" s="11" t="s">
        <v>84</v>
      </c>
      <c r="F448" s="16">
        <v>4</v>
      </c>
      <c r="G448" s="73">
        <f>N448*$S$6</f>
        <v>461.54999999999995</v>
      </c>
      <c r="H448" s="73">
        <f t="shared" si="63"/>
        <v>1846.2</v>
      </c>
      <c r="I448" s="73">
        <f>O448*$S$6</f>
        <v>564.15000000000009</v>
      </c>
      <c r="J448" s="73">
        <f t="shared" si="64"/>
        <v>2256.6</v>
      </c>
      <c r="K448" s="13">
        <v>3008.8</v>
      </c>
      <c r="L448" s="14">
        <v>2.9999999999999997E-4</v>
      </c>
      <c r="N448" s="12">
        <v>615.4</v>
      </c>
      <c r="O448" s="86">
        <v>752.2</v>
      </c>
      <c r="P448" s="78"/>
      <c r="Q448" s="2">
        <f t="shared" si="62"/>
        <v>752.2</v>
      </c>
    </row>
    <row r="449" spans="1:17" ht="33" customHeight="1" x14ac:dyDescent="0.2">
      <c r="A449" s="5" t="s">
        <v>811</v>
      </c>
      <c r="B449" s="4"/>
      <c r="C449" s="4"/>
      <c r="D449" s="45" t="s">
        <v>812</v>
      </c>
      <c r="E449" s="4"/>
      <c r="F449" s="6">
        <v>1</v>
      </c>
      <c r="G449" s="71"/>
      <c r="H449" s="73">
        <f t="shared" si="63"/>
        <v>0</v>
      </c>
      <c r="I449" s="71"/>
      <c r="J449" s="76">
        <f>SUM(J450:J466)</f>
        <v>71305.22</v>
      </c>
      <c r="K449" s="7">
        <v>95073.69</v>
      </c>
      <c r="L449" s="8">
        <v>8.0000000000000002E-3</v>
      </c>
      <c r="N449" s="4"/>
      <c r="O449" s="88">
        <v>95073.69</v>
      </c>
      <c r="P449" s="78"/>
      <c r="Q449" s="2">
        <f t="shared" si="62"/>
        <v>95073.69</v>
      </c>
    </row>
    <row r="450" spans="1:17" ht="33" customHeight="1" x14ac:dyDescent="0.2">
      <c r="A450" s="9" t="s">
        <v>813</v>
      </c>
      <c r="B450" s="15">
        <v>86932</v>
      </c>
      <c r="C450" s="9" t="s">
        <v>56</v>
      </c>
      <c r="D450" s="47" t="s">
        <v>814</v>
      </c>
      <c r="E450" s="11" t="s">
        <v>84</v>
      </c>
      <c r="F450" s="16">
        <v>25</v>
      </c>
      <c r="G450" s="73">
        <f t="shared" ref="G450:G466" si="69">N450*$S$6</f>
        <v>465.27750000000003</v>
      </c>
      <c r="H450" s="73">
        <f t="shared" si="63"/>
        <v>11631.93</v>
      </c>
      <c r="I450" s="73">
        <f t="shared" ref="I450:I466" si="70">O450*$S$6</f>
        <v>568.70249999999999</v>
      </c>
      <c r="J450" s="73">
        <f t="shared" si="64"/>
        <v>14217.56</v>
      </c>
      <c r="K450" s="13">
        <v>18956.75</v>
      </c>
      <c r="L450" s="14">
        <v>1.6000000000000001E-3</v>
      </c>
      <c r="N450" s="12">
        <v>620.37</v>
      </c>
      <c r="O450" s="86">
        <v>758.27</v>
      </c>
      <c r="P450" s="78"/>
      <c r="Q450" s="2">
        <f t="shared" si="62"/>
        <v>758.27</v>
      </c>
    </row>
    <row r="451" spans="1:17" ht="33" customHeight="1" x14ac:dyDescent="0.2">
      <c r="A451" s="9" t="s">
        <v>815</v>
      </c>
      <c r="B451" s="9" t="s">
        <v>816</v>
      </c>
      <c r="C451" s="9" t="s">
        <v>209</v>
      </c>
      <c r="D451" s="46" t="s">
        <v>817</v>
      </c>
      <c r="E451" s="11" t="s">
        <v>84</v>
      </c>
      <c r="F451" s="16">
        <v>2</v>
      </c>
      <c r="G451" s="73">
        <f t="shared" si="69"/>
        <v>752.95500000000004</v>
      </c>
      <c r="H451" s="73">
        <f t="shared" si="63"/>
        <v>1505.91</v>
      </c>
      <c r="I451" s="73">
        <f t="shared" si="70"/>
        <v>920.33249999999998</v>
      </c>
      <c r="J451" s="73">
        <f t="shared" si="64"/>
        <v>1840.66</v>
      </c>
      <c r="K451" s="13">
        <v>2454.2199999999998</v>
      </c>
      <c r="L451" s="14">
        <v>2.0000000000000001E-4</v>
      </c>
      <c r="N451" s="13">
        <v>1003.94</v>
      </c>
      <c r="O451" s="89">
        <v>1227.1099999999999</v>
      </c>
      <c r="P451" s="78"/>
      <c r="Q451" s="2">
        <f t="shared" si="62"/>
        <v>1227.1099999999999</v>
      </c>
    </row>
    <row r="452" spans="1:17" ht="33" customHeight="1" x14ac:dyDescent="0.2">
      <c r="A452" s="9" t="s">
        <v>818</v>
      </c>
      <c r="B452" s="15">
        <v>100849</v>
      </c>
      <c r="C452" s="9" t="s">
        <v>56</v>
      </c>
      <c r="D452" s="47" t="s">
        <v>819</v>
      </c>
      <c r="E452" s="11" t="s">
        <v>84</v>
      </c>
      <c r="F452" s="16">
        <v>27</v>
      </c>
      <c r="G452" s="73">
        <f t="shared" si="69"/>
        <v>34.14</v>
      </c>
      <c r="H452" s="73">
        <f t="shared" si="63"/>
        <v>921.78</v>
      </c>
      <c r="I452" s="73">
        <f t="shared" si="70"/>
        <v>41.722500000000004</v>
      </c>
      <c r="J452" s="73">
        <f t="shared" si="64"/>
        <v>1126.5</v>
      </c>
      <c r="K452" s="13">
        <v>1502.01</v>
      </c>
      <c r="L452" s="14">
        <v>1E-4</v>
      </c>
      <c r="N452" s="12">
        <v>45.52</v>
      </c>
      <c r="O452" s="86">
        <v>55.63</v>
      </c>
      <c r="P452" s="78"/>
      <c r="Q452" s="2">
        <f t="shared" si="62"/>
        <v>55.63</v>
      </c>
    </row>
    <row r="453" spans="1:17" ht="33" customHeight="1" x14ac:dyDescent="0.2">
      <c r="A453" s="9" t="s">
        <v>820</v>
      </c>
      <c r="B453" s="9" t="s">
        <v>821</v>
      </c>
      <c r="C453" s="9" t="s">
        <v>209</v>
      </c>
      <c r="D453" s="47" t="s">
        <v>822</v>
      </c>
      <c r="E453" s="11" t="s">
        <v>84</v>
      </c>
      <c r="F453" s="16">
        <v>2</v>
      </c>
      <c r="G453" s="73">
        <f t="shared" si="69"/>
        <v>545.65499999999997</v>
      </c>
      <c r="H453" s="73">
        <f t="shared" si="63"/>
        <v>1091.31</v>
      </c>
      <c r="I453" s="73">
        <f t="shared" si="70"/>
        <v>666.95249999999999</v>
      </c>
      <c r="J453" s="73">
        <f t="shared" si="64"/>
        <v>1333.9</v>
      </c>
      <c r="K453" s="13">
        <v>1778.54</v>
      </c>
      <c r="L453" s="14">
        <v>1E-4</v>
      </c>
      <c r="N453" s="12">
        <v>727.54</v>
      </c>
      <c r="O453" s="86">
        <v>889.27</v>
      </c>
      <c r="P453" s="78"/>
      <c r="Q453" s="2">
        <f t="shared" si="62"/>
        <v>889.27</v>
      </c>
    </row>
    <row r="454" spans="1:17" ht="33" customHeight="1" x14ac:dyDescent="0.2">
      <c r="A454" s="9" t="s">
        <v>823</v>
      </c>
      <c r="B454" s="9" t="s">
        <v>824</v>
      </c>
      <c r="C454" s="9" t="s">
        <v>209</v>
      </c>
      <c r="D454" s="47" t="s">
        <v>825</v>
      </c>
      <c r="E454" s="11" t="s">
        <v>84</v>
      </c>
      <c r="F454" s="16">
        <v>27</v>
      </c>
      <c r="G454" s="73">
        <f t="shared" si="69"/>
        <v>745.43999999999994</v>
      </c>
      <c r="H454" s="73">
        <f t="shared" si="63"/>
        <v>20126.88</v>
      </c>
      <c r="I454" s="73">
        <f t="shared" si="70"/>
        <v>911.14499999999998</v>
      </c>
      <c r="J454" s="73">
        <f t="shared" si="64"/>
        <v>24600.91</v>
      </c>
      <c r="K454" s="13">
        <v>32801.22</v>
      </c>
      <c r="L454" s="14">
        <v>2.7000000000000001E-3</v>
      </c>
      <c r="N454" s="12">
        <v>993.92</v>
      </c>
      <c r="O454" s="89">
        <v>1214.8599999999999</v>
      </c>
      <c r="P454" s="78"/>
      <c r="Q454" s="2">
        <f t="shared" si="62"/>
        <v>1214.8600000000001</v>
      </c>
    </row>
    <row r="455" spans="1:17" ht="33" customHeight="1" x14ac:dyDescent="0.2">
      <c r="A455" s="9" t="s">
        <v>826</v>
      </c>
      <c r="B455" s="15">
        <v>86922</v>
      </c>
      <c r="C455" s="9" t="s">
        <v>56</v>
      </c>
      <c r="D455" s="47" t="s">
        <v>827</v>
      </c>
      <c r="E455" s="11" t="s">
        <v>84</v>
      </c>
      <c r="F455" s="16">
        <v>2</v>
      </c>
      <c r="G455" s="73">
        <f t="shared" si="69"/>
        <v>744.59999999999991</v>
      </c>
      <c r="H455" s="73">
        <f t="shared" si="63"/>
        <v>1489.2</v>
      </c>
      <c r="I455" s="73">
        <f t="shared" si="70"/>
        <v>910.11750000000006</v>
      </c>
      <c r="J455" s="73">
        <f t="shared" si="64"/>
        <v>1820.23</v>
      </c>
      <c r="K455" s="13">
        <v>2426.98</v>
      </c>
      <c r="L455" s="14">
        <v>2.0000000000000001E-4</v>
      </c>
      <c r="N455" s="12">
        <v>992.8</v>
      </c>
      <c r="O455" s="89">
        <v>1213.49</v>
      </c>
      <c r="P455" s="78"/>
      <c r="Q455" s="2">
        <f t="shared" ref="Q455:Q518" si="71">K455/F455</f>
        <v>1213.49</v>
      </c>
    </row>
    <row r="456" spans="1:17" ht="33" customHeight="1" x14ac:dyDescent="0.2">
      <c r="A456" s="9" t="s">
        <v>828</v>
      </c>
      <c r="B456" s="15">
        <v>100858</v>
      </c>
      <c r="C456" s="9" t="s">
        <v>56</v>
      </c>
      <c r="D456" s="46" t="s">
        <v>829</v>
      </c>
      <c r="E456" s="11" t="s">
        <v>84</v>
      </c>
      <c r="F456" s="16">
        <v>4</v>
      </c>
      <c r="G456" s="73">
        <f t="shared" si="69"/>
        <v>556.74</v>
      </c>
      <c r="H456" s="73">
        <f t="shared" ref="H456:H519" si="72">TRUNC(G456*F456,2)</f>
        <v>2226.96</v>
      </c>
      <c r="I456" s="73">
        <f t="shared" si="70"/>
        <v>680.49750000000006</v>
      </c>
      <c r="J456" s="73">
        <f t="shared" ref="J456:J519" si="73">TRUNC(I456*F456,2)</f>
        <v>2721.99</v>
      </c>
      <c r="K456" s="13">
        <v>3629.32</v>
      </c>
      <c r="L456" s="14">
        <v>2.9999999999999997E-4</v>
      </c>
      <c r="N456" s="12">
        <v>742.32</v>
      </c>
      <c r="O456" s="86">
        <v>907.33</v>
      </c>
      <c r="P456" s="78"/>
      <c r="Q456" s="2">
        <f t="shared" si="71"/>
        <v>907.33</v>
      </c>
    </row>
    <row r="457" spans="1:17" ht="33" customHeight="1" x14ac:dyDescent="0.2">
      <c r="A457" s="9" t="s">
        <v>830</v>
      </c>
      <c r="B457" s="15">
        <v>86936</v>
      </c>
      <c r="C457" s="9" t="s">
        <v>56</v>
      </c>
      <c r="D457" s="46" t="s">
        <v>831</v>
      </c>
      <c r="E457" s="11" t="s">
        <v>84</v>
      </c>
      <c r="F457" s="16">
        <v>1</v>
      </c>
      <c r="G457" s="73">
        <f t="shared" si="69"/>
        <v>410.61750000000001</v>
      </c>
      <c r="H457" s="73">
        <f t="shared" si="72"/>
        <v>410.61</v>
      </c>
      <c r="I457" s="73">
        <f t="shared" si="70"/>
        <v>501.89250000000004</v>
      </c>
      <c r="J457" s="73">
        <f t="shared" si="73"/>
        <v>501.89</v>
      </c>
      <c r="K457" s="12">
        <v>669.19</v>
      </c>
      <c r="L457" s="14">
        <v>1E-4</v>
      </c>
      <c r="N457" s="12">
        <v>547.49</v>
      </c>
      <c r="O457" s="86">
        <v>669.19</v>
      </c>
      <c r="P457" s="78"/>
      <c r="Q457" s="2">
        <f t="shared" si="71"/>
        <v>669.19</v>
      </c>
    </row>
    <row r="458" spans="1:17" ht="33" customHeight="1" x14ac:dyDescent="0.2">
      <c r="A458" s="9" t="s">
        <v>832</v>
      </c>
      <c r="B458" s="15">
        <v>86910</v>
      </c>
      <c r="C458" s="9" t="s">
        <v>56</v>
      </c>
      <c r="D458" s="46" t="s">
        <v>833</v>
      </c>
      <c r="E458" s="11" t="s">
        <v>84</v>
      </c>
      <c r="F458" s="16">
        <v>1</v>
      </c>
      <c r="G458" s="73">
        <f t="shared" si="69"/>
        <v>104.21249999999999</v>
      </c>
      <c r="H458" s="73">
        <f t="shared" si="72"/>
        <v>104.21</v>
      </c>
      <c r="I458" s="73">
        <f t="shared" si="70"/>
        <v>127.3725</v>
      </c>
      <c r="J458" s="73">
        <f t="shared" si="73"/>
        <v>127.37</v>
      </c>
      <c r="K458" s="12">
        <v>169.83</v>
      </c>
      <c r="L458" s="14">
        <v>0</v>
      </c>
      <c r="N458" s="12">
        <v>138.94999999999999</v>
      </c>
      <c r="O458" s="86">
        <v>169.83</v>
      </c>
      <c r="P458" s="78"/>
      <c r="Q458" s="2">
        <f t="shared" si="71"/>
        <v>169.83</v>
      </c>
    </row>
    <row r="459" spans="1:17" ht="33" customHeight="1" x14ac:dyDescent="0.2">
      <c r="A459" s="28">
        <v>40430</v>
      </c>
      <c r="B459" s="15">
        <v>190332</v>
      </c>
      <c r="C459" s="9" t="s">
        <v>335</v>
      </c>
      <c r="D459" s="47" t="s">
        <v>834</v>
      </c>
      <c r="E459" s="11" t="s">
        <v>84</v>
      </c>
      <c r="F459" s="16">
        <v>17</v>
      </c>
      <c r="G459" s="73">
        <f t="shared" si="69"/>
        <v>375.75749999999999</v>
      </c>
      <c r="H459" s="73">
        <f t="shared" si="72"/>
        <v>6387.87</v>
      </c>
      <c r="I459" s="73">
        <f t="shared" si="70"/>
        <v>459.28499999999997</v>
      </c>
      <c r="J459" s="73">
        <f t="shared" si="73"/>
        <v>7807.84</v>
      </c>
      <c r="K459" s="13">
        <v>10410.459999999999</v>
      </c>
      <c r="L459" s="14">
        <v>8.9999999999999998E-4</v>
      </c>
      <c r="N459" s="12">
        <v>501.01</v>
      </c>
      <c r="O459" s="86">
        <v>612.38</v>
      </c>
      <c r="P459" s="78"/>
      <c r="Q459" s="2">
        <f t="shared" si="71"/>
        <v>612.38</v>
      </c>
    </row>
    <row r="460" spans="1:17" ht="33" customHeight="1" x14ac:dyDescent="0.2">
      <c r="A460" s="28">
        <v>40795</v>
      </c>
      <c r="B460" s="15">
        <v>100860</v>
      </c>
      <c r="C460" s="9" t="s">
        <v>56</v>
      </c>
      <c r="D460" s="47" t="s">
        <v>835</v>
      </c>
      <c r="E460" s="11" t="s">
        <v>84</v>
      </c>
      <c r="F460" s="16">
        <v>4</v>
      </c>
      <c r="G460" s="73">
        <f t="shared" si="69"/>
        <v>84.082499999999996</v>
      </c>
      <c r="H460" s="73">
        <f t="shared" si="72"/>
        <v>336.33</v>
      </c>
      <c r="I460" s="73">
        <f t="shared" si="70"/>
        <v>102.77250000000001</v>
      </c>
      <c r="J460" s="73">
        <f t="shared" si="73"/>
        <v>411.09</v>
      </c>
      <c r="K460" s="12">
        <v>548.12</v>
      </c>
      <c r="L460" s="14">
        <v>0</v>
      </c>
      <c r="N460" s="12">
        <v>112.11</v>
      </c>
      <c r="O460" s="86">
        <v>137.03</v>
      </c>
      <c r="P460" s="78"/>
      <c r="Q460" s="2">
        <f t="shared" si="71"/>
        <v>137.03</v>
      </c>
    </row>
    <row r="461" spans="1:17" ht="33" customHeight="1" x14ac:dyDescent="0.2">
      <c r="A461" s="28">
        <v>41161</v>
      </c>
      <c r="B461" s="10" t="s">
        <v>836</v>
      </c>
      <c r="C461" s="9" t="s">
        <v>24</v>
      </c>
      <c r="D461" s="47" t="s">
        <v>837</v>
      </c>
      <c r="E461" s="11" t="s">
        <v>84</v>
      </c>
      <c r="F461" s="16">
        <v>1</v>
      </c>
      <c r="G461" s="73">
        <f t="shared" si="69"/>
        <v>667.67250000000001</v>
      </c>
      <c r="H461" s="73">
        <f t="shared" si="72"/>
        <v>667.67</v>
      </c>
      <c r="I461" s="73">
        <f t="shared" si="70"/>
        <v>816.08999999999992</v>
      </c>
      <c r="J461" s="73">
        <f t="shared" si="73"/>
        <v>816.09</v>
      </c>
      <c r="K461" s="13">
        <v>1088.1199999999999</v>
      </c>
      <c r="L461" s="14">
        <v>1E-4</v>
      </c>
      <c r="N461" s="12">
        <v>890.23</v>
      </c>
      <c r="O461" s="89">
        <v>1088.1199999999999</v>
      </c>
      <c r="P461" s="78"/>
      <c r="Q461" s="2">
        <f t="shared" si="71"/>
        <v>1088.1199999999999</v>
      </c>
    </row>
    <row r="462" spans="1:17" ht="33" customHeight="1" x14ac:dyDescent="0.2">
      <c r="A462" s="28">
        <v>41526</v>
      </c>
      <c r="B462" s="27" t="s">
        <v>838</v>
      </c>
      <c r="C462" s="9" t="s">
        <v>24</v>
      </c>
      <c r="D462" s="46" t="s">
        <v>839</v>
      </c>
      <c r="E462" s="11" t="s">
        <v>84</v>
      </c>
      <c r="F462" s="16">
        <v>5</v>
      </c>
      <c r="G462" s="73">
        <f t="shared" si="69"/>
        <v>21.9375</v>
      </c>
      <c r="H462" s="73">
        <f t="shared" si="72"/>
        <v>109.68</v>
      </c>
      <c r="I462" s="73">
        <f t="shared" si="70"/>
        <v>26.8125</v>
      </c>
      <c r="J462" s="73">
        <f t="shared" si="73"/>
        <v>134.06</v>
      </c>
      <c r="K462" s="12">
        <v>178.75</v>
      </c>
      <c r="L462" s="14">
        <v>0</v>
      </c>
      <c r="N462" s="12">
        <v>29.25</v>
      </c>
      <c r="O462" s="86">
        <v>35.75</v>
      </c>
      <c r="P462" s="78"/>
      <c r="Q462" s="2">
        <f t="shared" si="71"/>
        <v>35.75</v>
      </c>
    </row>
    <row r="463" spans="1:17" ht="33" customHeight="1" x14ac:dyDescent="0.2">
      <c r="A463" s="28">
        <v>41891</v>
      </c>
      <c r="B463" s="15">
        <v>100868</v>
      </c>
      <c r="C463" s="9" t="s">
        <v>56</v>
      </c>
      <c r="D463" s="47" t="s">
        <v>840</v>
      </c>
      <c r="E463" s="11" t="s">
        <v>84</v>
      </c>
      <c r="F463" s="16">
        <v>6</v>
      </c>
      <c r="G463" s="73">
        <f t="shared" si="69"/>
        <v>226.70249999999999</v>
      </c>
      <c r="H463" s="73">
        <f t="shared" si="72"/>
        <v>1360.21</v>
      </c>
      <c r="I463" s="73">
        <f t="shared" si="70"/>
        <v>277.09499999999997</v>
      </c>
      <c r="J463" s="73">
        <f t="shared" si="73"/>
        <v>1662.57</v>
      </c>
      <c r="K463" s="13">
        <v>2216.7600000000002</v>
      </c>
      <c r="L463" s="14">
        <v>2.0000000000000001E-4</v>
      </c>
      <c r="N463" s="12">
        <v>302.27</v>
      </c>
      <c r="O463" s="86">
        <v>369.46</v>
      </c>
      <c r="P463" s="78"/>
      <c r="Q463" s="2">
        <f t="shared" si="71"/>
        <v>369.46000000000004</v>
      </c>
    </row>
    <row r="464" spans="1:17" ht="33" customHeight="1" x14ac:dyDescent="0.2">
      <c r="A464" s="28">
        <v>42256</v>
      </c>
      <c r="B464" s="15">
        <v>100865</v>
      </c>
      <c r="C464" s="9" t="s">
        <v>56</v>
      </c>
      <c r="D464" s="47" t="s">
        <v>841</v>
      </c>
      <c r="E464" s="11" t="s">
        <v>84</v>
      </c>
      <c r="F464" s="16">
        <v>4</v>
      </c>
      <c r="G464" s="73">
        <f t="shared" si="69"/>
        <v>319.63499999999999</v>
      </c>
      <c r="H464" s="73">
        <f t="shared" si="72"/>
        <v>1278.54</v>
      </c>
      <c r="I464" s="73">
        <f t="shared" si="70"/>
        <v>390.6825</v>
      </c>
      <c r="J464" s="73">
        <f t="shared" si="73"/>
        <v>1562.73</v>
      </c>
      <c r="K464" s="13">
        <v>2083.64</v>
      </c>
      <c r="L464" s="14">
        <v>2.0000000000000001E-4</v>
      </c>
      <c r="N464" s="12">
        <v>426.18</v>
      </c>
      <c r="O464" s="86">
        <v>520.91</v>
      </c>
      <c r="P464" s="78"/>
      <c r="Q464" s="2">
        <f t="shared" si="71"/>
        <v>520.91</v>
      </c>
    </row>
    <row r="465" spans="1:17" ht="33" customHeight="1" x14ac:dyDescent="0.2">
      <c r="A465" s="28">
        <v>42622</v>
      </c>
      <c r="B465" s="15">
        <v>100874</v>
      </c>
      <c r="C465" s="9" t="s">
        <v>56</v>
      </c>
      <c r="D465" s="47" t="s">
        <v>842</v>
      </c>
      <c r="E465" s="11" t="s">
        <v>84</v>
      </c>
      <c r="F465" s="16">
        <v>4</v>
      </c>
      <c r="G465" s="73">
        <f t="shared" si="69"/>
        <v>211.41749999999999</v>
      </c>
      <c r="H465" s="73">
        <f t="shared" si="72"/>
        <v>845.67</v>
      </c>
      <c r="I465" s="73">
        <f t="shared" si="70"/>
        <v>258.41250000000002</v>
      </c>
      <c r="J465" s="73">
        <f t="shared" si="73"/>
        <v>1033.6500000000001</v>
      </c>
      <c r="K465" s="13">
        <v>1378.2</v>
      </c>
      <c r="L465" s="14">
        <v>1E-4</v>
      </c>
      <c r="N465" s="12">
        <v>281.89</v>
      </c>
      <c r="O465" s="86">
        <v>344.55</v>
      </c>
      <c r="P465" s="78"/>
      <c r="Q465" s="2">
        <f t="shared" si="71"/>
        <v>344.55</v>
      </c>
    </row>
    <row r="466" spans="1:17" ht="33" customHeight="1" x14ac:dyDescent="0.2">
      <c r="A466" s="33">
        <v>42987</v>
      </c>
      <c r="B466" s="19">
        <v>11186</v>
      </c>
      <c r="C466" s="18" t="s">
        <v>56</v>
      </c>
      <c r="D466" s="48" t="s">
        <v>843</v>
      </c>
      <c r="E466" s="20" t="s">
        <v>26</v>
      </c>
      <c r="F466" s="30">
        <v>24.318999999999999</v>
      </c>
      <c r="G466" s="75">
        <f t="shared" si="69"/>
        <v>322.5</v>
      </c>
      <c r="H466" s="73">
        <f t="shared" si="72"/>
        <v>7842.87</v>
      </c>
      <c r="I466" s="75">
        <f t="shared" si="70"/>
        <v>394.18500000000006</v>
      </c>
      <c r="J466" s="75">
        <f t="shared" si="73"/>
        <v>9586.18</v>
      </c>
      <c r="K466" s="23">
        <v>12781.58</v>
      </c>
      <c r="L466" s="24">
        <v>1.1000000000000001E-3</v>
      </c>
      <c r="N466" s="22">
        <v>430</v>
      </c>
      <c r="O466" s="87">
        <v>525.58000000000004</v>
      </c>
      <c r="P466" s="78"/>
      <c r="Q466" s="2">
        <f t="shared" si="71"/>
        <v>525.57999917759776</v>
      </c>
    </row>
    <row r="467" spans="1:17" ht="33" customHeight="1" x14ac:dyDescent="0.2">
      <c r="A467" s="3">
        <v>10</v>
      </c>
      <c r="B467" s="4"/>
      <c r="C467" s="4"/>
      <c r="D467" s="45" t="s">
        <v>844</v>
      </c>
      <c r="E467" s="4"/>
      <c r="F467" s="6">
        <v>1</v>
      </c>
      <c r="G467" s="71"/>
      <c r="H467" s="73">
        <f t="shared" si="72"/>
        <v>0</v>
      </c>
      <c r="I467" s="71"/>
      <c r="J467" s="76">
        <f>J468+J490+J499+J508+J510+J546+J561+J581+J595+J616</f>
        <v>1607202.81</v>
      </c>
      <c r="K467" s="7">
        <v>2142937.5699999998</v>
      </c>
      <c r="L467" s="8">
        <v>0.17960000000000001</v>
      </c>
      <c r="N467" s="4"/>
      <c r="O467" s="88">
        <v>2142937.5699999998</v>
      </c>
      <c r="P467" s="78"/>
      <c r="Q467" s="2">
        <f t="shared" si="71"/>
        <v>2142937.5699999998</v>
      </c>
    </row>
    <row r="468" spans="1:17" ht="33" customHeight="1" x14ac:dyDescent="0.2">
      <c r="A468" s="5" t="s">
        <v>845</v>
      </c>
      <c r="B468" s="4"/>
      <c r="C468" s="4"/>
      <c r="D468" s="45" t="s">
        <v>846</v>
      </c>
      <c r="E468" s="4"/>
      <c r="F468" s="6">
        <v>1</v>
      </c>
      <c r="G468" s="71"/>
      <c r="H468" s="73">
        <f t="shared" si="72"/>
        <v>0</v>
      </c>
      <c r="I468" s="71"/>
      <c r="J468" s="76">
        <f>SUM(J469:J489)</f>
        <v>120366.5</v>
      </c>
      <c r="K468" s="7">
        <v>160488.72</v>
      </c>
      <c r="L468" s="8">
        <v>1.35E-2</v>
      </c>
      <c r="N468" s="4"/>
      <c r="O468" s="88">
        <v>160488.72</v>
      </c>
      <c r="P468" s="78"/>
      <c r="Q468" s="2">
        <f t="shared" si="71"/>
        <v>160488.72</v>
      </c>
    </row>
    <row r="469" spans="1:17" ht="33" customHeight="1" x14ac:dyDescent="0.2">
      <c r="A469" s="35">
        <v>40179</v>
      </c>
      <c r="B469" s="15">
        <v>97327</v>
      </c>
      <c r="C469" s="9" t="s">
        <v>56</v>
      </c>
      <c r="D469" s="47" t="s">
        <v>847</v>
      </c>
      <c r="E469" s="11" t="s">
        <v>99</v>
      </c>
      <c r="F469" s="16">
        <v>80</v>
      </c>
      <c r="G469" s="73">
        <f t="shared" ref="G469:G489" si="74">N469*$S$6</f>
        <v>21.315000000000001</v>
      </c>
      <c r="H469" s="73">
        <f t="shared" si="72"/>
        <v>1705.2</v>
      </c>
      <c r="I469" s="73">
        <f t="shared" ref="I469:I489" si="75">O469*$S$6</f>
        <v>26.047499999999999</v>
      </c>
      <c r="J469" s="73">
        <f t="shared" si="73"/>
        <v>2083.8000000000002</v>
      </c>
      <c r="K469" s="13">
        <v>2778.4</v>
      </c>
      <c r="L469" s="14">
        <v>2.0000000000000001E-4</v>
      </c>
      <c r="N469" s="12">
        <v>28.42</v>
      </c>
      <c r="O469" s="86">
        <v>34.729999999999997</v>
      </c>
      <c r="P469" s="78"/>
      <c r="Q469" s="2">
        <f t="shared" si="71"/>
        <v>34.730000000000004</v>
      </c>
    </row>
    <row r="470" spans="1:17" ht="33" customHeight="1" x14ac:dyDescent="0.2">
      <c r="A470" s="35">
        <v>40180</v>
      </c>
      <c r="B470" s="15">
        <v>97328</v>
      </c>
      <c r="C470" s="9" t="s">
        <v>56</v>
      </c>
      <c r="D470" s="46" t="s">
        <v>848</v>
      </c>
      <c r="E470" s="11" t="s">
        <v>99</v>
      </c>
      <c r="F470" s="16">
        <v>80</v>
      </c>
      <c r="G470" s="73">
        <f t="shared" si="74"/>
        <v>35.144999999999996</v>
      </c>
      <c r="H470" s="73">
        <f t="shared" si="72"/>
        <v>2811.6</v>
      </c>
      <c r="I470" s="73">
        <f t="shared" si="75"/>
        <v>42.952500000000001</v>
      </c>
      <c r="J470" s="73">
        <f t="shared" si="73"/>
        <v>3436.2</v>
      </c>
      <c r="K470" s="13">
        <v>4581.6000000000004</v>
      </c>
      <c r="L470" s="14">
        <v>4.0000000000000002E-4</v>
      </c>
      <c r="N470" s="12">
        <v>46.86</v>
      </c>
      <c r="O470" s="86">
        <v>57.27</v>
      </c>
      <c r="P470" s="78"/>
      <c r="Q470" s="2">
        <f t="shared" si="71"/>
        <v>57.27</v>
      </c>
    </row>
    <row r="471" spans="1:17" ht="33" customHeight="1" x14ac:dyDescent="0.2">
      <c r="A471" s="35">
        <v>40181</v>
      </c>
      <c r="B471" s="15">
        <v>97329</v>
      </c>
      <c r="C471" s="9" t="s">
        <v>56</v>
      </c>
      <c r="D471" s="46" t="s">
        <v>849</v>
      </c>
      <c r="E471" s="11" t="s">
        <v>99</v>
      </c>
      <c r="F471" s="16">
        <v>190</v>
      </c>
      <c r="G471" s="73">
        <f t="shared" si="74"/>
        <v>45.082499999999996</v>
      </c>
      <c r="H471" s="73">
        <f t="shared" si="72"/>
        <v>8565.67</v>
      </c>
      <c r="I471" s="73">
        <f t="shared" si="75"/>
        <v>55.102499999999999</v>
      </c>
      <c r="J471" s="73">
        <f t="shared" si="73"/>
        <v>10469.469999999999</v>
      </c>
      <c r="K471" s="13">
        <v>13959.3</v>
      </c>
      <c r="L471" s="14">
        <v>1.1999999999999999E-3</v>
      </c>
      <c r="N471" s="12">
        <v>60.11</v>
      </c>
      <c r="O471" s="86">
        <v>73.47</v>
      </c>
      <c r="P471" s="78"/>
      <c r="Q471" s="2">
        <f t="shared" si="71"/>
        <v>73.47</v>
      </c>
    </row>
    <row r="472" spans="1:17" ht="33" customHeight="1" x14ac:dyDescent="0.2">
      <c r="A472" s="35">
        <v>40182</v>
      </c>
      <c r="B472" s="15">
        <v>103292</v>
      </c>
      <c r="C472" s="9" t="s">
        <v>56</v>
      </c>
      <c r="D472" s="46" t="s">
        <v>850</v>
      </c>
      <c r="E472" s="11" t="s">
        <v>99</v>
      </c>
      <c r="F472" s="16">
        <v>90</v>
      </c>
      <c r="G472" s="73">
        <f t="shared" si="74"/>
        <v>58.994999999999997</v>
      </c>
      <c r="H472" s="73">
        <f t="shared" si="72"/>
        <v>5309.55</v>
      </c>
      <c r="I472" s="73">
        <f t="shared" si="75"/>
        <v>72.105000000000004</v>
      </c>
      <c r="J472" s="73">
        <f t="shared" si="73"/>
        <v>6489.45</v>
      </c>
      <c r="K472" s="13">
        <v>8652.6</v>
      </c>
      <c r="L472" s="14">
        <v>6.9999999999999999E-4</v>
      </c>
      <c r="N472" s="12">
        <v>78.66</v>
      </c>
      <c r="O472" s="86">
        <v>96.14</v>
      </c>
      <c r="P472" s="78"/>
      <c r="Q472" s="2">
        <f t="shared" si="71"/>
        <v>96.14</v>
      </c>
    </row>
    <row r="473" spans="1:17" ht="33" customHeight="1" x14ac:dyDescent="0.2">
      <c r="A473" s="35">
        <v>40183</v>
      </c>
      <c r="B473" s="15">
        <v>106034</v>
      </c>
      <c r="C473" s="9" t="s">
        <v>56</v>
      </c>
      <c r="D473" s="46" t="s">
        <v>851</v>
      </c>
      <c r="E473" s="11" t="s">
        <v>99</v>
      </c>
      <c r="F473" s="16">
        <v>100</v>
      </c>
      <c r="G473" s="73">
        <f t="shared" si="74"/>
        <v>97.41749999999999</v>
      </c>
      <c r="H473" s="73">
        <f t="shared" si="72"/>
        <v>9741.75</v>
      </c>
      <c r="I473" s="73">
        <f t="shared" si="75"/>
        <v>119.07</v>
      </c>
      <c r="J473" s="73">
        <f t="shared" si="73"/>
        <v>11907</v>
      </c>
      <c r="K473" s="13">
        <v>15876</v>
      </c>
      <c r="L473" s="14">
        <v>1.2999999999999999E-3</v>
      </c>
      <c r="N473" s="12">
        <v>129.88999999999999</v>
      </c>
      <c r="O473" s="86">
        <v>158.76</v>
      </c>
      <c r="P473" s="78"/>
      <c r="Q473" s="2">
        <f t="shared" si="71"/>
        <v>158.76</v>
      </c>
    </row>
    <row r="474" spans="1:17" ht="33" customHeight="1" x14ac:dyDescent="0.2">
      <c r="A474" s="35">
        <v>40184</v>
      </c>
      <c r="B474" s="9" t="s">
        <v>852</v>
      </c>
      <c r="C474" s="9" t="s">
        <v>209</v>
      </c>
      <c r="D474" s="46" t="s">
        <v>853</v>
      </c>
      <c r="E474" s="11" t="s">
        <v>99</v>
      </c>
      <c r="F474" s="16">
        <v>70</v>
      </c>
      <c r="G474" s="73">
        <f t="shared" si="74"/>
        <v>84.292500000000004</v>
      </c>
      <c r="H474" s="73">
        <f t="shared" si="72"/>
        <v>5900.47</v>
      </c>
      <c r="I474" s="73">
        <f t="shared" si="75"/>
        <v>103.0275</v>
      </c>
      <c r="J474" s="73">
        <f t="shared" si="73"/>
        <v>7211.92</v>
      </c>
      <c r="K474" s="13">
        <v>9615.9</v>
      </c>
      <c r="L474" s="14">
        <v>8.0000000000000004E-4</v>
      </c>
      <c r="N474" s="12">
        <v>112.39</v>
      </c>
      <c r="O474" s="86">
        <v>137.37</v>
      </c>
      <c r="P474" s="78"/>
      <c r="Q474" s="2">
        <f t="shared" si="71"/>
        <v>137.37</v>
      </c>
    </row>
    <row r="475" spans="1:17" ht="33" customHeight="1" x14ac:dyDescent="0.2">
      <c r="A475" s="35">
        <v>40185</v>
      </c>
      <c r="B475" s="9" t="s">
        <v>854</v>
      </c>
      <c r="C475" s="9" t="s">
        <v>209</v>
      </c>
      <c r="D475" s="47" t="s">
        <v>855</v>
      </c>
      <c r="E475" s="11" t="s">
        <v>99</v>
      </c>
      <c r="F475" s="16">
        <v>30</v>
      </c>
      <c r="G475" s="73">
        <f t="shared" si="74"/>
        <v>115.77000000000001</v>
      </c>
      <c r="H475" s="73">
        <f t="shared" si="72"/>
        <v>3473.1</v>
      </c>
      <c r="I475" s="73">
        <f t="shared" si="75"/>
        <v>141.5025</v>
      </c>
      <c r="J475" s="73">
        <f t="shared" si="73"/>
        <v>4245.07</v>
      </c>
      <c r="K475" s="13">
        <v>5660.1</v>
      </c>
      <c r="L475" s="14">
        <v>5.0000000000000001E-4</v>
      </c>
      <c r="N475" s="12">
        <v>154.36000000000001</v>
      </c>
      <c r="O475" s="86">
        <v>188.67</v>
      </c>
      <c r="P475" s="78"/>
      <c r="Q475" s="2">
        <f t="shared" si="71"/>
        <v>188.67000000000002</v>
      </c>
    </row>
    <row r="476" spans="1:17" ht="33" customHeight="1" x14ac:dyDescent="0.2">
      <c r="A476" s="35">
        <v>40186</v>
      </c>
      <c r="B476" s="9" t="s">
        <v>856</v>
      </c>
      <c r="C476" s="9" t="s">
        <v>209</v>
      </c>
      <c r="D476" s="47" t="s">
        <v>857</v>
      </c>
      <c r="E476" s="11" t="s">
        <v>99</v>
      </c>
      <c r="F476" s="16">
        <v>50</v>
      </c>
      <c r="G476" s="73">
        <f t="shared" si="74"/>
        <v>160.22999999999999</v>
      </c>
      <c r="H476" s="73">
        <f t="shared" si="72"/>
        <v>8011.5</v>
      </c>
      <c r="I476" s="73">
        <f t="shared" si="75"/>
        <v>195.8475</v>
      </c>
      <c r="J476" s="73">
        <f t="shared" si="73"/>
        <v>9792.3700000000008</v>
      </c>
      <c r="K476" s="13">
        <v>13056.5</v>
      </c>
      <c r="L476" s="14">
        <v>1.1000000000000001E-3</v>
      </c>
      <c r="N476" s="12">
        <v>213.64</v>
      </c>
      <c r="O476" s="86">
        <v>261.13</v>
      </c>
      <c r="P476" s="78"/>
      <c r="Q476" s="2">
        <f t="shared" si="71"/>
        <v>261.13</v>
      </c>
    </row>
    <row r="477" spans="1:17" ht="33" customHeight="1" x14ac:dyDescent="0.2">
      <c r="A477" s="35">
        <v>40187</v>
      </c>
      <c r="B477" s="9" t="s">
        <v>858</v>
      </c>
      <c r="C477" s="9" t="s">
        <v>209</v>
      </c>
      <c r="D477" s="47" t="s">
        <v>859</v>
      </c>
      <c r="E477" s="11" t="s">
        <v>99</v>
      </c>
      <c r="F477" s="16">
        <v>40</v>
      </c>
      <c r="G477" s="73">
        <f t="shared" si="74"/>
        <v>200.01</v>
      </c>
      <c r="H477" s="73">
        <f t="shared" si="72"/>
        <v>8000.4</v>
      </c>
      <c r="I477" s="73">
        <f t="shared" si="75"/>
        <v>244.46999999999997</v>
      </c>
      <c r="J477" s="73">
        <f t="shared" si="73"/>
        <v>9778.7999999999993</v>
      </c>
      <c r="K477" s="13">
        <v>13038.4</v>
      </c>
      <c r="L477" s="14">
        <v>1.1000000000000001E-3</v>
      </c>
      <c r="N477" s="12">
        <v>266.68</v>
      </c>
      <c r="O477" s="86">
        <v>325.95999999999998</v>
      </c>
      <c r="P477" s="78"/>
      <c r="Q477" s="2">
        <f t="shared" si="71"/>
        <v>325.95999999999998</v>
      </c>
    </row>
    <row r="478" spans="1:17" ht="33" customHeight="1" x14ac:dyDescent="0.2">
      <c r="A478" s="36">
        <v>40452</v>
      </c>
      <c r="B478" s="9" t="s">
        <v>860</v>
      </c>
      <c r="C478" s="9" t="s">
        <v>209</v>
      </c>
      <c r="D478" s="47" t="s">
        <v>861</v>
      </c>
      <c r="E478" s="11" t="s">
        <v>99</v>
      </c>
      <c r="F478" s="16">
        <v>10</v>
      </c>
      <c r="G478" s="73">
        <f t="shared" si="74"/>
        <v>259.38750000000005</v>
      </c>
      <c r="H478" s="73">
        <f t="shared" si="72"/>
        <v>2593.87</v>
      </c>
      <c r="I478" s="73">
        <f t="shared" si="75"/>
        <v>317.04750000000001</v>
      </c>
      <c r="J478" s="73">
        <f t="shared" si="73"/>
        <v>3170.47</v>
      </c>
      <c r="K478" s="13">
        <v>4227.3</v>
      </c>
      <c r="L478" s="14">
        <v>4.0000000000000002E-4</v>
      </c>
      <c r="N478" s="12">
        <v>345.85</v>
      </c>
      <c r="O478" s="86">
        <v>422.73</v>
      </c>
      <c r="P478" s="78"/>
      <c r="Q478" s="2">
        <f t="shared" si="71"/>
        <v>422.73</v>
      </c>
    </row>
    <row r="479" spans="1:17" ht="33" customHeight="1" x14ac:dyDescent="0.2">
      <c r="A479" s="36">
        <v>40817</v>
      </c>
      <c r="B479" s="9" t="s">
        <v>862</v>
      </c>
      <c r="C479" s="9" t="s">
        <v>209</v>
      </c>
      <c r="D479" s="47" t="s">
        <v>863</v>
      </c>
      <c r="E479" s="11" t="s">
        <v>99</v>
      </c>
      <c r="F479" s="16">
        <v>20</v>
      </c>
      <c r="G479" s="73">
        <f t="shared" si="74"/>
        <v>340.85250000000002</v>
      </c>
      <c r="H479" s="73">
        <f t="shared" si="72"/>
        <v>6817.05</v>
      </c>
      <c r="I479" s="73">
        <f t="shared" si="75"/>
        <v>416.61750000000001</v>
      </c>
      <c r="J479" s="73">
        <f t="shared" si="73"/>
        <v>8332.35</v>
      </c>
      <c r="K479" s="13">
        <v>11109.8</v>
      </c>
      <c r="L479" s="14">
        <v>8.9999999999999998E-4</v>
      </c>
      <c r="N479" s="12">
        <v>454.47</v>
      </c>
      <c r="O479" s="86">
        <v>555.49</v>
      </c>
      <c r="P479" s="78"/>
      <c r="Q479" s="2">
        <f t="shared" si="71"/>
        <v>555.49</v>
      </c>
    </row>
    <row r="480" spans="1:17" ht="33" customHeight="1" x14ac:dyDescent="0.2">
      <c r="A480" s="36">
        <v>41183</v>
      </c>
      <c r="B480" s="10" t="s">
        <v>864</v>
      </c>
      <c r="C480" s="9" t="s">
        <v>24</v>
      </c>
      <c r="D480" s="47" t="s">
        <v>865</v>
      </c>
      <c r="E480" s="11" t="s">
        <v>84</v>
      </c>
      <c r="F480" s="16">
        <v>3</v>
      </c>
      <c r="G480" s="73">
        <f t="shared" si="74"/>
        <v>1006.2825</v>
      </c>
      <c r="H480" s="73">
        <f t="shared" si="72"/>
        <v>3018.84</v>
      </c>
      <c r="I480" s="73">
        <f t="shared" si="75"/>
        <v>1229.9775</v>
      </c>
      <c r="J480" s="73">
        <f t="shared" si="73"/>
        <v>3689.93</v>
      </c>
      <c r="K480" s="13">
        <v>4919.91</v>
      </c>
      <c r="L480" s="14">
        <v>4.0000000000000002E-4</v>
      </c>
      <c r="N480" s="13">
        <v>1341.71</v>
      </c>
      <c r="O480" s="89">
        <v>1639.97</v>
      </c>
      <c r="P480" s="78"/>
      <c r="Q480" s="2">
        <f t="shared" si="71"/>
        <v>1639.97</v>
      </c>
    </row>
    <row r="481" spans="1:19" ht="33" customHeight="1" x14ac:dyDescent="0.2">
      <c r="A481" s="36">
        <v>41548</v>
      </c>
      <c r="B481" s="10" t="s">
        <v>866</v>
      </c>
      <c r="C481" s="9" t="s">
        <v>24</v>
      </c>
      <c r="D481" s="46" t="s">
        <v>867</v>
      </c>
      <c r="E481" s="11" t="s">
        <v>84</v>
      </c>
      <c r="F481" s="16">
        <v>4</v>
      </c>
      <c r="G481" s="73">
        <f t="shared" si="74"/>
        <v>931.52250000000004</v>
      </c>
      <c r="H481" s="73">
        <f t="shared" si="72"/>
        <v>3726.09</v>
      </c>
      <c r="I481" s="73">
        <f t="shared" si="75"/>
        <v>1138.5975000000001</v>
      </c>
      <c r="J481" s="73">
        <f t="shared" si="73"/>
        <v>4554.3900000000003</v>
      </c>
      <c r="K481" s="13">
        <v>6072.52</v>
      </c>
      <c r="L481" s="14">
        <v>5.0000000000000001E-4</v>
      </c>
      <c r="N481" s="13">
        <v>1242.03</v>
      </c>
      <c r="O481" s="89">
        <v>1518.13</v>
      </c>
      <c r="P481" s="78"/>
      <c r="Q481" s="2">
        <f t="shared" si="71"/>
        <v>1518.13</v>
      </c>
    </row>
    <row r="482" spans="1:19" ht="33" customHeight="1" x14ac:dyDescent="0.2">
      <c r="A482" s="36">
        <v>41913</v>
      </c>
      <c r="B482" s="10" t="s">
        <v>868</v>
      </c>
      <c r="C482" s="9" t="s">
        <v>24</v>
      </c>
      <c r="D482" s="46" t="s">
        <v>869</v>
      </c>
      <c r="E482" s="11" t="s">
        <v>84</v>
      </c>
      <c r="F482" s="16">
        <v>21</v>
      </c>
      <c r="G482" s="73">
        <f t="shared" si="74"/>
        <v>294.11249999999995</v>
      </c>
      <c r="H482" s="73">
        <f t="shared" si="72"/>
        <v>6176.36</v>
      </c>
      <c r="I482" s="73">
        <f t="shared" si="75"/>
        <v>359.49</v>
      </c>
      <c r="J482" s="73">
        <f t="shared" si="73"/>
        <v>7549.29</v>
      </c>
      <c r="K482" s="13">
        <v>10065.719999999999</v>
      </c>
      <c r="L482" s="14">
        <v>8.0000000000000004E-4</v>
      </c>
      <c r="N482" s="12">
        <v>392.15</v>
      </c>
      <c r="O482" s="86">
        <v>479.32</v>
      </c>
      <c r="P482" s="78"/>
      <c r="Q482" s="2">
        <f t="shared" si="71"/>
        <v>479.32</v>
      </c>
    </row>
    <row r="483" spans="1:19" ht="33" customHeight="1" x14ac:dyDescent="0.2">
      <c r="A483" s="36">
        <v>42278</v>
      </c>
      <c r="B483" s="10" t="s">
        <v>870</v>
      </c>
      <c r="C483" s="9" t="s">
        <v>24</v>
      </c>
      <c r="D483" s="46" t="s">
        <v>871</v>
      </c>
      <c r="E483" s="11" t="s">
        <v>84</v>
      </c>
      <c r="F483" s="16">
        <v>7</v>
      </c>
      <c r="G483" s="73">
        <f t="shared" si="74"/>
        <v>652.755</v>
      </c>
      <c r="H483" s="73">
        <f t="shared" si="72"/>
        <v>4569.28</v>
      </c>
      <c r="I483" s="73">
        <f t="shared" si="75"/>
        <v>797.85749999999996</v>
      </c>
      <c r="J483" s="73">
        <f t="shared" si="73"/>
        <v>5585</v>
      </c>
      <c r="K483" s="13">
        <v>7446.67</v>
      </c>
      <c r="L483" s="14">
        <v>5.9999999999999995E-4</v>
      </c>
      <c r="N483" s="12">
        <v>870.34</v>
      </c>
      <c r="O483" s="89">
        <v>1063.81</v>
      </c>
      <c r="P483" s="78"/>
      <c r="Q483" s="2">
        <f t="shared" si="71"/>
        <v>1063.81</v>
      </c>
    </row>
    <row r="484" spans="1:19" ht="33" customHeight="1" x14ac:dyDescent="0.2">
      <c r="A484" s="36">
        <v>42644</v>
      </c>
      <c r="B484" s="9" t="s">
        <v>872</v>
      </c>
      <c r="C484" s="9" t="s">
        <v>209</v>
      </c>
      <c r="D484" s="47" t="s">
        <v>873</v>
      </c>
      <c r="E484" s="11" t="s">
        <v>84</v>
      </c>
      <c r="F484" s="16">
        <v>16</v>
      </c>
      <c r="G484" s="73">
        <f t="shared" si="74"/>
        <v>167.08500000000001</v>
      </c>
      <c r="H484" s="73">
        <f t="shared" si="72"/>
        <v>2673.36</v>
      </c>
      <c r="I484" s="73">
        <f t="shared" si="75"/>
        <v>204.22500000000002</v>
      </c>
      <c r="J484" s="73">
        <f t="shared" si="73"/>
        <v>3267.6</v>
      </c>
      <c r="K484" s="13">
        <v>4356.8</v>
      </c>
      <c r="L484" s="14">
        <v>4.0000000000000002E-4</v>
      </c>
      <c r="N484" s="12">
        <v>222.78</v>
      </c>
      <c r="O484" s="86">
        <v>272.3</v>
      </c>
      <c r="P484" s="78"/>
      <c r="Q484" s="2">
        <f t="shared" si="71"/>
        <v>272.3</v>
      </c>
    </row>
    <row r="485" spans="1:19" ht="33" customHeight="1" x14ac:dyDescent="0.2">
      <c r="A485" s="36">
        <v>43009</v>
      </c>
      <c r="B485" s="9" t="s">
        <v>874</v>
      </c>
      <c r="C485" s="9" t="s">
        <v>209</v>
      </c>
      <c r="D485" s="47" t="s">
        <v>875</v>
      </c>
      <c r="E485" s="11" t="s">
        <v>84</v>
      </c>
      <c r="F485" s="16">
        <v>17</v>
      </c>
      <c r="G485" s="73">
        <f t="shared" si="74"/>
        <v>168.20250000000001</v>
      </c>
      <c r="H485" s="73">
        <f t="shared" si="72"/>
        <v>2859.44</v>
      </c>
      <c r="I485" s="73">
        <f t="shared" si="75"/>
        <v>205.59</v>
      </c>
      <c r="J485" s="73">
        <f t="shared" si="73"/>
        <v>3495.03</v>
      </c>
      <c r="K485" s="13">
        <v>4660.04</v>
      </c>
      <c r="L485" s="14">
        <v>4.0000000000000002E-4</v>
      </c>
      <c r="N485" s="12">
        <v>224.27</v>
      </c>
      <c r="O485" s="86">
        <v>274.12</v>
      </c>
      <c r="P485" s="78"/>
      <c r="Q485" s="2">
        <f t="shared" si="71"/>
        <v>274.12</v>
      </c>
    </row>
    <row r="486" spans="1:19" ht="33" customHeight="1" x14ac:dyDescent="0.2">
      <c r="A486" s="36">
        <v>43374</v>
      </c>
      <c r="B486" s="9" t="s">
        <v>876</v>
      </c>
      <c r="C486" s="9" t="s">
        <v>209</v>
      </c>
      <c r="D486" s="47" t="s">
        <v>877</v>
      </c>
      <c r="E486" s="11" t="s">
        <v>84</v>
      </c>
      <c r="F486" s="16">
        <v>18</v>
      </c>
      <c r="G486" s="73">
        <f t="shared" si="74"/>
        <v>170.26500000000001</v>
      </c>
      <c r="H486" s="73">
        <f t="shared" si="72"/>
        <v>3064.77</v>
      </c>
      <c r="I486" s="73">
        <f t="shared" si="75"/>
        <v>208.11</v>
      </c>
      <c r="J486" s="73">
        <f t="shared" si="73"/>
        <v>3745.98</v>
      </c>
      <c r="K486" s="13">
        <v>4994.6400000000003</v>
      </c>
      <c r="L486" s="14">
        <v>4.0000000000000002E-4</v>
      </c>
      <c r="N486" s="12">
        <v>227.02</v>
      </c>
      <c r="O486" s="86">
        <v>277.48</v>
      </c>
      <c r="P486" s="78"/>
      <c r="Q486" s="2">
        <f t="shared" si="71"/>
        <v>277.48</v>
      </c>
    </row>
    <row r="487" spans="1:19" ht="33" customHeight="1" x14ac:dyDescent="0.2">
      <c r="A487" s="36">
        <v>43739</v>
      </c>
      <c r="B487" s="10" t="s">
        <v>878</v>
      </c>
      <c r="C487" s="9" t="s">
        <v>209</v>
      </c>
      <c r="D487" s="46" t="s">
        <v>879</v>
      </c>
      <c r="E487" s="11" t="s">
        <v>84</v>
      </c>
      <c r="F487" s="16">
        <v>17</v>
      </c>
      <c r="G487" s="73">
        <f t="shared" si="74"/>
        <v>174.91499999999999</v>
      </c>
      <c r="H487" s="73">
        <f t="shared" si="72"/>
        <v>2973.55</v>
      </c>
      <c r="I487" s="73">
        <f t="shared" si="75"/>
        <v>213.79500000000002</v>
      </c>
      <c r="J487" s="73">
        <f t="shared" si="73"/>
        <v>3634.51</v>
      </c>
      <c r="K487" s="13">
        <v>4846.0200000000004</v>
      </c>
      <c r="L487" s="14">
        <v>4.0000000000000002E-4</v>
      </c>
      <c r="N487" s="12">
        <v>233.22</v>
      </c>
      <c r="O487" s="86">
        <v>285.06</v>
      </c>
      <c r="P487" s="78"/>
      <c r="Q487" s="2">
        <f t="shared" si="71"/>
        <v>285.06</v>
      </c>
    </row>
    <row r="488" spans="1:19" ht="33" customHeight="1" x14ac:dyDescent="0.2">
      <c r="A488" s="36">
        <v>44105</v>
      </c>
      <c r="B488" s="10" t="s">
        <v>880</v>
      </c>
      <c r="C488" s="9" t="s">
        <v>209</v>
      </c>
      <c r="D488" s="46" t="s">
        <v>881</v>
      </c>
      <c r="E488" s="11" t="s">
        <v>84</v>
      </c>
      <c r="F488" s="16">
        <v>2</v>
      </c>
      <c r="G488" s="73">
        <f t="shared" si="74"/>
        <v>233.38499999999999</v>
      </c>
      <c r="H488" s="73">
        <f t="shared" si="72"/>
        <v>466.77</v>
      </c>
      <c r="I488" s="73">
        <f t="shared" si="75"/>
        <v>285.26250000000005</v>
      </c>
      <c r="J488" s="73">
        <f t="shared" si="73"/>
        <v>570.52</v>
      </c>
      <c r="K488" s="12">
        <v>760.7</v>
      </c>
      <c r="L488" s="14">
        <v>1E-4</v>
      </c>
      <c r="N488" s="12">
        <v>311.18</v>
      </c>
      <c r="O488" s="86">
        <v>380.35</v>
      </c>
      <c r="P488" s="78"/>
      <c r="Q488" s="2">
        <f t="shared" si="71"/>
        <v>380.35</v>
      </c>
    </row>
    <row r="489" spans="1:19" ht="33" customHeight="1" x14ac:dyDescent="0.2">
      <c r="A489" s="36">
        <v>44470</v>
      </c>
      <c r="B489" s="32">
        <v>63061</v>
      </c>
      <c r="C489" s="9" t="s">
        <v>335</v>
      </c>
      <c r="D489" s="47" t="s">
        <v>882</v>
      </c>
      <c r="E489" s="11" t="s">
        <v>99</v>
      </c>
      <c r="F489" s="16">
        <v>490</v>
      </c>
      <c r="G489" s="73">
        <f t="shared" si="74"/>
        <v>12.285</v>
      </c>
      <c r="H489" s="73">
        <f t="shared" si="72"/>
        <v>6019.65</v>
      </c>
      <c r="I489" s="73">
        <f t="shared" si="75"/>
        <v>15.015000000000001</v>
      </c>
      <c r="J489" s="73">
        <f t="shared" si="73"/>
        <v>7357.35</v>
      </c>
      <c r="K489" s="13">
        <v>9809.7999999999993</v>
      </c>
      <c r="L489" s="14">
        <v>8.0000000000000004E-4</v>
      </c>
      <c r="N489" s="12">
        <v>16.38</v>
      </c>
      <c r="O489" s="86">
        <v>20.02</v>
      </c>
      <c r="P489" s="78"/>
      <c r="Q489" s="2">
        <f t="shared" si="71"/>
        <v>20.02</v>
      </c>
    </row>
    <row r="490" spans="1:19" ht="33" customHeight="1" x14ac:dyDescent="0.2">
      <c r="A490" s="5" t="s">
        <v>883</v>
      </c>
      <c r="B490" s="4"/>
      <c r="C490" s="4"/>
      <c r="D490" s="45" t="s">
        <v>884</v>
      </c>
      <c r="E490" s="4"/>
      <c r="F490" s="6">
        <v>1</v>
      </c>
      <c r="G490" s="71"/>
      <c r="H490" s="73">
        <f t="shared" si="72"/>
        <v>0</v>
      </c>
      <c r="I490" s="71"/>
      <c r="J490" s="76">
        <f>SUM(J491:J498)</f>
        <v>437706.68999999994</v>
      </c>
      <c r="K490" s="7">
        <v>583608.96</v>
      </c>
      <c r="L490" s="8">
        <v>4.8899999999999999E-2</v>
      </c>
      <c r="N490" s="4"/>
      <c r="O490" s="88">
        <v>583608.96</v>
      </c>
      <c r="P490" s="78"/>
      <c r="Q490" s="2">
        <f t="shared" si="71"/>
        <v>583608.96</v>
      </c>
    </row>
    <row r="491" spans="1:19" ht="33" customHeight="1" x14ac:dyDescent="0.2">
      <c r="A491" s="35">
        <v>40210</v>
      </c>
      <c r="B491" s="15">
        <v>103267</v>
      </c>
      <c r="C491" s="9" t="s">
        <v>56</v>
      </c>
      <c r="D491" s="47" t="s">
        <v>885</v>
      </c>
      <c r="E491" s="11" t="s">
        <v>84</v>
      </c>
      <c r="F491" s="16">
        <v>17</v>
      </c>
      <c r="G491" s="73">
        <f t="shared" ref="G491:G498" si="76">N491*$S$6</f>
        <v>5068.1025</v>
      </c>
      <c r="H491" s="73">
        <f t="shared" si="72"/>
        <v>86157.74</v>
      </c>
      <c r="I491" s="73">
        <f t="shared" ref="I491:I498" si="77">O491*$S$6</f>
        <v>5842.4025000000001</v>
      </c>
      <c r="J491" s="73">
        <f t="shared" si="73"/>
        <v>99320.84</v>
      </c>
      <c r="K491" s="13">
        <v>132427.79</v>
      </c>
      <c r="L491" s="14">
        <v>1.11E-2</v>
      </c>
      <c r="N491" s="13">
        <v>6757.47</v>
      </c>
      <c r="O491" s="88">
        <v>7789.87</v>
      </c>
      <c r="P491" s="78"/>
      <c r="Q491" s="2">
        <f t="shared" si="71"/>
        <v>7789.8700000000008</v>
      </c>
      <c r="S491" s="77" t="s">
        <v>886</v>
      </c>
    </row>
    <row r="492" spans="1:19" ht="33" customHeight="1" x14ac:dyDescent="0.2">
      <c r="A492" s="35">
        <v>40211</v>
      </c>
      <c r="B492" s="15">
        <v>103269</v>
      </c>
      <c r="C492" s="9" t="s">
        <v>56</v>
      </c>
      <c r="D492" s="47" t="s">
        <v>887</v>
      </c>
      <c r="E492" s="11" t="s">
        <v>84</v>
      </c>
      <c r="F492" s="16">
        <v>14</v>
      </c>
      <c r="G492" s="73">
        <f t="shared" si="76"/>
        <v>6224.7150000000001</v>
      </c>
      <c r="H492" s="73">
        <f t="shared" si="72"/>
        <v>87146.01</v>
      </c>
      <c r="I492" s="73">
        <f t="shared" si="77"/>
        <v>7175.73</v>
      </c>
      <c r="J492" s="73">
        <f t="shared" si="73"/>
        <v>100460.22</v>
      </c>
      <c r="K492" s="13">
        <v>133946.96</v>
      </c>
      <c r="L492" s="14">
        <v>1.12E-2</v>
      </c>
      <c r="N492" s="13">
        <v>8299.6200000000008</v>
      </c>
      <c r="O492" s="91">
        <v>9567.64</v>
      </c>
      <c r="P492" s="78"/>
      <c r="Q492" s="2">
        <f t="shared" si="71"/>
        <v>9567.64</v>
      </c>
      <c r="S492" s="77" t="s">
        <v>888</v>
      </c>
    </row>
    <row r="493" spans="1:19" ht="33" customHeight="1" x14ac:dyDescent="0.2">
      <c r="A493" s="35">
        <v>40212</v>
      </c>
      <c r="B493" s="15">
        <v>103271</v>
      </c>
      <c r="C493" s="9" t="s">
        <v>56</v>
      </c>
      <c r="D493" s="47" t="s">
        <v>889</v>
      </c>
      <c r="E493" s="11" t="s">
        <v>84</v>
      </c>
      <c r="F493" s="16">
        <v>2</v>
      </c>
      <c r="G493" s="73">
        <f t="shared" si="76"/>
        <v>9147.067500000001</v>
      </c>
      <c r="H493" s="73">
        <f t="shared" si="72"/>
        <v>18294.13</v>
      </c>
      <c r="I493" s="73">
        <f t="shared" si="77"/>
        <v>10544.557499999999</v>
      </c>
      <c r="J493" s="73">
        <f t="shared" si="73"/>
        <v>21089.11</v>
      </c>
      <c r="K493" s="13">
        <v>28118.82</v>
      </c>
      <c r="L493" s="14">
        <v>2.3999999999999998E-3</v>
      </c>
      <c r="N493" s="13">
        <v>12196.09</v>
      </c>
      <c r="O493" s="91">
        <v>14059.41</v>
      </c>
      <c r="P493" s="78"/>
      <c r="Q493" s="2">
        <f t="shared" si="71"/>
        <v>14059.41</v>
      </c>
      <c r="S493" s="77" t="s">
        <v>890</v>
      </c>
    </row>
    <row r="494" spans="1:19" ht="33" customHeight="1" x14ac:dyDescent="0.2">
      <c r="A494" s="35">
        <v>40213</v>
      </c>
      <c r="B494" s="15">
        <v>103273</v>
      </c>
      <c r="C494" s="9" t="s">
        <v>56</v>
      </c>
      <c r="D494" s="47" t="s">
        <v>891</v>
      </c>
      <c r="E494" s="11" t="s">
        <v>84</v>
      </c>
      <c r="F494" s="16">
        <v>2</v>
      </c>
      <c r="G494" s="73">
        <f t="shared" si="76"/>
        <v>9726.2024999999994</v>
      </c>
      <c r="H494" s="73">
        <f t="shared" si="72"/>
        <v>19452.400000000001</v>
      </c>
      <c r="I494" s="73">
        <f t="shared" si="77"/>
        <v>11212.17</v>
      </c>
      <c r="J494" s="73">
        <f t="shared" si="73"/>
        <v>22424.34</v>
      </c>
      <c r="K494" s="13">
        <v>29899.119999999999</v>
      </c>
      <c r="L494" s="14">
        <v>2.5000000000000001E-3</v>
      </c>
      <c r="N494" s="13">
        <v>12968.27</v>
      </c>
      <c r="O494" s="91">
        <v>14949.56</v>
      </c>
      <c r="P494" s="78"/>
      <c r="Q494" s="2">
        <f t="shared" si="71"/>
        <v>14949.56</v>
      </c>
      <c r="S494" s="77" t="s">
        <v>892</v>
      </c>
    </row>
    <row r="495" spans="1:19" ht="33" customHeight="1" x14ac:dyDescent="0.2">
      <c r="A495" s="35">
        <v>40214</v>
      </c>
      <c r="B495" s="25" t="s">
        <v>893</v>
      </c>
      <c r="C495" s="9" t="s">
        <v>24</v>
      </c>
      <c r="D495" s="47" t="s">
        <v>894</v>
      </c>
      <c r="E495" s="11" t="s">
        <v>84</v>
      </c>
      <c r="F495" s="16">
        <v>1</v>
      </c>
      <c r="G495" s="73">
        <f t="shared" si="76"/>
        <v>44898.21</v>
      </c>
      <c r="H495" s="73">
        <f t="shared" si="72"/>
        <v>44898.21</v>
      </c>
      <c r="I495" s="73">
        <f t="shared" si="77"/>
        <v>51757.777499999997</v>
      </c>
      <c r="J495" s="73">
        <f t="shared" si="73"/>
        <v>51757.77</v>
      </c>
      <c r="K495" s="13">
        <v>69010.37</v>
      </c>
      <c r="L495" s="14">
        <v>5.7999999999999996E-3</v>
      </c>
      <c r="N495" s="13">
        <v>59864.28</v>
      </c>
      <c r="O495" s="91">
        <v>69010.37</v>
      </c>
      <c r="P495" s="78"/>
      <c r="Q495" s="2">
        <f t="shared" si="71"/>
        <v>69010.37</v>
      </c>
      <c r="S495" s="77" t="s">
        <v>895</v>
      </c>
    </row>
    <row r="496" spans="1:19" ht="33" customHeight="1" x14ac:dyDescent="0.2">
      <c r="A496" s="35">
        <v>40215</v>
      </c>
      <c r="B496" s="25" t="s">
        <v>896</v>
      </c>
      <c r="C496" s="9" t="s">
        <v>24</v>
      </c>
      <c r="D496" s="47" t="s">
        <v>897</v>
      </c>
      <c r="E496" s="11" t="s">
        <v>84</v>
      </c>
      <c r="F496" s="16">
        <v>2</v>
      </c>
      <c r="G496" s="73">
        <f t="shared" si="76"/>
        <v>60936.967499999999</v>
      </c>
      <c r="H496" s="73">
        <f t="shared" si="72"/>
        <v>121873.93</v>
      </c>
      <c r="I496" s="73">
        <f t="shared" si="77"/>
        <v>70246.942500000005</v>
      </c>
      <c r="J496" s="73">
        <f t="shared" si="73"/>
        <v>140493.88</v>
      </c>
      <c r="K496" s="13">
        <v>187325.18</v>
      </c>
      <c r="L496" s="14">
        <v>1.5699999999999999E-2</v>
      </c>
      <c r="N496" s="13">
        <v>81249.289999999994</v>
      </c>
      <c r="O496" s="91">
        <v>93662.59</v>
      </c>
      <c r="P496" s="78"/>
      <c r="Q496" s="2">
        <f t="shared" si="71"/>
        <v>93662.59</v>
      </c>
      <c r="S496" s="77" t="s">
        <v>898</v>
      </c>
    </row>
    <row r="497" spans="1:17" ht="33" customHeight="1" x14ac:dyDescent="0.2">
      <c r="A497" s="35">
        <v>40216</v>
      </c>
      <c r="B497" s="10" t="s">
        <v>899</v>
      </c>
      <c r="C497" s="9" t="s">
        <v>24</v>
      </c>
      <c r="D497" s="47" t="s">
        <v>900</v>
      </c>
      <c r="E497" s="11" t="s">
        <v>84</v>
      </c>
      <c r="F497" s="16">
        <v>1</v>
      </c>
      <c r="G497" s="73">
        <f t="shared" si="76"/>
        <v>541.08750000000009</v>
      </c>
      <c r="H497" s="73">
        <f t="shared" si="72"/>
        <v>541.08000000000004</v>
      </c>
      <c r="I497" s="73">
        <f t="shared" si="77"/>
        <v>661.36500000000001</v>
      </c>
      <c r="J497" s="73">
        <f t="shared" si="73"/>
        <v>661.36</v>
      </c>
      <c r="K497" s="12">
        <v>881.82</v>
      </c>
      <c r="L497" s="14">
        <v>1E-4</v>
      </c>
      <c r="N497" s="12">
        <v>721.45</v>
      </c>
      <c r="O497" s="86">
        <v>881.82</v>
      </c>
      <c r="P497" s="78"/>
      <c r="Q497" s="2">
        <f t="shared" si="71"/>
        <v>881.82</v>
      </c>
    </row>
    <row r="498" spans="1:17" ht="33" customHeight="1" x14ac:dyDescent="0.2">
      <c r="A498" s="35">
        <v>40217</v>
      </c>
      <c r="B498" s="10" t="s">
        <v>901</v>
      </c>
      <c r="C498" s="9" t="s">
        <v>24</v>
      </c>
      <c r="D498" s="47" t="s">
        <v>902</v>
      </c>
      <c r="E498" s="11" t="s">
        <v>84</v>
      </c>
      <c r="F498" s="16">
        <v>2</v>
      </c>
      <c r="G498" s="73">
        <f t="shared" si="76"/>
        <v>613.26</v>
      </c>
      <c r="H498" s="73">
        <f t="shared" si="72"/>
        <v>1226.52</v>
      </c>
      <c r="I498" s="73">
        <f t="shared" si="77"/>
        <v>749.58750000000009</v>
      </c>
      <c r="J498" s="73">
        <f t="shared" si="73"/>
        <v>1499.17</v>
      </c>
      <c r="K498" s="13">
        <v>1998.9</v>
      </c>
      <c r="L498" s="14">
        <v>2.0000000000000001E-4</v>
      </c>
      <c r="N498" s="12">
        <v>817.68</v>
      </c>
      <c r="O498" s="86">
        <v>999.45</v>
      </c>
      <c r="P498" s="78"/>
      <c r="Q498" s="2">
        <f t="shared" si="71"/>
        <v>999.45</v>
      </c>
    </row>
    <row r="499" spans="1:17" ht="33" customHeight="1" x14ac:dyDescent="0.2">
      <c r="A499" s="5" t="s">
        <v>903</v>
      </c>
      <c r="B499" s="4"/>
      <c r="C499" s="4"/>
      <c r="D499" s="45" t="s">
        <v>904</v>
      </c>
      <c r="E499" s="4"/>
      <c r="F499" s="6">
        <v>1</v>
      </c>
      <c r="G499" s="71"/>
      <c r="H499" s="73">
        <f t="shared" si="72"/>
        <v>0</v>
      </c>
      <c r="I499" s="71"/>
      <c r="J499" s="76">
        <f>SUM(J500:J507)</f>
        <v>51133.540000000008</v>
      </c>
      <c r="K499" s="7">
        <v>68178.080000000002</v>
      </c>
      <c r="L499" s="8">
        <v>5.7000000000000002E-3</v>
      </c>
      <c r="N499" s="4"/>
      <c r="O499" s="88">
        <v>68178.080000000002</v>
      </c>
      <c r="P499" s="78"/>
      <c r="Q499" s="2">
        <f t="shared" si="71"/>
        <v>68178.080000000002</v>
      </c>
    </row>
    <row r="500" spans="1:17" ht="33" customHeight="1" x14ac:dyDescent="0.2">
      <c r="A500" s="35">
        <v>40238</v>
      </c>
      <c r="B500" s="10" t="s">
        <v>905</v>
      </c>
      <c r="C500" s="9" t="s">
        <v>209</v>
      </c>
      <c r="D500" s="46" t="s">
        <v>906</v>
      </c>
      <c r="E500" s="11" t="s">
        <v>84</v>
      </c>
      <c r="F500" s="16">
        <v>7</v>
      </c>
      <c r="G500" s="73">
        <f t="shared" ref="G500:G507" si="78">N500*$S$6</f>
        <v>1497.5025000000001</v>
      </c>
      <c r="H500" s="73">
        <f t="shared" si="72"/>
        <v>10482.51</v>
      </c>
      <c r="I500" s="73">
        <f t="shared" ref="I500:I507" si="79">O500*$S$6</f>
        <v>1830.3899999999999</v>
      </c>
      <c r="J500" s="73">
        <f t="shared" si="73"/>
        <v>12812.73</v>
      </c>
      <c r="K500" s="13">
        <v>17083.64</v>
      </c>
      <c r="L500" s="14">
        <v>1.4E-3</v>
      </c>
      <c r="N500" s="13">
        <v>1996.67</v>
      </c>
      <c r="O500" s="89">
        <v>2440.52</v>
      </c>
      <c r="P500" s="78"/>
      <c r="Q500" s="2">
        <f t="shared" si="71"/>
        <v>2440.52</v>
      </c>
    </row>
    <row r="501" spans="1:17" ht="33" customHeight="1" x14ac:dyDescent="0.2">
      <c r="A501" s="35">
        <v>40239</v>
      </c>
      <c r="B501" s="9" t="s">
        <v>907</v>
      </c>
      <c r="C501" s="9" t="s">
        <v>209</v>
      </c>
      <c r="D501" s="47" t="s">
        <v>908</v>
      </c>
      <c r="E501" s="11" t="s">
        <v>84</v>
      </c>
      <c r="F501" s="16">
        <v>3</v>
      </c>
      <c r="G501" s="73">
        <f t="shared" si="78"/>
        <v>2238.12</v>
      </c>
      <c r="H501" s="73">
        <f t="shared" si="72"/>
        <v>6714.36</v>
      </c>
      <c r="I501" s="73">
        <f t="shared" si="79"/>
        <v>2735.6475</v>
      </c>
      <c r="J501" s="73">
        <f t="shared" si="73"/>
        <v>8206.94</v>
      </c>
      <c r="K501" s="13">
        <v>10942.59</v>
      </c>
      <c r="L501" s="14">
        <v>8.9999999999999998E-4</v>
      </c>
      <c r="N501" s="13">
        <v>2984.16</v>
      </c>
      <c r="O501" s="89">
        <v>3647.53</v>
      </c>
      <c r="P501" s="78"/>
      <c r="Q501" s="2">
        <f t="shared" si="71"/>
        <v>3647.53</v>
      </c>
    </row>
    <row r="502" spans="1:17" ht="33" customHeight="1" x14ac:dyDescent="0.2">
      <c r="A502" s="35">
        <v>40240</v>
      </c>
      <c r="B502" s="32">
        <v>70233</v>
      </c>
      <c r="C502" s="9" t="s">
        <v>335</v>
      </c>
      <c r="D502" s="47" t="s">
        <v>909</v>
      </c>
      <c r="E502" s="11" t="s">
        <v>84</v>
      </c>
      <c r="F502" s="16">
        <v>29</v>
      </c>
      <c r="G502" s="73">
        <f t="shared" si="78"/>
        <v>309.27750000000003</v>
      </c>
      <c r="H502" s="73">
        <f t="shared" si="72"/>
        <v>8969.0400000000009</v>
      </c>
      <c r="I502" s="73">
        <f t="shared" si="79"/>
        <v>378.02249999999998</v>
      </c>
      <c r="J502" s="73">
        <f t="shared" si="73"/>
        <v>10962.65</v>
      </c>
      <c r="K502" s="13">
        <v>14616.87</v>
      </c>
      <c r="L502" s="14">
        <v>1.1999999999999999E-3</v>
      </c>
      <c r="N502" s="12">
        <v>412.37</v>
      </c>
      <c r="O502" s="86">
        <v>504.03</v>
      </c>
      <c r="P502" s="78"/>
      <c r="Q502" s="2">
        <f t="shared" si="71"/>
        <v>504.03000000000003</v>
      </c>
    </row>
    <row r="503" spans="1:17" ht="33" customHeight="1" x14ac:dyDescent="0.2">
      <c r="A503" s="35">
        <v>40241</v>
      </c>
      <c r="B503" s="32">
        <v>70473</v>
      </c>
      <c r="C503" s="9" t="s">
        <v>335</v>
      </c>
      <c r="D503" s="47" t="s">
        <v>910</v>
      </c>
      <c r="E503" s="11" t="s">
        <v>99</v>
      </c>
      <c r="F503" s="12">
        <v>109.81</v>
      </c>
      <c r="G503" s="73">
        <f t="shared" si="78"/>
        <v>16.905000000000001</v>
      </c>
      <c r="H503" s="73">
        <f t="shared" si="72"/>
        <v>1856.33</v>
      </c>
      <c r="I503" s="73">
        <f t="shared" si="79"/>
        <v>20.662500000000001</v>
      </c>
      <c r="J503" s="73">
        <f t="shared" si="73"/>
        <v>2268.94</v>
      </c>
      <c r="K503" s="13">
        <v>3025.26</v>
      </c>
      <c r="L503" s="14">
        <v>2.9999999999999997E-4</v>
      </c>
      <c r="N503" s="12">
        <v>22.54</v>
      </c>
      <c r="O503" s="86">
        <v>27.55</v>
      </c>
      <c r="P503" s="78"/>
      <c r="Q503" s="2">
        <f t="shared" si="71"/>
        <v>27.549949913486934</v>
      </c>
    </row>
    <row r="504" spans="1:17" ht="33" customHeight="1" x14ac:dyDescent="0.2">
      <c r="A504" s="35">
        <v>40242</v>
      </c>
      <c r="B504" s="32">
        <v>70426</v>
      </c>
      <c r="C504" s="9" t="s">
        <v>335</v>
      </c>
      <c r="D504" s="47" t="s">
        <v>911</v>
      </c>
      <c r="E504" s="11" t="s">
        <v>99</v>
      </c>
      <c r="F504" s="12">
        <v>145.71</v>
      </c>
      <c r="G504" s="73">
        <f t="shared" si="78"/>
        <v>30.93</v>
      </c>
      <c r="H504" s="73">
        <f t="shared" si="72"/>
        <v>4506.8100000000004</v>
      </c>
      <c r="I504" s="73">
        <f t="shared" si="79"/>
        <v>37.799999999999997</v>
      </c>
      <c r="J504" s="73">
        <f t="shared" si="73"/>
        <v>5507.83</v>
      </c>
      <c r="K504" s="13">
        <v>7343.78</v>
      </c>
      <c r="L504" s="14">
        <v>5.9999999999999995E-4</v>
      </c>
      <c r="N504" s="12">
        <v>41.24</v>
      </c>
      <c r="O504" s="86">
        <v>50.4</v>
      </c>
      <c r="P504" s="78"/>
      <c r="Q504" s="2">
        <f t="shared" si="71"/>
        <v>50.399972548212197</v>
      </c>
    </row>
    <row r="505" spans="1:17" ht="33" customHeight="1" x14ac:dyDescent="0.2">
      <c r="A505" s="37">
        <v>40243</v>
      </c>
      <c r="B505" s="38">
        <v>2016</v>
      </c>
      <c r="C505" s="18" t="s">
        <v>335</v>
      </c>
      <c r="D505" s="48" t="s">
        <v>912</v>
      </c>
      <c r="E505" s="20" t="s">
        <v>84</v>
      </c>
      <c r="F505" s="21">
        <v>10</v>
      </c>
      <c r="G505" s="75">
        <f t="shared" si="78"/>
        <v>30.375</v>
      </c>
      <c r="H505" s="73">
        <f t="shared" si="72"/>
        <v>303.75</v>
      </c>
      <c r="I505" s="75">
        <f t="shared" si="79"/>
        <v>37.125</v>
      </c>
      <c r="J505" s="75">
        <f t="shared" si="73"/>
        <v>371.25</v>
      </c>
      <c r="K505" s="22">
        <v>495</v>
      </c>
      <c r="L505" s="24">
        <v>0</v>
      </c>
      <c r="N505" s="22">
        <v>40.5</v>
      </c>
      <c r="O505" s="87">
        <v>49.5</v>
      </c>
      <c r="P505" s="78"/>
      <c r="Q505" s="2">
        <f t="shared" si="71"/>
        <v>49.5</v>
      </c>
    </row>
    <row r="506" spans="1:17" ht="33" customHeight="1" x14ac:dyDescent="0.2">
      <c r="A506" s="37">
        <v>40244</v>
      </c>
      <c r="B506" s="38">
        <v>1761</v>
      </c>
      <c r="C506" s="18" t="s">
        <v>335</v>
      </c>
      <c r="D506" s="49" t="s">
        <v>913</v>
      </c>
      <c r="E506" s="20" t="s">
        <v>84</v>
      </c>
      <c r="F506" s="21">
        <v>4</v>
      </c>
      <c r="G506" s="75">
        <f t="shared" si="78"/>
        <v>13.5</v>
      </c>
      <c r="H506" s="73">
        <f t="shared" si="72"/>
        <v>54</v>
      </c>
      <c r="I506" s="75">
        <f t="shared" si="79"/>
        <v>16.5</v>
      </c>
      <c r="J506" s="75">
        <f t="shared" si="73"/>
        <v>66</v>
      </c>
      <c r="K506" s="22">
        <v>88</v>
      </c>
      <c r="L506" s="24">
        <v>0</v>
      </c>
      <c r="N506" s="22">
        <v>18</v>
      </c>
      <c r="O506" s="87">
        <v>22</v>
      </c>
      <c r="P506" s="78"/>
      <c r="Q506" s="2">
        <f t="shared" si="71"/>
        <v>22</v>
      </c>
    </row>
    <row r="507" spans="1:17" ht="33" customHeight="1" x14ac:dyDescent="0.2">
      <c r="A507" s="35">
        <v>40245</v>
      </c>
      <c r="B507" s="32">
        <v>70454</v>
      </c>
      <c r="C507" s="9" t="s">
        <v>335</v>
      </c>
      <c r="D507" s="47" t="s">
        <v>914</v>
      </c>
      <c r="E507" s="11" t="s">
        <v>84</v>
      </c>
      <c r="F507" s="16">
        <v>34</v>
      </c>
      <c r="G507" s="73">
        <f t="shared" si="78"/>
        <v>263.1825</v>
      </c>
      <c r="H507" s="73">
        <f t="shared" si="72"/>
        <v>8948.2000000000007</v>
      </c>
      <c r="I507" s="73">
        <f t="shared" si="79"/>
        <v>321.6825</v>
      </c>
      <c r="J507" s="73">
        <f t="shared" si="73"/>
        <v>10937.2</v>
      </c>
      <c r="K507" s="13">
        <v>14582.94</v>
      </c>
      <c r="L507" s="14">
        <v>1.1999999999999999E-3</v>
      </c>
      <c r="N507" s="12">
        <v>350.91</v>
      </c>
      <c r="O507" s="86">
        <v>428.91</v>
      </c>
      <c r="P507" s="78"/>
      <c r="Q507" s="2">
        <f t="shared" si="71"/>
        <v>428.91</v>
      </c>
    </row>
    <row r="508" spans="1:17" ht="33" customHeight="1" x14ac:dyDescent="0.2">
      <c r="A508" s="5" t="s">
        <v>915</v>
      </c>
      <c r="B508" s="4"/>
      <c r="C508" s="4"/>
      <c r="D508" s="45" t="s">
        <v>916</v>
      </c>
      <c r="E508" s="4"/>
      <c r="F508" s="6">
        <v>1</v>
      </c>
      <c r="G508" s="71"/>
      <c r="H508" s="73">
        <f t="shared" si="72"/>
        <v>0</v>
      </c>
      <c r="I508" s="71"/>
      <c r="J508" s="76">
        <f>J509</f>
        <v>77537.009999999995</v>
      </c>
      <c r="K508" s="7">
        <v>103382.69</v>
      </c>
      <c r="L508" s="8">
        <v>8.6999999999999994E-3</v>
      </c>
      <c r="N508" s="4"/>
      <c r="O508" s="88">
        <v>103382.69</v>
      </c>
      <c r="P508" s="78"/>
      <c r="Q508" s="2">
        <f t="shared" si="71"/>
        <v>103382.69</v>
      </c>
    </row>
    <row r="509" spans="1:17" ht="33" customHeight="1" x14ac:dyDescent="0.2">
      <c r="A509" s="35">
        <v>40269</v>
      </c>
      <c r="B509" s="10" t="s">
        <v>917</v>
      </c>
      <c r="C509" s="9" t="s">
        <v>24</v>
      </c>
      <c r="D509" s="47" t="s">
        <v>918</v>
      </c>
      <c r="E509" s="11" t="s">
        <v>84</v>
      </c>
      <c r="F509" s="16">
        <v>1</v>
      </c>
      <c r="G509" s="73">
        <f>N509*$S$6</f>
        <v>63435.345000000001</v>
      </c>
      <c r="H509" s="73">
        <f t="shared" si="72"/>
        <v>63435.34</v>
      </c>
      <c r="I509" s="73">
        <f>O509*$S$6</f>
        <v>77537.017500000002</v>
      </c>
      <c r="J509" s="73">
        <f t="shared" si="73"/>
        <v>77537.009999999995</v>
      </c>
      <c r="K509" s="13">
        <v>103382.69</v>
      </c>
      <c r="L509" s="14">
        <v>8.6999999999999994E-3</v>
      </c>
      <c r="N509" s="13">
        <v>84580.46</v>
      </c>
      <c r="O509" s="89">
        <v>103382.69</v>
      </c>
      <c r="P509" s="78"/>
      <c r="Q509" s="2">
        <f t="shared" si="71"/>
        <v>103382.69</v>
      </c>
    </row>
    <row r="510" spans="1:17" ht="33" customHeight="1" x14ac:dyDescent="0.2">
      <c r="A510" s="5" t="s">
        <v>919</v>
      </c>
      <c r="B510" s="4"/>
      <c r="C510" s="4"/>
      <c r="D510" s="45" t="s">
        <v>920</v>
      </c>
      <c r="E510" s="4"/>
      <c r="F510" s="6">
        <v>1</v>
      </c>
      <c r="G510" s="71"/>
      <c r="H510" s="73">
        <f t="shared" si="72"/>
        <v>0</v>
      </c>
      <c r="I510" s="71"/>
      <c r="J510" s="76">
        <f>SUM(J511:J545)</f>
        <v>125292.50999999998</v>
      </c>
      <c r="K510" s="7">
        <v>167056.75</v>
      </c>
      <c r="L510" s="8">
        <v>1.4E-2</v>
      </c>
      <c r="N510" s="4"/>
      <c r="O510" s="88">
        <v>167056.75</v>
      </c>
      <c r="P510" s="78"/>
      <c r="Q510" s="2">
        <f t="shared" si="71"/>
        <v>167056.75</v>
      </c>
    </row>
    <row r="511" spans="1:17" ht="33" customHeight="1" x14ac:dyDescent="0.2">
      <c r="A511" s="35">
        <v>40299</v>
      </c>
      <c r="B511" s="15">
        <v>91940</v>
      </c>
      <c r="C511" s="9" t="s">
        <v>56</v>
      </c>
      <c r="D511" s="47" t="s">
        <v>921</v>
      </c>
      <c r="E511" s="11" t="s">
        <v>84</v>
      </c>
      <c r="F511" s="16">
        <v>242</v>
      </c>
      <c r="G511" s="73">
        <f t="shared" ref="G511:G545" si="80">N511*$S$6</f>
        <v>18.945</v>
      </c>
      <c r="H511" s="73">
        <f t="shared" si="72"/>
        <v>4584.6899999999996</v>
      </c>
      <c r="I511" s="73">
        <f t="shared" ref="I511:I545" si="81">O511*$S$6</f>
        <v>23.1525</v>
      </c>
      <c r="J511" s="73">
        <f t="shared" si="73"/>
        <v>5602.9</v>
      </c>
      <c r="K511" s="13">
        <v>7470.54</v>
      </c>
      <c r="L511" s="14">
        <v>5.9999999999999995E-4</v>
      </c>
      <c r="N511" s="12">
        <v>25.26</v>
      </c>
      <c r="O511" s="86">
        <v>30.87</v>
      </c>
      <c r="P511" s="78"/>
      <c r="Q511" s="2">
        <f t="shared" si="71"/>
        <v>30.87</v>
      </c>
    </row>
    <row r="512" spans="1:17" ht="33" customHeight="1" x14ac:dyDescent="0.2">
      <c r="A512" s="35">
        <v>40300</v>
      </c>
      <c r="B512" s="15">
        <v>92871</v>
      </c>
      <c r="C512" s="9" t="s">
        <v>56</v>
      </c>
      <c r="D512" s="47" t="s">
        <v>922</v>
      </c>
      <c r="E512" s="11" t="s">
        <v>84</v>
      </c>
      <c r="F512" s="16">
        <v>104</v>
      </c>
      <c r="G512" s="73">
        <f t="shared" si="80"/>
        <v>19.47</v>
      </c>
      <c r="H512" s="73">
        <f t="shared" si="72"/>
        <v>2024.88</v>
      </c>
      <c r="I512" s="73">
        <f t="shared" si="81"/>
        <v>23.797499999999999</v>
      </c>
      <c r="J512" s="73">
        <f t="shared" si="73"/>
        <v>2474.94</v>
      </c>
      <c r="K512" s="13">
        <v>3299.92</v>
      </c>
      <c r="L512" s="14">
        <v>2.9999999999999997E-4</v>
      </c>
      <c r="N512" s="12">
        <v>25.96</v>
      </c>
      <c r="O512" s="86">
        <v>31.73</v>
      </c>
      <c r="P512" s="78"/>
      <c r="Q512" s="2">
        <f t="shared" si="71"/>
        <v>31.73</v>
      </c>
    </row>
    <row r="513" spans="1:17" ht="33" customHeight="1" x14ac:dyDescent="0.2">
      <c r="A513" s="35">
        <v>40301</v>
      </c>
      <c r="B513" s="15">
        <v>91936</v>
      </c>
      <c r="C513" s="9" t="s">
        <v>56</v>
      </c>
      <c r="D513" s="47" t="s">
        <v>923</v>
      </c>
      <c r="E513" s="11" t="s">
        <v>84</v>
      </c>
      <c r="F513" s="16">
        <v>387</v>
      </c>
      <c r="G513" s="73">
        <f t="shared" si="80"/>
        <v>18.225000000000001</v>
      </c>
      <c r="H513" s="73">
        <f t="shared" si="72"/>
        <v>7053.07</v>
      </c>
      <c r="I513" s="73">
        <f t="shared" si="81"/>
        <v>22.274999999999999</v>
      </c>
      <c r="J513" s="73">
        <f t="shared" si="73"/>
        <v>8620.42</v>
      </c>
      <c r="K513" s="13">
        <v>11493.9</v>
      </c>
      <c r="L513" s="14">
        <v>1E-3</v>
      </c>
      <c r="N513" s="12">
        <v>24.3</v>
      </c>
      <c r="O513" s="86">
        <v>29.7</v>
      </c>
      <c r="P513" s="78"/>
      <c r="Q513" s="2">
        <f t="shared" si="71"/>
        <v>29.7</v>
      </c>
    </row>
    <row r="514" spans="1:17" ht="33" customHeight="1" x14ac:dyDescent="0.2">
      <c r="A514" s="35">
        <v>40302</v>
      </c>
      <c r="B514" s="15">
        <v>97881</v>
      </c>
      <c r="C514" s="9" t="s">
        <v>56</v>
      </c>
      <c r="D514" s="47" t="s">
        <v>924</v>
      </c>
      <c r="E514" s="11" t="s">
        <v>84</v>
      </c>
      <c r="F514" s="16">
        <v>2</v>
      </c>
      <c r="G514" s="73">
        <f t="shared" si="80"/>
        <v>127.88249999999999</v>
      </c>
      <c r="H514" s="73">
        <f t="shared" si="72"/>
        <v>255.76</v>
      </c>
      <c r="I514" s="73">
        <f t="shared" si="81"/>
        <v>156.3075</v>
      </c>
      <c r="J514" s="73">
        <f t="shared" si="73"/>
        <v>312.61</v>
      </c>
      <c r="K514" s="12">
        <v>416.82</v>
      </c>
      <c r="L514" s="14">
        <v>0</v>
      </c>
      <c r="N514" s="12">
        <v>170.51</v>
      </c>
      <c r="O514" s="86">
        <v>208.41</v>
      </c>
      <c r="P514" s="78"/>
      <c r="Q514" s="2">
        <f t="shared" si="71"/>
        <v>208.41</v>
      </c>
    </row>
    <row r="515" spans="1:17" ht="33" customHeight="1" x14ac:dyDescent="0.2">
      <c r="A515" s="35">
        <v>40303</v>
      </c>
      <c r="B515" s="15">
        <v>97891</v>
      </c>
      <c r="C515" s="9" t="s">
        <v>56</v>
      </c>
      <c r="D515" s="47" t="s">
        <v>925</v>
      </c>
      <c r="E515" s="11" t="s">
        <v>84</v>
      </c>
      <c r="F515" s="16">
        <v>16</v>
      </c>
      <c r="G515" s="73">
        <f t="shared" si="80"/>
        <v>190.07249999999999</v>
      </c>
      <c r="H515" s="73">
        <f t="shared" si="72"/>
        <v>3041.16</v>
      </c>
      <c r="I515" s="73">
        <f t="shared" si="81"/>
        <v>232.32</v>
      </c>
      <c r="J515" s="73">
        <f t="shared" si="73"/>
        <v>3717.12</v>
      </c>
      <c r="K515" s="13">
        <v>4956.16</v>
      </c>
      <c r="L515" s="14">
        <v>4.0000000000000002E-4</v>
      </c>
      <c r="N515" s="12">
        <v>253.43</v>
      </c>
      <c r="O515" s="86">
        <v>309.76</v>
      </c>
      <c r="P515" s="78"/>
      <c r="Q515" s="2">
        <f t="shared" si="71"/>
        <v>309.76</v>
      </c>
    </row>
    <row r="516" spans="1:17" ht="33" customHeight="1" x14ac:dyDescent="0.2">
      <c r="A516" s="35">
        <v>40304</v>
      </c>
      <c r="B516" s="25" t="s">
        <v>926</v>
      </c>
      <c r="C516" s="9" t="s">
        <v>24</v>
      </c>
      <c r="D516" s="47" t="s">
        <v>927</v>
      </c>
      <c r="E516" s="11" t="s">
        <v>84</v>
      </c>
      <c r="F516" s="16">
        <v>2</v>
      </c>
      <c r="G516" s="73">
        <f t="shared" si="80"/>
        <v>42.547499999999999</v>
      </c>
      <c r="H516" s="73">
        <f t="shared" si="72"/>
        <v>85.09</v>
      </c>
      <c r="I516" s="73">
        <f t="shared" si="81"/>
        <v>52.005000000000003</v>
      </c>
      <c r="J516" s="73">
        <f t="shared" si="73"/>
        <v>104.01</v>
      </c>
      <c r="K516" s="12">
        <v>138.68</v>
      </c>
      <c r="L516" s="14">
        <v>0</v>
      </c>
      <c r="N516" s="12">
        <v>56.73</v>
      </c>
      <c r="O516" s="86">
        <v>69.34</v>
      </c>
      <c r="P516" s="78"/>
      <c r="Q516" s="2">
        <f t="shared" si="71"/>
        <v>69.34</v>
      </c>
    </row>
    <row r="517" spans="1:17" ht="33" customHeight="1" x14ac:dyDescent="0.2">
      <c r="A517" s="35">
        <v>40305</v>
      </c>
      <c r="B517" s="25" t="s">
        <v>928</v>
      </c>
      <c r="C517" s="9" t="s">
        <v>24</v>
      </c>
      <c r="D517" s="47" t="s">
        <v>929</v>
      </c>
      <c r="E517" s="11" t="s">
        <v>84</v>
      </c>
      <c r="F517" s="16">
        <v>2</v>
      </c>
      <c r="G517" s="73">
        <f t="shared" si="80"/>
        <v>57.5625</v>
      </c>
      <c r="H517" s="73">
        <f t="shared" si="72"/>
        <v>115.12</v>
      </c>
      <c r="I517" s="73">
        <f t="shared" si="81"/>
        <v>70.357500000000002</v>
      </c>
      <c r="J517" s="73">
        <f t="shared" si="73"/>
        <v>140.71</v>
      </c>
      <c r="K517" s="12">
        <v>187.62</v>
      </c>
      <c r="L517" s="14">
        <v>0</v>
      </c>
      <c r="N517" s="12">
        <v>76.75</v>
      </c>
      <c r="O517" s="86">
        <v>93.81</v>
      </c>
      <c r="P517" s="78"/>
      <c r="Q517" s="2">
        <f t="shared" si="71"/>
        <v>93.81</v>
      </c>
    </row>
    <row r="518" spans="1:17" ht="33" customHeight="1" x14ac:dyDescent="0.2">
      <c r="A518" s="35">
        <v>40306</v>
      </c>
      <c r="B518" s="25" t="s">
        <v>930</v>
      </c>
      <c r="C518" s="9" t="s">
        <v>24</v>
      </c>
      <c r="D518" s="47" t="s">
        <v>931</v>
      </c>
      <c r="E518" s="11" t="s">
        <v>84</v>
      </c>
      <c r="F518" s="16">
        <v>1</v>
      </c>
      <c r="G518" s="73">
        <f t="shared" si="80"/>
        <v>87.045000000000002</v>
      </c>
      <c r="H518" s="73">
        <f t="shared" si="72"/>
        <v>87.04</v>
      </c>
      <c r="I518" s="73">
        <f t="shared" si="81"/>
        <v>106.39500000000001</v>
      </c>
      <c r="J518" s="73">
        <f t="shared" si="73"/>
        <v>106.39</v>
      </c>
      <c r="K518" s="12">
        <v>141.86000000000001</v>
      </c>
      <c r="L518" s="14">
        <v>0</v>
      </c>
      <c r="N518" s="12">
        <v>116.06</v>
      </c>
      <c r="O518" s="86">
        <v>141.86000000000001</v>
      </c>
      <c r="P518" s="78"/>
      <c r="Q518" s="2">
        <f t="shared" si="71"/>
        <v>141.86000000000001</v>
      </c>
    </row>
    <row r="519" spans="1:17" ht="33" customHeight="1" x14ac:dyDescent="0.2">
      <c r="A519" s="35">
        <v>40307</v>
      </c>
      <c r="B519" s="25" t="s">
        <v>932</v>
      </c>
      <c r="C519" s="9" t="s">
        <v>24</v>
      </c>
      <c r="D519" s="47" t="s">
        <v>933</v>
      </c>
      <c r="E519" s="11" t="s">
        <v>84</v>
      </c>
      <c r="F519" s="16">
        <v>1</v>
      </c>
      <c r="G519" s="73">
        <f t="shared" si="80"/>
        <v>36.517499999999998</v>
      </c>
      <c r="H519" s="73">
        <f t="shared" si="72"/>
        <v>36.51</v>
      </c>
      <c r="I519" s="73">
        <f t="shared" si="81"/>
        <v>44.6325</v>
      </c>
      <c r="J519" s="73">
        <f t="shared" si="73"/>
        <v>44.63</v>
      </c>
      <c r="K519" s="12">
        <v>59.51</v>
      </c>
      <c r="L519" s="14">
        <v>0</v>
      </c>
      <c r="N519" s="12">
        <v>48.69</v>
      </c>
      <c r="O519" s="86">
        <v>59.51</v>
      </c>
      <c r="P519" s="78"/>
      <c r="Q519" s="2">
        <f t="shared" ref="Q519:Q582" si="82">K519/F519</f>
        <v>59.51</v>
      </c>
    </row>
    <row r="520" spans="1:17" ht="33" customHeight="1" x14ac:dyDescent="0.2">
      <c r="A520" s="36">
        <v>40456</v>
      </c>
      <c r="B520" s="25" t="s">
        <v>934</v>
      </c>
      <c r="C520" s="9" t="s">
        <v>24</v>
      </c>
      <c r="D520" s="46" t="s">
        <v>935</v>
      </c>
      <c r="E520" s="11" t="s">
        <v>84</v>
      </c>
      <c r="F520" s="16">
        <v>1</v>
      </c>
      <c r="G520" s="73">
        <f t="shared" si="80"/>
        <v>81.435000000000002</v>
      </c>
      <c r="H520" s="73">
        <f t="shared" ref="H520:H583" si="83">TRUNC(G520*F520,2)</f>
        <v>81.430000000000007</v>
      </c>
      <c r="I520" s="73">
        <f t="shared" si="81"/>
        <v>99.532499999999999</v>
      </c>
      <c r="J520" s="73">
        <f t="shared" ref="J520:J583" si="84">TRUNC(I520*F520,2)</f>
        <v>99.53</v>
      </c>
      <c r="K520" s="12">
        <v>132.71</v>
      </c>
      <c r="L520" s="14">
        <v>0</v>
      </c>
      <c r="N520" s="12">
        <v>108.58</v>
      </c>
      <c r="O520" s="86">
        <v>132.71</v>
      </c>
      <c r="P520" s="78"/>
      <c r="Q520" s="2">
        <f t="shared" si="82"/>
        <v>132.71</v>
      </c>
    </row>
    <row r="521" spans="1:17" ht="33" customHeight="1" x14ac:dyDescent="0.2">
      <c r="A521" s="36">
        <v>40821</v>
      </c>
      <c r="B521" s="15">
        <v>97667</v>
      </c>
      <c r="C521" s="9" t="s">
        <v>56</v>
      </c>
      <c r="D521" s="47" t="s">
        <v>936</v>
      </c>
      <c r="E521" s="11" t="s">
        <v>99</v>
      </c>
      <c r="F521" s="29">
        <v>19.3</v>
      </c>
      <c r="G521" s="73">
        <f t="shared" si="80"/>
        <v>7.5525000000000002</v>
      </c>
      <c r="H521" s="73">
        <f t="shared" si="83"/>
        <v>145.76</v>
      </c>
      <c r="I521" s="73">
        <f t="shared" si="81"/>
        <v>9.2250000000000014</v>
      </c>
      <c r="J521" s="73">
        <f t="shared" si="84"/>
        <v>178.04</v>
      </c>
      <c r="K521" s="12">
        <v>237.39</v>
      </c>
      <c r="L521" s="14">
        <v>0</v>
      </c>
      <c r="N521" s="12">
        <v>10.07</v>
      </c>
      <c r="O521" s="86">
        <v>12.3</v>
      </c>
      <c r="P521" s="78"/>
      <c r="Q521" s="2">
        <f t="shared" si="82"/>
        <v>12.299999999999999</v>
      </c>
    </row>
    <row r="522" spans="1:17" ht="33" customHeight="1" x14ac:dyDescent="0.2">
      <c r="A522" s="36">
        <v>41187</v>
      </c>
      <c r="B522" s="15">
        <v>97668</v>
      </c>
      <c r="C522" s="9" t="s">
        <v>56</v>
      </c>
      <c r="D522" s="47" t="s">
        <v>937</v>
      </c>
      <c r="E522" s="11" t="s">
        <v>99</v>
      </c>
      <c r="F522" s="29">
        <v>23.1</v>
      </c>
      <c r="G522" s="73">
        <f t="shared" si="80"/>
        <v>10.74</v>
      </c>
      <c r="H522" s="73">
        <f t="shared" si="83"/>
        <v>248.09</v>
      </c>
      <c r="I522" s="73">
        <f t="shared" si="81"/>
        <v>13.125</v>
      </c>
      <c r="J522" s="73">
        <f t="shared" si="84"/>
        <v>303.18</v>
      </c>
      <c r="K522" s="12">
        <v>404.25</v>
      </c>
      <c r="L522" s="14">
        <v>0</v>
      </c>
      <c r="N522" s="12">
        <v>14.32</v>
      </c>
      <c r="O522" s="86">
        <v>17.5</v>
      </c>
      <c r="P522" s="78"/>
      <c r="Q522" s="2">
        <f t="shared" si="82"/>
        <v>17.5</v>
      </c>
    </row>
    <row r="523" spans="1:17" ht="33" customHeight="1" x14ac:dyDescent="0.2">
      <c r="A523" s="36">
        <v>41552</v>
      </c>
      <c r="B523" s="9" t="s">
        <v>938</v>
      </c>
      <c r="C523" s="9" t="s">
        <v>209</v>
      </c>
      <c r="D523" s="47" t="s">
        <v>939</v>
      </c>
      <c r="E523" s="11" t="s">
        <v>99</v>
      </c>
      <c r="F523" s="29">
        <v>21.7</v>
      </c>
      <c r="G523" s="73">
        <f t="shared" si="80"/>
        <v>54.352499999999999</v>
      </c>
      <c r="H523" s="73">
        <f t="shared" si="83"/>
        <v>1179.44</v>
      </c>
      <c r="I523" s="73">
        <f t="shared" si="81"/>
        <v>66.435000000000002</v>
      </c>
      <c r="J523" s="73">
        <f t="shared" si="84"/>
        <v>1441.63</v>
      </c>
      <c r="K523" s="13">
        <v>1922.18</v>
      </c>
      <c r="L523" s="14">
        <v>2.0000000000000001E-4</v>
      </c>
      <c r="N523" s="12">
        <v>72.47</v>
      </c>
      <c r="O523" s="86">
        <v>88.58</v>
      </c>
      <c r="P523" s="78"/>
      <c r="Q523" s="2">
        <f t="shared" si="82"/>
        <v>88.579723502304148</v>
      </c>
    </row>
    <row r="524" spans="1:17" ht="33" customHeight="1" x14ac:dyDescent="0.2">
      <c r="A524" s="36">
        <v>41917</v>
      </c>
      <c r="B524" s="9" t="s">
        <v>940</v>
      </c>
      <c r="C524" s="9" t="s">
        <v>209</v>
      </c>
      <c r="D524" s="47" t="s">
        <v>941</v>
      </c>
      <c r="E524" s="11" t="s">
        <v>99</v>
      </c>
      <c r="F524" s="29">
        <v>78.900000000000006</v>
      </c>
      <c r="G524" s="73">
        <f t="shared" si="80"/>
        <v>80.894999999999996</v>
      </c>
      <c r="H524" s="73">
        <f t="shared" si="83"/>
        <v>6382.61</v>
      </c>
      <c r="I524" s="73">
        <f t="shared" si="81"/>
        <v>98.872500000000002</v>
      </c>
      <c r="J524" s="73">
        <f t="shared" si="84"/>
        <v>7801.04</v>
      </c>
      <c r="K524" s="13">
        <v>10401.379999999999</v>
      </c>
      <c r="L524" s="14">
        <v>8.9999999999999998E-4</v>
      </c>
      <c r="N524" s="12">
        <v>107.86</v>
      </c>
      <c r="O524" s="86">
        <v>131.83000000000001</v>
      </c>
      <c r="P524" s="78"/>
      <c r="Q524" s="2">
        <f t="shared" si="82"/>
        <v>131.82991128010138</v>
      </c>
    </row>
    <row r="525" spans="1:17" ht="33" customHeight="1" x14ac:dyDescent="0.2">
      <c r="A525" s="36">
        <v>42282</v>
      </c>
      <c r="B525" s="15">
        <v>102137</v>
      </c>
      <c r="C525" s="9" t="s">
        <v>56</v>
      </c>
      <c r="D525" s="47" t="s">
        <v>942</v>
      </c>
      <c r="E525" s="11" t="s">
        <v>84</v>
      </c>
      <c r="F525" s="16">
        <v>4</v>
      </c>
      <c r="G525" s="73">
        <f t="shared" si="80"/>
        <v>118.38</v>
      </c>
      <c r="H525" s="73">
        <f t="shared" si="83"/>
        <v>473.52</v>
      </c>
      <c r="I525" s="73">
        <f t="shared" si="81"/>
        <v>144.69</v>
      </c>
      <c r="J525" s="73">
        <f t="shared" si="84"/>
        <v>578.76</v>
      </c>
      <c r="K525" s="12">
        <v>771.68</v>
      </c>
      <c r="L525" s="14">
        <v>1E-4</v>
      </c>
      <c r="N525" s="12">
        <v>157.84</v>
      </c>
      <c r="O525" s="86">
        <v>192.92</v>
      </c>
      <c r="P525" s="78"/>
      <c r="Q525" s="2">
        <f t="shared" si="82"/>
        <v>192.92</v>
      </c>
    </row>
    <row r="526" spans="1:17" ht="33" customHeight="1" x14ac:dyDescent="0.2">
      <c r="A526" s="36">
        <v>42648</v>
      </c>
      <c r="B526" s="15">
        <v>90447</v>
      </c>
      <c r="C526" s="9" t="s">
        <v>56</v>
      </c>
      <c r="D526" s="47" t="s">
        <v>943</v>
      </c>
      <c r="E526" s="11" t="s">
        <v>99</v>
      </c>
      <c r="F526" s="16">
        <v>219</v>
      </c>
      <c r="G526" s="73">
        <f t="shared" si="80"/>
        <v>8.8349999999999991</v>
      </c>
      <c r="H526" s="73">
        <f t="shared" si="83"/>
        <v>1934.86</v>
      </c>
      <c r="I526" s="73">
        <f t="shared" si="81"/>
        <v>10.7925</v>
      </c>
      <c r="J526" s="73">
        <f t="shared" si="84"/>
        <v>2363.5500000000002</v>
      </c>
      <c r="K526" s="13">
        <v>3151.41</v>
      </c>
      <c r="L526" s="14">
        <v>2.9999999999999997E-4</v>
      </c>
      <c r="N526" s="12">
        <v>11.78</v>
      </c>
      <c r="O526" s="86">
        <v>14.39</v>
      </c>
      <c r="P526" s="78"/>
      <c r="Q526" s="2">
        <f t="shared" si="82"/>
        <v>14.389999999999999</v>
      </c>
    </row>
    <row r="527" spans="1:17" ht="33" customHeight="1" x14ac:dyDescent="0.2">
      <c r="A527" s="36">
        <v>43013</v>
      </c>
      <c r="B527" s="15">
        <v>90466</v>
      </c>
      <c r="C527" s="9" t="s">
        <v>56</v>
      </c>
      <c r="D527" s="46" t="s">
        <v>642</v>
      </c>
      <c r="E527" s="11" t="s">
        <v>99</v>
      </c>
      <c r="F527" s="16">
        <v>219</v>
      </c>
      <c r="G527" s="73">
        <f t="shared" si="80"/>
        <v>15.375</v>
      </c>
      <c r="H527" s="73">
        <f t="shared" si="83"/>
        <v>3367.12</v>
      </c>
      <c r="I527" s="73">
        <f t="shared" si="81"/>
        <v>18.787500000000001</v>
      </c>
      <c r="J527" s="73">
        <f t="shared" si="84"/>
        <v>4114.46</v>
      </c>
      <c r="K527" s="13">
        <v>5485.95</v>
      </c>
      <c r="L527" s="14">
        <v>5.0000000000000001E-4</v>
      </c>
      <c r="N527" s="12">
        <v>20.5</v>
      </c>
      <c r="O527" s="86">
        <v>25.05</v>
      </c>
      <c r="P527" s="78"/>
      <c r="Q527" s="2">
        <f t="shared" si="82"/>
        <v>25.05</v>
      </c>
    </row>
    <row r="528" spans="1:17" ht="33" customHeight="1" x14ac:dyDescent="0.2">
      <c r="A528" s="36">
        <v>43378</v>
      </c>
      <c r="B528" s="15">
        <v>91862</v>
      </c>
      <c r="C528" s="9" t="s">
        <v>56</v>
      </c>
      <c r="D528" s="46" t="s">
        <v>944</v>
      </c>
      <c r="E528" s="11" t="s">
        <v>99</v>
      </c>
      <c r="F528" s="29">
        <v>1.5</v>
      </c>
      <c r="G528" s="73">
        <f t="shared" si="80"/>
        <v>8.8049999999999997</v>
      </c>
      <c r="H528" s="73">
        <f t="shared" si="83"/>
        <v>13.2</v>
      </c>
      <c r="I528" s="73">
        <f t="shared" si="81"/>
        <v>10.754999999999999</v>
      </c>
      <c r="J528" s="73">
        <f t="shared" si="84"/>
        <v>16.13</v>
      </c>
      <c r="K528" s="12">
        <v>21.51</v>
      </c>
      <c r="L528" s="14">
        <v>0</v>
      </c>
      <c r="N528" s="12">
        <v>11.74</v>
      </c>
      <c r="O528" s="86">
        <v>14.34</v>
      </c>
      <c r="P528" s="78"/>
      <c r="Q528" s="2">
        <f t="shared" si="82"/>
        <v>14.340000000000002</v>
      </c>
    </row>
    <row r="529" spans="1:17" ht="33" customHeight="1" x14ac:dyDescent="0.2">
      <c r="A529" s="36">
        <v>43743</v>
      </c>
      <c r="B529" s="15">
        <v>91863</v>
      </c>
      <c r="C529" s="9" t="s">
        <v>56</v>
      </c>
      <c r="D529" s="46" t="s">
        <v>945</v>
      </c>
      <c r="E529" s="11" t="s">
        <v>99</v>
      </c>
      <c r="F529" s="29">
        <v>1098.7</v>
      </c>
      <c r="G529" s="73">
        <f t="shared" si="80"/>
        <v>10.32</v>
      </c>
      <c r="H529" s="73">
        <f t="shared" si="83"/>
        <v>11338.58</v>
      </c>
      <c r="I529" s="73">
        <f t="shared" si="81"/>
        <v>12.607499999999998</v>
      </c>
      <c r="J529" s="73">
        <f t="shared" si="84"/>
        <v>13851.86</v>
      </c>
      <c r="K529" s="13">
        <v>18469.14</v>
      </c>
      <c r="L529" s="14">
        <v>1.5E-3</v>
      </c>
      <c r="N529" s="12">
        <v>13.76</v>
      </c>
      <c r="O529" s="86">
        <v>16.809999999999999</v>
      </c>
      <c r="P529" s="78"/>
      <c r="Q529" s="2">
        <f t="shared" si="82"/>
        <v>16.809993628834075</v>
      </c>
    </row>
    <row r="530" spans="1:17" ht="33" customHeight="1" x14ac:dyDescent="0.2">
      <c r="A530" s="36">
        <v>44109</v>
      </c>
      <c r="B530" s="15">
        <v>91864</v>
      </c>
      <c r="C530" s="9" t="s">
        <v>56</v>
      </c>
      <c r="D530" s="47" t="s">
        <v>946</v>
      </c>
      <c r="E530" s="11" t="s">
        <v>99</v>
      </c>
      <c r="F530" s="29">
        <v>366.7</v>
      </c>
      <c r="G530" s="73">
        <f t="shared" si="80"/>
        <v>13.5075</v>
      </c>
      <c r="H530" s="73">
        <f t="shared" si="83"/>
        <v>4953.2</v>
      </c>
      <c r="I530" s="73">
        <f t="shared" si="81"/>
        <v>16.5075</v>
      </c>
      <c r="J530" s="73">
        <f t="shared" si="84"/>
        <v>6053.3</v>
      </c>
      <c r="K530" s="13">
        <v>8071.06</v>
      </c>
      <c r="L530" s="14">
        <v>6.9999999999999999E-4</v>
      </c>
      <c r="N530" s="12">
        <v>18.010000000000002</v>
      </c>
      <c r="O530" s="86">
        <v>22.01</v>
      </c>
      <c r="P530" s="78"/>
      <c r="Q530" s="2">
        <f t="shared" si="82"/>
        <v>22.00998091082629</v>
      </c>
    </row>
    <row r="531" spans="1:17" ht="33" customHeight="1" x14ac:dyDescent="0.2">
      <c r="A531" s="36">
        <v>44474</v>
      </c>
      <c r="B531" s="15">
        <v>91865</v>
      </c>
      <c r="C531" s="9" t="s">
        <v>56</v>
      </c>
      <c r="D531" s="47" t="s">
        <v>947</v>
      </c>
      <c r="E531" s="11" t="s">
        <v>99</v>
      </c>
      <c r="F531" s="29">
        <v>26.7</v>
      </c>
      <c r="G531" s="73">
        <f t="shared" si="80"/>
        <v>16.71</v>
      </c>
      <c r="H531" s="73">
        <f t="shared" si="83"/>
        <v>446.15</v>
      </c>
      <c r="I531" s="73">
        <f t="shared" si="81"/>
        <v>20.422499999999999</v>
      </c>
      <c r="J531" s="73">
        <f t="shared" si="84"/>
        <v>545.28</v>
      </c>
      <c r="K531" s="12">
        <v>727.04</v>
      </c>
      <c r="L531" s="14">
        <v>1E-4</v>
      </c>
      <c r="N531" s="12">
        <v>22.28</v>
      </c>
      <c r="O531" s="86">
        <v>27.23</v>
      </c>
      <c r="P531" s="78"/>
      <c r="Q531" s="2">
        <f t="shared" si="82"/>
        <v>27.229962546816481</v>
      </c>
    </row>
    <row r="532" spans="1:17" ht="33" customHeight="1" x14ac:dyDescent="0.2">
      <c r="A532" s="36">
        <v>44839</v>
      </c>
      <c r="B532" s="15">
        <v>93008</v>
      </c>
      <c r="C532" s="9" t="s">
        <v>56</v>
      </c>
      <c r="D532" s="47" t="s">
        <v>948</v>
      </c>
      <c r="E532" s="11" t="s">
        <v>99</v>
      </c>
      <c r="F532" s="29">
        <v>15.1</v>
      </c>
      <c r="G532" s="73">
        <f t="shared" si="80"/>
        <v>15.375</v>
      </c>
      <c r="H532" s="73">
        <f t="shared" si="83"/>
        <v>232.16</v>
      </c>
      <c r="I532" s="73">
        <f t="shared" si="81"/>
        <v>18.787500000000001</v>
      </c>
      <c r="J532" s="73">
        <f t="shared" si="84"/>
        <v>283.69</v>
      </c>
      <c r="K532" s="12">
        <v>378.25</v>
      </c>
      <c r="L532" s="14">
        <v>0</v>
      </c>
      <c r="N532" s="12">
        <v>20.5</v>
      </c>
      <c r="O532" s="86">
        <v>25.05</v>
      </c>
      <c r="P532" s="78"/>
      <c r="Q532" s="2">
        <f t="shared" si="82"/>
        <v>25.049668874172188</v>
      </c>
    </row>
    <row r="533" spans="1:17" ht="33" customHeight="1" x14ac:dyDescent="0.2">
      <c r="A533" s="36">
        <v>45204</v>
      </c>
      <c r="B533" s="15">
        <v>93009</v>
      </c>
      <c r="C533" s="9" t="s">
        <v>56</v>
      </c>
      <c r="D533" s="46" t="s">
        <v>949</v>
      </c>
      <c r="E533" s="11" t="s">
        <v>99</v>
      </c>
      <c r="F533" s="29">
        <v>3.6</v>
      </c>
      <c r="G533" s="73">
        <f t="shared" si="80"/>
        <v>22.11</v>
      </c>
      <c r="H533" s="73">
        <f t="shared" si="83"/>
        <v>79.59</v>
      </c>
      <c r="I533" s="73">
        <f t="shared" si="81"/>
        <v>27.022500000000001</v>
      </c>
      <c r="J533" s="73">
        <f t="shared" si="84"/>
        <v>97.28</v>
      </c>
      <c r="K533" s="12">
        <v>129.69999999999999</v>
      </c>
      <c r="L533" s="14">
        <v>0</v>
      </c>
      <c r="N533" s="12">
        <v>29.48</v>
      </c>
      <c r="O533" s="86">
        <v>36.03</v>
      </c>
      <c r="P533" s="78"/>
      <c r="Q533" s="2">
        <f t="shared" si="82"/>
        <v>36.027777777777771</v>
      </c>
    </row>
    <row r="534" spans="1:17" ht="33" customHeight="1" x14ac:dyDescent="0.2">
      <c r="A534" s="36">
        <v>45570</v>
      </c>
      <c r="B534" s="15">
        <v>93010</v>
      </c>
      <c r="C534" s="9" t="s">
        <v>56</v>
      </c>
      <c r="D534" s="47" t="s">
        <v>950</v>
      </c>
      <c r="E534" s="11" t="s">
        <v>99</v>
      </c>
      <c r="F534" s="29">
        <v>3.3</v>
      </c>
      <c r="G534" s="73">
        <f t="shared" si="80"/>
        <v>30.375</v>
      </c>
      <c r="H534" s="73">
        <f t="shared" si="83"/>
        <v>100.23</v>
      </c>
      <c r="I534" s="73">
        <f t="shared" si="81"/>
        <v>37.125</v>
      </c>
      <c r="J534" s="73">
        <f t="shared" si="84"/>
        <v>122.51</v>
      </c>
      <c r="K534" s="12">
        <v>163.35</v>
      </c>
      <c r="L534" s="14">
        <v>0</v>
      </c>
      <c r="N534" s="12">
        <v>40.5</v>
      </c>
      <c r="O534" s="86">
        <v>49.5</v>
      </c>
      <c r="P534" s="78"/>
      <c r="Q534" s="2">
        <f t="shared" si="82"/>
        <v>49.5</v>
      </c>
    </row>
    <row r="535" spans="1:17" ht="33" customHeight="1" x14ac:dyDescent="0.2">
      <c r="A535" s="36">
        <v>45935</v>
      </c>
      <c r="B535" s="15">
        <v>93011</v>
      </c>
      <c r="C535" s="9" t="s">
        <v>56</v>
      </c>
      <c r="D535" s="47" t="s">
        <v>951</v>
      </c>
      <c r="E535" s="11" t="s">
        <v>99</v>
      </c>
      <c r="F535" s="29">
        <v>12.9</v>
      </c>
      <c r="G535" s="73">
        <f t="shared" si="80"/>
        <v>36.839999999999996</v>
      </c>
      <c r="H535" s="73">
        <f t="shared" si="83"/>
        <v>475.23</v>
      </c>
      <c r="I535" s="73">
        <f t="shared" si="81"/>
        <v>45.022500000000001</v>
      </c>
      <c r="J535" s="73">
        <f t="shared" si="84"/>
        <v>580.79</v>
      </c>
      <c r="K535" s="12">
        <v>774.38</v>
      </c>
      <c r="L535" s="14">
        <v>1E-4</v>
      </c>
      <c r="N535" s="12">
        <v>49.12</v>
      </c>
      <c r="O535" s="86">
        <v>60.03</v>
      </c>
      <c r="P535" s="78"/>
      <c r="Q535" s="2">
        <f t="shared" si="82"/>
        <v>60.029457364341084</v>
      </c>
    </row>
    <row r="536" spans="1:17" ht="33" customHeight="1" x14ac:dyDescent="0.2">
      <c r="A536" s="36">
        <v>46300</v>
      </c>
      <c r="B536" s="32">
        <v>59030</v>
      </c>
      <c r="C536" s="9" t="s">
        <v>335</v>
      </c>
      <c r="D536" s="47" t="s">
        <v>952</v>
      </c>
      <c r="E536" s="11" t="s">
        <v>99</v>
      </c>
      <c r="F536" s="16">
        <v>1</v>
      </c>
      <c r="G536" s="73">
        <f t="shared" si="80"/>
        <v>219.375</v>
      </c>
      <c r="H536" s="73">
        <f t="shared" si="83"/>
        <v>219.37</v>
      </c>
      <c r="I536" s="73">
        <f t="shared" si="81"/>
        <v>268.14</v>
      </c>
      <c r="J536" s="73">
        <f t="shared" si="84"/>
        <v>268.14</v>
      </c>
      <c r="K536" s="12">
        <v>357.52</v>
      </c>
      <c r="L536" s="14">
        <v>0</v>
      </c>
      <c r="N536" s="12">
        <v>292.5</v>
      </c>
      <c r="O536" s="86">
        <v>357.52</v>
      </c>
      <c r="P536" s="78"/>
      <c r="Q536" s="2">
        <f t="shared" si="82"/>
        <v>357.52</v>
      </c>
    </row>
    <row r="537" spans="1:17" ht="33" customHeight="1" x14ac:dyDescent="0.2">
      <c r="A537" s="36">
        <v>46665</v>
      </c>
      <c r="B537" s="10" t="s">
        <v>953</v>
      </c>
      <c r="C537" s="9" t="s">
        <v>24</v>
      </c>
      <c r="D537" s="47" t="s">
        <v>954</v>
      </c>
      <c r="E537" s="11" t="s">
        <v>99</v>
      </c>
      <c r="F537" s="29">
        <v>372.5</v>
      </c>
      <c r="G537" s="73">
        <f t="shared" si="80"/>
        <v>83.699999999999989</v>
      </c>
      <c r="H537" s="73">
        <f t="shared" si="83"/>
        <v>31178.25</v>
      </c>
      <c r="I537" s="73">
        <f t="shared" si="81"/>
        <v>102.30000000000001</v>
      </c>
      <c r="J537" s="73">
        <f t="shared" si="84"/>
        <v>38106.75</v>
      </c>
      <c r="K537" s="13">
        <v>50809</v>
      </c>
      <c r="L537" s="14">
        <v>4.3E-3</v>
      </c>
      <c r="N537" s="12">
        <v>111.6</v>
      </c>
      <c r="O537" s="86">
        <v>136.4</v>
      </c>
      <c r="P537" s="78"/>
      <c r="Q537" s="2">
        <f t="shared" si="82"/>
        <v>136.4</v>
      </c>
    </row>
    <row r="538" spans="1:17" ht="33" customHeight="1" x14ac:dyDescent="0.2">
      <c r="A538" s="36">
        <v>47031</v>
      </c>
      <c r="B538" s="10" t="s">
        <v>955</v>
      </c>
      <c r="C538" s="9" t="s">
        <v>24</v>
      </c>
      <c r="D538" s="47" t="s">
        <v>956</v>
      </c>
      <c r="E538" s="11" t="s">
        <v>99</v>
      </c>
      <c r="F538" s="29">
        <v>99.5</v>
      </c>
      <c r="G538" s="73">
        <f t="shared" si="80"/>
        <v>169.5</v>
      </c>
      <c r="H538" s="73">
        <f t="shared" si="83"/>
        <v>16865.25</v>
      </c>
      <c r="I538" s="73">
        <f t="shared" si="81"/>
        <v>207.17250000000001</v>
      </c>
      <c r="J538" s="73">
        <f t="shared" si="84"/>
        <v>20613.66</v>
      </c>
      <c r="K538" s="13">
        <v>27484.880000000001</v>
      </c>
      <c r="L538" s="14">
        <v>2.3E-3</v>
      </c>
      <c r="N538" s="12">
        <v>226</v>
      </c>
      <c r="O538" s="86">
        <v>276.23</v>
      </c>
      <c r="P538" s="78"/>
      <c r="Q538" s="2">
        <f t="shared" si="82"/>
        <v>276.22994974874371</v>
      </c>
    </row>
    <row r="539" spans="1:17" ht="33" customHeight="1" x14ac:dyDescent="0.2">
      <c r="A539" s="36">
        <v>47396</v>
      </c>
      <c r="B539" s="32">
        <v>58174</v>
      </c>
      <c r="C539" s="9" t="s">
        <v>335</v>
      </c>
      <c r="D539" s="47" t="s">
        <v>957</v>
      </c>
      <c r="E539" s="11" t="s">
        <v>84</v>
      </c>
      <c r="F539" s="16">
        <v>1</v>
      </c>
      <c r="G539" s="73">
        <f t="shared" si="80"/>
        <v>35.594999999999999</v>
      </c>
      <c r="H539" s="73">
        <f t="shared" si="83"/>
        <v>35.590000000000003</v>
      </c>
      <c r="I539" s="73">
        <f t="shared" si="81"/>
        <v>43.5075</v>
      </c>
      <c r="J539" s="73">
        <f t="shared" si="84"/>
        <v>43.5</v>
      </c>
      <c r="K539" s="12">
        <v>58.01</v>
      </c>
      <c r="L539" s="14">
        <v>0</v>
      </c>
      <c r="N539" s="12">
        <v>47.46</v>
      </c>
      <c r="O539" s="86">
        <v>58.01</v>
      </c>
      <c r="P539" s="78"/>
      <c r="Q539" s="2">
        <f t="shared" si="82"/>
        <v>58.01</v>
      </c>
    </row>
    <row r="540" spans="1:17" ht="33" customHeight="1" x14ac:dyDescent="0.2">
      <c r="A540" s="36">
        <v>47761</v>
      </c>
      <c r="B540" s="32">
        <v>59300</v>
      </c>
      <c r="C540" s="9" t="s">
        <v>335</v>
      </c>
      <c r="D540" s="47" t="s">
        <v>958</v>
      </c>
      <c r="E540" s="11" t="s">
        <v>84</v>
      </c>
      <c r="F540" s="16">
        <v>1</v>
      </c>
      <c r="G540" s="73">
        <f t="shared" si="80"/>
        <v>101.89500000000001</v>
      </c>
      <c r="H540" s="73">
        <f t="shared" si="83"/>
        <v>101.89</v>
      </c>
      <c r="I540" s="73">
        <f t="shared" si="81"/>
        <v>124.545</v>
      </c>
      <c r="J540" s="73">
        <f t="shared" si="84"/>
        <v>124.54</v>
      </c>
      <c r="K540" s="12">
        <v>166.06</v>
      </c>
      <c r="L540" s="14">
        <v>0</v>
      </c>
      <c r="N540" s="12">
        <v>135.86000000000001</v>
      </c>
      <c r="O540" s="86">
        <v>166.06</v>
      </c>
      <c r="P540" s="78"/>
      <c r="Q540" s="2">
        <f t="shared" si="82"/>
        <v>166.06</v>
      </c>
    </row>
    <row r="541" spans="1:17" ht="33" customHeight="1" x14ac:dyDescent="0.2">
      <c r="A541" s="36">
        <v>48126</v>
      </c>
      <c r="B541" s="15">
        <v>91876</v>
      </c>
      <c r="C541" s="9" t="s">
        <v>56</v>
      </c>
      <c r="D541" s="47" t="s">
        <v>959</v>
      </c>
      <c r="E541" s="11" t="s">
        <v>84</v>
      </c>
      <c r="F541" s="16">
        <v>1</v>
      </c>
      <c r="G541" s="73">
        <f t="shared" si="80"/>
        <v>10.5</v>
      </c>
      <c r="H541" s="73">
        <f t="shared" si="83"/>
        <v>10.5</v>
      </c>
      <c r="I541" s="73">
        <f t="shared" si="81"/>
        <v>12.8325</v>
      </c>
      <c r="J541" s="73">
        <f t="shared" si="84"/>
        <v>12.83</v>
      </c>
      <c r="K541" s="12">
        <v>17.11</v>
      </c>
      <c r="L541" s="14">
        <v>0</v>
      </c>
      <c r="N541" s="12">
        <v>14</v>
      </c>
      <c r="O541" s="86">
        <v>17.11</v>
      </c>
      <c r="P541" s="78"/>
      <c r="Q541" s="2">
        <f t="shared" si="82"/>
        <v>17.11</v>
      </c>
    </row>
    <row r="542" spans="1:17" ht="33" customHeight="1" x14ac:dyDescent="0.2">
      <c r="A542" s="36">
        <v>48492</v>
      </c>
      <c r="B542" s="15">
        <v>93013</v>
      </c>
      <c r="C542" s="9" t="s">
        <v>56</v>
      </c>
      <c r="D542" s="47" t="s">
        <v>960</v>
      </c>
      <c r="E542" s="11" t="s">
        <v>84</v>
      </c>
      <c r="F542" s="16">
        <v>5</v>
      </c>
      <c r="G542" s="73">
        <f t="shared" si="80"/>
        <v>15.892500000000002</v>
      </c>
      <c r="H542" s="73">
        <f t="shared" si="83"/>
        <v>79.459999999999994</v>
      </c>
      <c r="I542" s="73">
        <f t="shared" si="81"/>
        <v>19.424999999999997</v>
      </c>
      <c r="J542" s="73">
        <f t="shared" si="84"/>
        <v>97.12</v>
      </c>
      <c r="K542" s="12">
        <v>129.5</v>
      </c>
      <c r="L542" s="14">
        <v>0</v>
      </c>
      <c r="N542" s="12">
        <v>21.19</v>
      </c>
      <c r="O542" s="86">
        <v>25.9</v>
      </c>
      <c r="P542" s="78"/>
      <c r="Q542" s="2">
        <f t="shared" si="82"/>
        <v>25.9</v>
      </c>
    </row>
    <row r="543" spans="1:17" ht="33" customHeight="1" x14ac:dyDescent="0.2">
      <c r="A543" s="36">
        <v>48857</v>
      </c>
      <c r="B543" s="15">
        <v>91874</v>
      </c>
      <c r="C543" s="9" t="s">
        <v>56</v>
      </c>
      <c r="D543" s="46" t="s">
        <v>961</v>
      </c>
      <c r="E543" s="11" t="s">
        <v>84</v>
      </c>
      <c r="F543" s="16">
        <v>4</v>
      </c>
      <c r="G543" s="73">
        <f t="shared" si="80"/>
        <v>7.5075000000000003</v>
      </c>
      <c r="H543" s="73">
        <f t="shared" si="83"/>
        <v>30.03</v>
      </c>
      <c r="I543" s="73">
        <f t="shared" si="81"/>
        <v>9.1724999999999994</v>
      </c>
      <c r="J543" s="73">
        <f t="shared" si="84"/>
        <v>36.69</v>
      </c>
      <c r="K543" s="12">
        <v>48.92</v>
      </c>
      <c r="L543" s="14">
        <v>0</v>
      </c>
      <c r="N543" s="12">
        <v>10.01</v>
      </c>
      <c r="O543" s="86">
        <v>12.23</v>
      </c>
      <c r="P543" s="78"/>
      <c r="Q543" s="2">
        <f t="shared" si="82"/>
        <v>12.23</v>
      </c>
    </row>
    <row r="544" spans="1:17" ht="33" customHeight="1" x14ac:dyDescent="0.2">
      <c r="A544" s="36">
        <v>49222</v>
      </c>
      <c r="B544" s="32">
        <v>59290</v>
      </c>
      <c r="C544" s="9" t="s">
        <v>335</v>
      </c>
      <c r="D544" s="47" t="s">
        <v>962</v>
      </c>
      <c r="E544" s="11" t="s">
        <v>84</v>
      </c>
      <c r="F544" s="16">
        <v>2</v>
      </c>
      <c r="G544" s="73">
        <f t="shared" si="80"/>
        <v>38.535000000000004</v>
      </c>
      <c r="H544" s="73">
        <f t="shared" si="83"/>
        <v>77.069999999999993</v>
      </c>
      <c r="I544" s="73">
        <f t="shared" si="81"/>
        <v>47.099999999999994</v>
      </c>
      <c r="J544" s="73">
        <f t="shared" si="84"/>
        <v>94.2</v>
      </c>
      <c r="K544" s="12">
        <v>125.6</v>
      </c>
      <c r="L544" s="14">
        <v>0</v>
      </c>
      <c r="N544" s="12">
        <v>51.38</v>
      </c>
      <c r="O544" s="86">
        <v>62.8</v>
      </c>
      <c r="P544" s="78"/>
      <c r="Q544" s="2">
        <f t="shared" si="82"/>
        <v>62.8</v>
      </c>
    </row>
    <row r="545" spans="1:17" ht="33" customHeight="1" x14ac:dyDescent="0.2">
      <c r="A545" s="36">
        <v>49587</v>
      </c>
      <c r="B545" s="15">
        <v>91875</v>
      </c>
      <c r="C545" s="9" t="s">
        <v>56</v>
      </c>
      <c r="D545" s="47" t="s">
        <v>963</v>
      </c>
      <c r="E545" s="11" t="s">
        <v>84</v>
      </c>
      <c r="F545" s="16">
        <v>592</v>
      </c>
      <c r="G545" s="73">
        <f t="shared" si="80"/>
        <v>8.7675000000000001</v>
      </c>
      <c r="H545" s="73">
        <f t="shared" si="83"/>
        <v>5190.3599999999997</v>
      </c>
      <c r="I545" s="73">
        <f t="shared" si="81"/>
        <v>10.709999999999999</v>
      </c>
      <c r="J545" s="73">
        <f t="shared" si="84"/>
        <v>6340.32</v>
      </c>
      <c r="K545" s="13">
        <v>8453.76</v>
      </c>
      <c r="L545" s="14">
        <v>6.9999999999999999E-4</v>
      </c>
      <c r="N545" s="12">
        <v>11.69</v>
      </c>
      <c r="O545" s="86">
        <v>14.28</v>
      </c>
      <c r="P545" s="78"/>
      <c r="Q545" s="2">
        <f t="shared" si="82"/>
        <v>14.280000000000001</v>
      </c>
    </row>
    <row r="546" spans="1:17" ht="33" customHeight="1" x14ac:dyDescent="0.2">
      <c r="A546" s="5" t="s">
        <v>964</v>
      </c>
      <c r="B546" s="4"/>
      <c r="C546" s="4"/>
      <c r="D546" s="45" t="s">
        <v>965</v>
      </c>
      <c r="E546" s="4"/>
      <c r="F546" s="6">
        <v>1</v>
      </c>
      <c r="G546" s="71"/>
      <c r="H546" s="73">
        <f t="shared" si="83"/>
        <v>0</v>
      </c>
      <c r="I546" s="71"/>
      <c r="J546" s="76">
        <f>SUM(J547:J560)</f>
        <v>524810.36</v>
      </c>
      <c r="K546" s="7">
        <v>699747.17</v>
      </c>
      <c r="L546" s="8">
        <v>5.8700000000000002E-2</v>
      </c>
      <c r="N546" s="4"/>
      <c r="O546" s="88">
        <v>699747.17</v>
      </c>
      <c r="P546" s="78"/>
      <c r="Q546" s="2">
        <f t="shared" si="82"/>
        <v>699747.17</v>
      </c>
    </row>
    <row r="547" spans="1:17" ht="33" customHeight="1" x14ac:dyDescent="0.2">
      <c r="A547" s="35">
        <v>40330</v>
      </c>
      <c r="B547" s="15">
        <v>91928</v>
      </c>
      <c r="C547" s="9" t="s">
        <v>56</v>
      </c>
      <c r="D547" s="47" t="s">
        <v>966</v>
      </c>
      <c r="E547" s="11" t="s">
        <v>99</v>
      </c>
      <c r="F547" s="29">
        <v>9877.1</v>
      </c>
      <c r="G547" s="73">
        <f t="shared" ref="G547:G560" si="85">N547*$S$6</f>
        <v>5.76</v>
      </c>
      <c r="H547" s="73">
        <f t="shared" si="83"/>
        <v>56892.09</v>
      </c>
      <c r="I547" s="73">
        <f t="shared" ref="I547:I560" si="86">O547*$S$6</f>
        <v>7.0350000000000001</v>
      </c>
      <c r="J547" s="73">
        <f t="shared" si="84"/>
        <v>69485.39</v>
      </c>
      <c r="K547" s="13">
        <v>92647.19</v>
      </c>
      <c r="L547" s="14">
        <v>7.7999999999999996E-3</v>
      </c>
      <c r="N547" s="12">
        <v>7.68</v>
      </c>
      <c r="O547" s="86">
        <v>9.3800000000000008</v>
      </c>
      <c r="P547" s="78"/>
      <c r="Q547" s="2">
        <f t="shared" si="82"/>
        <v>9.3799991900456607</v>
      </c>
    </row>
    <row r="548" spans="1:17" ht="33" customHeight="1" x14ac:dyDescent="0.2">
      <c r="A548" s="35">
        <v>40331</v>
      </c>
      <c r="B548" s="15">
        <v>91929</v>
      </c>
      <c r="C548" s="9" t="s">
        <v>56</v>
      </c>
      <c r="D548" s="47" t="s">
        <v>967</v>
      </c>
      <c r="E548" s="11" t="s">
        <v>99</v>
      </c>
      <c r="F548" s="29">
        <v>266.3</v>
      </c>
      <c r="G548" s="73">
        <f t="shared" si="85"/>
        <v>6.1050000000000004</v>
      </c>
      <c r="H548" s="73">
        <f t="shared" si="83"/>
        <v>1625.76</v>
      </c>
      <c r="I548" s="73">
        <f t="shared" si="86"/>
        <v>7.4550000000000001</v>
      </c>
      <c r="J548" s="73">
        <f t="shared" si="84"/>
        <v>1985.26</v>
      </c>
      <c r="K548" s="13">
        <v>2647.02</v>
      </c>
      <c r="L548" s="14">
        <v>2.0000000000000001E-4</v>
      </c>
      <c r="N548" s="12">
        <v>8.14</v>
      </c>
      <c r="O548" s="86">
        <v>9.94</v>
      </c>
      <c r="P548" s="78"/>
      <c r="Q548" s="2">
        <f t="shared" si="82"/>
        <v>9.9399924896733012</v>
      </c>
    </row>
    <row r="549" spans="1:17" ht="33" customHeight="1" x14ac:dyDescent="0.2">
      <c r="A549" s="35">
        <v>40332</v>
      </c>
      <c r="B549" s="15">
        <v>91930</v>
      </c>
      <c r="C549" s="9" t="s">
        <v>56</v>
      </c>
      <c r="D549" s="47" t="s">
        <v>968</v>
      </c>
      <c r="E549" s="11" t="s">
        <v>99</v>
      </c>
      <c r="F549" s="29">
        <v>515.20000000000005</v>
      </c>
      <c r="G549" s="73">
        <f t="shared" si="85"/>
        <v>7.98</v>
      </c>
      <c r="H549" s="73">
        <f t="shared" si="83"/>
        <v>4111.29</v>
      </c>
      <c r="I549" s="73">
        <f t="shared" si="86"/>
        <v>9.75</v>
      </c>
      <c r="J549" s="73">
        <f t="shared" si="84"/>
        <v>5023.2</v>
      </c>
      <c r="K549" s="13">
        <v>6697.6</v>
      </c>
      <c r="L549" s="14">
        <v>5.9999999999999995E-4</v>
      </c>
      <c r="N549" s="12">
        <v>10.64</v>
      </c>
      <c r="O549" s="86">
        <v>13</v>
      </c>
      <c r="P549" s="78"/>
      <c r="Q549" s="2">
        <f t="shared" si="82"/>
        <v>13</v>
      </c>
    </row>
    <row r="550" spans="1:17" ht="33" customHeight="1" x14ac:dyDescent="0.2">
      <c r="A550" s="35">
        <v>40333</v>
      </c>
      <c r="B550" s="15">
        <v>91932</v>
      </c>
      <c r="C550" s="9" t="s">
        <v>56</v>
      </c>
      <c r="D550" s="46" t="s">
        <v>969</v>
      </c>
      <c r="E550" s="11" t="s">
        <v>99</v>
      </c>
      <c r="F550" s="29">
        <v>2322.1999999999998</v>
      </c>
      <c r="G550" s="73">
        <f t="shared" si="85"/>
        <v>13.995000000000001</v>
      </c>
      <c r="H550" s="73">
        <f t="shared" si="83"/>
        <v>32499.18</v>
      </c>
      <c r="I550" s="73">
        <f t="shared" si="86"/>
        <v>17.100000000000001</v>
      </c>
      <c r="J550" s="73">
        <f t="shared" si="84"/>
        <v>39709.620000000003</v>
      </c>
      <c r="K550" s="13">
        <v>52946.16</v>
      </c>
      <c r="L550" s="14">
        <v>4.4000000000000003E-3</v>
      </c>
      <c r="N550" s="12">
        <v>18.66</v>
      </c>
      <c r="O550" s="86">
        <v>22.8</v>
      </c>
      <c r="P550" s="78"/>
      <c r="Q550" s="2">
        <f t="shared" si="82"/>
        <v>22.800000000000004</v>
      </c>
    </row>
    <row r="551" spans="1:17" ht="33" customHeight="1" x14ac:dyDescent="0.2">
      <c r="A551" s="35">
        <v>40334</v>
      </c>
      <c r="B551" s="15">
        <v>91933</v>
      </c>
      <c r="C551" s="9" t="s">
        <v>56</v>
      </c>
      <c r="D551" s="46" t="s">
        <v>970</v>
      </c>
      <c r="E551" s="11" t="s">
        <v>99</v>
      </c>
      <c r="F551" s="29">
        <v>604.4</v>
      </c>
      <c r="G551" s="73">
        <f t="shared" si="85"/>
        <v>13.544999999999998</v>
      </c>
      <c r="H551" s="73">
        <f t="shared" si="83"/>
        <v>8186.59</v>
      </c>
      <c r="I551" s="73">
        <f t="shared" si="86"/>
        <v>16.552500000000002</v>
      </c>
      <c r="J551" s="73">
        <f t="shared" si="84"/>
        <v>10004.33</v>
      </c>
      <c r="K551" s="13">
        <v>13339.1</v>
      </c>
      <c r="L551" s="14">
        <v>1.1000000000000001E-3</v>
      </c>
      <c r="N551" s="12">
        <v>18.059999999999999</v>
      </c>
      <c r="O551" s="86">
        <v>22.07</v>
      </c>
      <c r="P551" s="78"/>
      <c r="Q551" s="2">
        <f t="shared" si="82"/>
        <v>22.069986763732629</v>
      </c>
    </row>
    <row r="552" spans="1:17" ht="33" customHeight="1" x14ac:dyDescent="0.2">
      <c r="A552" s="35">
        <v>40335</v>
      </c>
      <c r="B552" s="15">
        <v>91934</v>
      </c>
      <c r="C552" s="9" t="s">
        <v>56</v>
      </c>
      <c r="D552" s="46" t="s">
        <v>971</v>
      </c>
      <c r="E552" s="11" t="s">
        <v>99</v>
      </c>
      <c r="F552" s="16">
        <v>564</v>
      </c>
      <c r="G552" s="73">
        <f t="shared" si="85"/>
        <v>20.287500000000001</v>
      </c>
      <c r="H552" s="73">
        <f t="shared" si="83"/>
        <v>11442.15</v>
      </c>
      <c r="I552" s="73">
        <f t="shared" si="86"/>
        <v>24.795000000000002</v>
      </c>
      <c r="J552" s="73">
        <f t="shared" si="84"/>
        <v>13984.38</v>
      </c>
      <c r="K552" s="13">
        <v>18645.84</v>
      </c>
      <c r="L552" s="14">
        <v>1.6000000000000001E-3</v>
      </c>
      <c r="N552" s="12">
        <v>27.05</v>
      </c>
      <c r="O552" s="86">
        <v>33.06</v>
      </c>
      <c r="P552" s="78"/>
      <c r="Q552" s="2">
        <f t="shared" si="82"/>
        <v>33.06</v>
      </c>
    </row>
    <row r="553" spans="1:17" ht="33" customHeight="1" x14ac:dyDescent="0.2">
      <c r="A553" s="35">
        <v>40336</v>
      </c>
      <c r="B553" s="15">
        <v>91935</v>
      </c>
      <c r="C553" s="9" t="s">
        <v>56</v>
      </c>
      <c r="D553" s="46" t="s">
        <v>972</v>
      </c>
      <c r="E553" s="11" t="s">
        <v>99</v>
      </c>
      <c r="F553" s="29">
        <v>222.5</v>
      </c>
      <c r="G553" s="73">
        <f t="shared" si="85"/>
        <v>21.15</v>
      </c>
      <c r="H553" s="73">
        <f t="shared" si="83"/>
        <v>4705.87</v>
      </c>
      <c r="I553" s="73">
        <f t="shared" si="86"/>
        <v>25.844999999999999</v>
      </c>
      <c r="J553" s="73">
        <f t="shared" si="84"/>
        <v>5750.51</v>
      </c>
      <c r="K553" s="13">
        <v>7667.35</v>
      </c>
      <c r="L553" s="14">
        <v>5.9999999999999995E-4</v>
      </c>
      <c r="N553" s="12">
        <v>28.2</v>
      </c>
      <c r="O553" s="86">
        <v>34.46</v>
      </c>
      <c r="P553" s="78"/>
      <c r="Q553" s="2">
        <f t="shared" si="82"/>
        <v>34.46</v>
      </c>
    </row>
    <row r="554" spans="1:17" ht="33" customHeight="1" x14ac:dyDescent="0.2">
      <c r="A554" s="35">
        <v>40337</v>
      </c>
      <c r="B554" s="15">
        <v>101563</v>
      </c>
      <c r="C554" s="9" t="s">
        <v>56</v>
      </c>
      <c r="D554" s="47" t="s">
        <v>973</v>
      </c>
      <c r="E554" s="11" t="s">
        <v>99</v>
      </c>
      <c r="F554" s="29">
        <v>16.2</v>
      </c>
      <c r="G554" s="73">
        <f t="shared" si="85"/>
        <v>27.105</v>
      </c>
      <c r="H554" s="73">
        <f t="shared" si="83"/>
        <v>439.1</v>
      </c>
      <c r="I554" s="73">
        <f t="shared" si="86"/>
        <v>33.127499999999998</v>
      </c>
      <c r="J554" s="73">
        <f t="shared" si="84"/>
        <v>536.66</v>
      </c>
      <c r="K554" s="12">
        <v>715.55</v>
      </c>
      <c r="L554" s="14">
        <v>1E-4</v>
      </c>
      <c r="N554" s="12">
        <v>36.14</v>
      </c>
      <c r="O554" s="86">
        <v>44.17</v>
      </c>
      <c r="P554" s="78"/>
      <c r="Q554" s="2">
        <f t="shared" si="82"/>
        <v>44.169753086419753</v>
      </c>
    </row>
    <row r="555" spans="1:17" ht="33" customHeight="1" x14ac:dyDescent="0.2">
      <c r="A555" s="35">
        <v>40338</v>
      </c>
      <c r="B555" s="15">
        <v>101565</v>
      </c>
      <c r="C555" s="9" t="s">
        <v>56</v>
      </c>
      <c r="D555" s="47" t="s">
        <v>974</v>
      </c>
      <c r="E555" s="11" t="s">
        <v>99</v>
      </c>
      <c r="F555" s="16">
        <v>155</v>
      </c>
      <c r="G555" s="73">
        <f t="shared" si="85"/>
        <v>55.987500000000004</v>
      </c>
      <c r="H555" s="73">
        <f t="shared" si="83"/>
        <v>8678.06</v>
      </c>
      <c r="I555" s="73">
        <f t="shared" si="86"/>
        <v>68.429999999999993</v>
      </c>
      <c r="J555" s="73">
        <f t="shared" si="84"/>
        <v>10606.65</v>
      </c>
      <c r="K555" s="13">
        <v>14142.2</v>
      </c>
      <c r="L555" s="14">
        <v>1.1999999999999999E-3</v>
      </c>
      <c r="N555" s="12">
        <v>74.650000000000006</v>
      </c>
      <c r="O555" s="86">
        <v>91.24</v>
      </c>
      <c r="P555" s="78"/>
      <c r="Q555" s="2">
        <f t="shared" si="82"/>
        <v>91.240000000000009</v>
      </c>
    </row>
    <row r="556" spans="1:17" ht="33" customHeight="1" x14ac:dyDescent="0.2">
      <c r="A556" s="36">
        <v>40457</v>
      </c>
      <c r="B556" s="15">
        <v>101567</v>
      </c>
      <c r="C556" s="9" t="s">
        <v>56</v>
      </c>
      <c r="D556" s="47" t="s">
        <v>975</v>
      </c>
      <c r="E556" s="11" t="s">
        <v>99</v>
      </c>
      <c r="F556" s="29">
        <v>21.7</v>
      </c>
      <c r="G556" s="73">
        <f t="shared" si="85"/>
        <v>72.667500000000004</v>
      </c>
      <c r="H556" s="73">
        <f t="shared" si="83"/>
        <v>1576.88</v>
      </c>
      <c r="I556" s="73">
        <f t="shared" si="86"/>
        <v>88.814999999999998</v>
      </c>
      <c r="J556" s="73">
        <f t="shared" si="84"/>
        <v>1927.28</v>
      </c>
      <c r="K556" s="13">
        <v>2569.71</v>
      </c>
      <c r="L556" s="14">
        <v>2.0000000000000001E-4</v>
      </c>
      <c r="N556" s="12">
        <v>96.89</v>
      </c>
      <c r="O556" s="86">
        <v>118.42</v>
      </c>
      <c r="P556" s="78"/>
      <c r="Q556" s="2">
        <f t="shared" si="82"/>
        <v>118.41981566820277</v>
      </c>
    </row>
    <row r="557" spans="1:17" ht="33" customHeight="1" x14ac:dyDescent="0.2">
      <c r="A557" s="36">
        <v>40822</v>
      </c>
      <c r="B557" s="15">
        <v>101568</v>
      </c>
      <c r="C557" s="9" t="s">
        <v>56</v>
      </c>
      <c r="D557" s="47" t="s">
        <v>976</v>
      </c>
      <c r="E557" s="11" t="s">
        <v>99</v>
      </c>
      <c r="F557" s="29">
        <v>143.80000000000001</v>
      </c>
      <c r="G557" s="73">
        <f t="shared" si="85"/>
        <v>95.01</v>
      </c>
      <c r="H557" s="73">
        <f t="shared" si="83"/>
        <v>13662.43</v>
      </c>
      <c r="I557" s="73">
        <f t="shared" si="86"/>
        <v>116.13</v>
      </c>
      <c r="J557" s="73">
        <f t="shared" si="84"/>
        <v>16699.490000000002</v>
      </c>
      <c r="K557" s="13">
        <v>22265.99</v>
      </c>
      <c r="L557" s="14">
        <v>1.9E-3</v>
      </c>
      <c r="N557" s="12">
        <v>126.68</v>
      </c>
      <c r="O557" s="86">
        <v>154.84</v>
      </c>
      <c r="P557" s="78"/>
      <c r="Q557" s="2">
        <f t="shared" si="82"/>
        <v>154.83998609179415</v>
      </c>
    </row>
    <row r="558" spans="1:17" ht="33" customHeight="1" x14ac:dyDescent="0.2">
      <c r="A558" s="36">
        <v>41188</v>
      </c>
      <c r="B558" s="15">
        <v>92998</v>
      </c>
      <c r="C558" s="9" t="s">
        <v>56</v>
      </c>
      <c r="D558" s="47" t="s">
        <v>977</v>
      </c>
      <c r="E558" s="11" t="s">
        <v>99</v>
      </c>
      <c r="F558" s="29">
        <v>243.8</v>
      </c>
      <c r="G558" s="73">
        <f t="shared" si="85"/>
        <v>149.16749999999999</v>
      </c>
      <c r="H558" s="73">
        <f t="shared" si="83"/>
        <v>36367.03</v>
      </c>
      <c r="I558" s="73">
        <f t="shared" si="86"/>
        <v>182.32499999999999</v>
      </c>
      <c r="J558" s="73">
        <f t="shared" si="84"/>
        <v>44450.83</v>
      </c>
      <c r="K558" s="13">
        <v>59267.78</v>
      </c>
      <c r="L558" s="14">
        <v>5.0000000000000001E-3</v>
      </c>
      <c r="N558" s="12">
        <v>198.89</v>
      </c>
      <c r="O558" s="86">
        <v>243.1</v>
      </c>
      <c r="P558" s="78"/>
      <c r="Q558" s="2">
        <f t="shared" si="82"/>
        <v>243.1</v>
      </c>
    </row>
    <row r="559" spans="1:17" ht="33" customHeight="1" x14ac:dyDescent="0.2">
      <c r="A559" s="36">
        <v>41553</v>
      </c>
      <c r="B559" s="15">
        <v>93000</v>
      </c>
      <c r="C559" s="9" t="s">
        <v>56</v>
      </c>
      <c r="D559" s="47" t="s">
        <v>978</v>
      </c>
      <c r="E559" s="11" t="s">
        <v>99</v>
      </c>
      <c r="F559" s="29">
        <v>178.4</v>
      </c>
      <c r="G559" s="73">
        <f t="shared" si="85"/>
        <v>197.21249999999998</v>
      </c>
      <c r="H559" s="73">
        <f t="shared" si="83"/>
        <v>35182.71</v>
      </c>
      <c r="I559" s="73">
        <f t="shared" si="86"/>
        <v>241.04999999999998</v>
      </c>
      <c r="J559" s="73">
        <f t="shared" si="84"/>
        <v>43003.32</v>
      </c>
      <c r="K559" s="13">
        <v>57337.760000000002</v>
      </c>
      <c r="L559" s="14">
        <v>4.7999999999999996E-3</v>
      </c>
      <c r="N559" s="12">
        <v>262.95</v>
      </c>
      <c r="O559" s="86">
        <v>321.39999999999998</v>
      </c>
      <c r="P559" s="78"/>
      <c r="Q559" s="2">
        <f t="shared" si="82"/>
        <v>321.39999999999998</v>
      </c>
    </row>
    <row r="560" spans="1:17" ht="33" customHeight="1" x14ac:dyDescent="0.2">
      <c r="A560" s="36">
        <v>41918</v>
      </c>
      <c r="B560" s="9" t="s">
        <v>979</v>
      </c>
      <c r="C560" s="9" t="s">
        <v>209</v>
      </c>
      <c r="D560" s="46" t="s">
        <v>980</v>
      </c>
      <c r="E560" s="11" t="s">
        <v>99</v>
      </c>
      <c r="F560" s="29">
        <v>631.20000000000005</v>
      </c>
      <c r="G560" s="73">
        <f t="shared" si="85"/>
        <v>339.13499999999999</v>
      </c>
      <c r="H560" s="73">
        <f t="shared" si="83"/>
        <v>214062.01</v>
      </c>
      <c r="I560" s="73">
        <f t="shared" si="86"/>
        <v>414.51750000000004</v>
      </c>
      <c r="J560" s="73">
        <f t="shared" si="84"/>
        <v>261643.44</v>
      </c>
      <c r="K560" s="13">
        <v>348857.92</v>
      </c>
      <c r="L560" s="14">
        <v>2.92E-2</v>
      </c>
      <c r="N560" s="12">
        <v>452.18</v>
      </c>
      <c r="O560" s="86">
        <v>552.69000000000005</v>
      </c>
      <c r="P560" s="78"/>
      <c r="Q560" s="2">
        <f t="shared" si="82"/>
        <v>552.68998732572868</v>
      </c>
    </row>
    <row r="561" spans="1:17" ht="33" customHeight="1" x14ac:dyDescent="0.2">
      <c r="A561" s="5" t="s">
        <v>981</v>
      </c>
      <c r="B561" s="4"/>
      <c r="C561" s="4"/>
      <c r="D561" s="45" t="s">
        <v>982</v>
      </c>
      <c r="E561" s="4"/>
      <c r="F561" s="6">
        <v>1</v>
      </c>
      <c r="G561" s="71"/>
      <c r="H561" s="73">
        <f t="shared" si="83"/>
        <v>0</v>
      </c>
      <c r="I561" s="71"/>
      <c r="J561" s="76">
        <f>SUM(J562:J580)</f>
        <v>30066.489999999998</v>
      </c>
      <c r="K561" s="7">
        <v>40088.730000000003</v>
      </c>
      <c r="L561" s="8">
        <v>3.3999999999999998E-3</v>
      </c>
      <c r="N561" s="4"/>
      <c r="O561" s="88">
        <v>40088.730000000003</v>
      </c>
      <c r="P561" s="78"/>
      <c r="Q561" s="2">
        <f t="shared" si="82"/>
        <v>40088.730000000003</v>
      </c>
    </row>
    <row r="562" spans="1:17" ht="33" customHeight="1" x14ac:dyDescent="0.2">
      <c r="A562" s="35">
        <v>40360</v>
      </c>
      <c r="B562" s="15">
        <v>101880</v>
      </c>
      <c r="C562" s="9" t="s">
        <v>56</v>
      </c>
      <c r="D562" s="47" t="s">
        <v>983</v>
      </c>
      <c r="E562" s="11" t="s">
        <v>84</v>
      </c>
      <c r="F562" s="16">
        <v>2</v>
      </c>
      <c r="G562" s="73">
        <f t="shared" ref="G562:G580" si="87">N562*$S$6</f>
        <v>502.07249999999999</v>
      </c>
      <c r="H562" s="73">
        <f t="shared" si="83"/>
        <v>1004.14</v>
      </c>
      <c r="I562" s="73">
        <f t="shared" ref="I562:I580" si="88">O562*$S$6</f>
        <v>613.68000000000006</v>
      </c>
      <c r="J562" s="73">
        <f t="shared" si="84"/>
        <v>1227.3599999999999</v>
      </c>
      <c r="K562" s="13">
        <v>1636.48</v>
      </c>
      <c r="L562" s="14">
        <v>1E-4</v>
      </c>
      <c r="N562" s="12">
        <v>669.43</v>
      </c>
      <c r="O562" s="86">
        <v>818.24</v>
      </c>
      <c r="P562" s="78"/>
      <c r="Q562" s="2">
        <f t="shared" si="82"/>
        <v>818.24</v>
      </c>
    </row>
    <row r="563" spans="1:17" ht="33" customHeight="1" x14ac:dyDescent="0.2">
      <c r="A563" s="35">
        <v>40361</v>
      </c>
      <c r="B563" s="9" t="s">
        <v>984</v>
      </c>
      <c r="C563" s="9" t="s">
        <v>209</v>
      </c>
      <c r="D563" s="47" t="s">
        <v>985</v>
      </c>
      <c r="E563" s="11" t="s">
        <v>84</v>
      </c>
      <c r="F563" s="16">
        <v>2</v>
      </c>
      <c r="G563" s="73">
        <f t="shared" si="87"/>
        <v>1013.3925</v>
      </c>
      <c r="H563" s="73">
        <f t="shared" si="83"/>
        <v>2026.78</v>
      </c>
      <c r="I563" s="73">
        <f t="shared" si="88"/>
        <v>1238.6624999999999</v>
      </c>
      <c r="J563" s="73">
        <f t="shared" si="84"/>
        <v>2477.3200000000002</v>
      </c>
      <c r="K563" s="13">
        <v>3303.1</v>
      </c>
      <c r="L563" s="14">
        <v>2.9999999999999997E-4</v>
      </c>
      <c r="N563" s="13">
        <v>1351.19</v>
      </c>
      <c r="O563" s="89">
        <v>1651.55</v>
      </c>
      <c r="P563" s="78"/>
      <c r="Q563" s="2">
        <f t="shared" si="82"/>
        <v>1651.55</v>
      </c>
    </row>
    <row r="564" spans="1:17" ht="33" customHeight="1" x14ac:dyDescent="0.2">
      <c r="A564" s="35">
        <v>40362</v>
      </c>
      <c r="B564" s="32">
        <v>64205</v>
      </c>
      <c r="C564" s="9" t="s">
        <v>335</v>
      </c>
      <c r="D564" s="47" t="s">
        <v>986</v>
      </c>
      <c r="E564" s="11" t="s">
        <v>84</v>
      </c>
      <c r="F564" s="16">
        <v>2</v>
      </c>
      <c r="G564" s="73">
        <f t="shared" si="87"/>
        <v>2186.34</v>
      </c>
      <c r="H564" s="73">
        <f t="shared" si="83"/>
        <v>4372.68</v>
      </c>
      <c r="I564" s="73">
        <f t="shared" si="88"/>
        <v>2672.3625000000002</v>
      </c>
      <c r="J564" s="73">
        <f t="shared" si="84"/>
        <v>5344.72</v>
      </c>
      <c r="K564" s="13">
        <v>7126.3</v>
      </c>
      <c r="L564" s="14">
        <v>5.9999999999999995E-4</v>
      </c>
      <c r="N564" s="13">
        <v>2915.12</v>
      </c>
      <c r="O564" s="89">
        <v>3563.15</v>
      </c>
      <c r="P564" s="78"/>
      <c r="Q564" s="2">
        <f t="shared" si="82"/>
        <v>3563.15</v>
      </c>
    </row>
    <row r="565" spans="1:17" ht="33" customHeight="1" x14ac:dyDescent="0.2">
      <c r="A565" s="35">
        <v>40363</v>
      </c>
      <c r="B565" s="9" t="s">
        <v>987</v>
      </c>
      <c r="C565" s="9" t="s">
        <v>209</v>
      </c>
      <c r="D565" s="46" t="s">
        <v>988</v>
      </c>
      <c r="E565" s="11" t="s">
        <v>84</v>
      </c>
      <c r="F565" s="16">
        <v>1</v>
      </c>
      <c r="G565" s="73">
        <f t="shared" si="87"/>
        <v>4900.83</v>
      </c>
      <c r="H565" s="73">
        <f t="shared" si="83"/>
        <v>4900.83</v>
      </c>
      <c r="I565" s="73">
        <f t="shared" si="88"/>
        <v>5990.28</v>
      </c>
      <c r="J565" s="73">
        <f t="shared" si="84"/>
        <v>5990.28</v>
      </c>
      <c r="K565" s="13">
        <v>7987.04</v>
      </c>
      <c r="L565" s="14">
        <v>6.9999999999999999E-4</v>
      </c>
      <c r="N565" s="13">
        <v>6534.44</v>
      </c>
      <c r="O565" s="89">
        <v>7987.04</v>
      </c>
      <c r="P565" s="78"/>
      <c r="Q565" s="2">
        <f t="shared" si="82"/>
        <v>7987.04</v>
      </c>
    </row>
    <row r="566" spans="1:17" ht="33" customHeight="1" x14ac:dyDescent="0.2">
      <c r="A566" s="35">
        <v>40364</v>
      </c>
      <c r="B566" s="9" t="s">
        <v>989</v>
      </c>
      <c r="C566" s="9" t="s">
        <v>209</v>
      </c>
      <c r="D566" s="47" t="s">
        <v>990</v>
      </c>
      <c r="E566" s="11" t="s">
        <v>84</v>
      </c>
      <c r="F566" s="16">
        <v>2</v>
      </c>
      <c r="G566" s="73">
        <f t="shared" si="87"/>
        <v>2546.3175000000001</v>
      </c>
      <c r="H566" s="73">
        <f t="shared" si="83"/>
        <v>5092.63</v>
      </c>
      <c r="I566" s="73">
        <f t="shared" si="88"/>
        <v>3112.3575000000001</v>
      </c>
      <c r="J566" s="73">
        <f t="shared" si="84"/>
        <v>6224.71</v>
      </c>
      <c r="K566" s="13">
        <v>8299.6200000000008</v>
      </c>
      <c r="L566" s="14">
        <v>6.9999999999999999E-4</v>
      </c>
      <c r="N566" s="13">
        <v>3395.09</v>
      </c>
      <c r="O566" s="89">
        <v>4149.8100000000004</v>
      </c>
      <c r="P566" s="78"/>
      <c r="Q566" s="2">
        <f t="shared" si="82"/>
        <v>4149.8100000000004</v>
      </c>
    </row>
    <row r="567" spans="1:17" ht="33" customHeight="1" x14ac:dyDescent="0.2">
      <c r="A567" s="35">
        <v>40365</v>
      </c>
      <c r="B567" s="15">
        <v>93653</v>
      </c>
      <c r="C567" s="9" t="s">
        <v>56</v>
      </c>
      <c r="D567" s="47" t="s">
        <v>991</v>
      </c>
      <c r="E567" s="11" t="s">
        <v>84</v>
      </c>
      <c r="F567" s="16">
        <v>85</v>
      </c>
      <c r="G567" s="73">
        <f t="shared" si="87"/>
        <v>8.5274999999999999</v>
      </c>
      <c r="H567" s="73">
        <f t="shared" si="83"/>
        <v>724.83</v>
      </c>
      <c r="I567" s="73">
        <f t="shared" si="88"/>
        <v>10.4175</v>
      </c>
      <c r="J567" s="73">
        <f t="shared" si="84"/>
        <v>885.48</v>
      </c>
      <c r="K567" s="13">
        <v>1180.6500000000001</v>
      </c>
      <c r="L567" s="14">
        <v>1E-4</v>
      </c>
      <c r="N567" s="12">
        <v>11.37</v>
      </c>
      <c r="O567" s="86">
        <v>13.89</v>
      </c>
      <c r="P567" s="78"/>
      <c r="Q567" s="2">
        <f t="shared" si="82"/>
        <v>13.89</v>
      </c>
    </row>
    <row r="568" spans="1:17" ht="33" customHeight="1" x14ac:dyDescent="0.2">
      <c r="A568" s="35">
        <v>40366</v>
      </c>
      <c r="B568" s="15">
        <v>93654</v>
      </c>
      <c r="C568" s="9" t="s">
        <v>56</v>
      </c>
      <c r="D568" s="47" t="s">
        <v>992</v>
      </c>
      <c r="E568" s="11" t="s">
        <v>84</v>
      </c>
      <c r="F568" s="16">
        <v>21</v>
      </c>
      <c r="G568" s="73">
        <f t="shared" si="87"/>
        <v>8.5274999999999999</v>
      </c>
      <c r="H568" s="73">
        <f t="shared" si="83"/>
        <v>179.07</v>
      </c>
      <c r="I568" s="73">
        <f t="shared" si="88"/>
        <v>10.4175</v>
      </c>
      <c r="J568" s="73">
        <f t="shared" si="84"/>
        <v>218.76</v>
      </c>
      <c r="K568" s="12">
        <v>291.69</v>
      </c>
      <c r="L568" s="14">
        <v>0</v>
      </c>
      <c r="N568" s="12">
        <v>11.37</v>
      </c>
      <c r="O568" s="86">
        <v>13.89</v>
      </c>
      <c r="P568" s="78"/>
      <c r="Q568" s="2">
        <f t="shared" si="82"/>
        <v>13.89</v>
      </c>
    </row>
    <row r="569" spans="1:17" ht="33" customHeight="1" x14ac:dyDescent="0.2">
      <c r="A569" s="35">
        <v>40367</v>
      </c>
      <c r="B569" s="15">
        <v>93656</v>
      </c>
      <c r="C569" s="9" t="s">
        <v>56</v>
      </c>
      <c r="D569" s="46" t="s">
        <v>993</v>
      </c>
      <c r="E569" s="11" t="s">
        <v>84</v>
      </c>
      <c r="F569" s="16">
        <v>2</v>
      </c>
      <c r="G569" s="73">
        <f t="shared" si="87"/>
        <v>10.3725</v>
      </c>
      <c r="H569" s="73">
        <f t="shared" si="83"/>
        <v>20.74</v>
      </c>
      <c r="I569" s="73">
        <f t="shared" si="88"/>
        <v>12.674999999999999</v>
      </c>
      <c r="J569" s="73">
        <f t="shared" si="84"/>
        <v>25.35</v>
      </c>
      <c r="K569" s="12">
        <v>33.799999999999997</v>
      </c>
      <c r="L569" s="14">
        <v>0</v>
      </c>
      <c r="N569" s="12">
        <v>13.83</v>
      </c>
      <c r="O569" s="86">
        <v>16.899999999999999</v>
      </c>
      <c r="P569" s="78"/>
      <c r="Q569" s="2">
        <f t="shared" si="82"/>
        <v>16.899999999999999</v>
      </c>
    </row>
    <row r="570" spans="1:17" ht="33" customHeight="1" x14ac:dyDescent="0.2">
      <c r="A570" s="35">
        <v>40368</v>
      </c>
      <c r="B570" s="15">
        <v>93660</v>
      </c>
      <c r="C570" s="9" t="s">
        <v>56</v>
      </c>
      <c r="D570" s="46" t="s">
        <v>994</v>
      </c>
      <c r="E570" s="11" t="s">
        <v>84</v>
      </c>
      <c r="F570" s="16">
        <v>1</v>
      </c>
      <c r="G570" s="73">
        <f t="shared" si="87"/>
        <v>38.46</v>
      </c>
      <c r="H570" s="73">
        <f t="shared" si="83"/>
        <v>38.46</v>
      </c>
      <c r="I570" s="73">
        <f t="shared" si="88"/>
        <v>47.002499999999998</v>
      </c>
      <c r="J570" s="73">
        <f t="shared" si="84"/>
        <v>47</v>
      </c>
      <c r="K570" s="12">
        <v>62.67</v>
      </c>
      <c r="L570" s="14">
        <v>0</v>
      </c>
      <c r="N570" s="12">
        <v>51.28</v>
      </c>
      <c r="O570" s="86">
        <v>62.67</v>
      </c>
      <c r="P570" s="78"/>
      <c r="Q570" s="2">
        <f t="shared" si="82"/>
        <v>62.67</v>
      </c>
    </row>
    <row r="571" spans="1:17" ht="33" customHeight="1" x14ac:dyDescent="0.2">
      <c r="A571" s="36">
        <v>40458</v>
      </c>
      <c r="B571" s="15">
        <v>93663</v>
      </c>
      <c r="C571" s="9" t="s">
        <v>56</v>
      </c>
      <c r="D571" s="47" t="s">
        <v>995</v>
      </c>
      <c r="E571" s="11" t="s">
        <v>84</v>
      </c>
      <c r="F571" s="16">
        <v>4</v>
      </c>
      <c r="G571" s="73">
        <f t="shared" si="87"/>
        <v>42.150000000000006</v>
      </c>
      <c r="H571" s="73">
        <f t="shared" si="83"/>
        <v>168.6</v>
      </c>
      <c r="I571" s="73">
        <f t="shared" si="88"/>
        <v>51.517499999999998</v>
      </c>
      <c r="J571" s="73">
        <f t="shared" si="84"/>
        <v>206.07</v>
      </c>
      <c r="K571" s="12">
        <v>274.76</v>
      </c>
      <c r="L571" s="14">
        <v>0</v>
      </c>
      <c r="N571" s="12">
        <v>56.2</v>
      </c>
      <c r="O571" s="86">
        <v>68.69</v>
      </c>
      <c r="P571" s="78"/>
      <c r="Q571" s="2">
        <f t="shared" si="82"/>
        <v>68.69</v>
      </c>
    </row>
    <row r="572" spans="1:17" ht="33" customHeight="1" x14ac:dyDescent="0.2">
      <c r="A572" s="36">
        <v>40823</v>
      </c>
      <c r="B572" s="15">
        <v>93667</v>
      </c>
      <c r="C572" s="9" t="s">
        <v>56</v>
      </c>
      <c r="D572" s="46" t="s">
        <v>996</v>
      </c>
      <c r="E572" s="11" t="s">
        <v>84</v>
      </c>
      <c r="F572" s="16">
        <v>8</v>
      </c>
      <c r="G572" s="73">
        <f t="shared" si="87"/>
        <v>48.675000000000004</v>
      </c>
      <c r="H572" s="73">
        <f t="shared" si="83"/>
        <v>389.4</v>
      </c>
      <c r="I572" s="73">
        <f t="shared" si="88"/>
        <v>59.489999999999995</v>
      </c>
      <c r="J572" s="73">
        <f t="shared" si="84"/>
        <v>475.92</v>
      </c>
      <c r="K572" s="12">
        <v>634.55999999999995</v>
      </c>
      <c r="L572" s="14">
        <v>1E-4</v>
      </c>
      <c r="N572" s="12">
        <v>64.900000000000006</v>
      </c>
      <c r="O572" s="86">
        <v>79.319999999999993</v>
      </c>
      <c r="P572" s="78"/>
      <c r="Q572" s="2">
        <f t="shared" si="82"/>
        <v>79.319999999999993</v>
      </c>
    </row>
    <row r="573" spans="1:17" ht="33" customHeight="1" x14ac:dyDescent="0.2">
      <c r="A573" s="36">
        <v>41189</v>
      </c>
      <c r="B573" s="15">
        <v>93668</v>
      </c>
      <c r="C573" s="9" t="s">
        <v>56</v>
      </c>
      <c r="D573" s="46" t="s">
        <v>997</v>
      </c>
      <c r="E573" s="11" t="s">
        <v>84</v>
      </c>
      <c r="F573" s="16">
        <v>1</v>
      </c>
      <c r="G573" s="73">
        <f t="shared" si="87"/>
        <v>48.675000000000004</v>
      </c>
      <c r="H573" s="73">
        <f t="shared" si="83"/>
        <v>48.67</v>
      </c>
      <c r="I573" s="73">
        <f t="shared" si="88"/>
        <v>59.489999999999995</v>
      </c>
      <c r="J573" s="73">
        <f t="shared" si="84"/>
        <v>59.49</v>
      </c>
      <c r="K573" s="12">
        <v>79.319999999999993</v>
      </c>
      <c r="L573" s="14">
        <v>0</v>
      </c>
      <c r="N573" s="12">
        <v>64.900000000000006</v>
      </c>
      <c r="O573" s="86">
        <v>79.319999999999993</v>
      </c>
      <c r="P573" s="78"/>
      <c r="Q573" s="2">
        <f t="shared" si="82"/>
        <v>79.319999999999993</v>
      </c>
    </row>
    <row r="574" spans="1:17" ht="33" customHeight="1" x14ac:dyDescent="0.2">
      <c r="A574" s="36">
        <v>41554</v>
      </c>
      <c r="B574" s="25" t="s">
        <v>998</v>
      </c>
      <c r="C574" s="9" t="s">
        <v>24</v>
      </c>
      <c r="D574" s="46" t="s">
        <v>999</v>
      </c>
      <c r="E574" s="11" t="s">
        <v>84</v>
      </c>
      <c r="F574" s="16">
        <v>1</v>
      </c>
      <c r="G574" s="73">
        <f t="shared" si="87"/>
        <v>34.522500000000001</v>
      </c>
      <c r="H574" s="73">
        <f t="shared" si="83"/>
        <v>34.520000000000003</v>
      </c>
      <c r="I574" s="73">
        <f t="shared" si="88"/>
        <v>42.195</v>
      </c>
      <c r="J574" s="73">
        <f t="shared" si="84"/>
        <v>42.19</v>
      </c>
      <c r="K574" s="12">
        <v>56.26</v>
      </c>
      <c r="L574" s="14">
        <v>0</v>
      </c>
      <c r="N574" s="12">
        <v>46.03</v>
      </c>
      <c r="O574" s="86">
        <v>56.26</v>
      </c>
      <c r="P574" s="78"/>
      <c r="Q574" s="2">
        <f t="shared" si="82"/>
        <v>56.26</v>
      </c>
    </row>
    <row r="575" spans="1:17" ht="33" customHeight="1" x14ac:dyDescent="0.2">
      <c r="A575" s="36">
        <v>41919</v>
      </c>
      <c r="B575" s="15">
        <v>101895</v>
      </c>
      <c r="C575" s="9" t="s">
        <v>56</v>
      </c>
      <c r="D575" s="46" t="s">
        <v>1000</v>
      </c>
      <c r="E575" s="11" t="s">
        <v>84</v>
      </c>
      <c r="F575" s="16">
        <v>4</v>
      </c>
      <c r="G575" s="73">
        <f t="shared" si="87"/>
        <v>301.1925</v>
      </c>
      <c r="H575" s="73">
        <f t="shared" si="83"/>
        <v>1204.77</v>
      </c>
      <c r="I575" s="73">
        <f t="shared" si="88"/>
        <v>368.14499999999998</v>
      </c>
      <c r="J575" s="73">
        <f t="shared" si="84"/>
        <v>1472.58</v>
      </c>
      <c r="K575" s="13">
        <v>1963.44</v>
      </c>
      <c r="L575" s="14">
        <v>2.0000000000000001E-4</v>
      </c>
      <c r="N575" s="12">
        <v>401.59</v>
      </c>
      <c r="O575" s="86">
        <v>490.86</v>
      </c>
      <c r="P575" s="78"/>
      <c r="Q575" s="2">
        <f t="shared" si="82"/>
        <v>490.86</v>
      </c>
    </row>
    <row r="576" spans="1:17" ht="33" customHeight="1" x14ac:dyDescent="0.2">
      <c r="A576" s="36">
        <v>42284</v>
      </c>
      <c r="B576" s="25" t="s">
        <v>1001</v>
      </c>
      <c r="C576" s="9" t="s">
        <v>24</v>
      </c>
      <c r="D576" s="47" t="s">
        <v>1002</v>
      </c>
      <c r="E576" s="11" t="s">
        <v>84</v>
      </c>
      <c r="F576" s="16">
        <v>1</v>
      </c>
      <c r="G576" s="73">
        <f t="shared" si="87"/>
        <v>293.22750000000002</v>
      </c>
      <c r="H576" s="73">
        <f t="shared" si="83"/>
        <v>293.22000000000003</v>
      </c>
      <c r="I576" s="73">
        <f t="shared" si="88"/>
        <v>358.40999999999997</v>
      </c>
      <c r="J576" s="73">
        <f t="shared" si="84"/>
        <v>358.41</v>
      </c>
      <c r="K576" s="12">
        <v>477.88</v>
      </c>
      <c r="L576" s="14">
        <v>0</v>
      </c>
      <c r="N576" s="12">
        <v>390.97</v>
      </c>
      <c r="O576" s="86">
        <v>477.88</v>
      </c>
      <c r="P576" s="78"/>
      <c r="Q576" s="2">
        <f t="shared" si="82"/>
        <v>477.88</v>
      </c>
    </row>
    <row r="577" spans="1:17" ht="33" customHeight="1" x14ac:dyDescent="0.2">
      <c r="A577" s="36">
        <v>42650</v>
      </c>
      <c r="B577" s="15">
        <v>101898</v>
      </c>
      <c r="C577" s="9" t="s">
        <v>56</v>
      </c>
      <c r="D577" s="47" t="s">
        <v>1003</v>
      </c>
      <c r="E577" s="11" t="s">
        <v>84</v>
      </c>
      <c r="F577" s="16">
        <v>1</v>
      </c>
      <c r="G577" s="73">
        <f t="shared" si="87"/>
        <v>901.52250000000004</v>
      </c>
      <c r="H577" s="73">
        <f t="shared" si="83"/>
        <v>901.52</v>
      </c>
      <c r="I577" s="73">
        <f t="shared" si="88"/>
        <v>1101.93</v>
      </c>
      <c r="J577" s="73">
        <f t="shared" si="84"/>
        <v>1101.93</v>
      </c>
      <c r="K577" s="13">
        <v>1469.24</v>
      </c>
      <c r="L577" s="14">
        <v>1E-4</v>
      </c>
      <c r="N577" s="13">
        <v>1202.03</v>
      </c>
      <c r="O577" s="89">
        <v>1469.24</v>
      </c>
      <c r="P577" s="78"/>
      <c r="Q577" s="2">
        <f t="shared" si="82"/>
        <v>1469.24</v>
      </c>
    </row>
    <row r="578" spans="1:17" ht="33" customHeight="1" x14ac:dyDescent="0.2">
      <c r="A578" s="36">
        <v>43015</v>
      </c>
      <c r="B578" s="15">
        <v>101899</v>
      </c>
      <c r="C578" s="9" t="s">
        <v>56</v>
      </c>
      <c r="D578" s="46" t="s">
        <v>1004</v>
      </c>
      <c r="E578" s="11" t="s">
        <v>84</v>
      </c>
      <c r="F578" s="16">
        <v>1</v>
      </c>
      <c r="G578" s="73">
        <f t="shared" si="87"/>
        <v>1421.91</v>
      </c>
      <c r="H578" s="73">
        <f t="shared" si="83"/>
        <v>1421.91</v>
      </c>
      <c r="I578" s="73">
        <f t="shared" si="88"/>
        <v>1737.9974999999999</v>
      </c>
      <c r="J578" s="73">
        <f t="shared" si="84"/>
        <v>1737.99</v>
      </c>
      <c r="K578" s="13">
        <v>2317.33</v>
      </c>
      <c r="L578" s="14">
        <v>2.0000000000000001E-4</v>
      </c>
      <c r="N578" s="13">
        <v>1895.88</v>
      </c>
      <c r="O578" s="89">
        <v>2317.33</v>
      </c>
      <c r="P578" s="78"/>
      <c r="Q578" s="2">
        <f t="shared" si="82"/>
        <v>2317.33</v>
      </c>
    </row>
    <row r="579" spans="1:17" ht="33" customHeight="1" x14ac:dyDescent="0.2">
      <c r="A579" s="39">
        <v>43380</v>
      </c>
      <c r="B579" s="19">
        <v>39445</v>
      </c>
      <c r="C579" s="18" t="s">
        <v>56</v>
      </c>
      <c r="D579" s="49" t="s">
        <v>1005</v>
      </c>
      <c r="E579" s="74" t="s">
        <v>84</v>
      </c>
      <c r="F579" s="21">
        <v>7</v>
      </c>
      <c r="G579" s="75">
        <f t="shared" si="87"/>
        <v>88.275000000000006</v>
      </c>
      <c r="H579" s="73">
        <f t="shared" si="83"/>
        <v>617.91999999999996</v>
      </c>
      <c r="I579" s="75">
        <f t="shared" si="88"/>
        <v>107.89500000000001</v>
      </c>
      <c r="J579" s="75">
        <f t="shared" si="84"/>
        <v>755.26</v>
      </c>
      <c r="K579" s="23">
        <v>1007.02</v>
      </c>
      <c r="L579" s="24">
        <v>1E-4</v>
      </c>
      <c r="N579" s="22">
        <v>117.7</v>
      </c>
      <c r="O579" s="87">
        <v>143.86000000000001</v>
      </c>
      <c r="P579" s="78"/>
      <c r="Q579" s="2">
        <f t="shared" si="82"/>
        <v>143.85999999999999</v>
      </c>
    </row>
    <row r="580" spans="1:17" ht="33" customHeight="1" x14ac:dyDescent="0.2">
      <c r="A580" s="39">
        <v>43745</v>
      </c>
      <c r="B580" s="19">
        <v>39465</v>
      </c>
      <c r="C580" s="18" t="s">
        <v>56</v>
      </c>
      <c r="D580" s="48" t="s">
        <v>1006</v>
      </c>
      <c r="E580" s="20" t="s">
        <v>84</v>
      </c>
      <c r="F580" s="21">
        <v>27</v>
      </c>
      <c r="G580" s="75">
        <f t="shared" si="87"/>
        <v>42.900000000000006</v>
      </c>
      <c r="H580" s="73">
        <f t="shared" si="83"/>
        <v>1158.3</v>
      </c>
      <c r="I580" s="75">
        <f t="shared" si="88"/>
        <v>52.432499999999997</v>
      </c>
      <c r="J580" s="75">
        <f t="shared" si="84"/>
        <v>1415.67</v>
      </c>
      <c r="K580" s="23">
        <v>1887.57</v>
      </c>
      <c r="L580" s="24">
        <v>2.0000000000000001E-4</v>
      </c>
      <c r="N580" s="22">
        <v>57.2</v>
      </c>
      <c r="O580" s="87">
        <v>69.91</v>
      </c>
      <c r="P580" s="78"/>
      <c r="Q580" s="2">
        <f t="shared" si="82"/>
        <v>69.91</v>
      </c>
    </row>
    <row r="581" spans="1:17" ht="33" customHeight="1" x14ac:dyDescent="0.2">
      <c r="A581" s="5" t="s">
        <v>1007</v>
      </c>
      <c r="B581" s="4"/>
      <c r="C581" s="4"/>
      <c r="D581" s="45" t="s">
        <v>1008</v>
      </c>
      <c r="E581" s="4"/>
      <c r="F581" s="6">
        <v>1</v>
      </c>
      <c r="G581" s="71"/>
      <c r="H581" s="73">
        <f t="shared" si="83"/>
        <v>0</v>
      </c>
      <c r="I581" s="71"/>
      <c r="J581" s="76">
        <f>SUM(J582:J594)</f>
        <v>126073.88000000002</v>
      </c>
      <c r="K581" s="7">
        <v>168098.57</v>
      </c>
      <c r="L581" s="8">
        <v>1.41E-2</v>
      </c>
      <c r="N581" s="4"/>
      <c r="O581" s="88">
        <v>168098.57</v>
      </c>
      <c r="P581" s="78"/>
      <c r="Q581" s="2">
        <f t="shared" si="82"/>
        <v>168098.57</v>
      </c>
    </row>
    <row r="582" spans="1:17" ht="33" customHeight="1" x14ac:dyDescent="0.2">
      <c r="A582" s="35">
        <v>40391</v>
      </c>
      <c r="B582" s="15">
        <v>91953</v>
      </c>
      <c r="C582" s="9" t="s">
        <v>56</v>
      </c>
      <c r="D582" s="47" t="s">
        <v>1009</v>
      </c>
      <c r="E582" s="11" t="s">
        <v>84</v>
      </c>
      <c r="F582" s="16">
        <v>54</v>
      </c>
      <c r="G582" s="73">
        <f t="shared" ref="G582:G594" si="89">N582*$S$6</f>
        <v>27.022500000000001</v>
      </c>
      <c r="H582" s="73">
        <f t="shared" si="83"/>
        <v>1459.21</v>
      </c>
      <c r="I582" s="73">
        <f t="shared" ref="I582:I594" si="90">O582*$S$6</f>
        <v>33.022500000000001</v>
      </c>
      <c r="J582" s="73">
        <f t="shared" si="84"/>
        <v>1783.21</v>
      </c>
      <c r="K582" s="13">
        <v>2377.62</v>
      </c>
      <c r="L582" s="14">
        <v>2.0000000000000001E-4</v>
      </c>
      <c r="N582" s="12">
        <v>36.03</v>
      </c>
      <c r="O582" s="86">
        <v>44.03</v>
      </c>
      <c r="P582" s="78"/>
      <c r="Q582" s="2">
        <f t="shared" si="82"/>
        <v>44.03</v>
      </c>
    </row>
    <row r="583" spans="1:17" ht="33" customHeight="1" x14ac:dyDescent="0.2">
      <c r="A583" s="35">
        <v>40392</v>
      </c>
      <c r="B583" s="15">
        <v>91959</v>
      </c>
      <c r="C583" s="9" t="s">
        <v>56</v>
      </c>
      <c r="D583" s="47" t="s">
        <v>1010</v>
      </c>
      <c r="E583" s="11" t="s">
        <v>84</v>
      </c>
      <c r="F583" s="16">
        <v>1</v>
      </c>
      <c r="G583" s="73">
        <f t="shared" si="89"/>
        <v>40.747500000000002</v>
      </c>
      <c r="H583" s="73">
        <f t="shared" si="83"/>
        <v>40.74</v>
      </c>
      <c r="I583" s="73">
        <f t="shared" si="90"/>
        <v>49.800000000000004</v>
      </c>
      <c r="J583" s="73">
        <f t="shared" si="84"/>
        <v>49.8</v>
      </c>
      <c r="K583" s="12">
        <v>66.400000000000006</v>
      </c>
      <c r="L583" s="14">
        <v>0</v>
      </c>
      <c r="N583" s="12">
        <v>54.33</v>
      </c>
      <c r="O583" s="86">
        <v>66.400000000000006</v>
      </c>
      <c r="P583" s="78"/>
      <c r="Q583" s="2">
        <f t="shared" ref="Q583:Q646" si="91">K583/F583</f>
        <v>66.400000000000006</v>
      </c>
    </row>
    <row r="584" spans="1:17" ht="33" customHeight="1" x14ac:dyDescent="0.2">
      <c r="A584" s="35">
        <v>40393</v>
      </c>
      <c r="B584" s="15">
        <v>91967</v>
      </c>
      <c r="C584" s="9" t="s">
        <v>56</v>
      </c>
      <c r="D584" s="47" t="s">
        <v>1011</v>
      </c>
      <c r="E584" s="11" t="s">
        <v>84</v>
      </c>
      <c r="F584" s="16">
        <v>1</v>
      </c>
      <c r="G584" s="73">
        <f t="shared" si="89"/>
        <v>54.472499999999997</v>
      </c>
      <c r="H584" s="73">
        <f t="shared" ref="H584:H647" si="92">TRUNC(G584*F584,2)</f>
        <v>54.47</v>
      </c>
      <c r="I584" s="73">
        <f t="shared" si="90"/>
        <v>66.577500000000001</v>
      </c>
      <c r="J584" s="73">
        <f t="shared" ref="J584:J647" si="93">TRUNC(I584*F584,2)</f>
        <v>66.569999999999993</v>
      </c>
      <c r="K584" s="12">
        <v>88.77</v>
      </c>
      <c r="L584" s="14">
        <v>0</v>
      </c>
      <c r="N584" s="12">
        <v>72.63</v>
      </c>
      <c r="O584" s="86">
        <v>88.77</v>
      </c>
      <c r="P584" s="78"/>
      <c r="Q584" s="2">
        <f t="shared" si="91"/>
        <v>88.77</v>
      </c>
    </row>
    <row r="585" spans="1:17" ht="33" customHeight="1" x14ac:dyDescent="0.2">
      <c r="A585" s="35">
        <v>40394</v>
      </c>
      <c r="B585" s="15">
        <v>92023</v>
      </c>
      <c r="C585" s="9" t="s">
        <v>56</v>
      </c>
      <c r="D585" s="47" t="s">
        <v>1012</v>
      </c>
      <c r="E585" s="11" t="s">
        <v>84</v>
      </c>
      <c r="F585" s="16">
        <v>1</v>
      </c>
      <c r="G585" s="73">
        <f t="shared" si="89"/>
        <v>46.012500000000003</v>
      </c>
      <c r="H585" s="73">
        <f t="shared" si="92"/>
        <v>46.01</v>
      </c>
      <c r="I585" s="73">
        <f t="shared" si="90"/>
        <v>56.234999999999999</v>
      </c>
      <c r="J585" s="73">
        <f t="shared" si="93"/>
        <v>56.23</v>
      </c>
      <c r="K585" s="12">
        <v>74.98</v>
      </c>
      <c r="L585" s="14">
        <v>0</v>
      </c>
      <c r="N585" s="12">
        <v>61.35</v>
      </c>
      <c r="O585" s="86">
        <v>74.98</v>
      </c>
      <c r="P585" s="78"/>
      <c r="Q585" s="2">
        <f t="shared" si="91"/>
        <v>74.98</v>
      </c>
    </row>
    <row r="586" spans="1:17" ht="33" customHeight="1" x14ac:dyDescent="0.2">
      <c r="A586" s="35">
        <v>40395</v>
      </c>
      <c r="B586" s="15">
        <v>91996</v>
      </c>
      <c r="C586" s="9" t="s">
        <v>56</v>
      </c>
      <c r="D586" s="47" t="s">
        <v>1013</v>
      </c>
      <c r="E586" s="11" t="s">
        <v>84</v>
      </c>
      <c r="F586" s="16">
        <v>63</v>
      </c>
      <c r="G586" s="73">
        <f t="shared" si="89"/>
        <v>32.347500000000004</v>
      </c>
      <c r="H586" s="73">
        <f t="shared" si="92"/>
        <v>2037.89</v>
      </c>
      <c r="I586" s="73">
        <f t="shared" si="90"/>
        <v>39.532499999999999</v>
      </c>
      <c r="J586" s="73">
        <f t="shared" si="93"/>
        <v>2490.54</v>
      </c>
      <c r="K586" s="13">
        <v>3320.73</v>
      </c>
      <c r="L586" s="14">
        <v>2.9999999999999997E-4</v>
      </c>
      <c r="N586" s="12">
        <v>43.13</v>
      </c>
      <c r="O586" s="86">
        <v>52.71</v>
      </c>
      <c r="P586" s="78"/>
      <c r="Q586" s="2">
        <f t="shared" si="91"/>
        <v>52.71</v>
      </c>
    </row>
    <row r="587" spans="1:17" ht="33" customHeight="1" x14ac:dyDescent="0.2">
      <c r="A587" s="35">
        <v>40396</v>
      </c>
      <c r="B587" s="15">
        <v>92004</v>
      </c>
      <c r="C587" s="9" t="s">
        <v>56</v>
      </c>
      <c r="D587" s="47" t="s">
        <v>1014</v>
      </c>
      <c r="E587" s="11" t="s">
        <v>84</v>
      </c>
      <c r="F587" s="16">
        <v>34</v>
      </c>
      <c r="G587" s="73">
        <f t="shared" si="89"/>
        <v>51.39</v>
      </c>
      <c r="H587" s="73">
        <f t="shared" si="92"/>
        <v>1747.26</v>
      </c>
      <c r="I587" s="73">
        <f t="shared" si="90"/>
        <v>62.8125</v>
      </c>
      <c r="J587" s="73">
        <f t="shared" si="93"/>
        <v>2135.62</v>
      </c>
      <c r="K587" s="13">
        <v>2847.5</v>
      </c>
      <c r="L587" s="14">
        <v>2.0000000000000001E-4</v>
      </c>
      <c r="N587" s="12">
        <v>68.52</v>
      </c>
      <c r="O587" s="86">
        <v>83.75</v>
      </c>
      <c r="P587" s="78"/>
      <c r="Q587" s="2">
        <f t="shared" si="91"/>
        <v>83.75</v>
      </c>
    </row>
    <row r="588" spans="1:17" ht="33" customHeight="1" x14ac:dyDescent="0.2">
      <c r="A588" s="35">
        <v>40397</v>
      </c>
      <c r="B588" s="15">
        <v>92019</v>
      </c>
      <c r="C588" s="9" t="s">
        <v>56</v>
      </c>
      <c r="D588" s="47" t="s">
        <v>1015</v>
      </c>
      <c r="E588" s="11" t="s">
        <v>84</v>
      </c>
      <c r="F588" s="16">
        <v>104</v>
      </c>
      <c r="G588" s="73">
        <f t="shared" si="89"/>
        <v>76.897500000000008</v>
      </c>
      <c r="H588" s="73">
        <f t="shared" si="92"/>
        <v>7997.34</v>
      </c>
      <c r="I588" s="73">
        <f t="shared" si="90"/>
        <v>93.99</v>
      </c>
      <c r="J588" s="73">
        <f t="shared" si="93"/>
        <v>9774.9599999999991</v>
      </c>
      <c r="K588" s="13">
        <v>13033.28</v>
      </c>
      <c r="L588" s="14">
        <v>1.1000000000000001E-3</v>
      </c>
      <c r="N588" s="12">
        <v>102.53</v>
      </c>
      <c r="O588" s="86">
        <v>125.32</v>
      </c>
      <c r="P588" s="78"/>
      <c r="Q588" s="2">
        <f t="shared" si="91"/>
        <v>125.32000000000001</v>
      </c>
    </row>
    <row r="589" spans="1:17" ht="33" customHeight="1" x14ac:dyDescent="0.2">
      <c r="A589" s="35">
        <v>40398</v>
      </c>
      <c r="B589" s="15">
        <v>91997</v>
      </c>
      <c r="C589" s="9" t="s">
        <v>56</v>
      </c>
      <c r="D589" s="47" t="s">
        <v>1016</v>
      </c>
      <c r="E589" s="11" t="s">
        <v>84</v>
      </c>
      <c r="F589" s="16">
        <v>6</v>
      </c>
      <c r="G589" s="73">
        <f t="shared" si="89"/>
        <v>33.697499999999998</v>
      </c>
      <c r="H589" s="73">
        <f t="shared" si="92"/>
        <v>202.18</v>
      </c>
      <c r="I589" s="73">
        <f t="shared" si="90"/>
        <v>41.182499999999997</v>
      </c>
      <c r="J589" s="73">
        <f t="shared" si="93"/>
        <v>247.09</v>
      </c>
      <c r="K589" s="12">
        <v>329.46</v>
      </c>
      <c r="L589" s="14">
        <v>0</v>
      </c>
      <c r="N589" s="12">
        <v>44.93</v>
      </c>
      <c r="O589" s="86">
        <v>54.91</v>
      </c>
      <c r="P589" s="78"/>
      <c r="Q589" s="2">
        <f t="shared" si="91"/>
        <v>54.91</v>
      </c>
    </row>
    <row r="590" spans="1:17" ht="33" customHeight="1" x14ac:dyDescent="0.2">
      <c r="A590" s="35">
        <v>40399</v>
      </c>
      <c r="B590" s="10" t="s">
        <v>1017</v>
      </c>
      <c r="C590" s="9" t="s">
        <v>24</v>
      </c>
      <c r="D590" s="46" t="s">
        <v>1018</v>
      </c>
      <c r="E590" s="11" t="s">
        <v>84</v>
      </c>
      <c r="F590" s="16">
        <v>377</v>
      </c>
      <c r="G590" s="73">
        <f t="shared" si="89"/>
        <v>225.36750000000001</v>
      </c>
      <c r="H590" s="73">
        <f t="shared" si="92"/>
        <v>84963.54</v>
      </c>
      <c r="I590" s="73">
        <f t="shared" si="90"/>
        <v>275.45999999999998</v>
      </c>
      <c r="J590" s="73">
        <f t="shared" si="93"/>
        <v>103848.42</v>
      </c>
      <c r="K590" s="13">
        <v>138464.56</v>
      </c>
      <c r="L590" s="14">
        <v>1.1599999999999999E-2</v>
      </c>
      <c r="N590" s="12">
        <v>300.49</v>
      </c>
      <c r="O590" s="86">
        <v>367.28</v>
      </c>
      <c r="P590" s="78"/>
      <c r="Q590" s="2">
        <f t="shared" si="91"/>
        <v>367.28</v>
      </c>
    </row>
    <row r="591" spans="1:17" ht="33" customHeight="1" x14ac:dyDescent="0.2">
      <c r="A591" s="36">
        <v>40459</v>
      </c>
      <c r="B591" s="15">
        <v>97605</v>
      </c>
      <c r="C591" s="9" t="s">
        <v>56</v>
      </c>
      <c r="D591" s="47" t="s">
        <v>1019</v>
      </c>
      <c r="E591" s="11" t="s">
        <v>84</v>
      </c>
      <c r="F591" s="16">
        <v>54</v>
      </c>
      <c r="G591" s="73">
        <f t="shared" si="89"/>
        <v>48.1875</v>
      </c>
      <c r="H591" s="73">
        <f t="shared" si="92"/>
        <v>2602.12</v>
      </c>
      <c r="I591" s="73">
        <f t="shared" si="90"/>
        <v>58.897500000000001</v>
      </c>
      <c r="J591" s="73">
        <f t="shared" si="93"/>
        <v>3180.46</v>
      </c>
      <c r="K591" s="13">
        <v>4240.62</v>
      </c>
      <c r="L591" s="14">
        <v>4.0000000000000002E-4</v>
      </c>
      <c r="N591" s="12">
        <v>64.25</v>
      </c>
      <c r="O591" s="86">
        <v>78.53</v>
      </c>
      <c r="P591" s="78"/>
      <c r="Q591" s="2">
        <f t="shared" si="91"/>
        <v>78.53</v>
      </c>
    </row>
    <row r="592" spans="1:17" ht="33" customHeight="1" x14ac:dyDescent="0.2">
      <c r="A592" s="36">
        <v>40824</v>
      </c>
      <c r="B592" s="15">
        <v>101632</v>
      </c>
      <c r="C592" s="9" t="s">
        <v>56</v>
      </c>
      <c r="D592" s="47" t="s">
        <v>1020</v>
      </c>
      <c r="E592" s="11" t="s">
        <v>84</v>
      </c>
      <c r="F592" s="16">
        <v>5</v>
      </c>
      <c r="G592" s="73">
        <f t="shared" si="89"/>
        <v>17.767500000000002</v>
      </c>
      <c r="H592" s="73">
        <f t="shared" si="92"/>
        <v>88.83</v>
      </c>
      <c r="I592" s="73">
        <f t="shared" si="90"/>
        <v>21.712499999999999</v>
      </c>
      <c r="J592" s="73">
        <f t="shared" si="93"/>
        <v>108.56</v>
      </c>
      <c r="K592" s="12">
        <v>144.75</v>
      </c>
      <c r="L592" s="14">
        <v>0</v>
      </c>
      <c r="N592" s="12">
        <v>23.69</v>
      </c>
      <c r="O592" s="86">
        <v>28.95</v>
      </c>
      <c r="P592" s="78"/>
      <c r="Q592" s="2">
        <f t="shared" si="91"/>
        <v>28.95</v>
      </c>
    </row>
    <row r="593" spans="1:17" ht="33" customHeight="1" x14ac:dyDescent="0.2">
      <c r="A593" s="36">
        <v>41190</v>
      </c>
      <c r="B593" s="32">
        <v>60386</v>
      </c>
      <c r="C593" s="9" t="s">
        <v>335</v>
      </c>
      <c r="D593" s="47" t="s">
        <v>1021</v>
      </c>
      <c r="E593" s="11" t="s">
        <v>84</v>
      </c>
      <c r="F593" s="16">
        <v>10</v>
      </c>
      <c r="G593" s="73">
        <f t="shared" si="89"/>
        <v>128.4975</v>
      </c>
      <c r="H593" s="73">
        <f t="shared" si="92"/>
        <v>1284.97</v>
      </c>
      <c r="I593" s="73">
        <f t="shared" si="90"/>
        <v>157.0575</v>
      </c>
      <c r="J593" s="73">
        <f t="shared" si="93"/>
        <v>1570.57</v>
      </c>
      <c r="K593" s="13">
        <v>2094.1</v>
      </c>
      <c r="L593" s="14">
        <v>2.0000000000000001E-4</v>
      </c>
      <c r="N593" s="12">
        <v>171.33</v>
      </c>
      <c r="O593" s="86">
        <v>209.41</v>
      </c>
      <c r="P593" s="78"/>
      <c r="Q593" s="2">
        <f t="shared" si="91"/>
        <v>209.41</v>
      </c>
    </row>
    <row r="594" spans="1:17" ht="33" customHeight="1" x14ac:dyDescent="0.2">
      <c r="A594" s="36">
        <v>41555</v>
      </c>
      <c r="B594" s="32">
        <v>60875</v>
      </c>
      <c r="C594" s="9" t="s">
        <v>335</v>
      </c>
      <c r="D594" s="47" t="s">
        <v>1022</v>
      </c>
      <c r="E594" s="11" t="s">
        <v>84</v>
      </c>
      <c r="F594" s="16">
        <v>6</v>
      </c>
      <c r="G594" s="73">
        <f t="shared" si="89"/>
        <v>103.88249999999999</v>
      </c>
      <c r="H594" s="73">
        <f t="shared" si="92"/>
        <v>623.29</v>
      </c>
      <c r="I594" s="73">
        <f t="shared" si="90"/>
        <v>126.97500000000001</v>
      </c>
      <c r="J594" s="73">
        <f t="shared" si="93"/>
        <v>761.85</v>
      </c>
      <c r="K594" s="13">
        <v>1015.8</v>
      </c>
      <c r="L594" s="14">
        <v>1E-4</v>
      </c>
      <c r="N594" s="12">
        <v>138.51</v>
      </c>
      <c r="O594" s="86">
        <v>169.3</v>
      </c>
      <c r="P594" s="78"/>
      <c r="Q594" s="2">
        <f t="shared" si="91"/>
        <v>169.29999999999998</v>
      </c>
    </row>
    <row r="595" spans="1:17" ht="33" customHeight="1" x14ac:dyDescent="0.2">
      <c r="A595" s="5" t="s">
        <v>1023</v>
      </c>
      <c r="B595" s="4"/>
      <c r="C595" s="4"/>
      <c r="D595" s="45" t="s">
        <v>1024</v>
      </c>
      <c r="E595" s="4"/>
      <c r="F595" s="6">
        <v>1</v>
      </c>
      <c r="G595" s="71"/>
      <c r="H595" s="73">
        <f t="shared" si="92"/>
        <v>0</v>
      </c>
      <c r="I595" s="71"/>
      <c r="J595" s="76">
        <f>SUM(J596:J615)</f>
        <v>63353.850000000006</v>
      </c>
      <c r="K595" s="7">
        <v>84471.88</v>
      </c>
      <c r="L595" s="8">
        <v>7.1000000000000004E-3</v>
      </c>
      <c r="N595" s="4"/>
      <c r="O595" s="88">
        <v>84471.88</v>
      </c>
      <c r="P595" s="78"/>
      <c r="Q595" s="2">
        <f t="shared" si="91"/>
        <v>84471.88</v>
      </c>
    </row>
    <row r="596" spans="1:17" ht="33" customHeight="1" x14ac:dyDescent="0.2">
      <c r="A596" s="35">
        <v>40422</v>
      </c>
      <c r="B596" s="15">
        <v>101795</v>
      </c>
      <c r="C596" s="9" t="s">
        <v>56</v>
      </c>
      <c r="D596" s="47" t="s">
        <v>1025</v>
      </c>
      <c r="E596" s="11" t="s">
        <v>84</v>
      </c>
      <c r="F596" s="16">
        <v>4</v>
      </c>
      <c r="G596" s="73">
        <f t="shared" ref="G596:G615" si="94">N596*$S$6</f>
        <v>512.17499999999995</v>
      </c>
      <c r="H596" s="73">
        <f t="shared" si="92"/>
        <v>2048.6999999999998</v>
      </c>
      <c r="I596" s="73">
        <f t="shared" ref="I596:I615" si="95">O596*$S$6</f>
        <v>626.02500000000009</v>
      </c>
      <c r="J596" s="73">
        <f t="shared" si="93"/>
        <v>2504.1</v>
      </c>
      <c r="K596" s="13">
        <v>3338.8</v>
      </c>
      <c r="L596" s="14">
        <v>2.9999999999999997E-4</v>
      </c>
      <c r="N596" s="12">
        <v>682.9</v>
      </c>
      <c r="O596" s="86">
        <v>834.7</v>
      </c>
      <c r="P596" s="78"/>
      <c r="Q596" s="2">
        <f t="shared" si="91"/>
        <v>834.7</v>
      </c>
    </row>
    <row r="597" spans="1:17" ht="33" customHeight="1" x14ac:dyDescent="0.2">
      <c r="A597" s="35">
        <v>40423</v>
      </c>
      <c r="B597" s="15">
        <v>101798</v>
      </c>
      <c r="C597" s="9" t="s">
        <v>56</v>
      </c>
      <c r="D597" s="47" t="s">
        <v>1026</v>
      </c>
      <c r="E597" s="11" t="s">
        <v>84</v>
      </c>
      <c r="F597" s="16">
        <v>4</v>
      </c>
      <c r="G597" s="73">
        <f t="shared" si="94"/>
        <v>253.60499999999999</v>
      </c>
      <c r="H597" s="73">
        <f t="shared" si="92"/>
        <v>1014.42</v>
      </c>
      <c r="I597" s="73">
        <f t="shared" si="95"/>
        <v>309.97500000000002</v>
      </c>
      <c r="J597" s="73">
        <f t="shared" si="93"/>
        <v>1239.9000000000001</v>
      </c>
      <c r="K597" s="13">
        <v>1653.2</v>
      </c>
      <c r="L597" s="14">
        <v>1E-4</v>
      </c>
      <c r="N597" s="12">
        <v>338.14</v>
      </c>
      <c r="O597" s="86">
        <v>413.3</v>
      </c>
      <c r="P597" s="78"/>
      <c r="Q597" s="2">
        <f t="shared" si="91"/>
        <v>413.3</v>
      </c>
    </row>
    <row r="598" spans="1:17" ht="33" customHeight="1" x14ac:dyDescent="0.2">
      <c r="A598" s="35">
        <v>40424</v>
      </c>
      <c r="B598" s="15">
        <v>91940</v>
      </c>
      <c r="C598" s="9" t="s">
        <v>56</v>
      </c>
      <c r="D598" s="47" t="s">
        <v>921</v>
      </c>
      <c r="E598" s="11" t="s">
        <v>84</v>
      </c>
      <c r="F598" s="16">
        <v>119</v>
      </c>
      <c r="G598" s="73">
        <f t="shared" si="94"/>
        <v>18.945</v>
      </c>
      <c r="H598" s="73">
        <f t="shared" si="92"/>
        <v>2254.4499999999998</v>
      </c>
      <c r="I598" s="73">
        <f t="shared" si="95"/>
        <v>23.1525</v>
      </c>
      <c r="J598" s="73">
        <f t="shared" si="93"/>
        <v>2755.14</v>
      </c>
      <c r="K598" s="13">
        <v>3673.53</v>
      </c>
      <c r="L598" s="14">
        <v>2.9999999999999997E-4</v>
      </c>
      <c r="N598" s="12">
        <v>25.26</v>
      </c>
      <c r="O598" s="86">
        <v>30.87</v>
      </c>
      <c r="P598" s="78"/>
      <c r="Q598" s="2">
        <f t="shared" si="91"/>
        <v>30.87</v>
      </c>
    </row>
    <row r="599" spans="1:17" ht="33" customHeight="1" x14ac:dyDescent="0.2">
      <c r="A599" s="35">
        <v>40425</v>
      </c>
      <c r="B599" s="15">
        <v>100556</v>
      </c>
      <c r="C599" s="9" t="s">
        <v>56</v>
      </c>
      <c r="D599" s="46" t="s">
        <v>1027</v>
      </c>
      <c r="E599" s="11" t="s">
        <v>84</v>
      </c>
      <c r="F599" s="16">
        <v>1</v>
      </c>
      <c r="G599" s="73">
        <f t="shared" si="94"/>
        <v>24.93</v>
      </c>
      <c r="H599" s="73">
        <f t="shared" si="92"/>
        <v>24.93</v>
      </c>
      <c r="I599" s="73">
        <f t="shared" si="95"/>
        <v>30.464999999999996</v>
      </c>
      <c r="J599" s="73">
        <f t="shared" si="93"/>
        <v>30.46</v>
      </c>
      <c r="K599" s="12">
        <v>40.619999999999997</v>
      </c>
      <c r="L599" s="14">
        <v>0</v>
      </c>
      <c r="N599" s="12">
        <v>33.24</v>
      </c>
      <c r="O599" s="86">
        <v>40.619999999999997</v>
      </c>
      <c r="P599" s="78"/>
      <c r="Q599" s="2">
        <f t="shared" si="91"/>
        <v>40.619999999999997</v>
      </c>
    </row>
    <row r="600" spans="1:17" ht="33" customHeight="1" x14ac:dyDescent="0.2">
      <c r="A600" s="35">
        <v>40426</v>
      </c>
      <c r="B600" s="9" t="s">
        <v>1028</v>
      </c>
      <c r="C600" s="9" t="s">
        <v>1029</v>
      </c>
      <c r="D600" s="47" t="s">
        <v>1030</v>
      </c>
      <c r="E600" s="11" t="s">
        <v>84</v>
      </c>
      <c r="F600" s="16">
        <v>10</v>
      </c>
      <c r="G600" s="73">
        <f t="shared" si="94"/>
        <v>75.172499999999999</v>
      </c>
      <c r="H600" s="73">
        <f t="shared" si="92"/>
        <v>751.72</v>
      </c>
      <c r="I600" s="73">
        <f t="shared" si="95"/>
        <v>91.882500000000007</v>
      </c>
      <c r="J600" s="73">
        <f t="shared" si="93"/>
        <v>918.82</v>
      </c>
      <c r="K600" s="13">
        <v>1225.0999999999999</v>
      </c>
      <c r="L600" s="14">
        <v>1E-4</v>
      </c>
      <c r="N600" s="12">
        <v>100.23</v>
      </c>
      <c r="O600" s="86">
        <v>122.51</v>
      </c>
      <c r="P600" s="78"/>
      <c r="Q600" s="2">
        <f t="shared" si="91"/>
        <v>122.50999999999999</v>
      </c>
    </row>
    <row r="601" spans="1:17" ht="33" customHeight="1" x14ac:dyDescent="0.2">
      <c r="A601" s="35">
        <v>40427</v>
      </c>
      <c r="B601" s="10" t="s">
        <v>1031</v>
      </c>
      <c r="C601" s="9" t="s">
        <v>24</v>
      </c>
      <c r="D601" s="47" t="s">
        <v>1032</v>
      </c>
      <c r="E601" s="11" t="s">
        <v>99</v>
      </c>
      <c r="F601" s="29">
        <v>179.9</v>
      </c>
      <c r="G601" s="73">
        <f t="shared" si="94"/>
        <v>61.53</v>
      </c>
      <c r="H601" s="73">
        <f t="shared" si="92"/>
        <v>11069.24</v>
      </c>
      <c r="I601" s="73">
        <f t="shared" si="95"/>
        <v>75.202500000000001</v>
      </c>
      <c r="J601" s="73">
        <f t="shared" si="93"/>
        <v>13528.92</v>
      </c>
      <c r="K601" s="13">
        <v>18038.57</v>
      </c>
      <c r="L601" s="14">
        <v>1.5E-3</v>
      </c>
      <c r="N601" s="12">
        <v>82.04</v>
      </c>
      <c r="O601" s="86">
        <v>100.27</v>
      </c>
      <c r="P601" s="78"/>
      <c r="Q601" s="2">
        <f t="shared" si="91"/>
        <v>100.26998332406892</v>
      </c>
    </row>
    <row r="602" spans="1:17" ht="33" customHeight="1" x14ac:dyDescent="0.2">
      <c r="A602" s="35">
        <v>40428</v>
      </c>
      <c r="B602" s="10" t="s">
        <v>1033</v>
      </c>
      <c r="C602" s="9" t="s">
        <v>24</v>
      </c>
      <c r="D602" s="46" t="s">
        <v>1034</v>
      </c>
      <c r="E602" s="11" t="s">
        <v>99</v>
      </c>
      <c r="F602" s="29">
        <v>55.5</v>
      </c>
      <c r="G602" s="73">
        <f t="shared" si="94"/>
        <v>76.155000000000001</v>
      </c>
      <c r="H602" s="73">
        <f t="shared" si="92"/>
        <v>4226.6000000000004</v>
      </c>
      <c r="I602" s="73">
        <f t="shared" si="95"/>
        <v>93.082499999999996</v>
      </c>
      <c r="J602" s="73">
        <f t="shared" si="93"/>
        <v>5166.07</v>
      </c>
      <c r="K602" s="13">
        <v>6888.1</v>
      </c>
      <c r="L602" s="14">
        <v>5.9999999999999995E-4</v>
      </c>
      <c r="N602" s="12">
        <v>101.54</v>
      </c>
      <c r="O602" s="86">
        <v>124.11</v>
      </c>
      <c r="P602" s="78"/>
      <c r="Q602" s="2">
        <f t="shared" si="91"/>
        <v>124.10990990990992</v>
      </c>
    </row>
    <row r="603" spans="1:17" ht="33" customHeight="1" x14ac:dyDescent="0.2">
      <c r="A603" s="35">
        <v>40429</v>
      </c>
      <c r="B603" s="10" t="s">
        <v>1035</v>
      </c>
      <c r="C603" s="9" t="s">
        <v>24</v>
      </c>
      <c r="D603" s="46" t="s">
        <v>1036</v>
      </c>
      <c r="E603" s="11" t="s">
        <v>99</v>
      </c>
      <c r="F603" s="29">
        <v>15.7</v>
      </c>
      <c r="G603" s="73">
        <f t="shared" si="94"/>
        <v>70.304999999999993</v>
      </c>
      <c r="H603" s="73">
        <f t="shared" si="92"/>
        <v>1103.78</v>
      </c>
      <c r="I603" s="73">
        <f t="shared" si="95"/>
        <v>85.927499999999995</v>
      </c>
      <c r="J603" s="73">
        <f t="shared" si="93"/>
        <v>1349.06</v>
      </c>
      <c r="K603" s="13">
        <v>1798.74</v>
      </c>
      <c r="L603" s="14">
        <v>2.0000000000000001E-4</v>
      </c>
      <c r="N603" s="12">
        <v>93.74</v>
      </c>
      <c r="O603" s="86">
        <v>114.57</v>
      </c>
      <c r="P603" s="78"/>
      <c r="Q603" s="2">
        <f t="shared" si="91"/>
        <v>114.56942675159236</v>
      </c>
    </row>
    <row r="604" spans="1:17" ht="33" customHeight="1" x14ac:dyDescent="0.2">
      <c r="A604" s="35">
        <v>40430</v>
      </c>
      <c r="B604" s="25" t="s">
        <v>1037</v>
      </c>
      <c r="C604" s="9" t="s">
        <v>24</v>
      </c>
      <c r="D604" s="47" t="s">
        <v>1038</v>
      </c>
      <c r="E604" s="11" t="s">
        <v>99</v>
      </c>
      <c r="F604" s="16">
        <v>487</v>
      </c>
      <c r="G604" s="73">
        <f t="shared" si="94"/>
        <v>15.3825</v>
      </c>
      <c r="H604" s="73">
        <f t="shared" si="92"/>
        <v>7491.27</v>
      </c>
      <c r="I604" s="73">
        <f t="shared" si="95"/>
        <v>18.794999999999998</v>
      </c>
      <c r="J604" s="73">
        <f t="shared" si="93"/>
        <v>9153.16</v>
      </c>
      <c r="K604" s="13">
        <v>12204.22</v>
      </c>
      <c r="L604" s="14">
        <v>1E-3</v>
      </c>
      <c r="N604" s="12">
        <v>20.51</v>
      </c>
      <c r="O604" s="86">
        <v>25.06</v>
      </c>
      <c r="P604" s="78"/>
      <c r="Q604" s="2">
        <f t="shared" si="91"/>
        <v>25.06</v>
      </c>
    </row>
    <row r="605" spans="1:17" ht="33" customHeight="1" x14ac:dyDescent="0.2">
      <c r="A605" s="36">
        <v>40460</v>
      </c>
      <c r="B605" s="25" t="s">
        <v>1039</v>
      </c>
      <c r="C605" s="9" t="s">
        <v>24</v>
      </c>
      <c r="D605" s="47" t="s">
        <v>1040</v>
      </c>
      <c r="E605" s="11" t="s">
        <v>99</v>
      </c>
      <c r="F605" s="29">
        <v>22.8</v>
      </c>
      <c r="G605" s="73">
        <f t="shared" si="94"/>
        <v>19.725000000000001</v>
      </c>
      <c r="H605" s="73">
        <f t="shared" si="92"/>
        <v>449.73</v>
      </c>
      <c r="I605" s="73">
        <f t="shared" si="95"/>
        <v>24.105</v>
      </c>
      <c r="J605" s="73">
        <f t="shared" si="93"/>
        <v>549.59</v>
      </c>
      <c r="K605" s="12">
        <v>732.79</v>
      </c>
      <c r="L605" s="14">
        <v>1E-4</v>
      </c>
      <c r="N605" s="12">
        <v>26.3</v>
      </c>
      <c r="O605" s="86">
        <v>32.14</v>
      </c>
      <c r="P605" s="78"/>
      <c r="Q605" s="2">
        <f t="shared" si="91"/>
        <v>32.139912280701751</v>
      </c>
    </row>
    <row r="606" spans="1:17" ht="33" customHeight="1" x14ac:dyDescent="0.2">
      <c r="A606" s="36">
        <v>40825</v>
      </c>
      <c r="B606" s="15">
        <v>97668</v>
      </c>
      <c r="C606" s="9" t="s">
        <v>56</v>
      </c>
      <c r="D606" s="46" t="s">
        <v>1041</v>
      </c>
      <c r="E606" s="11" t="s">
        <v>99</v>
      </c>
      <c r="F606" s="16">
        <v>31</v>
      </c>
      <c r="G606" s="73">
        <f t="shared" si="94"/>
        <v>10.74</v>
      </c>
      <c r="H606" s="73">
        <f t="shared" si="92"/>
        <v>332.94</v>
      </c>
      <c r="I606" s="73">
        <f t="shared" si="95"/>
        <v>13.125</v>
      </c>
      <c r="J606" s="73">
        <f t="shared" si="93"/>
        <v>406.87</v>
      </c>
      <c r="K606" s="12">
        <v>542.5</v>
      </c>
      <c r="L606" s="14">
        <v>0</v>
      </c>
      <c r="N606" s="12">
        <v>14.32</v>
      </c>
      <c r="O606" s="86">
        <v>17.5</v>
      </c>
      <c r="P606" s="78"/>
      <c r="Q606" s="2">
        <f t="shared" si="91"/>
        <v>17.5</v>
      </c>
    </row>
    <row r="607" spans="1:17" ht="33" customHeight="1" x14ac:dyDescent="0.2">
      <c r="A607" s="36">
        <v>41191</v>
      </c>
      <c r="B607" s="15">
        <v>95728</v>
      </c>
      <c r="C607" s="9" t="s">
        <v>56</v>
      </c>
      <c r="D607" s="47" t="s">
        <v>1042</v>
      </c>
      <c r="E607" s="11" t="s">
        <v>99</v>
      </c>
      <c r="F607" s="29">
        <v>9.8000000000000007</v>
      </c>
      <c r="G607" s="73">
        <f t="shared" si="94"/>
        <v>24.974999999999998</v>
      </c>
      <c r="H607" s="73">
        <f t="shared" si="92"/>
        <v>244.75</v>
      </c>
      <c r="I607" s="73">
        <f t="shared" si="95"/>
        <v>30.525000000000002</v>
      </c>
      <c r="J607" s="73">
        <f t="shared" si="93"/>
        <v>299.14</v>
      </c>
      <c r="K607" s="12">
        <v>398.86</v>
      </c>
      <c r="L607" s="14">
        <v>0</v>
      </c>
      <c r="N607" s="12">
        <v>33.299999999999997</v>
      </c>
      <c r="O607" s="86">
        <v>40.700000000000003</v>
      </c>
      <c r="P607" s="78"/>
      <c r="Q607" s="2">
        <f t="shared" si="91"/>
        <v>40.699999999999996</v>
      </c>
    </row>
    <row r="608" spans="1:17" ht="33" customHeight="1" x14ac:dyDescent="0.2">
      <c r="A608" s="36">
        <v>41556</v>
      </c>
      <c r="B608" s="15">
        <v>93009</v>
      </c>
      <c r="C608" s="9" t="s">
        <v>56</v>
      </c>
      <c r="D608" s="46" t="s">
        <v>1043</v>
      </c>
      <c r="E608" s="11" t="s">
        <v>99</v>
      </c>
      <c r="F608" s="29">
        <v>5.3</v>
      </c>
      <c r="G608" s="73">
        <f t="shared" si="94"/>
        <v>22.11</v>
      </c>
      <c r="H608" s="73">
        <f t="shared" si="92"/>
        <v>117.18</v>
      </c>
      <c r="I608" s="73">
        <f t="shared" si="95"/>
        <v>27.022500000000001</v>
      </c>
      <c r="J608" s="73">
        <f t="shared" si="93"/>
        <v>143.21</v>
      </c>
      <c r="K608" s="12">
        <v>190.95</v>
      </c>
      <c r="L608" s="14">
        <v>0</v>
      </c>
      <c r="N608" s="12">
        <v>29.48</v>
      </c>
      <c r="O608" s="86">
        <v>36.03</v>
      </c>
      <c r="P608" s="78"/>
      <c r="Q608" s="2">
        <f t="shared" si="91"/>
        <v>36.028301886792455</v>
      </c>
    </row>
    <row r="609" spans="1:17" ht="33" customHeight="1" x14ac:dyDescent="0.2">
      <c r="A609" s="36">
        <v>41921</v>
      </c>
      <c r="B609" s="15">
        <v>104785</v>
      </c>
      <c r="C609" s="9" t="s">
        <v>56</v>
      </c>
      <c r="D609" s="47" t="s">
        <v>1044</v>
      </c>
      <c r="E609" s="11" t="s">
        <v>99</v>
      </c>
      <c r="F609" s="29">
        <v>519.6</v>
      </c>
      <c r="G609" s="73">
        <f t="shared" si="94"/>
        <v>11.842499999999999</v>
      </c>
      <c r="H609" s="73">
        <f t="shared" si="92"/>
        <v>6153.36</v>
      </c>
      <c r="I609" s="73">
        <f t="shared" si="95"/>
        <v>14.475000000000001</v>
      </c>
      <c r="J609" s="73">
        <f t="shared" si="93"/>
        <v>7521.21</v>
      </c>
      <c r="K609" s="13">
        <v>10028.280000000001</v>
      </c>
      <c r="L609" s="14">
        <v>8.0000000000000004E-4</v>
      </c>
      <c r="N609" s="12">
        <v>15.79</v>
      </c>
      <c r="O609" s="86">
        <v>19.3</v>
      </c>
      <c r="P609" s="78"/>
      <c r="Q609" s="2">
        <f t="shared" si="91"/>
        <v>19.3</v>
      </c>
    </row>
    <row r="610" spans="1:17" ht="33" customHeight="1" x14ac:dyDescent="0.2">
      <c r="A610" s="36">
        <v>42286</v>
      </c>
      <c r="B610" s="15">
        <v>91893</v>
      </c>
      <c r="C610" s="9" t="s">
        <v>56</v>
      </c>
      <c r="D610" s="47" t="s">
        <v>1045</v>
      </c>
      <c r="E610" s="11" t="s">
        <v>84</v>
      </c>
      <c r="F610" s="16">
        <v>2</v>
      </c>
      <c r="G610" s="73">
        <f t="shared" si="94"/>
        <v>17.3475</v>
      </c>
      <c r="H610" s="73">
        <f t="shared" si="92"/>
        <v>34.69</v>
      </c>
      <c r="I610" s="73">
        <f t="shared" si="95"/>
        <v>21.202500000000001</v>
      </c>
      <c r="J610" s="73">
        <f t="shared" si="93"/>
        <v>42.4</v>
      </c>
      <c r="K610" s="12">
        <v>56.54</v>
      </c>
      <c r="L610" s="14">
        <v>0</v>
      </c>
      <c r="N610" s="12">
        <v>23.13</v>
      </c>
      <c r="O610" s="86">
        <v>28.27</v>
      </c>
      <c r="P610" s="78"/>
      <c r="Q610" s="2">
        <f t="shared" si="91"/>
        <v>28.27</v>
      </c>
    </row>
    <row r="611" spans="1:17" ht="33" customHeight="1" x14ac:dyDescent="0.2">
      <c r="A611" s="36">
        <v>42652</v>
      </c>
      <c r="B611" s="32">
        <v>59121</v>
      </c>
      <c r="C611" s="9" t="s">
        <v>335</v>
      </c>
      <c r="D611" s="47" t="s">
        <v>1046</v>
      </c>
      <c r="E611" s="11" t="s">
        <v>84</v>
      </c>
      <c r="F611" s="16">
        <v>1</v>
      </c>
      <c r="G611" s="73">
        <f t="shared" si="94"/>
        <v>7.0950000000000006</v>
      </c>
      <c r="H611" s="73">
        <f t="shared" si="92"/>
        <v>7.09</v>
      </c>
      <c r="I611" s="73">
        <f t="shared" si="95"/>
        <v>8.67</v>
      </c>
      <c r="J611" s="73">
        <f t="shared" si="93"/>
        <v>8.67</v>
      </c>
      <c r="K611" s="12">
        <v>11.56</v>
      </c>
      <c r="L611" s="14">
        <v>0</v>
      </c>
      <c r="N611" s="12">
        <v>9.4600000000000009</v>
      </c>
      <c r="O611" s="86">
        <v>11.56</v>
      </c>
      <c r="P611" s="78"/>
      <c r="Q611" s="2">
        <f t="shared" si="91"/>
        <v>11.56</v>
      </c>
    </row>
    <row r="612" spans="1:17" ht="33" customHeight="1" x14ac:dyDescent="0.2">
      <c r="A612" s="36">
        <v>43017</v>
      </c>
      <c r="B612" s="15">
        <v>11817</v>
      </c>
      <c r="C612" s="9" t="s">
        <v>1047</v>
      </c>
      <c r="D612" s="47" t="s">
        <v>1048</v>
      </c>
      <c r="E612" s="11" t="s">
        <v>776</v>
      </c>
      <c r="F612" s="16">
        <v>76</v>
      </c>
      <c r="G612" s="73">
        <f t="shared" si="94"/>
        <v>7.5975000000000001</v>
      </c>
      <c r="H612" s="73">
        <f t="shared" si="92"/>
        <v>577.41</v>
      </c>
      <c r="I612" s="73">
        <f t="shared" si="95"/>
        <v>9.2850000000000001</v>
      </c>
      <c r="J612" s="73">
        <f t="shared" si="93"/>
        <v>705.66</v>
      </c>
      <c r="K612" s="12">
        <v>940.88</v>
      </c>
      <c r="L612" s="14">
        <v>1E-4</v>
      </c>
      <c r="N612" s="12">
        <v>10.130000000000001</v>
      </c>
      <c r="O612" s="86">
        <v>12.38</v>
      </c>
      <c r="P612" s="78"/>
      <c r="Q612" s="2">
        <f t="shared" si="91"/>
        <v>12.38</v>
      </c>
    </row>
    <row r="613" spans="1:17" ht="33" customHeight="1" x14ac:dyDescent="0.2">
      <c r="A613" s="36">
        <v>43382</v>
      </c>
      <c r="B613" s="32">
        <v>59334</v>
      </c>
      <c r="C613" s="9" t="s">
        <v>335</v>
      </c>
      <c r="D613" s="47" t="s">
        <v>1049</v>
      </c>
      <c r="E613" s="11" t="s">
        <v>84</v>
      </c>
      <c r="F613" s="16">
        <v>8</v>
      </c>
      <c r="G613" s="73">
        <f t="shared" si="94"/>
        <v>247.79999999999998</v>
      </c>
      <c r="H613" s="73">
        <f t="shared" si="92"/>
        <v>1982.4</v>
      </c>
      <c r="I613" s="73">
        <f t="shared" si="95"/>
        <v>302.88</v>
      </c>
      <c r="J613" s="73">
        <f t="shared" si="93"/>
        <v>2423.04</v>
      </c>
      <c r="K613" s="13">
        <v>3230.72</v>
      </c>
      <c r="L613" s="14">
        <v>2.9999999999999997E-4</v>
      </c>
      <c r="N613" s="12">
        <v>330.4</v>
      </c>
      <c r="O613" s="86">
        <v>403.84</v>
      </c>
      <c r="P613" s="78"/>
      <c r="Q613" s="2">
        <f t="shared" si="91"/>
        <v>403.84</v>
      </c>
    </row>
    <row r="614" spans="1:17" ht="33" customHeight="1" x14ac:dyDescent="0.2">
      <c r="A614" s="36">
        <v>43747</v>
      </c>
      <c r="B614" s="15">
        <v>91946</v>
      </c>
      <c r="C614" s="9" t="s">
        <v>56</v>
      </c>
      <c r="D614" s="46" t="s">
        <v>1050</v>
      </c>
      <c r="E614" s="11" t="s">
        <v>84</v>
      </c>
      <c r="F614" s="16">
        <v>119</v>
      </c>
      <c r="G614" s="73">
        <f t="shared" si="94"/>
        <v>9.8550000000000004</v>
      </c>
      <c r="H614" s="73">
        <f t="shared" si="92"/>
        <v>1172.74</v>
      </c>
      <c r="I614" s="73">
        <f t="shared" si="95"/>
        <v>12.044999999999998</v>
      </c>
      <c r="J614" s="73">
        <f t="shared" si="93"/>
        <v>1433.35</v>
      </c>
      <c r="K614" s="13">
        <v>1911.14</v>
      </c>
      <c r="L614" s="14">
        <v>2.0000000000000001E-4</v>
      </c>
      <c r="N614" s="12">
        <v>13.14</v>
      </c>
      <c r="O614" s="86">
        <v>16.059999999999999</v>
      </c>
      <c r="P614" s="78"/>
      <c r="Q614" s="2">
        <f t="shared" si="91"/>
        <v>16.060000000000002</v>
      </c>
    </row>
    <row r="615" spans="1:17" ht="33" customHeight="1" x14ac:dyDescent="0.2">
      <c r="A615" s="36">
        <v>44113</v>
      </c>
      <c r="B615" s="9" t="s">
        <v>1051</v>
      </c>
      <c r="C615" s="9" t="s">
        <v>209</v>
      </c>
      <c r="D615" s="47" t="s">
        <v>1052</v>
      </c>
      <c r="E615" s="11" t="s">
        <v>84</v>
      </c>
      <c r="F615" s="16">
        <v>238</v>
      </c>
      <c r="G615" s="73">
        <f t="shared" si="94"/>
        <v>45.292500000000004</v>
      </c>
      <c r="H615" s="73">
        <f t="shared" si="92"/>
        <v>10779.61</v>
      </c>
      <c r="I615" s="73">
        <f t="shared" si="95"/>
        <v>55.357500000000002</v>
      </c>
      <c r="J615" s="73">
        <f t="shared" si="93"/>
        <v>13175.08</v>
      </c>
      <c r="K615" s="13">
        <v>17566.78</v>
      </c>
      <c r="L615" s="14">
        <v>1.5E-3</v>
      </c>
      <c r="N615" s="12">
        <v>60.39</v>
      </c>
      <c r="O615" s="86">
        <v>73.81</v>
      </c>
      <c r="P615" s="78"/>
      <c r="Q615" s="2">
        <f t="shared" si="91"/>
        <v>73.809999999999988</v>
      </c>
    </row>
    <row r="616" spans="1:17" ht="33" customHeight="1" x14ac:dyDescent="0.2">
      <c r="A616" s="5" t="s">
        <v>1053</v>
      </c>
      <c r="B616" s="4"/>
      <c r="C616" s="4"/>
      <c r="D616" s="45" t="s">
        <v>1054</v>
      </c>
      <c r="E616" s="4"/>
      <c r="F616" s="6">
        <v>1</v>
      </c>
      <c r="G616" s="71"/>
      <c r="H616" s="73">
        <f t="shared" si="92"/>
        <v>0</v>
      </c>
      <c r="I616" s="71"/>
      <c r="J616" s="76">
        <f>SUM(J617:J628)</f>
        <v>50861.98</v>
      </c>
      <c r="K616" s="7">
        <v>67816.02</v>
      </c>
      <c r="L616" s="8">
        <v>5.7000000000000002E-3</v>
      </c>
      <c r="N616" s="4"/>
      <c r="O616" s="88">
        <v>67816.02</v>
      </c>
      <c r="P616" s="78"/>
      <c r="Q616" s="2">
        <f t="shared" si="91"/>
        <v>67816.02</v>
      </c>
    </row>
    <row r="617" spans="1:17" ht="33" customHeight="1" x14ac:dyDescent="0.2">
      <c r="A617" s="40">
        <v>40452</v>
      </c>
      <c r="B617" s="15">
        <v>97881</v>
      </c>
      <c r="C617" s="9" t="s">
        <v>56</v>
      </c>
      <c r="D617" s="46" t="s">
        <v>1055</v>
      </c>
      <c r="E617" s="11" t="s">
        <v>84</v>
      </c>
      <c r="F617" s="16">
        <v>4</v>
      </c>
      <c r="G617" s="73">
        <f t="shared" ref="G617:G628" si="96">N617*$S$6</f>
        <v>127.88249999999999</v>
      </c>
      <c r="H617" s="73">
        <f t="shared" si="92"/>
        <v>511.53</v>
      </c>
      <c r="I617" s="73">
        <f t="shared" ref="I617:I628" si="97">O617*$S$6</f>
        <v>156.3075</v>
      </c>
      <c r="J617" s="73">
        <f t="shared" si="93"/>
        <v>625.23</v>
      </c>
      <c r="K617" s="12">
        <v>833.64</v>
      </c>
      <c r="L617" s="14">
        <v>1E-4</v>
      </c>
      <c r="N617" s="12">
        <v>170.51</v>
      </c>
      <c r="O617" s="86">
        <v>208.41</v>
      </c>
      <c r="P617" s="78"/>
      <c r="Q617" s="2">
        <f t="shared" si="91"/>
        <v>208.41</v>
      </c>
    </row>
    <row r="618" spans="1:17" ht="33" customHeight="1" x14ac:dyDescent="0.2">
      <c r="A618" s="40">
        <v>40453</v>
      </c>
      <c r="B618" s="15">
        <v>104749</v>
      </c>
      <c r="C618" s="9" t="s">
        <v>56</v>
      </c>
      <c r="D618" s="47" t="s">
        <v>1056</v>
      </c>
      <c r="E618" s="11" t="s">
        <v>84</v>
      </c>
      <c r="F618" s="16">
        <v>11</v>
      </c>
      <c r="G618" s="73">
        <f t="shared" si="96"/>
        <v>17.145</v>
      </c>
      <c r="H618" s="73">
        <f t="shared" si="92"/>
        <v>188.59</v>
      </c>
      <c r="I618" s="73">
        <f t="shared" si="97"/>
        <v>20.955000000000002</v>
      </c>
      <c r="J618" s="73">
        <f t="shared" si="93"/>
        <v>230.5</v>
      </c>
      <c r="K618" s="12">
        <v>307.33999999999997</v>
      </c>
      <c r="L618" s="14">
        <v>0</v>
      </c>
      <c r="N618" s="12">
        <v>22.86</v>
      </c>
      <c r="O618" s="86">
        <v>27.94</v>
      </c>
      <c r="P618" s="78"/>
      <c r="Q618" s="2">
        <f t="shared" si="91"/>
        <v>27.939999999999998</v>
      </c>
    </row>
    <row r="619" spans="1:17" ht="33" customHeight="1" x14ac:dyDescent="0.2">
      <c r="A619" s="40">
        <v>40454</v>
      </c>
      <c r="B619" s="25" t="s">
        <v>1057</v>
      </c>
      <c r="C619" s="9" t="s">
        <v>24</v>
      </c>
      <c r="D619" s="47" t="s">
        <v>1058</v>
      </c>
      <c r="E619" s="11" t="s">
        <v>84</v>
      </c>
      <c r="F619" s="16">
        <v>15</v>
      </c>
      <c r="G619" s="73">
        <f t="shared" si="96"/>
        <v>80.092500000000001</v>
      </c>
      <c r="H619" s="73">
        <f t="shared" si="92"/>
        <v>1201.3800000000001</v>
      </c>
      <c r="I619" s="73">
        <f t="shared" si="97"/>
        <v>97.890000000000015</v>
      </c>
      <c r="J619" s="73">
        <f t="shared" si="93"/>
        <v>1468.35</v>
      </c>
      <c r="K619" s="13">
        <v>1957.8</v>
      </c>
      <c r="L619" s="14">
        <v>2.0000000000000001E-4</v>
      </c>
      <c r="N619" s="12">
        <v>106.79</v>
      </c>
      <c r="O619" s="86">
        <v>130.52000000000001</v>
      </c>
      <c r="P619" s="78"/>
      <c r="Q619" s="2">
        <f t="shared" si="91"/>
        <v>130.52000000000001</v>
      </c>
    </row>
    <row r="620" spans="1:17" ht="33" customHeight="1" x14ac:dyDescent="0.2">
      <c r="A620" s="40">
        <v>40455</v>
      </c>
      <c r="B620" s="15">
        <v>96989</v>
      </c>
      <c r="C620" s="9" t="s">
        <v>56</v>
      </c>
      <c r="D620" s="47" t="s">
        <v>1059</v>
      </c>
      <c r="E620" s="11" t="s">
        <v>84</v>
      </c>
      <c r="F620" s="16">
        <v>1</v>
      </c>
      <c r="G620" s="73">
        <f t="shared" si="96"/>
        <v>100.1925</v>
      </c>
      <c r="H620" s="73">
        <f t="shared" si="92"/>
        <v>100.19</v>
      </c>
      <c r="I620" s="73">
        <f t="shared" si="97"/>
        <v>122.46000000000001</v>
      </c>
      <c r="J620" s="73">
        <f t="shared" si="93"/>
        <v>122.46</v>
      </c>
      <c r="K620" s="12">
        <v>163.28</v>
      </c>
      <c r="L620" s="14">
        <v>0</v>
      </c>
      <c r="N620" s="12">
        <v>133.59</v>
      </c>
      <c r="O620" s="86">
        <v>163.28</v>
      </c>
      <c r="P620" s="78"/>
      <c r="Q620" s="2">
        <f t="shared" si="91"/>
        <v>163.28</v>
      </c>
    </row>
    <row r="621" spans="1:17" ht="33" customHeight="1" x14ac:dyDescent="0.2">
      <c r="A621" s="40">
        <v>40456</v>
      </c>
      <c r="B621" s="15">
        <v>96988</v>
      </c>
      <c r="C621" s="9" t="s">
        <v>56</v>
      </c>
      <c r="D621" s="46" t="s">
        <v>1060</v>
      </c>
      <c r="E621" s="11" t="s">
        <v>84</v>
      </c>
      <c r="F621" s="16">
        <v>1</v>
      </c>
      <c r="G621" s="73">
        <f t="shared" si="96"/>
        <v>119.79749999999999</v>
      </c>
      <c r="H621" s="73">
        <f t="shared" si="92"/>
        <v>119.79</v>
      </c>
      <c r="I621" s="73">
        <f t="shared" si="97"/>
        <v>146.42249999999999</v>
      </c>
      <c r="J621" s="73">
        <f t="shared" si="93"/>
        <v>146.41999999999999</v>
      </c>
      <c r="K621" s="12">
        <v>195.23</v>
      </c>
      <c r="L621" s="14">
        <v>0</v>
      </c>
      <c r="N621" s="12">
        <v>159.72999999999999</v>
      </c>
      <c r="O621" s="86">
        <v>195.23</v>
      </c>
      <c r="P621" s="78"/>
      <c r="Q621" s="2">
        <f t="shared" si="91"/>
        <v>195.23</v>
      </c>
    </row>
    <row r="622" spans="1:17" ht="33" customHeight="1" x14ac:dyDescent="0.2">
      <c r="A622" s="40">
        <v>40457</v>
      </c>
      <c r="B622" s="15">
        <v>96987</v>
      </c>
      <c r="C622" s="9" t="s">
        <v>56</v>
      </c>
      <c r="D622" s="46" t="s">
        <v>1061</v>
      </c>
      <c r="E622" s="11" t="s">
        <v>84</v>
      </c>
      <c r="F622" s="16">
        <v>1</v>
      </c>
      <c r="G622" s="73">
        <f t="shared" si="96"/>
        <v>109.29749999999999</v>
      </c>
      <c r="H622" s="73">
        <f t="shared" si="92"/>
        <v>109.29</v>
      </c>
      <c r="I622" s="73">
        <f t="shared" si="97"/>
        <v>133.59</v>
      </c>
      <c r="J622" s="73">
        <f t="shared" si="93"/>
        <v>133.59</v>
      </c>
      <c r="K622" s="12">
        <v>178.12</v>
      </c>
      <c r="L622" s="14">
        <v>0</v>
      </c>
      <c r="N622" s="12">
        <v>145.72999999999999</v>
      </c>
      <c r="O622" s="86">
        <v>178.12</v>
      </c>
      <c r="P622" s="78"/>
      <c r="Q622" s="2">
        <f t="shared" si="91"/>
        <v>178.12</v>
      </c>
    </row>
    <row r="623" spans="1:17" ht="33" customHeight="1" x14ac:dyDescent="0.2">
      <c r="A623" s="40">
        <v>40458</v>
      </c>
      <c r="B623" s="32">
        <v>78033</v>
      </c>
      <c r="C623" s="9" t="s">
        <v>335</v>
      </c>
      <c r="D623" s="47" t="s">
        <v>1062</v>
      </c>
      <c r="E623" s="11" t="s">
        <v>84</v>
      </c>
      <c r="F623" s="16">
        <v>1</v>
      </c>
      <c r="G623" s="73">
        <f t="shared" si="96"/>
        <v>432.32249999999999</v>
      </c>
      <c r="H623" s="73">
        <f t="shared" si="92"/>
        <v>432.32</v>
      </c>
      <c r="I623" s="73">
        <f t="shared" si="97"/>
        <v>528.42750000000001</v>
      </c>
      <c r="J623" s="73">
        <f t="shared" si="93"/>
        <v>528.41999999999996</v>
      </c>
      <c r="K623" s="12">
        <v>704.57</v>
      </c>
      <c r="L623" s="14">
        <v>1E-4</v>
      </c>
      <c r="N623" s="12">
        <v>576.42999999999995</v>
      </c>
      <c r="O623" s="86">
        <v>704.57</v>
      </c>
      <c r="P623" s="78"/>
      <c r="Q623" s="2">
        <f t="shared" si="91"/>
        <v>704.57</v>
      </c>
    </row>
    <row r="624" spans="1:17" ht="33" customHeight="1" x14ac:dyDescent="0.2">
      <c r="A624" s="40">
        <v>40459</v>
      </c>
      <c r="B624" s="10" t="s">
        <v>1063</v>
      </c>
      <c r="C624" s="9" t="s">
        <v>24</v>
      </c>
      <c r="D624" s="47" t="s">
        <v>1064</v>
      </c>
      <c r="E624" s="11" t="s">
        <v>84</v>
      </c>
      <c r="F624" s="16">
        <v>55</v>
      </c>
      <c r="G624" s="73">
        <f t="shared" si="96"/>
        <v>33.494999999999997</v>
      </c>
      <c r="H624" s="73">
        <f t="shared" si="92"/>
        <v>1842.22</v>
      </c>
      <c r="I624" s="73">
        <f t="shared" si="97"/>
        <v>40.935000000000002</v>
      </c>
      <c r="J624" s="73">
        <f t="shared" si="93"/>
        <v>2251.42</v>
      </c>
      <c r="K624" s="13">
        <v>3001.9</v>
      </c>
      <c r="L624" s="14">
        <v>2.9999999999999997E-4</v>
      </c>
      <c r="N624" s="12">
        <v>44.66</v>
      </c>
      <c r="O624" s="86">
        <v>54.58</v>
      </c>
      <c r="P624" s="78"/>
      <c r="Q624" s="2">
        <f t="shared" si="91"/>
        <v>54.58</v>
      </c>
    </row>
    <row r="625" spans="1:17" ht="33" customHeight="1" x14ac:dyDescent="0.2">
      <c r="A625" s="40">
        <v>40460</v>
      </c>
      <c r="B625" s="15">
        <v>96973</v>
      </c>
      <c r="C625" s="9" t="s">
        <v>56</v>
      </c>
      <c r="D625" s="46" t="s">
        <v>1065</v>
      </c>
      <c r="E625" s="11" t="s">
        <v>99</v>
      </c>
      <c r="F625" s="29">
        <v>396.9</v>
      </c>
      <c r="G625" s="73">
        <f t="shared" si="96"/>
        <v>59.752499999999998</v>
      </c>
      <c r="H625" s="73">
        <f t="shared" si="92"/>
        <v>23715.759999999998</v>
      </c>
      <c r="I625" s="73">
        <f t="shared" si="97"/>
        <v>73.034999999999997</v>
      </c>
      <c r="J625" s="73">
        <f t="shared" si="93"/>
        <v>28987.59</v>
      </c>
      <c r="K625" s="13">
        <v>38650.120000000003</v>
      </c>
      <c r="L625" s="14">
        <v>3.2000000000000002E-3</v>
      </c>
      <c r="N625" s="12">
        <v>79.67</v>
      </c>
      <c r="O625" s="86">
        <v>97.38</v>
      </c>
      <c r="P625" s="78"/>
      <c r="Q625" s="2">
        <f t="shared" si="91"/>
        <v>97.379994960947357</v>
      </c>
    </row>
    <row r="626" spans="1:17" ht="33" customHeight="1" x14ac:dyDescent="0.2">
      <c r="A626" s="41">
        <v>40461</v>
      </c>
      <c r="B626" s="15">
        <v>96977</v>
      </c>
      <c r="C626" s="9" t="s">
        <v>56</v>
      </c>
      <c r="D626" s="47" t="s">
        <v>1066</v>
      </c>
      <c r="E626" s="11" t="s">
        <v>99</v>
      </c>
      <c r="F626" s="29">
        <v>207.5</v>
      </c>
      <c r="G626" s="73">
        <f t="shared" si="96"/>
        <v>44.2425</v>
      </c>
      <c r="H626" s="73">
        <f t="shared" si="92"/>
        <v>9180.31</v>
      </c>
      <c r="I626" s="73">
        <f t="shared" si="97"/>
        <v>54.074999999999996</v>
      </c>
      <c r="J626" s="73">
        <f t="shared" si="93"/>
        <v>11220.56</v>
      </c>
      <c r="K626" s="13">
        <v>14960.75</v>
      </c>
      <c r="L626" s="14">
        <v>1.2999999999999999E-3</v>
      </c>
      <c r="N626" s="12">
        <v>58.99</v>
      </c>
      <c r="O626" s="86">
        <v>72.099999999999994</v>
      </c>
      <c r="P626" s="78"/>
      <c r="Q626" s="2">
        <f t="shared" si="91"/>
        <v>72.099999999999994</v>
      </c>
    </row>
    <row r="627" spans="1:17" ht="33" customHeight="1" x14ac:dyDescent="0.2">
      <c r="A627" s="41">
        <v>40826</v>
      </c>
      <c r="B627" s="10" t="s">
        <v>1067</v>
      </c>
      <c r="C627" s="9" t="s">
        <v>209</v>
      </c>
      <c r="D627" s="47" t="s">
        <v>1068</v>
      </c>
      <c r="E627" s="11" t="s">
        <v>99</v>
      </c>
      <c r="F627" s="29">
        <v>152.5</v>
      </c>
      <c r="G627" s="73">
        <f t="shared" si="96"/>
        <v>24.427500000000002</v>
      </c>
      <c r="H627" s="73">
        <f t="shared" si="92"/>
        <v>3725.19</v>
      </c>
      <c r="I627" s="73">
        <f t="shared" si="97"/>
        <v>29.857500000000002</v>
      </c>
      <c r="J627" s="73">
        <f t="shared" si="93"/>
        <v>4553.26</v>
      </c>
      <c r="K627" s="13">
        <v>6071.02</v>
      </c>
      <c r="L627" s="14">
        <v>5.0000000000000001E-4</v>
      </c>
      <c r="N627" s="12">
        <v>32.57</v>
      </c>
      <c r="O627" s="86">
        <v>39.81</v>
      </c>
      <c r="P627" s="78"/>
      <c r="Q627" s="2">
        <f t="shared" si="91"/>
        <v>39.80996721311476</v>
      </c>
    </row>
    <row r="628" spans="1:17" ht="33" customHeight="1" x14ac:dyDescent="0.2">
      <c r="A628" s="41">
        <v>41192</v>
      </c>
      <c r="B628" s="9" t="s">
        <v>1069</v>
      </c>
      <c r="C628" s="9" t="s">
        <v>209</v>
      </c>
      <c r="D628" s="47" t="s">
        <v>1070</v>
      </c>
      <c r="E628" s="11" t="s">
        <v>84</v>
      </c>
      <c r="F628" s="16">
        <v>1</v>
      </c>
      <c r="G628" s="73">
        <f t="shared" si="96"/>
        <v>486.12749999999994</v>
      </c>
      <c r="H628" s="73">
        <f t="shared" si="92"/>
        <v>486.12</v>
      </c>
      <c r="I628" s="73">
        <f t="shared" si="97"/>
        <v>594.1875</v>
      </c>
      <c r="J628" s="73">
        <f t="shared" si="93"/>
        <v>594.17999999999995</v>
      </c>
      <c r="K628" s="12">
        <v>792.25</v>
      </c>
      <c r="L628" s="14">
        <v>1E-4</v>
      </c>
      <c r="N628" s="12">
        <v>648.16999999999996</v>
      </c>
      <c r="O628" s="86">
        <v>792.25</v>
      </c>
      <c r="P628" s="78"/>
      <c r="Q628" s="2">
        <f t="shared" si="91"/>
        <v>792.25</v>
      </c>
    </row>
    <row r="629" spans="1:17" ht="33" customHeight="1" x14ac:dyDescent="0.2">
      <c r="A629" s="3">
        <v>11</v>
      </c>
      <c r="B629" s="4"/>
      <c r="C629" s="4"/>
      <c r="D629" s="45" t="s">
        <v>1071</v>
      </c>
      <c r="E629" s="4"/>
      <c r="F629" s="6">
        <v>1</v>
      </c>
      <c r="G629" s="71"/>
      <c r="H629" s="73">
        <f t="shared" si="92"/>
        <v>0</v>
      </c>
      <c r="I629" s="71"/>
      <c r="J629" s="76">
        <f>J630+J638</f>
        <v>454156.92000000004</v>
      </c>
      <c r="K629" s="7">
        <v>605542.56999999995</v>
      </c>
      <c r="L629" s="8">
        <v>5.0799999999999998E-2</v>
      </c>
      <c r="N629" s="4"/>
      <c r="O629" s="88">
        <v>605542.56999999995</v>
      </c>
      <c r="P629" s="78"/>
      <c r="Q629" s="2">
        <f t="shared" si="91"/>
        <v>605542.56999999995</v>
      </c>
    </row>
    <row r="630" spans="1:17" ht="33" customHeight="1" x14ac:dyDescent="0.2">
      <c r="A630" s="5" t="s">
        <v>1072</v>
      </c>
      <c r="B630" s="4"/>
      <c r="C630" s="4"/>
      <c r="D630" s="45" t="s">
        <v>1073</v>
      </c>
      <c r="E630" s="4"/>
      <c r="F630" s="6">
        <v>1</v>
      </c>
      <c r="G630" s="71"/>
      <c r="H630" s="73">
        <f t="shared" si="92"/>
        <v>0</v>
      </c>
      <c r="I630" s="71"/>
      <c r="J630" s="76">
        <f>SUM(J631:J637)</f>
        <v>303157.58</v>
      </c>
      <c r="K630" s="7">
        <v>404210.12</v>
      </c>
      <c r="L630" s="8">
        <v>3.39E-2</v>
      </c>
      <c r="N630" s="4"/>
      <c r="O630" s="88">
        <v>404210.12</v>
      </c>
      <c r="P630" s="78"/>
      <c r="Q630" s="2">
        <f t="shared" si="91"/>
        <v>404210.12</v>
      </c>
    </row>
    <row r="631" spans="1:17" ht="33" customHeight="1" x14ac:dyDescent="0.2">
      <c r="A631" s="35">
        <v>40544</v>
      </c>
      <c r="B631" s="15">
        <v>92543</v>
      </c>
      <c r="C631" s="9" t="s">
        <v>56</v>
      </c>
      <c r="D631" s="47" t="s">
        <v>1074</v>
      </c>
      <c r="E631" s="11" t="s">
        <v>26</v>
      </c>
      <c r="F631" s="17">
        <v>1131.723</v>
      </c>
      <c r="G631" s="73">
        <f t="shared" ref="G631:G637" si="98">N631*$S$6</f>
        <v>25.102499999999999</v>
      </c>
      <c r="H631" s="73">
        <f t="shared" si="92"/>
        <v>28409.07</v>
      </c>
      <c r="I631" s="73">
        <f t="shared" ref="I631:I637" si="99">O631*$S$6</f>
        <v>30.682499999999997</v>
      </c>
      <c r="J631" s="73">
        <f t="shared" si="93"/>
        <v>34724.089999999997</v>
      </c>
      <c r="K631" s="13">
        <v>46298.78</v>
      </c>
      <c r="L631" s="14">
        <v>3.8999999999999998E-3</v>
      </c>
      <c r="N631" s="12">
        <v>33.47</v>
      </c>
      <c r="O631" s="86">
        <v>40.909999999999997</v>
      </c>
      <c r="P631" s="78"/>
      <c r="Q631" s="2">
        <f t="shared" si="91"/>
        <v>40.909992992985032</v>
      </c>
    </row>
    <row r="632" spans="1:17" ht="33" customHeight="1" x14ac:dyDescent="0.2">
      <c r="A632" s="35">
        <v>40545</v>
      </c>
      <c r="B632" s="15">
        <v>100384</v>
      </c>
      <c r="C632" s="9" t="s">
        <v>56</v>
      </c>
      <c r="D632" s="47" t="s">
        <v>1075</v>
      </c>
      <c r="E632" s="11" t="s">
        <v>26</v>
      </c>
      <c r="F632" s="17">
        <v>1131.723</v>
      </c>
      <c r="G632" s="73">
        <f t="shared" si="98"/>
        <v>27.285000000000004</v>
      </c>
      <c r="H632" s="73">
        <f t="shared" si="92"/>
        <v>30879.06</v>
      </c>
      <c r="I632" s="73">
        <f t="shared" si="99"/>
        <v>33.344999999999999</v>
      </c>
      <c r="J632" s="73">
        <f t="shared" si="93"/>
        <v>37737.300000000003</v>
      </c>
      <c r="K632" s="13">
        <v>50316.4</v>
      </c>
      <c r="L632" s="14">
        <v>4.1999999999999997E-3</v>
      </c>
      <c r="N632" s="12">
        <v>36.380000000000003</v>
      </c>
      <c r="O632" s="86">
        <v>44.46</v>
      </c>
      <c r="P632" s="78"/>
      <c r="Q632" s="2">
        <f t="shared" si="91"/>
        <v>44.459995953073324</v>
      </c>
    </row>
    <row r="633" spans="1:17" ht="33" customHeight="1" x14ac:dyDescent="0.2">
      <c r="A633" s="35">
        <v>40546</v>
      </c>
      <c r="B633" s="15">
        <v>100060</v>
      </c>
      <c r="C633" s="9" t="s">
        <v>335</v>
      </c>
      <c r="D633" s="46" t="s">
        <v>1076</v>
      </c>
      <c r="E633" s="11" t="s">
        <v>26</v>
      </c>
      <c r="F633" s="17">
        <v>38.488</v>
      </c>
      <c r="G633" s="73">
        <f t="shared" si="98"/>
        <v>244.11750000000001</v>
      </c>
      <c r="H633" s="73">
        <f t="shared" si="92"/>
        <v>9395.59</v>
      </c>
      <c r="I633" s="73">
        <f t="shared" si="99"/>
        <v>298.38</v>
      </c>
      <c r="J633" s="73">
        <f t="shared" si="93"/>
        <v>11484.04</v>
      </c>
      <c r="K633" s="13">
        <v>15312.06</v>
      </c>
      <c r="L633" s="14">
        <v>1.2999999999999999E-3</v>
      </c>
      <c r="N633" s="12">
        <v>325.49</v>
      </c>
      <c r="O633" s="86">
        <v>397.84</v>
      </c>
      <c r="P633" s="78"/>
      <c r="Q633" s="2">
        <f t="shared" si="91"/>
        <v>397.83984618582417</v>
      </c>
    </row>
    <row r="634" spans="1:17" ht="33" customHeight="1" x14ac:dyDescent="0.2">
      <c r="A634" s="35">
        <v>40547</v>
      </c>
      <c r="B634" s="15">
        <v>94216</v>
      </c>
      <c r="C634" s="9" t="s">
        <v>56</v>
      </c>
      <c r="D634" s="47" t="s">
        <v>1077</v>
      </c>
      <c r="E634" s="11" t="s">
        <v>26</v>
      </c>
      <c r="F634" s="17">
        <v>1170.211</v>
      </c>
      <c r="G634" s="73">
        <f t="shared" si="98"/>
        <v>133.29</v>
      </c>
      <c r="H634" s="73">
        <f t="shared" si="92"/>
        <v>155977.42000000001</v>
      </c>
      <c r="I634" s="73">
        <f t="shared" si="99"/>
        <v>162.91499999999999</v>
      </c>
      <c r="J634" s="73">
        <f t="shared" si="93"/>
        <v>190644.92</v>
      </c>
      <c r="K634" s="13">
        <v>254193.23</v>
      </c>
      <c r="L634" s="14">
        <v>2.1299999999999999E-2</v>
      </c>
      <c r="N634" s="12">
        <v>177.72</v>
      </c>
      <c r="O634" s="86">
        <v>217.22</v>
      </c>
      <c r="P634" s="78"/>
      <c r="Q634" s="2">
        <f t="shared" si="91"/>
        <v>217.21999707745013</v>
      </c>
    </row>
    <row r="635" spans="1:17" ht="33" customHeight="1" x14ac:dyDescent="0.2">
      <c r="A635" s="35">
        <v>40548</v>
      </c>
      <c r="B635" s="10" t="s">
        <v>1078</v>
      </c>
      <c r="C635" s="9" t="s">
        <v>24</v>
      </c>
      <c r="D635" s="47" t="s">
        <v>1079</v>
      </c>
      <c r="E635" s="11" t="s">
        <v>99</v>
      </c>
      <c r="F635" s="17">
        <v>69.575000000000003</v>
      </c>
      <c r="G635" s="73">
        <f t="shared" si="98"/>
        <v>81.06</v>
      </c>
      <c r="H635" s="73">
        <f t="shared" si="92"/>
        <v>5639.74</v>
      </c>
      <c r="I635" s="73">
        <f t="shared" si="99"/>
        <v>99.074999999999989</v>
      </c>
      <c r="J635" s="73">
        <f t="shared" si="93"/>
        <v>6893.14</v>
      </c>
      <c r="K635" s="13">
        <v>9190.85</v>
      </c>
      <c r="L635" s="14">
        <v>8.0000000000000004E-4</v>
      </c>
      <c r="N635" s="12">
        <v>108.08</v>
      </c>
      <c r="O635" s="86">
        <v>132.1</v>
      </c>
      <c r="P635" s="78"/>
      <c r="Q635" s="2">
        <f t="shared" si="91"/>
        <v>132.09989220265899</v>
      </c>
    </row>
    <row r="636" spans="1:17" ht="33" customHeight="1" x14ac:dyDescent="0.2">
      <c r="A636" s="35">
        <v>40549</v>
      </c>
      <c r="B636" s="15">
        <v>94231</v>
      </c>
      <c r="C636" s="9" t="s">
        <v>56</v>
      </c>
      <c r="D636" s="46" t="s">
        <v>1080</v>
      </c>
      <c r="E636" s="11" t="s">
        <v>99</v>
      </c>
      <c r="F636" s="17">
        <v>166.459</v>
      </c>
      <c r="G636" s="73">
        <f t="shared" si="98"/>
        <v>38.347500000000004</v>
      </c>
      <c r="H636" s="73">
        <f t="shared" si="92"/>
        <v>6383.28</v>
      </c>
      <c r="I636" s="73">
        <f t="shared" si="99"/>
        <v>46.8675</v>
      </c>
      <c r="J636" s="73">
        <f t="shared" si="93"/>
        <v>7801.51</v>
      </c>
      <c r="K636" s="13">
        <v>10402.02</v>
      </c>
      <c r="L636" s="14">
        <v>8.9999999999999998E-4</v>
      </c>
      <c r="N636" s="12">
        <v>51.13</v>
      </c>
      <c r="O636" s="86">
        <v>62.49</v>
      </c>
      <c r="P636" s="78"/>
      <c r="Q636" s="2">
        <f t="shared" si="91"/>
        <v>62.489982518217701</v>
      </c>
    </row>
    <row r="637" spans="1:17" ht="33" customHeight="1" x14ac:dyDescent="0.2">
      <c r="A637" s="35">
        <v>40550</v>
      </c>
      <c r="B637" s="9" t="s">
        <v>1081</v>
      </c>
      <c r="C637" s="9" t="s">
        <v>209</v>
      </c>
      <c r="D637" s="47" t="s">
        <v>1082</v>
      </c>
      <c r="E637" s="11" t="s">
        <v>99</v>
      </c>
      <c r="F637" s="17">
        <v>43.436</v>
      </c>
      <c r="G637" s="73">
        <f t="shared" si="98"/>
        <v>261.29999999999995</v>
      </c>
      <c r="H637" s="73">
        <f t="shared" si="92"/>
        <v>11349.82</v>
      </c>
      <c r="I637" s="73">
        <f t="shared" si="99"/>
        <v>319.38</v>
      </c>
      <c r="J637" s="73">
        <f t="shared" si="93"/>
        <v>13872.58</v>
      </c>
      <c r="K637" s="13">
        <v>18496.78</v>
      </c>
      <c r="L637" s="14">
        <v>1.6000000000000001E-3</v>
      </c>
      <c r="N637" s="12">
        <v>348.4</v>
      </c>
      <c r="O637" s="86">
        <v>425.84</v>
      </c>
      <c r="P637" s="78"/>
      <c r="Q637" s="2">
        <f t="shared" si="91"/>
        <v>425.83985634036281</v>
      </c>
    </row>
    <row r="638" spans="1:17" ht="33" customHeight="1" x14ac:dyDescent="0.2">
      <c r="A638" s="5" t="s">
        <v>1083</v>
      </c>
      <c r="B638" s="4"/>
      <c r="C638" s="4"/>
      <c r="D638" s="45" t="s">
        <v>1084</v>
      </c>
      <c r="E638" s="4"/>
      <c r="F638" s="6">
        <v>1</v>
      </c>
      <c r="G638" s="71"/>
      <c r="H638" s="73">
        <f t="shared" si="92"/>
        <v>0</v>
      </c>
      <c r="I638" s="71"/>
      <c r="J638" s="76">
        <f>SUM(J639:J643)</f>
        <v>150999.34</v>
      </c>
      <c r="K638" s="7">
        <v>201332.45</v>
      </c>
      <c r="L638" s="8">
        <v>1.6899999999999998E-2</v>
      </c>
      <c r="N638" s="4"/>
      <c r="O638" s="88">
        <v>201332.45</v>
      </c>
      <c r="P638" s="78"/>
      <c r="Q638" s="2">
        <f t="shared" si="91"/>
        <v>201332.45</v>
      </c>
    </row>
    <row r="639" spans="1:17" ht="33" customHeight="1" x14ac:dyDescent="0.2">
      <c r="A639" s="35">
        <v>40575</v>
      </c>
      <c r="B639" s="10" t="s">
        <v>1085</v>
      </c>
      <c r="C639" s="9" t="s">
        <v>24</v>
      </c>
      <c r="D639" s="47" t="s">
        <v>1086</v>
      </c>
      <c r="E639" s="11" t="s">
        <v>26</v>
      </c>
      <c r="F639" s="12">
        <v>100.75</v>
      </c>
      <c r="G639" s="73">
        <f>N639*$S$6</f>
        <v>103.39500000000001</v>
      </c>
      <c r="H639" s="73">
        <f t="shared" si="92"/>
        <v>10417.040000000001</v>
      </c>
      <c r="I639" s="73">
        <f>O639*$S$6</f>
        <v>126.375</v>
      </c>
      <c r="J639" s="73">
        <f t="shared" si="93"/>
        <v>12732.28</v>
      </c>
      <c r="K639" s="13">
        <v>16976.37</v>
      </c>
      <c r="L639" s="14">
        <v>1.4E-3</v>
      </c>
      <c r="N639" s="12">
        <v>137.86000000000001</v>
      </c>
      <c r="O639" s="86">
        <v>168.5</v>
      </c>
      <c r="P639" s="78"/>
      <c r="Q639" s="2">
        <f t="shared" si="91"/>
        <v>168.49995037220842</v>
      </c>
    </row>
    <row r="640" spans="1:17" ht="33" customHeight="1" x14ac:dyDescent="0.2">
      <c r="A640" s="35">
        <v>40576</v>
      </c>
      <c r="B640" s="15">
        <v>98555</v>
      </c>
      <c r="C640" s="9" t="s">
        <v>56</v>
      </c>
      <c r="D640" s="47" t="s">
        <v>1087</v>
      </c>
      <c r="E640" s="11" t="s">
        <v>26</v>
      </c>
      <c r="F640" s="17">
        <v>400.49700000000001</v>
      </c>
      <c r="G640" s="73">
        <f>N640*$S$6</f>
        <v>29.017499999999998</v>
      </c>
      <c r="H640" s="73">
        <f t="shared" si="92"/>
        <v>11621.42</v>
      </c>
      <c r="I640" s="73">
        <f>O640*$S$6</f>
        <v>35.467500000000001</v>
      </c>
      <c r="J640" s="73">
        <f t="shared" si="93"/>
        <v>14204.62</v>
      </c>
      <c r="K640" s="13">
        <v>18939.5</v>
      </c>
      <c r="L640" s="14">
        <v>1.6000000000000001E-3</v>
      </c>
      <c r="N640" s="12">
        <v>38.69</v>
      </c>
      <c r="O640" s="86">
        <v>47.29</v>
      </c>
      <c r="P640" s="78"/>
      <c r="Q640" s="2">
        <f t="shared" si="91"/>
        <v>47.289992184710492</v>
      </c>
    </row>
    <row r="641" spans="1:17" ht="33" customHeight="1" x14ac:dyDescent="0.2">
      <c r="A641" s="35">
        <v>40577</v>
      </c>
      <c r="B641" s="15">
        <v>98547</v>
      </c>
      <c r="C641" s="9" t="s">
        <v>56</v>
      </c>
      <c r="D641" s="46" t="s">
        <v>1088</v>
      </c>
      <c r="E641" s="11" t="s">
        <v>26</v>
      </c>
      <c r="F641" s="17">
        <v>359.84500000000003</v>
      </c>
      <c r="G641" s="73">
        <f>N641*$S$6</f>
        <v>212.54999999999998</v>
      </c>
      <c r="H641" s="73">
        <f t="shared" si="92"/>
        <v>76485.05</v>
      </c>
      <c r="I641" s="73">
        <f>O641*$S$6</f>
        <v>259.79250000000002</v>
      </c>
      <c r="J641" s="73">
        <f t="shared" si="93"/>
        <v>93485.03</v>
      </c>
      <c r="K641" s="13">
        <v>124646.7</v>
      </c>
      <c r="L641" s="14">
        <v>1.04E-2</v>
      </c>
      <c r="N641" s="12">
        <v>283.39999999999998</v>
      </c>
      <c r="O641" s="86">
        <v>346.39</v>
      </c>
      <c r="P641" s="78"/>
      <c r="Q641" s="2">
        <f t="shared" si="91"/>
        <v>346.3899734607956</v>
      </c>
    </row>
    <row r="642" spans="1:17" ht="33" customHeight="1" x14ac:dyDescent="0.2">
      <c r="A642" s="35">
        <v>40578</v>
      </c>
      <c r="B642" s="15">
        <v>98570</v>
      </c>
      <c r="C642" s="9" t="s">
        <v>56</v>
      </c>
      <c r="D642" s="47" t="s">
        <v>1089</v>
      </c>
      <c r="E642" s="11" t="s">
        <v>26</v>
      </c>
      <c r="F642" s="17">
        <v>67.165999999999997</v>
      </c>
      <c r="G642" s="73">
        <f>N642*$S$6</f>
        <v>90.292500000000004</v>
      </c>
      <c r="H642" s="73">
        <f t="shared" si="92"/>
        <v>6064.58</v>
      </c>
      <c r="I642" s="73">
        <f>O642*$S$6</f>
        <v>110.36250000000001</v>
      </c>
      <c r="J642" s="73">
        <f t="shared" si="93"/>
        <v>7412.6</v>
      </c>
      <c r="K642" s="13">
        <v>9883.4699999999993</v>
      </c>
      <c r="L642" s="14">
        <v>8.0000000000000004E-4</v>
      </c>
      <c r="N642" s="12">
        <v>120.39</v>
      </c>
      <c r="O642" s="86">
        <v>147.15</v>
      </c>
      <c r="P642" s="78"/>
      <c r="Q642" s="2">
        <f t="shared" si="91"/>
        <v>147.1498972694518</v>
      </c>
    </row>
    <row r="643" spans="1:17" ht="33" customHeight="1" x14ac:dyDescent="0.2">
      <c r="A643" s="35">
        <v>40579</v>
      </c>
      <c r="B643" s="15">
        <v>98567</v>
      </c>
      <c r="C643" s="9" t="s">
        <v>56</v>
      </c>
      <c r="D643" s="47" t="s">
        <v>1090</v>
      </c>
      <c r="E643" s="11" t="s">
        <v>26</v>
      </c>
      <c r="F643" s="17">
        <v>292.67899999999997</v>
      </c>
      <c r="G643" s="73">
        <f>N643*$S$6</f>
        <v>64.754999999999995</v>
      </c>
      <c r="H643" s="73">
        <f t="shared" si="92"/>
        <v>18952.419999999998</v>
      </c>
      <c r="I643" s="73">
        <f>O643*$S$6</f>
        <v>79.147500000000008</v>
      </c>
      <c r="J643" s="73">
        <f t="shared" si="93"/>
        <v>23164.81</v>
      </c>
      <c r="K643" s="13">
        <v>30886.41</v>
      </c>
      <c r="L643" s="14">
        <v>2.5999999999999999E-3</v>
      </c>
      <c r="N643" s="12">
        <v>86.34</v>
      </c>
      <c r="O643" s="86">
        <v>105.53</v>
      </c>
      <c r="P643" s="78"/>
      <c r="Q643" s="2">
        <f t="shared" si="91"/>
        <v>105.5299833606101</v>
      </c>
    </row>
    <row r="644" spans="1:17" ht="33" customHeight="1" x14ac:dyDescent="0.2">
      <c r="A644" s="3">
        <v>12</v>
      </c>
      <c r="B644" s="4"/>
      <c r="C644" s="4"/>
      <c r="D644" s="45" t="s">
        <v>1091</v>
      </c>
      <c r="E644" s="4"/>
      <c r="F644" s="6">
        <v>1</v>
      </c>
      <c r="G644" s="71"/>
      <c r="H644" s="73">
        <f t="shared" si="92"/>
        <v>0</v>
      </c>
      <c r="I644" s="71"/>
      <c r="J644" s="76">
        <f>J645+J669+J673+J678</f>
        <v>47446.460000000006</v>
      </c>
      <c r="K644" s="7">
        <v>63262.11</v>
      </c>
      <c r="L644" s="8">
        <v>5.3E-3</v>
      </c>
      <c r="N644" s="4"/>
      <c r="O644" s="88">
        <v>63262.11</v>
      </c>
      <c r="P644" s="78"/>
      <c r="Q644" s="2">
        <f t="shared" si="91"/>
        <v>63262.11</v>
      </c>
    </row>
    <row r="645" spans="1:17" ht="33" customHeight="1" x14ac:dyDescent="0.2">
      <c r="A645" s="5" t="s">
        <v>1092</v>
      </c>
      <c r="B645" s="4"/>
      <c r="C645" s="4"/>
      <c r="D645" s="45" t="s">
        <v>1093</v>
      </c>
      <c r="E645" s="4"/>
      <c r="F645" s="6">
        <v>1</v>
      </c>
      <c r="G645" s="71"/>
      <c r="H645" s="73">
        <f t="shared" si="92"/>
        <v>0</v>
      </c>
      <c r="I645" s="71"/>
      <c r="J645" s="76">
        <f>SUM(J646:J668)</f>
        <v>34156.490000000005</v>
      </c>
      <c r="K645" s="7">
        <v>45542.07</v>
      </c>
      <c r="L645" s="8">
        <v>3.8E-3</v>
      </c>
      <c r="N645" s="4"/>
      <c r="O645" s="88">
        <v>45542.07</v>
      </c>
      <c r="P645" s="78"/>
      <c r="Q645" s="2">
        <f t="shared" si="91"/>
        <v>45542.07</v>
      </c>
    </row>
    <row r="646" spans="1:17" ht="33" customHeight="1" x14ac:dyDescent="0.2">
      <c r="A646" s="35">
        <v>40909</v>
      </c>
      <c r="B646" s="25" t="s">
        <v>1094</v>
      </c>
      <c r="C646" s="9" t="s">
        <v>24</v>
      </c>
      <c r="D646" s="46" t="s">
        <v>1095</v>
      </c>
      <c r="E646" s="11" t="s">
        <v>84</v>
      </c>
      <c r="F646" s="16">
        <v>2</v>
      </c>
      <c r="G646" s="73">
        <f t="shared" ref="G646:G668" si="100">N646*$S$6</f>
        <v>1596.9675</v>
      </c>
      <c r="H646" s="73">
        <f t="shared" si="92"/>
        <v>3193.93</v>
      </c>
      <c r="I646" s="73">
        <f t="shared" ref="I646:I668" si="101">O646*$S$6</f>
        <v>1951.9725000000001</v>
      </c>
      <c r="J646" s="73">
        <f t="shared" si="93"/>
        <v>3903.94</v>
      </c>
      <c r="K646" s="13">
        <v>5205.26</v>
      </c>
      <c r="L646" s="14">
        <v>4.0000000000000002E-4</v>
      </c>
      <c r="N646" s="13">
        <v>2129.29</v>
      </c>
      <c r="O646" s="89">
        <v>2602.63</v>
      </c>
      <c r="P646" s="78"/>
      <c r="Q646" s="2">
        <f t="shared" si="91"/>
        <v>2602.63</v>
      </c>
    </row>
    <row r="647" spans="1:17" ht="33" customHeight="1" x14ac:dyDescent="0.2">
      <c r="A647" s="35">
        <v>40910</v>
      </c>
      <c r="B647" s="27" t="s">
        <v>1096</v>
      </c>
      <c r="C647" s="9" t="s">
        <v>24</v>
      </c>
      <c r="D647" s="46" t="s">
        <v>1097</v>
      </c>
      <c r="E647" s="11" t="s">
        <v>84</v>
      </c>
      <c r="F647" s="16">
        <v>1</v>
      </c>
      <c r="G647" s="73">
        <f t="shared" si="100"/>
        <v>370.35</v>
      </c>
      <c r="H647" s="73">
        <f t="shared" si="92"/>
        <v>370.35</v>
      </c>
      <c r="I647" s="73">
        <f t="shared" si="101"/>
        <v>452.67750000000001</v>
      </c>
      <c r="J647" s="73">
        <f t="shared" si="93"/>
        <v>452.67</v>
      </c>
      <c r="K647" s="12">
        <v>603.57000000000005</v>
      </c>
      <c r="L647" s="14">
        <v>1E-4</v>
      </c>
      <c r="N647" s="12">
        <v>493.8</v>
      </c>
      <c r="O647" s="86">
        <v>603.57000000000005</v>
      </c>
      <c r="P647" s="78"/>
      <c r="Q647" s="2">
        <f t="shared" ref="Q647:Q696" si="102">K647/F647</f>
        <v>603.57000000000005</v>
      </c>
    </row>
    <row r="648" spans="1:17" ht="33" customHeight="1" x14ac:dyDescent="0.2">
      <c r="A648" s="37">
        <v>40911</v>
      </c>
      <c r="B648" s="42">
        <v>14664</v>
      </c>
      <c r="C648" s="18" t="s">
        <v>24</v>
      </c>
      <c r="D648" s="48" t="s">
        <v>1098</v>
      </c>
      <c r="E648" s="20" t="s">
        <v>84</v>
      </c>
      <c r="F648" s="21">
        <v>1</v>
      </c>
      <c r="G648" s="75">
        <f t="shared" si="100"/>
        <v>896.25</v>
      </c>
      <c r="H648" s="73">
        <f t="shared" ref="H648:H696" si="103">TRUNC(G648*F648,2)</f>
        <v>896.25</v>
      </c>
      <c r="I648" s="75">
        <f t="shared" si="101"/>
        <v>1095.48</v>
      </c>
      <c r="J648" s="75">
        <f t="shared" ref="J648:J696" si="104">TRUNC(I648*F648,2)</f>
        <v>1095.48</v>
      </c>
      <c r="K648" s="23">
        <v>1460.64</v>
      </c>
      <c r="L648" s="24">
        <v>1E-4</v>
      </c>
      <c r="N648" s="23">
        <v>1195</v>
      </c>
      <c r="O648" s="90">
        <v>1460.64</v>
      </c>
      <c r="P648" s="78"/>
      <c r="Q648" s="2">
        <f t="shared" si="102"/>
        <v>1460.64</v>
      </c>
    </row>
    <row r="649" spans="1:17" ht="33" customHeight="1" x14ac:dyDescent="0.2">
      <c r="A649" s="35">
        <v>40912</v>
      </c>
      <c r="B649" s="32">
        <v>55357</v>
      </c>
      <c r="C649" s="9" t="s">
        <v>335</v>
      </c>
      <c r="D649" s="47" t="s">
        <v>1099</v>
      </c>
      <c r="E649" s="11" t="s">
        <v>84</v>
      </c>
      <c r="F649" s="16">
        <v>1</v>
      </c>
      <c r="G649" s="73">
        <f t="shared" si="100"/>
        <v>130.10249999999999</v>
      </c>
      <c r="H649" s="73">
        <f t="shared" si="103"/>
        <v>130.1</v>
      </c>
      <c r="I649" s="73">
        <f t="shared" si="101"/>
        <v>159.02250000000001</v>
      </c>
      <c r="J649" s="73">
        <f t="shared" si="104"/>
        <v>159.02000000000001</v>
      </c>
      <c r="K649" s="12">
        <v>212.03</v>
      </c>
      <c r="L649" s="14">
        <v>0</v>
      </c>
      <c r="N649" s="12">
        <v>173.47</v>
      </c>
      <c r="O649" s="86">
        <v>212.03</v>
      </c>
      <c r="P649" s="78"/>
      <c r="Q649" s="2">
        <f t="shared" si="102"/>
        <v>212.03</v>
      </c>
    </row>
    <row r="650" spans="1:17" ht="33" customHeight="1" x14ac:dyDescent="0.2">
      <c r="A650" s="35">
        <v>40913</v>
      </c>
      <c r="B650" s="15">
        <v>101917</v>
      </c>
      <c r="C650" s="9" t="s">
        <v>56</v>
      </c>
      <c r="D650" s="47" t="s">
        <v>1100</v>
      </c>
      <c r="E650" s="11" t="s">
        <v>84</v>
      </c>
      <c r="F650" s="16">
        <v>1</v>
      </c>
      <c r="G650" s="73">
        <f t="shared" si="100"/>
        <v>141.1275</v>
      </c>
      <c r="H650" s="73">
        <f t="shared" si="103"/>
        <v>141.12</v>
      </c>
      <c r="I650" s="73">
        <f t="shared" si="101"/>
        <v>172.5</v>
      </c>
      <c r="J650" s="73">
        <f t="shared" si="104"/>
        <v>172.5</v>
      </c>
      <c r="K650" s="12">
        <v>230</v>
      </c>
      <c r="L650" s="14">
        <v>0</v>
      </c>
      <c r="N650" s="12">
        <v>188.17</v>
      </c>
      <c r="O650" s="86">
        <v>230</v>
      </c>
      <c r="P650" s="78"/>
      <c r="Q650" s="2">
        <f t="shared" si="102"/>
        <v>230</v>
      </c>
    </row>
    <row r="651" spans="1:17" ht="33" customHeight="1" x14ac:dyDescent="0.2">
      <c r="A651" s="35">
        <v>40914</v>
      </c>
      <c r="B651" s="32">
        <v>52935</v>
      </c>
      <c r="C651" s="9" t="s">
        <v>335</v>
      </c>
      <c r="D651" s="47" t="s">
        <v>1101</v>
      </c>
      <c r="E651" s="11" t="s">
        <v>84</v>
      </c>
      <c r="F651" s="16">
        <v>2</v>
      </c>
      <c r="G651" s="73">
        <f t="shared" si="100"/>
        <v>155.58749999999998</v>
      </c>
      <c r="H651" s="73">
        <f t="shared" si="103"/>
        <v>311.17</v>
      </c>
      <c r="I651" s="73">
        <f t="shared" si="101"/>
        <v>190.17000000000002</v>
      </c>
      <c r="J651" s="73">
        <f t="shared" si="104"/>
        <v>380.34</v>
      </c>
      <c r="K651" s="12">
        <v>507.12</v>
      </c>
      <c r="L651" s="14">
        <v>0</v>
      </c>
      <c r="N651" s="12">
        <v>207.45</v>
      </c>
      <c r="O651" s="86">
        <v>253.56</v>
      </c>
      <c r="P651" s="78"/>
      <c r="Q651" s="2">
        <f t="shared" si="102"/>
        <v>253.56</v>
      </c>
    </row>
    <row r="652" spans="1:17" ht="33" customHeight="1" x14ac:dyDescent="0.2">
      <c r="A652" s="35">
        <v>40915</v>
      </c>
      <c r="B652" s="15">
        <v>103009</v>
      </c>
      <c r="C652" s="9" t="s">
        <v>56</v>
      </c>
      <c r="D652" s="47" t="s">
        <v>1102</v>
      </c>
      <c r="E652" s="11" t="s">
        <v>84</v>
      </c>
      <c r="F652" s="16">
        <v>2</v>
      </c>
      <c r="G652" s="73">
        <f t="shared" si="100"/>
        <v>342.495</v>
      </c>
      <c r="H652" s="73">
        <f t="shared" si="103"/>
        <v>684.99</v>
      </c>
      <c r="I652" s="73">
        <f t="shared" si="101"/>
        <v>418.62749999999994</v>
      </c>
      <c r="J652" s="73">
        <f t="shared" si="104"/>
        <v>837.25</v>
      </c>
      <c r="K652" s="13">
        <v>1116.3399999999999</v>
      </c>
      <c r="L652" s="14">
        <v>1E-4</v>
      </c>
      <c r="N652" s="12">
        <v>456.66</v>
      </c>
      <c r="O652" s="86">
        <v>558.16999999999996</v>
      </c>
      <c r="P652" s="78"/>
      <c r="Q652" s="2">
        <f t="shared" si="102"/>
        <v>558.16999999999996</v>
      </c>
    </row>
    <row r="653" spans="1:17" ht="33" customHeight="1" x14ac:dyDescent="0.2">
      <c r="A653" s="35">
        <v>40916</v>
      </c>
      <c r="B653" s="15">
        <v>99624</v>
      </c>
      <c r="C653" s="9" t="s">
        <v>56</v>
      </c>
      <c r="D653" s="47" t="s">
        <v>1103</v>
      </c>
      <c r="E653" s="11" t="s">
        <v>84</v>
      </c>
      <c r="F653" s="16">
        <v>1</v>
      </c>
      <c r="G653" s="73">
        <f t="shared" si="100"/>
        <v>536.99250000000006</v>
      </c>
      <c r="H653" s="73">
        <f t="shared" si="103"/>
        <v>536.99</v>
      </c>
      <c r="I653" s="73">
        <f t="shared" si="101"/>
        <v>656.36249999999995</v>
      </c>
      <c r="J653" s="73">
        <f t="shared" si="104"/>
        <v>656.36</v>
      </c>
      <c r="K653" s="12">
        <v>875.15</v>
      </c>
      <c r="L653" s="14">
        <v>1E-4</v>
      </c>
      <c r="N653" s="12">
        <v>715.99</v>
      </c>
      <c r="O653" s="86">
        <v>875.15</v>
      </c>
      <c r="P653" s="78"/>
      <c r="Q653" s="2">
        <f t="shared" si="102"/>
        <v>875.15</v>
      </c>
    </row>
    <row r="654" spans="1:17" ht="33" customHeight="1" x14ac:dyDescent="0.2">
      <c r="A654" s="35">
        <v>40917</v>
      </c>
      <c r="B654" s="15">
        <v>94499</v>
      </c>
      <c r="C654" s="9" t="s">
        <v>56</v>
      </c>
      <c r="D654" s="46" t="s">
        <v>1104</v>
      </c>
      <c r="E654" s="11" t="s">
        <v>84</v>
      </c>
      <c r="F654" s="16">
        <v>6</v>
      </c>
      <c r="G654" s="73">
        <f t="shared" si="100"/>
        <v>182.60249999999999</v>
      </c>
      <c r="H654" s="73">
        <f t="shared" si="103"/>
        <v>1095.6099999999999</v>
      </c>
      <c r="I654" s="73">
        <f t="shared" si="101"/>
        <v>223.1925</v>
      </c>
      <c r="J654" s="73">
        <f t="shared" si="104"/>
        <v>1339.15</v>
      </c>
      <c r="K654" s="13">
        <v>1785.54</v>
      </c>
      <c r="L654" s="14">
        <v>1E-4</v>
      </c>
      <c r="N654" s="12">
        <v>243.47</v>
      </c>
      <c r="O654" s="86">
        <v>297.58999999999997</v>
      </c>
      <c r="P654" s="78"/>
      <c r="Q654" s="2">
        <f t="shared" si="102"/>
        <v>297.58999999999997</v>
      </c>
    </row>
    <row r="655" spans="1:17" ht="33" customHeight="1" x14ac:dyDescent="0.2">
      <c r="A655" s="36">
        <v>40513</v>
      </c>
      <c r="B655" s="15">
        <v>92390</v>
      </c>
      <c r="C655" s="9" t="s">
        <v>56</v>
      </c>
      <c r="D655" s="47" t="s">
        <v>1105</v>
      </c>
      <c r="E655" s="11" t="s">
        <v>84</v>
      </c>
      <c r="F655" s="16">
        <v>15</v>
      </c>
      <c r="G655" s="73">
        <f t="shared" si="100"/>
        <v>130.64999999999998</v>
      </c>
      <c r="H655" s="73">
        <f t="shared" si="103"/>
        <v>1959.75</v>
      </c>
      <c r="I655" s="73">
        <f t="shared" si="101"/>
        <v>159.69</v>
      </c>
      <c r="J655" s="73">
        <f t="shared" si="104"/>
        <v>2395.35</v>
      </c>
      <c r="K655" s="13">
        <v>3193.8</v>
      </c>
      <c r="L655" s="14">
        <v>2.9999999999999997E-4</v>
      </c>
      <c r="N655" s="12">
        <v>174.2</v>
      </c>
      <c r="O655" s="86">
        <v>212.92</v>
      </c>
      <c r="P655" s="78"/>
      <c r="Q655" s="2">
        <f t="shared" si="102"/>
        <v>212.92000000000002</v>
      </c>
    </row>
    <row r="656" spans="1:17" ht="33" customHeight="1" x14ac:dyDescent="0.2">
      <c r="A656" s="36">
        <v>40878</v>
      </c>
      <c r="B656" s="15">
        <v>97488</v>
      </c>
      <c r="C656" s="9" t="s">
        <v>56</v>
      </c>
      <c r="D656" s="46" t="s">
        <v>1106</v>
      </c>
      <c r="E656" s="11" t="s">
        <v>84</v>
      </c>
      <c r="F656" s="16">
        <v>1</v>
      </c>
      <c r="G656" s="73">
        <f t="shared" si="100"/>
        <v>260.73749999999995</v>
      </c>
      <c r="H656" s="73">
        <f t="shared" si="103"/>
        <v>260.73</v>
      </c>
      <c r="I656" s="73">
        <f t="shared" si="101"/>
        <v>318.69749999999999</v>
      </c>
      <c r="J656" s="73">
        <f t="shared" si="104"/>
        <v>318.69</v>
      </c>
      <c r="K656" s="12">
        <v>424.93</v>
      </c>
      <c r="L656" s="14">
        <v>0</v>
      </c>
      <c r="N656" s="12">
        <v>347.65</v>
      </c>
      <c r="O656" s="86">
        <v>424.93</v>
      </c>
      <c r="P656" s="78"/>
      <c r="Q656" s="2">
        <f t="shared" si="102"/>
        <v>424.93</v>
      </c>
    </row>
    <row r="657" spans="1:17" ht="33" customHeight="1" x14ac:dyDescent="0.2">
      <c r="A657" s="36">
        <v>41244</v>
      </c>
      <c r="B657" s="15">
        <v>92378</v>
      </c>
      <c r="C657" s="9" t="s">
        <v>56</v>
      </c>
      <c r="D657" s="47" t="s">
        <v>1107</v>
      </c>
      <c r="E657" s="11" t="s">
        <v>84</v>
      </c>
      <c r="F657" s="16">
        <v>3</v>
      </c>
      <c r="G657" s="73">
        <f t="shared" si="100"/>
        <v>90.052499999999995</v>
      </c>
      <c r="H657" s="73">
        <f t="shared" si="103"/>
        <v>270.14999999999998</v>
      </c>
      <c r="I657" s="73">
        <f t="shared" si="101"/>
        <v>110.07</v>
      </c>
      <c r="J657" s="73">
        <f t="shared" si="104"/>
        <v>330.21</v>
      </c>
      <c r="K657" s="12">
        <v>440.28</v>
      </c>
      <c r="L657" s="14">
        <v>0</v>
      </c>
      <c r="N657" s="12">
        <v>120.07</v>
      </c>
      <c r="O657" s="86">
        <v>146.76</v>
      </c>
      <c r="P657" s="78"/>
      <c r="Q657" s="2">
        <f t="shared" si="102"/>
        <v>146.76</v>
      </c>
    </row>
    <row r="658" spans="1:17" ht="33" customHeight="1" x14ac:dyDescent="0.2">
      <c r="A658" s="36">
        <v>41609</v>
      </c>
      <c r="B658" s="15">
        <v>92377</v>
      </c>
      <c r="C658" s="9" t="s">
        <v>56</v>
      </c>
      <c r="D658" s="47" t="s">
        <v>1108</v>
      </c>
      <c r="E658" s="11" t="s">
        <v>84</v>
      </c>
      <c r="F658" s="16">
        <v>14</v>
      </c>
      <c r="G658" s="73">
        <f t="shared" si="100"/>
        <v>82.02</v>
      </c>
      <c r="H658" s="73">
        <f t="shared" si="103"/>
        <v>1148.28</v>
      </c>
      <c r="I658" s="73">
        <f t="shared" si="101"/>
        <v>100.2525</v>
      </c>
      <c r="J658" s="73">
        <f t="shared" si="104"/>
        <v>1403.53</v>
      </c>
      <c r="K658" s="13">
        <v>1871.38</v>
      </c>
      <c r="L658" s="14">
        <v>2.0000000000000001E-4</v>
      </c>
      <c r="N658" s="12">
        <v>109.36</v>
      </c>
      <c r="O658" s="86">
        <v>133.66999999999999</v>
      </c>
      <c r="P658" s="78"/>
      <c r="Q658" s="2">
        <f t="shared" si="102"/>
        <v>133.67000000000002</v>
      </c>
    </row>
    <row r="659" spans="1:17" ht="33" customHeight="1" x14ac:dyDescent="0.2">
      <c r="A659" s="36">
        <v>41974</v>
      </c>
      <c r="B659" s="15">
        <v>92896</v>
      </c>
      <c r="C659" s="9" t="s">
        <v>56</v>
      </c>
      <c r="D659" s="47" t="s">
        <v>1109</v>
      </c>
      <c r="E659" s="11" t="s">
        <v>84</v>
      </c>
      <c r="F659" s="16">
        <v>10</v>
      </c>
      <c r="G659" s="73">
        <f t="shared" si="100"/>
        <v>171.70499999999998</v>
      </c>
      <c r="H659" s="73">
        <f t="shared" si="103"/>
        <v>1717.05</v>
      </c>
      <c r="I659" s="73">
        <f t="shared" si="101"/>
        <v>209.8725</v>
      </c>
      <c r="J659" s="73">
        <f t="shared" si="104"/>
        <v>2098.7199999999998</v>
      </c>
      <c r="K659" s="13">
        <v>2798.3</v>
      </c>
      <c r="L659" s="14">
        <v>2.0000000000000001E-4</v>
      </c>
      <c r="N659" s="12">
        <v>228.94</v>
      </c>
      <c r="O659" s="86">
        <v>279.83</v>
      </c>
      <c r="P659" s="78"/>
      <c r="Q659" s="2">
        <f t="shared" si="102"/>
        <v>279.83000000000004</v>
      </c>
    </row>
    <row r="660" spans="1:17" ht="33" customHeight="1" x14ac:dyDescent="0.2">
      <c r="A660" s="36">
        <v>42339</v>
      </c>
      <c r="B660" s="15">
        <v>92642</v>
      </c>
      <c r="C660" s="9" t="s">
        <v>56</v>
      </c>
      <c r="D660" s="47" t="s">
        <v>1110</v>
      </c>
      <c r="E660" s="11" t="s">
        <v>84</v>
      </c>
      <c r="F660" s="16">
        <v>9</v>
      </c>
      <c r="G660" s="73">
        <f t="shared" si="100"/>
        <v>178.08749999999998</v>
      </c>
      <c r="H660" s="73">
        <f t="shared" si="103"/>
        <v>1602.78</v>
      </c>
      <c r="I660" s="73">
        <f t="shared" si="101"/>
        <v>217.67250000000001</v>
      </c>
      <c r="J660" s="73">
        <f t="shared" si="104"/>
        <v>1959.05</v>
      </c>
      <c r="K660" s="13">
        <v>2612.0700000000002</v>
      </c>
      <c r="L660" s="14">
        <v>2.0000000000000001E-4</v>
      </c>
      <c r="N660" s="12">
        <v>237.45</v>
      </c>
      <c r="O660" s="86">
        <v>290.23</v>
      </c>
      <c r="P660" s="78"/>
      <c r="Q660" s="2">
        <f t="shared" si="102"/>
        <v>290.23</v>
      </c>
    </row>
    <row r="661" spans="1:17" ht="33" customHeight="1" x14ac:dyDescent="0.2">
      <c r="A661" s="36">
        <v>42705</v>
      </c>
      <c r="B661" s="15">
        <v>92910</v>
      </c>
      <c r="C661" s="9" t="s">
        <v>56</v>
      </c>
      <c r="D661" s="46" t="s">
        <v>1111</v>
      </c>
      <c r="E661" s="11" t="s">
        <v>84</v>
      </c>
      <c r="F661" s="16">
        <v>2</v>
      </c>
      <c r="G661" s="73">
        <f t="shared" si="100"/>
        <v>91.627499999999998</v>
      </c>
      <c r="H661" s="73">
        <f t="shared" si="103"/>
        <v>183.25</v>
      </c>
      <c r="I661" s="73">
        <f t="shared" si="101"/>
        <v>111.99</v>
      </c>
      <c r="J661" s="73">
        <f t="shared" si="104"/>
        <v>223.98</v>
      </c>
      <c r="K661" s="12">
        <v>298.64</v>
      </c>
      <c r="L661" s="14">
        <v>0</v>
      </c>
      <c r="N661" s="12">
        <v>122.17</v>
      </c>
      <c r="O661" s="86">
        <v>149.32</v>
      </c>
      <c r="P661" s="78"/>
      <c r="Q661" s="2">
        <f t="shared" si="102"/>
        <v>149.32</v>
      </c>
    </row>
    <row r="662" spans="1:17" ht="33" customHeight="1" x14ac:dyDescent="0.2">
      <c r="A662" s="36">
        <v>43070</v>
      </c>
      <c r="B662" s="15">
        <v>92929</v>
      </c>
      <c r="C662" s="9" t="s">
        <v>56</v>
      </c>
      <c r="D662" s="47" t="s">
        <v>1112</v>
      </c>
      <c r="E662" s="11" t="s">
        <v>84</v>
      </c>
      <c r="F662" s="16">
        <v>2</v>
      </c>
      <c r="G662" s="73">
        <f t="shared" si="100"/>
        <v>50.564999999999998</v>
      </c>
      <c r="H662" s="73">
        <f t="shared" si="103"/>
        <v>101.13</v>
      </c>
      <c r="I662" s="73">
        <f t="shared" si="101"/>
        <v>61.800000000000004</v>
      </c>
      <c r="J662" s="73">
        <f t="shared" si="104"/>
        <v>123.6</v>
      </c>
      <c r="K662" s="12">
        <v>164.8</v>
      </c>
      <c r="L662" s="14">
        <v>0</v>
      </c>
      <c r="N662" s="12">
        <v>67.42</v>
      </c>
      <c r="O662" s="86">
        <v>82.4</v>
      </c>
      <c r="P662" s="78"/>
      <c r="Q662" s="2">
        <f t="shared" si="102"/>
        <v>82.4</v>
      </c>
    </row>
    <row r="663" spans="1:17" ht="33" customHeight="1" x14ac:dyDescent="0.2">
      <c r="A663" s="36">
        <v>43435</v>
      </c>
      <c r="B663" s="15">
        <v>92367</v>
      </c>
      <c r="C663" s="9" t="s">
        <v>56</v>
      </c>
      <c r="D663" s="47" t="s">
        <v>1113</v>
      </c>
      <c r="E663" s="11" t="s">
        <v>99</v>
      </c>
      <c r="F663" s="29">
        <v>81.8</v>
      </c>
      <c r="G663" s="73">
        <f t="shared" si="100"/>
        <v>84.307500000000005</v>
      </c>
      <c r="H663" s="73">
        <f t="shared" si="103"/>
        <v>6896.35</v>
      </c>
      <c r="I663" s="73">
        <f t="shared" si="101"/>
        <v>103.04249999999999</v>
      </c>
      <c r="J663" s="73">
        <f t="shared" si="104"/>
        <v>8428.8700000000008</v>
      </c>
      <c r="K663" s="13">
        <v>11238.5</v>
      </c>
      <c r="L663" s="14">
        <v>8.9999999999999998E-4</v>
      </c>
      <c r="N663" s="12">
        <v>112.41</v>
      </c>
      <c r="O663" s="86">
        <v>137.38999999999999</v>
      </c>
      <c r="P663" s="78"/>
      <c r="Q663" s="2">
        <f t="shared" si="102"/>
        <v>137.38997555012224</v>
      </c>
    </row>
    <row r="664" spans="1:17" ht="33" customHeight="1" x14ac:dyDescent="0.2">
      <c r="A664" s="36">
        <v>43800</v>
      </c>
      <c r="B664" s="15">
        <v>97498</v>
      </c>
      <c r="C664" s="9" t="s">
        <v>56</v>
      </c>
      <c r="D664" s="47" t="s">
        <v>1114</v>
      </c>
      <c r="E664" s="11" t="s">
        <v>99</v>
      </c>
      <c r="F664" s="29">
        <v>0.1</v>
      </c>
      <c r="G664" s="73">
        <f t="shared" si="100"/>
        <v>35.872500000000002</v>
      </c>
      <c r="H664" s="73">
        <f t="shared" si="103"/>
        <v>3.58</v>
      </c>
      <c r="I664" s="73">
        <f t="shared" si="101"/>
        <v>43.844999999999999</v>
      </c>
      <c r="J664" s="73">
        <f t="shared" si="104"/>
        <v>4.38</v>
      </c>
      <c r="K664" s="12">
        <v>5.84</v>
      </c>
      <c r="L664" s="14">
        <v>0</v>
      </c>
      <c r="N664" s="12">
        <v>47.83</v>
      </c>
      <c r="O664" s="86">
        <v>58.46</v>
      </c>
      <c r="P664" s="78"/>
      <c r="Q664" s="79">
        <f t="shared" si="102"/>
        <v>58.4</v>
      </c>
    </row>
    <row r="665" spans="1:17" ht="33" customHeight="1" x14ac:dyDescent="0.2">
      <c r="A665" s="36">
        <v>44166</v>
      </c>
      <c r="B665" s="15">
        <v>101916</v>
      </c>
      <c r="C665" s="9" t="s">
        <v>56</v>
      </c>
      <c r="D665" s="47" t="s">
        <v>1115</v>
      </c>
      <c r="E665" s="11" t="s">
        <v>84</v>
      </c>
      <c r="F665" s="16">
        <v>1</v>
      </c>
      <c r="G665" s="73">
        <f t="shared" si="100"/>
        <v>2670.6150000000002</v>
      </c>
      <c r="H665" s="73">
        <f t="shared" si="103"/>
        <v>2670.61</v>
      </c>
      <c r="I665" s="73">
        <f t="shared" si="101"/>
        <v>3264.2925000000005</v>
      </c>
      <c r="J665" s="73">
        <f t="shared" si="104"/>
        <v>3264.29</v>
      </c>
      <c r="K665" s="13">
        <v>4352.3900000000003</v>
      </c>
      <c r="L665" s="14">
        <v>4.0000000000000002E-4</v>
      </c>
      <c r="N665" s="13">
        <v>3560.82</v>
      </c>
      <c r="O665" s="89">
        <v>4352.3900000000003</v>
      </c>
      <c r="P665" s="78"/>
      <c r="Q665" s="2">
        <f t="shared" si="102"/>
        <v>4352.3900000000003</v>
      </c>
    </row>
    <row r="666" spans="1:17" ht="33" customHeight="1" x14ac:dyDescent="0.2">
      <c r="A666" s="36">
        <v>44531</v>
      </c>
      <c r="B666" s="15">
        <v>96765</v>
      </c>
      <c r="C666" s="9" t="s">
        <v>56</v>
      </c>
      <c r="D666" s="47" t="s">
        <v>1116</v>
      </c>
      <c r="E666" s="11" t="s">
        <v>84</v>
      </c>
      <c r="F666" s="16">
        <v>2</v>
      </c>
      <c r="G666" s="73">
        <f t="shared" si="100"/>
        <v>1309.0875000000001</v>
      </c>
      <c r="H666" s="73">
        <f t="shared" si="103"/>
        <v>2618.17</v>
      </c>
      <c r="I666" s="73">
        <f t="shared" si="101"/>
        <v>1600.095</v>
      </c>
      <c r="J666" s="73">
        <f t="shared" si="104"/>
        <v>3200.19</v>
      </c>
      <c r="K666" s="13">
        <v>4266.92</v>
      </c>
      <c r="L666" s="14">
        <v>4.0000000000000002E-4</v>
      </c>
      <c r="N666" s="13">
        <v>1745.45</v>
      </c>
      <c r="O666" s="89">
        <v>2133.46</v>
      </c>
      <c r="P666" s="78"/>
      <c r="Q666" s="2">
        <f t="shared" si="102"/>
        <v>2133.46</v>
      </c>
    </row>
    <row r="667" spans="1:17" ht="33" customHeight="1" x14ac:dyDescent="0.2">
      <c r="A667" s="36">
        <v>44896</v>
      </c>
      <c r="B667" s="15">
        <v>101915</v>
      </c>
      <c r="C667" s="9" t="s">
        <v>56</v>
      </c>
      <c r="D667" s="47" t="s">
        <v>1117</v>
      </c>
      <c r="E667" s="11" t="s">
        <v>84</v>
      </c>
      <c r="F667" s="16">
        <v>2</v>
      </c>
      <c r="G667" s="73">
        <f t="shared" si="100"/>
        <v>307.5675</v>
      </c>
      <c r="H667" s="73">
        <f t="shared" si="103"/>
        <v>615.13</v>
      </c>
      <c r="I667" s="73">
        <f t="shared" si="101"/>
        <v>375.9375</v>
      </c>
      <c r="J667" s="73">
        <f t="shared" si="104"/>
        <v>751.87</v>
      </c>
      <c r="K667" s="13">
        <v>1002.5</v>
      </c>
      <c r="L667" s="14">
        <v>1E-4</v>
      </c>
      <c r="N667" s="12">
        <v>410.09</v>
      </c>
      <c r="O667" s="86">
        <v>501.25</v>
      </c>
      <c r="P667" s="78"/>
      <c r="Q667" s="2">
        <f t="shared" si="102"/>
        <v>501.25</v>
      </c>
    </row>
    <row r="668" spans="1:17" ht="33" customHeight="1" x14ac:dyDescent="0.2">
      <c r="A668" s="36">
        <v>45261</v>
      </c>
      <c r="B668" s="15">
        <v>91174</v>
      </c>
      <c r="C668" s="9" t="s">
        <v>56</v>
      </c>
      <c r="D668" s="47" t="s">
        <v>1118</v>
      </c>
      <c r="E668" s="11" t="s">
        <v>99</v>
      </c>
      <c r="F668" s="29">
        <v>81.8</v>
      </c>
      <c r="G668" s="73">
        <f t="shared" si="100"/>
        <v>6.5774999999999997</v>
      </c>
      <c r="H668" s="73">
        <f t="shared" si="103"/>
        <v>538.03</v>
      </c>
      <c r="I668" s="73">
        <f t="shared" si="101"/>
        <v>8.0325000000000006</v>
      </c>
      <c r="J668" s="73">
        <f t="shared" si="104"/>
        <v>657.05</v>
      </c>
      <c r="K668" s="12">
        <v>876.07</v>
      </c>
      <c r="L668" s="14">
        <v>1E-4</v>
      </c>
      <c r="N668" s="12">
        <v>8.77</v>
      </c>
      <c r="O668" s="86">
        <v>10.71</v>
      </c>
      <c r="P668" s="78"/>
      <c r="Q668" s="2">
        <f t="shared" si="102"/>
        <v>10.709902200488999</v>
      </c>
    </row>
    <row r="669" spans="1:17" ht="33" customHeight="1" x14ac:dyDescent="0.2">
      <c r="A669" s="5" t="s">
        <v>1119</v>
      </c>
      <c r="B669" s="4"/>
      <c r="C669" s="4"/>
      <c r="D669" s="45" t="s">
        <v>1120</v>
      </c>
      <c r="E669" s="4"/>
      <c r="F669" s="6">
        <v>1</v>
      </c>
      <c r="G669" s="71"/>
      <c r="H669" s="73">
        <f t="shared" si="103"/>
        <v>0</v>
      </c>
      <c r="I669" s="71"/>
      <c r="J669" s="76">
        <f>SUM(J670:J672)</f>
        <v>6431.69</v>
      </c>
      <c r="K669" s="7">
        <v>8575.61</v>
      </c>
      <c r="L669" s="8">
        <v>6.9999999999999999E-4</v>
      </c>
      <c r="N669" s="4"/>
      <c r="O669" s="88">
        <v>8575.61</v>
      </c>
      <c r="P669" s="78"/>
      <c r="Q669" s="2">
        <f t="shared" si="102"/>
        <v>8575.61</v>
      </c>
    </row>
    <row r="670" spans="1:17" ht="33" customHeight="1" x14ac:dyDescent="0.2">
      <c r="A670" s="35">
        <v>40940</v>
      </c>
      <c r="B670" s="15">
        <v>101909</v>
      </c>
      <c r="C670" s="9" t="s">
        <v>56</v>
      </c>
      <c r="D670" s="47" t="s">
        <v>1121</v>
      </c>
      <c r="E670" s="11" t="s">
        <v>84</v>
      </c>
      <c r="F670" s="16">
        <v>19</v>
      </c>
      <c r="G670" s="73">
        <f>N670*$S$6</f>
        <v>239.41500000000002</v>
      </c>
      <c r="H670" s="73">
        <f t="shared" si="103"/>
        <v>4548.88</v>
      </c>
      <c r="I670" s="73">
        <f>O670*$S$6</f>
        <v>292.63499999999999</v>
      </c>
      <c r="J670" s="73">
        <f t="shared" si="104"/>
        <v>5560.06</v>
      </c>
      <c r="K670" s="13">
        <v>7413.42</v>
      </c>
      <c r="L670" s="14">
        <v>5.9999999999999995E-4</v>
      </c>
      <c r="N670" s="12">
        <v>319.22000000000003</v>
      </c>
      <c r="O670" s="86">
        <v>390.18</v>
      </c>
      <c r="P670" s="78"/>
      <c r="Q670" s="2">
        <f t="shared" si="102"/>
        <v>390.18</v>
      </c>
    </row>
    <row r="671" spans="1:17" ht="33" customHeight="1" x14ac:dyDescent="0.2">
      <c r="A671" s="35">
        <v>40941</v>
      </c>
      <c r="B671" s="10" t="s">
        <v>1122</v>
      </c>
      <c r="C671" s="9" t="s">
        <v>24</v>
      </c>
      <c r="D671" s="47" t="s">
        <v>1123</v>
      </c>
      <c r="E671" s="11" t="s">
        <v>84</v>
      </c>
      <c r="F671" s="16">
        <v>19</v>
      </c>
      <c r="G671" s="73">
        <f>N671*$S$6</f>
        <v>34.695</v>
      </c>
      <c r="H671" s="73">
        <f t="shared" si="103"/>
        <v>659.2</v>
      </c>
      <c r="I671" s="73">
        <f>O671*$S$6</f>
        <v>42.405000000000001</v>
      </c>
      <c r="J671" s="73">
        <f t="shared" si="104"/>
        <v>805.69</v>
      </c>
      <c r="K671" s="13">
        <v>1074.26</v>
      </c>
      <c r="L671" s="14">
        <v>1E-4</v>
      </c>
      <c r="N671" s="12">
        <v>46.26</v>
      </c>
      <c r="O671" s="86">
        <v>56.54</v>
      </c>
      <c r="P671" s="78"/>
      <c r="Q671" s="2">
        <f t="shared" si="102"/>
        <v>56.54</v>
      </c>
    </row>
    <row r="672" spans="1:17" ht="33" customHeight="1" x14ac:dyDescent="0.2">
      <c r="A672" s="35">
        <v>40942</v>
      </c>
      <c r="B672" s="25" t="s">
        <v>1124</v>
      </c>
      <c r="C672" s="9" t="s">
        <v>24</v>
      </c>
      <c r="D672" s="47" t="s">
        <v>1125</v>
      </c>
      <c r="E672" s="11" t="s">
        <v>84</v>
      </c>
      <c r="F672" s="16">
        <v>3</v>
      </c>
      <c r="G672" s="73">
        <f>N672*$S$6</f>
        <v>17.984999999999999</v>
      </c>
      <c r="H672" s="73">
        <f t="shared" si="103"/>
        <v>53.95</v>
      </c>
      <c r="I672" s="73">
        <f>O672*$S$6</f>
        <v>21.982499999999998</v>
      </c>
      <c r="J672" s="73">
        <f t="shared" si="104"/>
        <v>65.94</v>
      </c>
      <c r="K672" s="12">
        <v>87.93</v>
      </c>
      <c r="L672" s="14">
        <v>0</v>
      </c>
      <c r="N672" s="12">
        <v>23.98</v>
      </c>
      <c r="O672" s="86">
        <v>29.31</v>
      </c>
      <c r="P672" s="78"/>
      <c r="Q672" s="2">
        <f t="shared" si="102"/>
        <v>29.310000000000002</v>
      </c>
    </row>
    <row r="673" spans="1:17" ht="33" customHeight="1" x14ac:dyDescent="0.2">
      <c r="A673" s="5" t="s">
        <v>1126</v>
      </c>
      <c r="B673" s="4"/>
      <c r="C673" s="4"/>
      <c r="D673" s="45" t="s">
        <v>1127</v>
      </c>
      <c r="E673" s="4"/>
      <c r="F673" s="6">
        <v>1</v>
      </c>
      <c r="G673" s="71"/>
      <c r="H673" s="73">
        <f t="shared" si="103"/>
        <v>0</v>
      </c>
      <c r="I673" s="71"/>
      <c r="J673" s="76">
        <f>SUM(J674:J677)</f>
        <v>1493.3700000000001</v>
      </c>
      <c r="K673" s="7">
        <v>1991.19</v>
      </c>
      <c r="L673" s="8">
        <v>2.0000000000000001E-4</v>
      </c>
      <c r="N673" s="4"/>
      <c r="O673" s="88">
        <v>1991.19</v>
      </c>
      <c r="P673" s="78"/>
      <c r="Q673" s="2">
        <f t="shared" si="102"/>
        <v>1991.19</v>
      </c>
    </row>
    <row r="674" spans="1:17" ht="33" customHeight="1" x14ac:dyDescent="0.2">
      <c r="A674" s="35">
        <v>40969</v>
      </c>
      <c r="B674" s="15">
        <v>97599</v>
      </c>
      <c r="C674" s="9" t="s">
        <v>56</v>
      </c>
      <c r="D674" s="47" t="s">
        <v>1128</v>
      </c>
      <c r="E674" s="11" t="s">
        <v>84</v>
      </c>
      <c r="F674" s="16">
        <v>43</v>
      </c>
      <c r="G674" s="73">
        <f>N674*$S$6</f>
        <v>14.115</v>
      </c>
      <c r="H674" s="73">
        <f t="shared" si="103"/>
        <v>606.94000000000005</v>
      </c>
      <c r="I674" s="73">
        <f>O674*$S$6</f>
        <v>17.25</v>
      </c>
      <c r="J674" s="73">
        <f t="shared" si="104"/>
        <v>741.75</v>
      </c>
      <c r="K674" s="12">
        <v>989</v>
      </c>
      <c r="L674" s="14">
        <v>1E-4</v>
      </c>
      <c r="N674" s="12">
        <v>18.82</v>
      </c>
      <c r="O674" s="86">
        <v>23</v>
      </c>
      <c r="P674" s="78"/>
      <c r="Q674" s="2">
        <f t="shared" si="102"/>
        <v>23</v>
      </c>
    </row>
    <row r="675" spans="1:17" ht="33" customHeight="1" x14ac:dyDescent="0.2">
      <c r="A675" s="35">
        <v>40970</v>
      </c>
      <c r="B675" s="10" t="s">
        <v>1129</v>
      </c>
      <c r="C675" s="9" t="s">
        <v>24</v>
      </c>
      <c r="D675" s="47" t="s">
        <v>1130</v>
      </c>
      <c r="E675" s="11" t="s">
        <v>84</v>
      </c>
      <c r="F675" s="16">
        <v>17</v>
      </c>
      <c r="G675" s="73">
        <f>N675*$S$6</f>
        <v>22.32</v>
      </c>
      <c r="H675" s="73">
        <f t="shared" si="103"/>
        <v>379.44</v>
      </c>
      <c r="I675" s="73">
        <f>O675*$S$6</f>
        <v>27.277499999999996</v>
      </c>
      <c r="J675" s="73">
        <f t="shared" si="104"/>
        <v>463.71</v>
      </c>
      <c r="K675" s="12">
        <v>618.29</v>
      </c>
      <c r="L675" s="14">
        <v>1E-4</v>
      </c>
      <c r="N675" s="12">
        <v>29.76</v>
      </c>
      <c r="O675" s="86">
        <v>36.369999999999997</v>
      </c>
      <c r="P675" s="78"/>
      <c r="Q675" s="2">
        <f t="shared" si="102"/>
        <v>36.369999999999997</v>
      </c>
    </row>
    <row r="676" spans="1:17" ht="33" customHeight="1" x14ac:dyDescent="0.2">
      <c r="A676" s="35">
        <v>40971</v>
      </c>
      <c r="B676" s="10" t="s">
        <v>1131</v>
      </c>
      <c r="C676" s="9" t="s">
        <v>24</v>
      </c>
      <c r="D676" s="47" t="s">
        <v>1132</v>
      </c>
      <c r="E676" s="11" t="s">
        <v>84</v>
      </c>
      <c r="F676" s="16">
        <v>21</v>
      </c>
      <c r="G676" s="73">
        <f>N676*$S$6</f>
        <v>8.9924999999999997</v>
      </c>
      <c r="H676" s="73">
        <f t="shared" si="103"/>
        <v>188.84</v>
      </c>
      <c r="I676" s="73">
        <f>O676*$S$6</f>
        <v>10.987500000000001</v>
      </c>
      <c r="J676" s="73">
        <f t="shared" si="104"/>
        <v>230.73</v>
      </c>
      <c r="K676" s="12">
        <v>307.64999999999998</v>
      </c>
      <c r="L676" s="14">
        <v>0</v>
      </c>
      <c r="N676" s="12">
        <v>11.99</v>
      </c>
      <c r="O676" s="86">
        <v>14.65</v>
      </c>
      <c r="P676" s="78"/>
      <c r="Q676" s="2">
        <f t="shared" si="102"/>
        <v>14.649999999999999</v>
      </c>
    </row>
    <row r="677" spans="1:17" ht="33" customHeight="1" x14ac:dyDescent="0.2">
      <c r="A677" s="35">
        <v>40972</v>
      </c>
      <c r="B677" s="10" t="s">
        <v>1133</v>
      </c>
      <c r="C677" s="9" t="s">
        <v>24</v>
      </c>
      <c r="D677" s="47" t="s">
        <v>1134</v>
      </c>
      <c r="E677" s="11" t="s">
        <v>84</v>
      </c>
      <c r="F677" s="16">
        <v>5</v>
      </c>
      <c r="G677" s="73">
        <f>N677*$S$6</f>
        <v>9.36</v>
      </c>
      <c r="H677" s="73">
        <f t="shared" si="103"/>
        <v>46.8</v>
      </c>
      <c r="I677" s="73">
        <f>O677*$S$6</f>
        <v>11.4375</v>
      </c>
      <c r="J677" s="73">
        <f t="shared" si="104"/>
        <v>57.18</v>
      </c>
      <c r="K677" s="12">
        <v>76.25</v>
      </c>
      <c r="L677" s="14">
        <v>0</v>
      </c>
      <c r="N677" s="12">
        <v>12.48</v>
      </c>
      <c r="O677" s="86">
        <v>15.25</v>
      </c>
      <c r="P677" s="78"/>
      <c r="Q677" s="2">
        <f t="shared" si="102"/>
        <v>15.25</v>
      </c>
    </row>
    <row r="678" spans="1:17" ht="33" customHeight="1" x14ac:dyDescent="0.2">
      <c r="A678" s="5" t="s">
        <v>1135</v>
      </c>
      <c r="B678" s="4"/>
      <c r="C678" s="4"/>
      <c r="D678" s="45" t="s">
        <v>1136</v>
      </c>
      <c r="E678" s="4"/>
      <c r="F678" s="6">
        <v>1</v>
      </c>
      <c r="G678" s="71"/>
      <c r="H678" s="73">
        <f t="shared" si="103"/>
        <v>0</v>
      </c>
      <c r="I678" s="71"/>
      <c r="J678" s="76">
        <f>SUM(J679:J685)</f>
        <v>5364.91</v>
      </c>
      <c r="K678" s="7">
        <v>7153.24</v>
      </c>
      <c r="L678" s="8">
        <v>5.9999999999999995E-4</v>
      </c>
      <c r="N678" s="4"/>
      <c r="O678" s="88">
        <v>7153.24</v>
      </c>
      <c r="P678" s="78"/>
      <c r="Q678" s="2">
        <f t="shared" si="102"/>
        <v>7153.24</v>
      </c>
    </row>
    <row r="679" spans="1:17" ht="33" customHeight="1" x14ac:dyDescent="0.2">
      <c r="A679" s="35">
        <v>41000</v>
      </c>
      <c r="B679" s="25" t="s">
        <v>1137</v>
      </c>
      <c r="C679" s="9" t="s">
        <v>24</v>
      </c>
      <c r="D679" s="47" t="s">
        <v>1138</v>
      </c>
      <c r="E679" s="11" t="s">
        <v>84</v>
      </c>
      <c r="F679" s="16">
        <v>2</v>
      </c>
      <c r="G679" s="73">
        <f t="shared" ref="G679:G685" si="105">N679*$S$6</f>
        <v>46.477499999999999</v>
      </c>
      <c r="H679" s="73">
        <f t="shared" si="103"/>
        <v>92.95</v>
      </c>
      <c r="I679" s="73">
        <f t="shared" ref="I679:I685" si="106">O679*$S$6</f>
        <v>56.804999999999993</v>
      </c>
      <c r="J679" s="73">
        <f t="shared" si="104"/>
        <v>113.61</v>
      </c>
      <c r="K679" s="12">
        <v>151.47999999999999</v>
      </c>
      <c r="L679" s="14">
        <v>0</v>
      </c>
      <c r="N679" s="12">
        <v>61.97</v>
      </c>
      <c r="O679" s="86">
        <v>75.739999999999995</v>
      </c>
      <c r="P679" s="78"/>
      <c r="Q679" s="2">
        <f t="shared" si="102"/>
        <v>75.739999999999995</v>
      </c>
    </row>
    <row r="680" spans="1:17" ht="33" customHeight="1" x14ac:dyDescent="0.2">
      <c r="A680" s="35">
        <v>41001</v>
      </c>
      <c r="B680" s="10" t="s">
        <v>1139</v>
      </c>
      <c r="C680" s="9" t="s">
        <v>24</v>
      </c>
      <c r="D680" s="47" t="s">
        <v>1140</v>
      </c>
      <c r="E680" s="11" t="s">
        <v>84</v>
      </c>
      <c r="F680" s="16">
        <v>2</v>
      </c>
      <c r="G680" s="73">
        <f t="shared" si="105"/>
        <v>63.554999999999993</v>
      </c>
      <c r="H680" s="73">
        <f t="shared" si="103"/>
        <v>127.11</v>
      </c>
      <c r="I680" s="73">
        <f t="shared" si="106"/>
        <v>77.677499999999995</v>
      </c>
      <c r="J680" s="73">
        <f t="shared" si="104"/>
        <v>155.35</v>
      </c>
      <c r="K680" s="12">
        <v>207.14</v>
      </c>
      <c r="L680" s="14">
        <v>0</v>
      </c>
      <c r="N680" s="12">
        <v>84.74</v>
      </c>
      <c r="O680" s="86">
        <v>103.57</v>
      </c>
      <c r="P680" s="78"/>
      <c r="Q680" s="2">
        <f t="shared" si="102"/>
        <v>103.57</v>
      </c>
    </row>
    <row r="681" spans="1:17" ht="33" customHeight="1" x14ac:dyDescent="0.2">
      <c r="A681" s="35">
        <v>41002</v>
      </c>
      <c r="B681" s="32">
        <v>55570</v>
      </c>
      <c r="C681" s="9" t="s">
        <v>335</v>
      </c>
      <c r="D681" s="47" t="s">
        <v>1141</v>
      </c>
      <c r="E681" s="11" t="s">
        <v>84</v>
      </c>
      <c r="F681" s="16">
        <v>1</v>
      </c>
      <c r="G681" s="73">
        <f t="shared" si="105"/>
        <v>1407.165</v>
      </c>
      <c r="H681" s="73">
        <f t="shared" si="103"/>
        <v>1407.16</v>
      </c>
      <c r="I681" s="73">
        <f t="shared" si="106"/>
        <v>1719.9750000000001</v>
      </c>
      <c r="J681" s="73">
        <f t="shared" si="104"/>
        <v>1719.97</v>
      </c>
      <c r="K681" s="13">
        <v>2293.3000000000002</v>
      </c>
      <c r="L681" s="14">
        <v>2.0000000000000001E-4</v>
      </c>
      <c r="N681" s="13">
        <v>1876.22</v>
      </c>
      <c r="O681" s="89">
        <v>2293.3000000000002</v>
      </c>
      <c r="P681" s="78"/>
      <c r="Q681" s="2">
        <f t="shared" si="102"/>
        <v>2293.3000000000002</v>
      </c>
    </row>
    <row r="682" spans="1:17" ht="33" customHeight="1" x14ac:dyDescent="0.2">
      <c r="A682" s="35">
        <v>41003</v>
      </c>
      <c r="B682" s="32">
        <v>59860</v>
      </c>
      <c r="C682" s="9" t="s">
        <v>335</v>
      </c>
      <c r="D682" s="47" t="s">
        <v>1142</v>
      </c>
      <c r="E682" s="11" t="s">
        <v>84</v>
      </c>
      <c r="F682" s="16">
        <v>7</v>
      </c>
      <c r="G682" s="73">
        <f t="shared" si="105"/>
        <v>79.792500000000004</v>
      </c>
      <c r="H682" s="73">
        <f t="shared" si="103"/>
        <v>558.54</v>
      </c>
      <c r="I682" s="73">
        <f t="shared" si="106"/>
        <v>97.53</v>
      </c>
      <c r="J682" s="73">
        <f t="shared" si="104"/>
        <v>682.71</v>
      </c>
      <c r="K682" s="12">
        <v>910.28</v>
      </c>
      <c r="L682" s="14">
        <v>1E-4</v>
      </c>
      <c r="N682" s="12">
        <v>106.39</v>
      </c>
      <c r="O682" s="86">
        <v>130.04</v>
      </c>
      <c r="P682" s="78"/>
      <c r="Q682" s="2">
        <f t="shared" si="102"/>
        <v>130.04</v>
      </c>
    </row>
    <row r="683" spans="1:17" ht="33" customHeight="1" x14ac:dyDescent="0.2">
      <c r="A683" s="35">
        <v>41004</v>
      </c>
      <c r="B683" s="10" t="s">
        <v>1143</v>
      </c>
      <c r="C683" s="9" t="s">
        <v>24</v>
      </c>
      <c r="D683" s="47" t="s">
        <v>1144</v>
      </c>
      <c r="E683" s="11" t="s">
        <v>99</v>
      </c>
      <c r="F683" s="29">
        <v>44.4</v>
      </c>
      <c r="G683" s="73">
        <f t="shared" si="105"/>
        <v>26.587500000000002</v>
      </c>
      <c r="H683" s="73">
        <f t="shared" si="103"/>
        <v>1180.48</v>
      </c>
      <c r="I683" s="73">
        <f t="shared" si="106"/>
        <v>32.497500000000002</v>
      </c>
      <c r="J683" s="73">
        <f t="shared" si="104"/>
        <v>1442.88</v>
      </c>
      <c r="K683" s="13">
        <v>1923.85</v>
      </c>
      <c r="L683" s="14">
        <v>2.0000000000000001E-4</v>
      </c>
      <c r="N683" s="12">
        <v>35.450000000000003</v>
      </c>
      <c r="O683" s="86">
        <v>43.33</v>
      </c>
      <c r="P683" s="78"/>
      <c r="Q683" s="2">
        <f t="shared" si="102"/>
        <v>43.329954954954957</v>
      </c>
    </row>
    <row r="684" spans="1:17" ht="33" customHeight="1" x14ac:dyDescent="0.2">
      <c r="A684" s="35">
        <v>41005</v>
      </c>
      <c r="B684" s="32">
        <v>58563</v>
      </c>
      <c r="C684" s="9" t="s">
        <v>335</v>
      </c>
      <c r="D684" s="47" t="s">
        <v>1145</v>
      </c>
      <c r="E684" s="11" t="s">
        <v>99</v>
      </c>
      <c r="F684" s="29">
        <v>48.9</v>
      </c>
      <c r="G684" s="73">
        <f t="shared" si="105"/>
        <v>10.17</v>
      </c>
      <c r="H684" s="73">
        <f t="shared" si="103"/>
        <v>497.31</v>
      </c>
      <c r="I684" s="73">
        <f t="shared" si="106"/>
        <v>12.4275</v>
      </c>
      <c r="J684" s="73">
        <f t="shared" si="104"/>
        <v>607.70000000000005</v>
      </c>
      <c r="K684" s="12">
        <v>810.27</v>
      </c>
      <c r="L684" s="14">
        <v>1E-4</v>
      </c>
      <c r="N684" s="12">
        <v>13.56</v>
      </c>
      <c r="O684" s="86">
        <v>16.57</v>
      </c>
      <c r="P684" s="78"/>
      <c r="Q684" s="2">
        <f t="shared" si="102"/>
        <v>16.569938650306749</v>
      </c>
    </row>
    <row r="685" spans="1:17" ht="33" customHeight="1" x14ac:dyDescent="0.2">
      <c r="A685" s="35">
        <v>41006</v>
      </c>
      <c r="B685" s="15">
        <v>104785</v>
      </c>
      <c r="C685" s="9" t="s">
        <v>56</v>
      </c>
      <c r="D685" s="47" t="s">
        <v>1044</v>
      </c>
      <c r="E685" s="11" t="s">
        <v>99</v>
      </c>
      <c r="F685" s="29">
        <v>44.4</v>
      </c>
      <c r="G685" s="73">
        <f t="shared" si="105"/>
        <v>11.842499999999999</v>
      </c>
      <c r="H685" s="73">
        <f t="shared" si="103"/>
        <v>525.79999999999995</v>
      </c>
      <c r="I685" s="73">
        <f t="shared" si="106"/>
        <v>14.475000000000001</v>
      </c>
      <c r="J685" s="73">
        <f t="shared" si="104"/>
        <v>642.69000000000005</v>
      </c>
      <c r="K685" s="12">
        <v>856.92</v>
      </c>
      <c r="L685" s="14">
        <v>1E-4</v>
      </c>
      <c r="N685" s="12">
        <v>15.79</v>
      </c>
      <c r="O685" s="86">
        <v>19.3</v>
      </c>
      <c r="P685" s="78"/>
      <c r="Q685" s="2">
        <f t="shared" si="102"/>
        <v>19.3</v>
      </c>
    </row>
    <row r="686" spans="1:17" ht="33" customHeight="1" x14ac:dyDescent="0.2">
      <c r="A686" s="3">
        <v>13</v>
      </c>
      <c r="B686" s="4"/>
      <c r="C686" s="4"/>
      <c r="D686" s="45" t="s">
        <v>1146</v>
      </c>
      <c r="E686" s="4"/>
      <c r="F686" s="6">
        <v>1</v>
      </c>
      <c r="G686" s="71"/>
      <c r="H686" s="73">
        <f t="shared" si="103"/>
        <v>0</v>
      </c>
      <c r="I686" s="71"/>
      <c r="J686" s="76">
        <f>J687+J692</f>
        <v>36872.019999999997</v>
      </c>
      <c r="K686" s="7">
        <v>49162.71</v>
      </c>
      <c r="L686" s="8">
        <v>4.1000000000000003E-3</v>
      </c>
      <c r="N686" s="4"/>
      <c r="O686" s="88">
        <v>49162.71</v>
      </c>
      <c r="P686" s="78"/>
      <c r="Q686" s="2">
        <f t="shared" si="102"/>
        <v>49162.71</v>
      </c>
    </row>
    <row r="687" spans="1:17" ht="33" customHeight="1" x14ac:dyDescent="0.2">
      <c r="A687" s="5" t="s">
        <v>1147</v>
      </c>
      <c r="B687" s="4"/>
      <c r="C687" s="4"/>
      <c r="D687" s="45" t="s">
        <v>1148</v>
      </c>
      <c r="E687" s="4"/>
      <c r="F687" s="6">
        <v>1</v>
      </c>
      <c r="G687" s="71"/>
      <c r="H687" s="73">
        <f t="shared" si="103"/>
        <v>0</v>
      </c>
      <c r="I687" s="71"/>
      <c r="J687" s="76">
        <f>SUM(J688:J691)</f>
        <v>13678.169999999998</v>
      </c>
      <c r="K687" s="7">
        <v>18237.55</v>
      </c>
      <c r="L687" s="8">
        <v>1.5E-3</v>
      </c>
      <c r="N687" s="4"/>
      <c r="O687" s="88">
        <v>18237.55</v>
      </c>
      <c r="P687" s="78"/>
      <c r="Q687" s="2">
        <f t="shared" si="102"/>
        <v>18237.55</v>
      </c>
    </row>
    <row r="688" spans="1:17" ht="33" customHeight="1" x14ac:dyDescent="0.2">
      <c r="A688" s="35">
        <v>41275</v>
      </c>
      <c r="B688" s="10" t="s">
        <v>1149</v>
      </c>
      <c r="C688" s="9" t="s">
        <v>24</v>
      </c>
      <c r="D688" s="47" t="s">
        <v>1150</v>
      </c>
      <c r="E688" s="11" t="s">
        <v>26</v>
      </c>
      <c r="F688" s="12">
        <v>77.989999999999995</v>
      </c>
      <c r="G688" s="73">
        <f>N688*$S$6</f>
        <v>17.085000000000001</v>
      </c>
      <c r="H688" s="73">
        <f t="shared" si="103"/>
        <v>1332.45</v>
      </c>
      <c r="I688" s="73">
        <f>O688*$S$6</f>
        <v>20.88</v>
      </c>
      <c r="J688" s="73">
        <f t="shared" si="104"/>
        <v>1628.43</v>
      </c>
      <c r="K688" s="13">
        <v>2171.2399999999998</v>
      </c>
      <c r="L688" s="14">
        <v>2.0000000000000001E-4</v>
      </c>
      <c r="N688" s="12">
        <v>22.78</v>
      </c>
      <c r="O688" s="86">
        <v>27.84</v>
      </c>
      <c r="P688" s="78"/>
      <c r="Q688" s="2">
        <f t="shared" si="102"/>
        <v>27.8399794845493</v>
      </c>
    </row>
    <row r="689" spans="1:17" ht="33" customHeight="1" x14ac:dyDescent="0.2">
      <c r="A689" s="35">
        <v>41276</v>
      </c>
      <c r="B689" s="15">
        <v>102712</v>
      </c>
      <c r="C689" s="9" t="s">
        <v>56</v>
      </c>
      <c r="D689" s="47" t="s">
        <v>1151</v>
      </c>
      <c r="E689" s="11" t="s">
        <v>26</v>
      </c>
      <c r="F689" s="17">
        <v>41.777000000000001</v>
      </c>
      <c r="G689" s="73">
        <f>N689*$S$6</f>
        <v>9.3149999999999995</v>
      </c>
      <c r="H689" s="73">
        <f t="shared" si="103"/>
        <v>389.15</v>
      </c>
      <c r="I689" s="73">
        <f>O689*$S$6</f>
        <v>11.385</v>
      </c>
      <c r="J689" s="73">
        <f t="shared" si="104"/>
        <v>475.63</v>
      </c>
      <c r="K689" s="12">
        <v>634.16999999999996</v>
      </c>
      <c r="L689" s="14">
        <v>1E-4</v>
      </c>
      <c r="N689" s="12">
        <v>12.42</v>
      </c>
      <c r="O689" s="86">
        <v>15.18</v>
      </c>
      <c r="P689" s="78"/>
      <c r="Q689" s="2">
        <f t="shared" si="102"/>
        <v>15.17988366804701</v>
      </c>
    </row>
    <row r="690" spans="1:17" ht="33" customHeight="1" x14ac:dyDescent="0.2">
      <c r="A690" s="35">
        <v>41277</v>
      </c>
      <c r="B690" s="15">
        <v>102719</v>
      </c>
      <c r="C690" s="9" t="s">
        <v>56</v>
      </c>
      <c r="D690" s="47" t="s">
        <v>1152</v>
      </c>
      <c r="E690" s="11" t="s">
        <v>118</v>
      </c>
      <c r="F690" s="17">
        <v>4.1779999999999999</v>
      </c>
      <c r="G690" s="73">
        <f>N690*$S$6</f>
        <v>127.56</v>
      </c>
      <c r="H690" s="73">
        <f t="shared" si="103"/>
        <v>532.94000000000005</v>
      </c>
      <c r="I690" s="73">
        <f>O690*$S$6</f>
        <v>155.91</v>
      </c>
      <c r="J690" s="73">
        <f t="shared" si="104"/>
        <v>651.39</v>
      </c>
      <c r="K690" s="12">
        <v>868.52</v>
      </c>
      <c r="L690" s="14">
        <v>1E-4</v>
      </c>
      <c r="N690" s="12">
        <v>170.08</v>
      </c>
      <c r="O690" s="86">
        <v>207.88</v>
      </c>
      <c r="P690" s="78"/>
      <c r="Q690" s="2">
        <f t="shared" si="102"/>
        <v>207.87936811871708</v>
      </c>
    </row>
    <row r="691" spans="1:17" ht="33" customHeight="1" x14ac:dyDescent="0.2">
      <c r="A691" s="35">
        <v>41278</v>
      </c>
      <c r="B691" s="27" t="s">
        <v>1153</v>
      </c>
      <c r="C691" s="9" t="s">
        <v>24</v>
      </c>
      <c r="D691" s="47" t="s">
        <v>1154</v>
      </c>
      <c r="E691" s="11" t="s">
        <v>118</v>
      </c>
      <c r="F691" s="17">
        <v>30.315000000000001</v>
      </c>
      <c r="G691" s="73">
        <f>N691*$S$6</f>
        <v>294.78000000000003</v>
      </c>
      <c r="H691" s="73">
        <f t="shared" si="103"/>
        <v>8936.25</v>
      </c>
      <c r="I691" s="73">
        <f>O691*$S$6</f>
        <v>360.3075</v>
      </c>
      <c r="J691" s="73">
        <f t="shared" si="104"/>
        <v>10922.72</v>
      </c>
      <c r="K691" s="13">
        <v>14563.62</v>
      </c>
      <c r="L691" s="14">
        <v>1.1999999999999999E-3</v>
      </c>
      <c r="N691" s="12">
        <v>393.04</v>
      </c>
      <c r="O691" s="86">
        <v>480.41</v>
      </c>
      <c r="P691" s="78"/>
      <c r="Q691" s="2">
        <f t="shared" si="102"/>
        <v>480.40969816922319</v>
      </c>
    </row>
    <row r="692" spans="1:17" ht="33" customHeight="1" x14ac:dyDescent="0.2">
      <c r="A692" s="5" t="s">
        <v>1155</v>
      </c>
      <c r="B692" s="4"/>
      <c r="C692" s="4"/>
      <c r="D692" s="45" t="s">
        <v>1156</v>
      </c>
      <c r="E692" s="4"/>
      <c r="F692" s="6">
        <v>1</v>
      </c>
      <c r="G692" s="71"/>
      <c r="H692" s="73">
        <f t="shared" si="103"/>
        <v>0</v>
      </c>
      <c r="I692" s="71"/>
      <c r="J692" s="76">
        <f>SUM(J693:J696)</f>
        <v>23193.85</v>
      </c>
      <c r="K692" s="7">
        <v>30925.16</v>
      </c>
      <c r="L692" s="8">
        <v>2.5999999999999999E-3</v>
      </c>
      <c r="N692" s="4"/>
      <c r="O692" s="88">
        <v>30925.16</v>
      </c>
      <c r="P692" s="78"/>
      <c r="Q692" s="2">
        <f t="shared" si="102"/>
        <v>30925.16</v>
      </c>
    </row>
    <row r="693" spans="1:17" ht="33" customHeight="1" x14ac:dyDescent="0.2">
      <c r="A693" s="35">
        <v>41306</v>
      </c>
      <c r="B693" s="15">
        <v>98505</v>
      </c>
      <c r="C693" s="9" t="s">
        <v>56</v>
      </c>
      <c r="D693" s="47" t="s">
        <v>1157</v>
      </c>
      <c r="E693" s="11" t="s">
        <v>26</v>
      </c>
      <c r="F693" s="17">
        <v>161.26300000000001</v>
      </c>
      <c r="G693" s="73">
        <f>N693*$S$6</f>
        <v>28.5075</v>
      </c>
      <c r="H693" s="73">
        <f t="shared" si="103"/>
        <v>4597.2</v>
      </c>
      <c r="I693" s="73">
        <f>O693*$S$6</f>
        <v>34.837500000000006</v>
      </c>
      <c r="J693" s="73">
        <f t="shared" si="104"/>
        <v>5617.99</v>
      </c>
      <c r="K693" s="13">
        <v>7490.66</v>
      </c>
      <c r="L693" s="14">
        <v>5.9999999999999995E-4</v>
      </c>
      <c r="N693" s="12">
        <v>38.01</v>
      </c>
      <c r="O693" s="86">
        <v>46.45</v>
      </c>
      <c r="P693" s="78"/>
      <c r="Q693" s="2">
        <f t="shared" si="102"/>
        <v>46.449960623329588</v>
      </c>
    </row>
    <row r="694" spans="1:17" ht="33" customHeight="1" x14ac:dyDescent="0.2">
      <c r="A694" s="35">
        <v>41307</v>
      </c>
      <c r="B694" s="15">
        <v>98510</v>
      </c>
      <c r="C694" s="9" t="s">
        <v>56</v>
      </c>
      <c r="D694" s="47" t="s">
        <v>1158</v>
      </c>
      <c r="E694" s="11" t="s">
        <v>84</v>
      </c>
      <c r="F694" s="16">
        <v>83</v>
      </c>
      <c r="G694" s="73">
        <f>N694*$S$6</f>
        <v>48.592500000000001</v>
      </c>
      <c r="H694" s="73">
        <f t="shared" si="103"/>
        <v>4033.17</v>
      </c>
      <c r="I694" s="73">
        <f>O694*$S$6</f>
        <v>59.392499999999998</v>
      </c>
      <c r="J694" s="73">
        <f t="shared" si="104"/>
        <v>4929.57</v>
      </c>
      <c r="K694" s="13">
        <v>6572.77</v>
      </c>
      <c r="L694" s="14">
        <v>5.9999999999999995E-4</v>
      </c>
      <c r="N694" s="12">
        <v>64.790000000000006</v>
      </c>
      <c r="O694" s="86">
        <v>79.19</v>
      </c>
      <c r="P694" s="78"/>
      <c r="Q694" s="2">
        <f t="shared" si="102"/>
        <v>79.190000000000012</v>
      </c>
    </row>
    <row r="695" spans="1:17" ht="33" customHeight="1" x14ac:dyDescent="0.2">
      <c r="A695" s="35">
        <v>41308</v>
      </c>
      <c r="B695" s="15">
        <v>98511</v>
      </c>
      <c r="C695" s="9" t="s">
        <v>56</v>
      </c>
      <c r="D695" s="47" t="s">
        <v>1159</v>
      </c>
      <c r="E695" s="11" t="s">
        <v>84</v>
      </c>
      <c r="F695" s="16">
        <v>16</v>
      </c>
      <c r="G695" s="73">
        <f>N695*$S$6</f>
        <v>71.977499999999992</v>
      </c>
      <c r="H695" s="73">
        <f t="shared" si="103"/>
        <v>1151.6400000000001</v>
      </c>
      <c r="I695" s="73">
        <f>O695*$S$6</f>
        <v>87.974999999999994</v>
      </c>
      <c r="J695" s="73">
        <f t="shared" si="104"/>
        <v>1407.6</v>
      </c>
      <c r="K695" s="13">
        <v>1876.8</v>
      </c>
      <c r="L695" s="14">
        <v>2.0000000000000001E-4</v>
      </c>
      <c r="N695" s="12">
        <v>95.97</v>
      </c>
      <c r="O695" s="86">
        <v>117.3</v>
      </c>
      <c r="P695" s="78"/>
      <c r="Q695" s="2">
        <f t="shared" si="102"/>
        <v>117.3</v>
      </c>
    </row>
    <row r="696" spans="1:17" ht="33" customHeight="1" x14ac:dyDescent="0.2">
      <c r="A696" s="35">
        <v>41309</v>
      </c>
      <c r="B696" s="15">
        <v>98503</v>
      </c>
      <c r="C696" s="9" t="s">
        <v>56</v>
      </c>
      <c r="D696" s="47" t="s">
        <v>1160</v>
      </c>
      <c r="E696" s="11" t="s">
        <v>26</v>
      </c>
      <c r="F696" s="17">
        <v>483.697</v>
      </c>
      <c r="G696" s="73">
        <f>N696*$S$6</f>
        <v>19.012500000000003</v>
      </c>
      <c r="H696" s="73">
        <f t="shared" si="103"/>
        <v>9196.2800000000007</v>
      </c>
      <c r="I696" s="73">
        <f>O696*$S$6</f>
        <v>23.234999999999999</v>
      </c>
      <c r="J696" s="73">
        <f t="shared" si="104"/>
        <v>11238.69</v>
      </c>
      <c r="K696" s="13">
        <v>14984.93</v>
      </c>
      <c r="L696" s="14">
        <v>1.2999999999999999E-3</v>
      </c>
      <c r="N696" s="12">
        <v>25.35</v>
      </c>
      <c r="O696" s="86">
        <v>30.98</v>
      </c>
      <c r="P696" s="78"/>
      <c r="Q696" s="2">
        <f t="shared" si="102"/>
        <v>30.979993673725495</v>
      </c>
    </row>
    <row r="697" spans="1:17" ht="16.7" customHeight="1" x14ac:dyDescent="0.2">
      <c r="A697" s="43"/>
      <c r="B697" s="43"/>
      <c r="C697" s="43"/>
      <c r="D697" s="50"/>
      <c r="E697" s="43"/>
      <c r="F697" s="43"/>
      <c r="G697" s="43"/>
      <c r="H697" s="43"/>
      <c r="I697" s="43"/>
      <c r="J697" s="43"/>
      <c r="K697" s="43"/>
      <c r="L697" s="43"/>
    </row>
    <row r="698" spans="1:17" ht="16.7" customHeight="1" x14ac:dyDescent="0.2">
      <c r="A698" s="211" t="s">
        <v>1161</v>
      </c>
      <c r="B698" s="211"/>
      <c r="C698" s="211"/>
      <c r="D698" s="51" t="s">
        <v>1162</v>
      </c>
      <c r="E698" s="43"/>
      <c r="F698" s="211" t="s">
        <v>1163</v>
      </c>
      <c r="G698" s="211"/>
      <c r="H698" s="1"/>
      <c r="I698" s="81"/>
      <c r="J698" s="266">
        <f>SUM(H7:H696)+0.19</f>
        <v>7342481.4100000057</v>
      </c>
      <c r="K698" s="82"/>
      <c r="L698" s="82"/>
      <c r="N698" s="80">
        <v>9789976.9000000004</v>
      </c>
      <c r="O698" s="96">
        <v>7342482.6699999999</v>
      </c>
      <c r="P698" s="85">
        <f>J698-O698</f>
        <v>-1.2599999941885471</v>
      </c>
    </row>
    <row r="699" spans="1:17" ht="16.7" customHeight="1" x14ac:dyDescent="0.2">
      <c r="A699" s="211" t="s">
        <v>1164</v>
      </c>
      <c r="B699" s="211"/>
      <c r="C699" s="211"/>
      <c r="D699" s="50"/>
      <c r="E699" s="43"/>
      <c r="F699" s="211" t="s">
        <v>1165</v>
      </c>
      <c r="G699" s="211"/>
      <c r="H699" s="1"/>
      <c r="I699" s="81"/>
      <c r="J699" s="267">
        <f>N699*S6</f>
        <v>1605317.7000000002</v>
      </c>
      <c r="K699" s="82"/>
      <c r="L699" s="82"/>
      <c r="N699" s="80">
        <v>2140423.6</v>
      </c>
      <c r="O699" s="96">
        <v>1605317.7</v>
      </c>
      <c r="P699" s="78">
        <f>J699-O699</f>
        <v>0</v>
      </c>
    </row>
    <row r="700" spans="1:17" ht="16.7" customHeight="1" x14ac:dyDescent="0.2">
      <c r="A700" s="211" t="s">
        <v>1166</v>
      </c>
      <c r="B700" s="211"/>
      <c r="C700" s="211"/>
      <c r="D700" s="50"/>
      <c r="E700" s="43"/>
      <c r="F700" s="211" t="s">
        <v>1167</v>
      </c>
      <c r="G700" s="211"/>
      <c r="H700" s="1"/>
      <c r="I700" s="81"/>
      <c r="J700" s="268">
        <f>J686+J644+J629+J467+J253+J208+J191+J135+J63+J56+J36+J16+J5</f>
        <v>8947799.1100000013</v>
      </c>
      <c r="K700" s="82"/>
      <c r="L700" s="82"/>
      <c r="N700" s="80">
        <v>11930400.5</v>
      </c>
    </row>
    <row r="702" spans="1:17" x14ac:dyDescent="0.2">
      <c r="F702" s="78">
        <f>J698+J699</f>
        <v>8947799.1100000069</v>
      </c>
      <c r="G702" s="85">
        <v>8947799.1099999994</v>
      </c>
      <c r="J702" s="78">
        <f>J698+J699</f>
        <v>8947799.1100000069</v>
      </c>
    </row>
    <row r="703" spans="1:17" x14ac:dyDescent="0.2">
      <c r="F703" s="78">
        <f>G702-F702</f>
        <v>0</v>
      </c>
      <c r="N703" s="85">
        <f>J698-N698</f>
        <v>-2447495.4899999946</v>
      </c>
    </row>
    <row r="704" spans="1:17" x14ac:dyDescent="0.2">
      <c r="J704" s="2">
        <v>8947800.3699999992</v>
      </c>
      <c r="L704" s="78"/>
    </row>
    <row r="705" spans="10:10" x14ac:dyDescent="0.2">
      <c r="J705" s="78">
        <f>J702-J704</f>
        <v>-1.259999992325902</v>
      </c>
    </row>
  </sheetData>
  <mergeCells count="13">
    <mergeCell ref="J2:L2"/>
    <mergeCell ref="A1:C2"/>
    <mergeCell ref="E1:F1"/>
    <mergeCell ref="G1:I1"/>
    <mergeCell ref="E2:F2"/>
    <mergeCell ref="G2:I2"/>
    <mergeCell ref="A700:C700"/>
    <mergeCell ref="F700:G700"/>
    <mergeCell ref="A3:L3"/>
    <mergeCell ref="A698:C698"/>
    <mergeCell ref="F698:G698"/>
    <mergeCell ref="A699:C699"/>
    <mergeCell ref="F699:G699"/>
  </mergeCells>
  <conditionalFormatting sqref="S7:S13">
    <cfRule type="cellIs" dxfId="2" priority="1" operator="lessThan">
      <formula>0</formula>
    </cfRule>
  </conditionalFormatting>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33"/>
  <sheetViews>
    <sheetView topLeftCell="B2" workbookViewId="0">
      <selection activeCell="I4" sqref="I4"/>
    </sheetView>
  </sheetViews>
  <sheetFormatPr defaultRowHeight="12.75" x14ac:dyDescent="0.2"/>
  <cols>
    <col min="1" max="1" width="46.83203125" customWidth="1"/>
    <col min="2" max="2" width="16.5" customWidth="1"/>
    <col min="3" max="3" width="61.6640625" customWidth="1"/>
    <col min="4" max="4" width="17.83203125" customWidth="1"/>
    <col min="5" max="5" width="18.83203125" customWidth="1"/>
    <col min="6" max="6" width="20.83203125" customWidth="1"/>
    <col min="7" max="7" width="20.33203125" customWidth="1"/>
    <col min="8" max="8" width="16.6640625" customWidth="1"/>
    <col min="9" max="9" width="18.83203125" customWidth="1"/>
    <col min="10" max="10" width="32.5" customWidth="1"/>
    <col min="11" max="11" width="4.6640625" hidden="1" customWidth="1"/>
    <col min="12" max="12" width="61.1640625" customWidth="1"/>
  </cols>
  <sheetData>
    <row r="1" spans="1:12" ht="38.25" customHeight="1" x14ac:dyDescent="0.2"/>
    <row r="2" spans="1:12" ht="27.95" customHeight="1" x14ac:dyDescent="0.2">
      <c r="A2" s="252" t="s">
        <v>3918</v>
      </c>
      <c r="B2" s="253"/>
      <c r="C2" s="253"/>
      <c r="D2" s="253"/>
      <c r="E2" s="253"/>
      <c r="F2" s="253"/>
      <c r="G2" s="253"/>
      <c r="H2" s="253"/>
      <c r="I2" s="253"/>
      <c r="J2" s="253"/>
      <c r="K2" s="253"/>
      <c r="L2" s="253"/>
    </row>
    <row r="3" spans="1:12" ht="28.5" customHeight="1" x14ac:dyDescent="0.2">
      <c r="A3" s="113" t="s">
        <v>3919</v>
      </c>
      <c r="B3" s="113" t="s">
        <v>3920</v>
      </c>
      <c r="C3" s="113" t="s">
        <v>1284</v>
      </c>
      <c r="D3" s="113" t="s">
        <v>3921</v>
      </c>
      <c r="E3" s="113" t="s">
        <v>3922</v>
      </c>
      <c r="F3" s="196" t="s">
        <v>3923</v>
      </c>
      <c r="G3" s="196" t="s">
        <v>3924</v>
      </c>
      <c r="H3" s="196" t="s">
        <v>3925</v>
      </c>
      <c r="I3" s="113" t="s">
        <v>3926</v>
      </c>
      <c r="J3" s="113" t="s">
        <v>3927</v>
      </c>
      <c r="K3" s="113" t="s">
        <v>2328</v>
      </c>
      <c r="L3" s="113" t="s">
        <v>3568</v>
      </c>
    </row>
    <row r="4" spans="1:12" ht="38.25" x14ac:dyDescent="0.2">
      <c r="A4" s="185" t="s">
        <v>3928</v>
      </c>
      <c r="B4" s="185" t="s">
        <v>3929</v>
      </c>
      <c r="C4" s="186" t="s">
        <v>3930</v>
      </c>
      <c r="D4" s="194">
        <v>45268</v>
      </c>
      <c r="E4" s="193">
        <v>45343</v>
      </c>
      <c r="F4" s="188">
        <v>25372408.510000002</v>
      </c>
      <c r="G4" s="188">
        <v>20297926.809999999</v>
      </c>
      <c r="H4" s="188">
        <f t="shared" ref="H4:H33" si="0">IFERROR(F4-G4,"")</f>
        <v>5074481.700000003</v>
      </c>
      <c r="I4" s="191" t="s">
        <v>6396</v>
      </c>
      <c r="J4" s="190" t="s">
        <v>3931</v>
      </c>
      <c r="K4" s="189"/>
      <c r="L4" s="192" t="s">
        <v>3932</v>
      </c>
    </row>
    <row r="5" spans="1:12" ht="54.75" customHeight="1" x14ac:dyDescent="0.2">
      <c r="A5" s="185" t="s">
        <v>3933</v>
      </c>
      <c r="B5" s="185" t="s">
        <v>3934</v>
      </c>
      <c r="C5" s="186" t="s">
        <v>3935</v>
      </c>
      <c r="D5" s="194">
        <v>45184</v>
      </c>
      <c r="E5" s="193">
        <v>45753</v>
      </c>
      <c r="F5" s="188">
        <v>4306812</v>
      </c>
      <c r="G5" s="188">
        <v>4306812</v>
      </c>
      <c r="H5" s="188">
        <f t="shared" si="0"/>
        <v>0</v>
      </c>
      <c r="I5" s="190" t="s">
        <v>6393</v>
      </c>
      <c r="J5" s="186" t="s">
        <v>3936</v>
      </c>
      <c r="K5" s="131"/>
      <c r="L5" s="186" t="s">
        <v>6394</v>
      </c>
    </row>
    <row r="6" spans="1:12" ht="59.25" customHeight="1" x14ac:dyDescent="0.2">
      <c r="A6" s="185" t="s">
        <v>3937</v>
      </c>
      <c r="B6" s="185" t="s">
        <v>3938</v>
      </c>
      <c r="C6" s="186" t="s">
        <v>3939</v>
      </c>
      <c r="D6" s="194">
        <v>45168</v>
      </c>
      <c r="E6" s="193">
        <v>45692</v>
      </c>
      <c r="F6" s="188">
        <v>4832984.38</v>
      </c>
      <c r="G6" s="188">
        <v>4832984.38</v>
      </c>
      <c r="H6" s="188">
        <f t="shared" si="0"/>
        <v>0</v>
      </c>
      <c r="I6" s="190" t="s">
        <v>3940</v>
      </c>
      <c r="J6" s="186" t="s">
        <v>3941</v>
      </c>
      <c r="K6" s="131"/>
      <c r="L6" s="186" t="s">
        <v>6395</v>
      </c>
    </row>
    <row r="7" spans="1:12" ht="51" x14ac:dyDescent="0.2">
      <c r="A7" s="185" t="s">
        <v>3942</v>
      </c>
      <c r="B7" s="131" t="s">
        <v>3943</v>
      </c>
      <c r="C7" s="186" t="s">
        <v>3944</v>
      </c>
      <c r="D7" s="194">
        <v>45775</v>
      </c>
      <c r="E7" s="195">
        <v>45862</v>
      </c>
      <c r="F7" s="188">
        <v>4096231.43</v>
      </c>
      <c r="G7" s="188">
        <v>1556567.94</v>
      </c>
      <c r="H7" s="188">
        <f t="shared" si="0"/>
        <v>2539663.4900000002</v>
      </c>
      <c r="I7" s="187" t="s">
        <v>3945</v>
      </c>
      <c r="J7" s="185" t="s">
        <v>3946</v>
      </c>
      <c r="K7" s="131"/>
      <c r="L7" s="131"/>
    </row>
    <row r="8" spans="1:12" ht="25.5" x14ac:dyDescent="0.2">
      <c r="A8" s="185" t="s">
        <v>3947</v>
      </c>
      <c r="B8" s="185" t="s">
        <v>3948</v>
      </c>
      <c r="C8" s="186" t="s">
        <v>3949</v>
      </c>
      <c r="D8" s="194">
        <v>46010</v>
      </c>
      <c r="E8" s="195">
        <v>46055</v>
      </c>
      <c r="F8" s="188">
        <v>945699.99</v>
      </c>
      <c r="G8" s="188">
        <v>567419.99</v>
      </c>
      <c r="H8" s="188">
        <f t="shared" si="0"/>
        <v>378280</v>
      </c>
      <c r="I8" s="187" t="s">
        <v>3950</v>
      </c>
      <c r="J8" s="185" t="s">
        <v>3931</v>
      </c>
      <c r="K8" s="131"/>
      <c r="L8" s="131"/>
    </row>
    <row r="9" spans="1:12" x14ac:dyDescent="0.2">
      <c r="A9" s="131"/>
      <c r="B9" s="131"/>
      <c r="C9" s="114"/>
      <c r="D9" s="114"/>
      <c r="E9" s="137"/>
      <c r="F9" s="134"/>
      <c r="G9" s="134"/>
      <c r="H9" s="134">
        <f t="shared" si="0"/>
        <v>0</v>
      </c>
      <c r="I9" s="137"/>
      <c r="J9" s="131"/>
      <c r="K9" s="131"/>
      <c r="L9" s="131"/>
    </row>
    <row r="10" spans="1:12" x14ac:dyDescent="0.2">
      <c r="A10" s="131"/>
      <c r="B10" s="131"/>
      <c r="C10" s="114"/>
      <c r="D10" s="114"/>
      <c r="E10" s="131"/>
      <c r="F10" s="134"/>
      <c r="G10" s="134"/>
      <c r="H10" s="134">
        <f t="shared" si="0"/>
        <v>0</v>
      </c>
      <c r="I10" s="131"/>
      <c r="J10" s="131"/>
      <c r="K10" s="131"/>
      <c r="L10" s="131"/>
    </row>
    <row r="11" spans="1:12" x14ac:dyDescent="0.2">
      <c r="A11" s="131"/>
      <c r="B11" s="131"/>
      <c r="C11" s="114"/>
      <c r="D11" s="114"/>
      <c r="E11" s="131"/>
      <c r="F11" s="134"/>
      <c r="G11" s="134"/>
      <c r="H11" s="134">
        <f t="shared" si="0"/>
        <v>0</v>
      </c>
      <c r="I11" s="131"/>
      <c r="J11" s="131"/>
      <c r="K11" s="131"/>
      <c r="L11" s="131"/>
    </row>
    <row r="12" spans="1:12" x14ac:dyDescent="0.2">
      <c r="A12" s="131"/>
      <c r="B12" s="131"/>
      <c r="C12" s="114"/>
      <c r="D12" s="114"/>
      <c r="E12" s="131"/>
      <c r="F12" s="134"/>
      <c r="G12" s="134"/>
      <c r="H12" s="134">
        <f t="shared" si="0"/>
        <v>0</v>
      </c>
      <c r="I12" s="131"/>
      <c r="J12" s="131"/>
      <c r="K12" s="131"/>
      <c r="L12" s="131"/>
    </row>
    <row r="13" spans="1:12" x14ac:dyDescent="0.2">
      <c r="A13" s="131"/>
      <c r="B13" s="131"/>
      <c r="C13" s="114"/>
      <c r="D13" s="114"/>
      <c r="E13" s="131"/>
      <c r="F13" s="134"/>
      <c r="G13" s="134"/>
      <c r="H13" s="134">
        <f t="shared" si="0"/>
        <v>0</v>
      </c>
      <c r="I13" s="131"/>
      <c r="J13" s="131"/>
      <c r="K13" s="131"/>
      <c r="L13" s="131"/>
    </row>
    <row r="14" spans="1:12" x14ac:dyDescent="0.2">
      <c r="A14" s="131"/>
      <c r="B14" s="131"/>
      <c r="C14" s="114"/>
      <c r="D14" s="114"/>
      <c r="E14" s="131"/>
      <c r="F14" s="134"/>
      <c r="G14" s="134"/>
      <c r="H14" s="134">
        <f t="shared" si="0"/>
        <v>0</v>
      </c>
      <c r="I14" s="131"/>
      <c r="J14" s="131"/>
      <c r="K14" s="131"/>
      <c r="L14" s="131"/>
    </row>
    <row r="15" spans="1:12" x14ac:dyDescent="0.2">
      <c r="A15" s="131"/>
      <c r="B15" s="131"/>
      <c r="C15" s="131"/>
      <c r="D15" s="131"/>
      <c r="E15" s="131"/>
      <c r="F15" s="134"/>
      <c r="G15" s="134"/>
      <c r="H15" s="134">
        <f t="shared" si="0"/>
        <v>0</v>
      </c>
      <c r="I15" s="131"/>
      <c r="J15" s="131"/>
      <c r="K15" s="131"/>
      <c r="L15" s="131"/>
    </row>
    <row r="16" spans="1:12" x14ac:dyDescent="0.2">
      <c r="A16" s="131"/>
      <c r="B16" s="131"/>
      <c r="C16" s="131"/>
      <c r="D16" s="131"/>
      <c r="E16" s="131"/>
      <c r="F16" s="134"/>
      <c r="G16" s="134"/>
      <c r="H16" s="134">
        <f t="shared" si="0"/>
        <v>0</v>
      </c>
      <c r="I16" s="131"/>
      <c r="J16" s="131"/>
      <c r="K16" s="131"/>
      <c r="L16" s="131"/>
    </row>
    <row r="17" spans="1:12" x14ac:dyDescent="0.2">
      <c r="A17" s="131"/>
      <c r="B17" s="131"/>
      <c r="C17" s="131"/>
      <c r="D17" s="131"/>
      <c r="E17" s="131"/>
      <c r="F17" s="134"/>
      <c r="G17" s="134"/>
      <c r="H17" s="134">
        <f t="shared" si="0"/>
        <v>0</v>
      </c>
      <c r="I17" s="131"/>
      <c r="J17" s="131"/>
      <c r="K17" s="131"/>
      <c r="L17" s="131"/>
    </row>
    <row r="18" spans="1:12" x14ac:dyDescent="0.2">
      <c r="A18" s="131"/>
      <c r="B18" s="131"/>
      <c r="C18" s="131"/>
      <c r="D18" s="131"/>
      <c r="E18" s="131"/>
      <c r="F18" s="134"/>
      <c r="G18" s="134"/>
      <c r="H18" s="134">
        <f t="shared" si="0"/>
        <v>0</v>
      </c>
      <c r="I18" s="131"/>
      <c r="J18" s="131"/>
      <c r="K18" s="131"/>
      <c r="L18" s="131"/>
    </row>
    <row r="19" spans="1:12" x14ac:dyDescent="0.2">
      <c r="A19" s="131"/>
      <c r="B19" s="131"/>
      <c r="C19" s="131"/>
      <c r="D19" s="131"/>
      <c r="E19" s="131"/>
      <c r="F19" s="134"/>
      <c r="G19" s="134"/>
      <c r="H19" s="134">
        <f t="shared" si="0"/>
        <v>0</v>
      </c>
      <c r="I19" s="131"/>
      <c r="J19" s="131"/>
      <c r="K19" s="131"/>
      <c r="L19" s="131"/>
    </row>
    <row r="20" spans="1:12" x14ac:dyDescent="0.2">
      <c r="A20" s="131"/>
      <c r="B20" s="131"/>
      <c r="C20" s="131"/>
      <c r="D20" s="131"/>
      <c r="E20" s="131"/>
      <c r="F20" s="134"/>
      <c r="G20" s="134"/>
      <c r="H20" s="134">
        <f t="shared" si="0"/>
        <v>0</v>
      </c>
      <c r="I20" s="131"/>
      <c r="J20" s="131"/>
      <c r="K20" s="131"/>
      <c r="L20" s="131"/>
    </row>
    <row r="21" spans="1:12" x14ac:dyDescent="0.2">
      <c r="A21" s="131"/>
      <c r="B21" s="131"/>
      <c r="C21" s="131"/>
      <c r="D21" s="131"/>
      <c r="E21" s="131"/>
      <c r="F21" s="134"/>
      <c r="G21" s="134"/>
      <c r="H21" s="134">
        <f t="shared" si="0"/>
        <v>0</v>
      </c>
      <c r="I21" s="131"/>
      <c r="J21" s="131"/>
      <c r="K21" s="131"/>
      <c r="L21" s="131"/>
    </row>
    <row r="22" spans="1:12" x14ac:dyDescent="0.2">
      <c r="A22" s="131"/>
      <c r="B22" s="131"/>
      <c r="C22" s="131"/>
      <c r="D22" s="131"/>
      <c r="E22" s="131"/>
      <c r="F22" s="134"/>
      <c r="G22" s="134"/>
      <c r="H22" s="134">
        <f t="shared" si="0"/>
        <v>0</v>
      </c>
      <c r="I22" s="131"/>
      <c r="J22" s="131"/>
      <c r="K22" s="131"/>
      <c r="L22" s="131"/>
    </row>
    <row r="23" spans="1:12" x14ac:dyDescent="0.2">
      <c r="A23" s="131"/>
      <c r="B23" s="131"/>
      <c r="C23" s="131"/>
      <c r="D23" s="131"/>
      <c r="E23" s="131"/>
      <c r="F23" s="134"/>
      <c r="G23" s="134"/>
      <c r="H23" s="134">
        <f t="shared" si="0"/>
        <v>0</v>
      </c>
      <c r="I23" s="131"/>
      <c r="J23" s="131"/>
      <c r="K23" s="131"/>
      <c r="L23" s="131"/>
    </row>
    <row r="24" spans="1:12" x14ac:dyDescent="0.2">
      <c r="F24" s="112"/>
      <c r="G24" s="112"/>
      <c r="H24" s="112">
        <f t="shared" si="0"/>
        <v>0</v>
      </c>
    </row>
    <row r="25" spans="1:12" x14ac:dyDescent="0.2">
      <c r="F25" s="112"/>
      <c r="G25" s="112"/>
      <c r="H25" s="112">
        <f t="shared" si="0"/>
        <v>0</v>
      </c>
    </row>
    <row r="26" spans="1:12" x14ac:dyDescent="0.2">
      <c r="F26" s="112"/>
      <c r="G26" s="112"/>
      <c r="H26" s="112">
        <f t="shared" si="0"/>
        <v>0</v>
      </c>
    </row>
    <row r="27" spans="1:12" x14ac:dyDescent="0.2">
      <c r="F27" s="112"/>
      <c r="G27" s="112"/>
      <c r="H27" s="112">
        <f t="shared" si="0"/>
        <v>0</v>
      </c>
    </row>
    <row r="28" spans="1:12" x14ac:dyDescent="0.2">
      <c r="F28" s="112"/>
      <c r="G28" s="112"/>
      <c r="H28" s="112">
        <f t="shared" si="0"/>
        <v>0</v>
      </c>
    </row>
    <row r="29" spans="1:12" x14ac:dyDescent="0.2">
      <c r="F29" s="112"/>
      <c r="G29" s="112"/>
      <c r="H29" s="112">
        <f t="shared" si="0"/>
        <v>0</v>
      </c>
    </row>
    <row r="30" spans="1:12" x14ac:dyDescent="0.2">
      <c r="F30" s="112"/>
      <c r="G30" s="112"/>
      <c r="H30" s="112">
        <f t="shared" si="0"/>
        <v>0</v>
      </c>
    </row>
    <row r="31" spans="1:12" x14ac:dyDescent="0.2">
      <c r="F31" s="112"/>
      <c r="G31" s="112"/>
      <c r="H31" s="112">
        <f t="shared" si="0"/>
        <v>0</v>
      </c>
    </row>
    <row r="32" spans="1:12" x14ac:dyDescent="0.2">
      <c r="F32" s="112"/>
      <c r="G32" s="112"/>
      <c r="H32" s="112">
        <f t="shared" si="0"/>
        <v>0</v>
      </c>
    </row>
    <row r="33" spans="6:8" x14ac:dyDescent="0.2">
      <c r="F33" s="112"/>
      <c r="G33" s="112"/>
      <c r="H33" s="112">
        <f t="shared" si="0"/>
        <v>0</v>
      </c>
    </row>
  </sheetData>
  <mergeCells count="1">
    <mergeCell ref="A2:L2"/>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V1201"/>
  <sheetViews>
    <sheetView tabSelected="1" topLeftCell="A635" workbookViewId="0">
      <selection activeCell="G653" sqref="G653"/>
    </sheetView>
  </sheetViews>
  <sheetFormatPr defaultRowHeight="12.75" x14ac:dyDescent="0.2"/>
  <cols>
    <col min="1" max="1" width="16" customWidth="1"/>
    <col min="2" max="2" width="10" customWidth="1"/>
    <col min="3" max="3" width="16" customWidth="1"/>
    <col min="4" max="4" width="14" customWidth="1"/>
    <col min="5" max="5" width="55" customWidth="1"/>
    <col min="6" max="6" width="10" customWidth="1"/>
    <col min="7" max="7" width="12" customWidth="1"/>
    <col min="8" max="8" width="8" customWidth="1"/>
    <col min="9" max="9" width="26" customWidth="1"/>
    <col min="10" max="10" width="55" customWidth="1"/>
    <col min="11" max="11" width="10" customWidth="1"/>
    <col min="12" max="12" width="12" customWidth="1"/>
    <col min="13" max="14" width="16" style="264" customWidth="1"/>
    <col min="15" max="15" width="10" customWidth="1"/>
    <col min="16" max="17" width="16" customWidth="1"/>
    <col min="18" max="18" width="18" customWidth="1"/>
    <col min="19" max="19" width="71.5" customWidth="1"/>
    <col min="20" max="20" width="81.83203125" customWidth="1"/>
    <col min="21" max="21" width="35.83203125" customWidth="1"/>
    <col min="22" max="22" width="55" hidden="1" customWidth="1"/>
  </cols>
  <sheetData>
    <row r="1" spans="1:22" ht="57.75" customHeight="1" x14ac:dyDescent="0.2"/>
    <row r="2" spans="1:22" s="197" customFormat="1" ht="25.5" x14ac:dyDescent="0.2">
      <c r="A2" s="259" t="s">
        <v>2316</v>
      </c>
      <c r="B2" s="259" t="s">
        <v>8</v>
      </c>
      <c r="C2" s="259" t="s">
        <v>9</v>
      </c>
      <c r="D2" s="259" t="s">
        <v>10</v>
      </c>
      <c r="E2" s="259" t="s">
        <v>11</v>
      </c>
      <c r="F2" s="259" t="s">
        <v>3556</v>
      </c>
      <c r="G2" s="259" t="s">
        <v>3557</v>
      </c>
      <c r="H2" s="259" t="s">
        <v>3558</v>
      </c>
      <c r="I2" s="259" t="s">
        <v>3559</v>
      </c>
      <c r="J2" s="259" t="s">
        <v>3951</v>
      </c>
      <c r="K2" s="259" t="s">
        <v>3560</v>
      </c>
      <c r="L2" s="259" t="s">
        <v>3561</v>
      </c>
      <c r="M2" s="262" t="s">
        <v>3562</v>
      </c>
      <c r="N2" s="262" t="s">
        <v>3563</v>
      </c>
      <c r="O2" s="259" t="s">
        <v>2319</v>
      </c>
      <c r="P2" s="259" t="s">
        <v>3564</v>
      </c>
      <c r="Q2" s="259" t="s">
        <v>2321</v>
      </c>
      <c r="R2" s="259" t="s">
        <v>3565</v>
      </c>
      <c r="S2" s="259" t="s">
        <v>3952</v>
      </c>
      <c r="T2" s="259" t="s">
        <v>3567</v>
      </c>
      <c r="U2" s="259" t="s">
        <v>1300</v>
      </c>
      <c r="V2" s="259" t="s">
        <v>3568</v>
      </c>
    </row>
    <row r="3" spans="1:22" s="197" customFormat="1" x14ac:dyDescent="0.2">
      <c r="A3" s="197" t="s">
        <v>3953</v>
      </c>
      <c r="B3" s="197" t="s">
        <v>165</v>
      </c>
      <c r="C3" s="197" t="s">
        <v>1373</v>
      </c>
      <c r="D3" s="197" t="s">
        <v>56</v>
      </c>
      <c r="E3" s="197" t="s">
        <v>166</v>
      </c>
      <c r="F3" s="197" t="s">
        <v>99</v>
      </c>
      <c r="G3" s="260">
        <v>1795</v>
      </c>
      <c r="H3" s="197">
        <v>1</v>
      </c>
      <c r="I3" s="197" t="s">
        <v>3954</v>
      </c>
      <c r="J3" s="197" t="s">
        <v>3955</v>
      </c>
      <c r="K3" s="197" t="s">
        <v>1283</v>
      </c>
      <c r="L3" s="261">
        <v>0.14000000000000001</v>
      </c>
      <c r="M3" s="263">
        <v>210.703183</v>
      </c>
      <c r="N3" s="263">
        <f>L3*M3</f>
        <v>29.498445620000002</v>
      </c>
      <c r="O3" s="199"/>
      <c r="P3" s="261"/>
      <c r="Q3" s="261"/>
      <c r="R3" s="198"/>
      <c r="S3" s="197" t="s">
        <v>3956</v>
      </c>
      <c r="T3" s="197" t="s">
        <v>3957</v>
      </c>
      <c r="U3" s="197" t="s">
        <v>3958</v>
      </c>
      <c r="V3" s="197" t="s">
        <v>3959</v>
      </c>
    </row>
    <row r="4" spans="1:22" s="197" customFormat="1" x14ac:dyDescent="0.2">
      <c r="A4" s="197" t="s">
        <v>3953</v>
      </c>
      <c r="B4" s="197" t="s">
        <v>165</v>
      </c>
      <c r="C4" s="197" t="s">
        <v>1373</v>
      </c>
      <c r="D4" s="197" t="s">
        <v>56</v>
      </c>
      <c r="E4" s="197" t="s">
        <v>166</v>
      </c>
      <c r="F4" s="197" t="s">
        <v>99</v>
      </c>
      <c r="G4" s="260">
        <v>1795</v>
      </c>
      <c r="H4" s="197">
        <v>2</v>
      </c>
      <c r="I4" s="197" t="s">
        <v>3960</v>
      </c>
      <c r="J4" s="197" t="s">
        <v>3961</v>
      </c>
      <c r="K4" s="197" t="s">
        <v>1283</v>
      </c>
      <c r="L4" s="261">
        <v>0.5</v>
      </c>
      <c r="M4" s="263">
        <v>210.703183</v>
      </c>
      <c r="N4" s="263">
        <f>L4*M4</f>
        <v>105.3515915</v>
      </c>
      <c r="O4" s="199"/>
      <c r="P4" s="261"/>
      <c r="Q4" s="261"/>
      <c r="R4" s="198"/>
      <c r="S4" s="197" t="s">
        <v>3956</v>
      </c>
      <c r="T4" s="197" t="s">
        <v>3957</v>
      </c>
      <c r="U4" s="197" t="s">
        <v>3958</v>
      </c>
      <c r="V4" s="197" t="s">
        <v>3959</v>
      </c>
    </row>
    <row r="5" spans="1:22" s="197" customFormat="1" x14ac:dyDescent="0.2">
      <c r="A5" s="197" t="s">
        <v>3953</v>
      </c>
      <c r="B5" s="197" t="s">
        <v>165</v>
      </c>
      <c r="C5" s="197" t="s">
        <v>1373</v>
      </c>
      <c r="D5" s="197" t="s">
        <v>56</v>
      </c>
      <c r="E5" s="197" t="s">
        <v>166</v>
      </c>
      <c r="F5" s="197" t="s">
        <v>99</v>
      </c>
      <c r="G5" s="260">
        <v>1795</v>
      </c>
      <c r="H5" s="197">
        <v>3</v>
      </c>
      <c r="I5" s="197" t="s">
        <v>3962</v>
      </c>
      <c r="J5" s="197" t="s">
        <v>3963</v>
      </c>
      <c r="K5" s="197" t="s">
        <v>1283</v>
      </c>
      <c r="L5" s="261">
        <v>0.26</v>
      </c>
      <c r="M5" s="263">
        <v>210.703183</v>
      </c>
      <c r="N5" s="263">
        <f>L5*M5</f>
        <v>54.782827580000003</v>
      </c>
      <c r="O5" s="199"/>
      <c r="P5" s="261"/>
      <c r="Q5" s="261"/>
      <c r="R5" s="198"/>
      <c r="S5" s="197" t="s">
        <v>3956</v>
      </c>
      <c r="T5" s="197" t="s">
        <v>3957</v>
      </c>
      <c r="U5" s="197" t="s">
        <v>3958</v>
      </c>
      <c r="V5" s="197" t="s">
        <v>3959</v>
      </c>
    </row>
    <row r="6" spans="1:22" s="197" customFormat="1" x14ac:dyDescent="0.2">
      <c r="A6" s="197" t="s">
        <v>3953</v>
      </c>
      <c r="B6" s="197" t="s">
        <v>165</v>
      </c>
      <c r="C6" s="197" t="s">
        <v>1373</v>
      </c>
      <c r="D6" s="197" t="s">
        <v>56</v>
      </c>
      <c r="E6" s="197" t="s">
        <v>166</v>
      </c>
      <c r="F6" s="197" t="s">
        <v>99</v>
      </c>
      <c r="G6" s="260">
        <v>1795</v>
      </c>
      <c r="H6" s="197">
        <v>4</v>
      </c>
      <c r="I6" s="197" t="s">
        <v>3964</v>
      </c>
      <c r="J6" s="197" t="s">
        <v>3965</v>
      </c>
      <c r="K6" s="197" t="s">
        <v>1283</v>
      </c>
      <c r="L6" s="261">
        <v>7.0000000000000007E-2</v>
      </c>
      <c r="M6" s="263">
        <v>210.703183</v>
      </c>
      <c r="N6" s="263">
        <f>L6*M6</f>
        <v>14.749222810000001</v>
      </c>
      <c r="O6" s="199"/>
      <c r="P6" s="261"/>
      <c r="Q6" s="261"/>
      <c r="R6" s="198"/>
      <c r="S6" s="197" t="s">
        <v>3956</v>
      </c>
      <c r="T6" s="197" t="s">
        <v>3957</v>
      </c>
      <c r="U6" s="197" t="s">
        <v>3958</v>
      </c>
      <c r="V6" s="197" t="s">
        <v>3959</v>
      </c>
    </row>
    <row r="7" spans="1:22" s="197" customFormat="1" x14ac:dyDescent="0.2">
      <c r="A7" s="197" t="s">
        <v>3953</v>
      </c>
      <c r="B7" s="197" t="s">
        <v>165</v>
      </c>
      <c r="C7" s="197" t="s">
        <v>1373</v>
      </c>
      <c r="D7" s="197" t="s">
        <v>56</v>
      </c>
      <c r="E7" s="197" t="s">
        <v>166</v>
      </c>
      <c r="F7" s="197" t="s">
        <v>99</v>
      </c>
      <c r="G7" s="260">
        <v>1795</v>
      </c>
      <c r="H7" s="197">
        <v>5</v>
      </c>
      <c r="I7" s="197" t="s">
        <v>3966</v>
      </c>
      <c r="J7" s="197" t="s">
        <v>3967</v>
      </c>
      <c r="K7" s="197" t="s">
        <v>1283</v>
      </c>
      <c r="L7" s="261">
        <v>0.03</v>
      </c>
      <c r="M7" s="263">
        <v>210.703183</v>
      </c>
      <c r="N7" s="263">
        <f>L7*M7</f>
        <v>6.3210954899999994</v>
      </c>
      <c r="O7" s="199"/>
      <c r="P7" s="261"/>
      <c r="Q7" s="261"/>
      <c r="R7" s="198"/>
      <c r="S7" s="197" t="s">
        <v>3956</v>
      </c>
      <c r="T7" s="197" t="s">
        <v>3957</v>
      </c>
      <c r="U7" s="197" t="s">
        <v>3958</v>
      </c>
      <c r="V7" s="197" t="s">
        <v>3959</v>
      </c>
    </row>
    <row r="8" spans="1:22" s="197" customFormat="1" x14ac:dyDescent="0.2">
      <c r="A8" s="197" t="s">
        <v>3953</v>
      </c>
      <c r="B8" s="197" t="s">
        <v>165</v>
      </c>
      <c r="C8" s="197" t="s">
        <v>1373</v>
      </c>
      <c r="D8" s="197" t="s">
        <v>56</v>
      </c>
      <c r="E8" s="197" t="s">
        <v>166</v>
      </c>
      <c r="F8" s="197" t="s">
        <v>99</v>
      </c>
      <c r="G8" s="260">
        <v>1795</v>
      </c>
      <c r="H8" s="197">
        <v>6</v>
      </c>
      <c r="I8" s="197" t="s">
        <v>3968</v>
      </c>
      <c r="J8" s="197" t="s">
        <v>3969</v>
      </c>
      <c r="K8" s="197" t="s">
        <v>99</v>
      </c>
      <c r="L8" s="261">
        <v>1</v>
      </c>
      <c r="M8" s="263"/>
      <c r="N8" s="263">
        <f>SUM(N3:N7)</f>
        <v>210.703183</v>
      </c>
      <c r="O8" s="199">
        <v>0.2223</v>
      </c>
      <c r="P8" s="261">
        <f>N8*O8</f>
        <v>46.839317580900001</v>
      </c>
      <c r="Q8" s="261">
        <f>N8+P8</f>
        <v>257.54250058089997</v>
      </c>
      <c r="R8" s="198">
        <f>Q8*G8</f>
        <v>462288.78854271543</v>
      </c>
      <c r="S8" s="197" t="s">
        <v>3956</v>
      </c>
      <c r="T8" s="197" t="s">
        <v>3957</v>
      </c>
      <c r="U8" s="197" t="str">
        <f>IF(ABS(Q8-257.5425)&lt;=0.01,"FECHA COM PLANILHA","REVISAR")</f>
        <v>FECHA COM PLANILHA</v>
      </c>
      <c r="V8" s="197" t="s">
        <v>3970</v>
      </c>
    </row>
    <row r="9" spans="1:22" s="197" customFormat="1" x14ac:dyDescent="0.2">
      <c r="A9" s="197" t="s">
        <v>3971</v>
      </c>
      <c r="B9" s="197" t="s">
        <v>2067</v>
      </c>
      <c r="C9" s="197" t="s">
        <v>979</v>
      </c>
      <c r="D9" s="197" t="s">
        <v>209</v>
      </c>
      <c r="E9" s="197" t="s">
        <v>2068</v>
      </c>
      <c r="F9" s="197" t="s">
        <v>99</v>
      </c>
      <c r="G9" s="260">
        <v>631.20000000000005</v>
      </c>
      <c r="H9" s="197">
        <v>1</v>
      </c>
      <c r="I9" s="197" t="s">
        <v>3954</v>
      </c>
      <c r="J9" s="197" t="s">
        <v>3972</v>
      </c>
      <c r="K9" s="197" t="s">
        <v>1283</v>
      </c>
      <c r="L9" s="261">
        <v>0.18</v>
      </c>
      <c r="M9" s="263">
        <v>339.12910099999999</v>
      </c>
      <c r="N9" s="263">
        <f>L9*M9</f>
        <v>61.043238179999996</v>
      </c>
      <c r="O9" s="199"/>
      <c r="P9" s="261"/>
      <c r="Q9" s="261"/>
      <c r="R9" s="198"/>
      <c r="S9" s="197" t="s">
        <v>3973</v>
      </c>
      <c r="T9" s="197" t="s">
        <v>3974</v>
      </c>
      <c r="U9" s="197" t="s">
        <v>3958</v>
      </c>
      <c r="V9" s="197" t="s">
        <v>3959</v>
      </c>
    </row>
    <row r="10" spans="1:22" s="197" customFormat="1" x14ac:dyDescent="0.2">
      <c r="A10" s="197" t="s">
        <v>3971</v>
      </c>
      <c r="B10" s="197" t="s">
        <v>2067</v>
      </c>
      <c r="C10" s="197" t="s">
        <v>979</v>
      </c>
      <c r="D10" s="197" t="s">
        <v>209</v>
      </c>
      <c r="E10" s="197" t="s">
        <v>2068</v>
      </c>
      <c r="F10" s="197" t="s">
        <v>99</v>
      </c>
      <c r="G10" s="260">
        <v>631.20000000000005</v>
      </c>
      <c r="H10" s="197">
        <v>2</v>
      </c>
      <c r="I10" s="197" t="s">
        <v>3960</v>
      </c>
      <c r="J10" s="197" t="s">
        <v>3975</v>
      </c>
      <c r="K10" s="197" t="s">
        <v>1283</v>
      </c>
      <c r="L10" s="261">
        <v>0.75</v>
      </c>
      <c r="M10" s="263">
        <v>339.12910099999999</v>
      </c>
      <c r="N10" s="263">
        <f>L10*M10</f>
        <v>254.34682574999999</v>
      </c>
      <c r="O10" s="199"/>
      <c r="P10" s="261"/>
      <c r="Q10" s="261"/>
      <c r="R10" s="198"/>
      <c r="S10" s="197" t="s">
        <v>3973</v>
      </c>
      <c r="T10" s="197" t="s">
        <v>3974</v>
      </c>
      <c r="U10" s="197" t="s">
        <v>3958</v>
      </c>
      <c r="V10" s="197" t="s">
        <v>3959</v>
      </c>
    </row>
    <row r="11" spans="1:22" s="197" customFormat="1" x14ac:dyDescent="0.2">
      <c r="A11" s="197" t="s">
        <v>3971</v>
      </c>
      <c r="B11" s="197" t="s">
        <v>2067</v>
      </c>
      <c r="C11" s="197" t="s">
        <v>979</v>
      </c>
      <c r="D11" s="197" t="s">
        <v>209</v>
      </c>
      <c r="E11" s="197" t="s">
        <v>2068</v>
      </c>
      <c r="F11" s="197" t="s">
        <v>99</v>
      </c>
      <c r="G11" s="260">
        <v>631.20000000000005</v>
      </c>
      <c r="H11" s="197">
        <v>3</v>
      </c>
      <c r="I11" s="197" t="s">
        <v>3976</v>
      </c>
      <c r="J11" s="197" t="s">
        <v>3977</v>
      </c>
      <c r="K11" s="197" t="s">
        <v>1283</v>
      </c>
      <c r="L11" s="261">
        <v>0.04</v>
      </c>
      <c r="M11" s="263">
        <v>339.12910099999999</v>
      </c>
      <c r="N11" s="263">
        <f>L11*M11</f>
        <v>13.565164039999999</v>
      </c>
      <c r="O11" s="199"/>
      <c r="P11" s="261"/>
      <c r="Q11" s="261"/>
      <c r="R11" s="198"/>
      <c r="S11" s="197" t="s">
        <v>3973</v>
      </c>
      <c r="T11" s="197" t="s">
        <v>3974</v>
      </c>
      <c r="U11" s="197" t="s">
        <v>3958</v>
      </c>
      <c r="V11" s="197" t="s">
        <v>3959</v>
      </c>
    </row>
    <row r="12" spans="1:22" s="197" customFormat="1" x14ac:dyDescent="0.2">
      <c r="A12" s="197" t="s">
        <v>3971</v>
      </c>
      <c r="B12" s="197" t="s">
        <v>2067</v>
      </c>
      <c r="C12" s="197" t="s">
        <v>979</v>
      </c>
      <c r="D12" s="197" t="s">
        <v>209</v>
      </c>
      <c r="E12" s="197" t="s">
        <v>2068</v>
      </c>
      <c r="F12" s="197" t="s">
        <v>99</v>
      </c>
      <c r="G12" s="260">
        <v>631.20000000000005</v>
      </c>
      <c r="H12" s="197">
        <v>4</v>
      </c>
      <c r="I12" s="197" t="s">
        <v>3978</v>
      </c>
      <c r="J12" s="197" t="s">
        <v>3979</v>
      </c>
      <c r="K12" s="197" t="s">
        <v>1283</v>
      </c>
      <c r="L12" s="261">
        <v>0.03</v>
      </c>
      <c r="M12" s="263">
        <v>339.12910099999999</v>
      </c>
      <c r="N12" s="263">
        <f>L12*M12</f>
        <v>10.173873029999999</v>
      </c>
      <c r="O12" s="199"/>
      <c r="P12" s="261"/>
      <c r="Q12" s="261"/>
      <c r="R12" s="198"/>
      <c r="S12" s="197" t="s">
        <v>3973</v>
      </c>
      <c r="T12" s="197" t="s">
        <v>3974</v>
      </c>
      <c r="U12" s="197" t="s">
        <v>3958</v>
      </c>
      <c r="V12" s="197" t="s">
        <v>3959</v>
      </c>
    </row>
    <row r="13" spans="1:22" s="197" customFormat="1" x14ac:dyDescent="0.2">
      <c r="A13" s="197" t="s">
        <v>3971</v>
      </c>
      <c r="B13" s="197" t="s">
        <v>2067</v>
      </c>
      <c r="C13" s="197" t="s">
        <v>979</v>
      </c>
      <c r="D13" s="197" t="s">
        <v>209</v>
      </c>
      <c r="E13" s="197" t="s">
        <v>2068</v>
      </c>
      <c r="F13" s="197" t="s">
        <v>99</v>
      </c>
      <c r="G13" s="260">
        <v>631.20000000000005</v>
      </c>
      <c r="H13" s="197">
        <v>5</v>
      </c>
      <c r="I13" s="197" t="s">
        <v>3968</v>
      </c>
      <c r="J13" s="197" t="s">
        <v>3969</v>
      </c>
      <c r="K13" s="197" t="s">
        <v>99</v>
      </c>
      <c r="L13" s="261">
        <v>1</v>
      </c>
      <c r="M13" s="263"/>
      <c r="N13" s="263">
        <f>SUM(N9:N12)</f>
        <v>339.12910099999999</v>
      </c>
      <c r="O13" s="199">
        <v>0.2223</v>
      </c>
      <c r="P13" s="261">
        <f>N13*O13</f>
        <v>75.388399152299996</v>
      </c>
      <c r="Q13" s="261">
        <f>N13+P13</f>
        <v>414.51750015229999</v>
      </c>
      <c r="R13" s="198">
        <f>Q13*G13</f>
        <v>261643.44609613178</v>
      </c>
      <c r="S13" s="197" t="s">
        <v>3973</v>
      </c>
      <c r="T13" s="197" t="s">
        <v>3974</v>
      </c>
      <c r="U13" s="197" t="str">
        <f>IF(ABS(Q13-414.5175)&lt;=0.01,"FECHA COM PLANILHA","REVISAR")</f>
        <v>FECHA COM PLANILHA</v>
      </c>
      <c r="V13" s="197" t="s">
        <v>3980</v>
      </c>
    </row>
    <row r="14" spans="1:22" s="197" customFormat="1" x14ac:dyDescent="0.2">
      <c r="A14" s="197" t="s">
        <v>3981</v>
      </c>
      <c r="B14" s="197" t="s">
        <v>372</v>
      </c>
      <c r="C14" s="197" t="s">
        <v>1472</v>
      </c>
      <c r="D14" s="197" t="s">
        <v>24</v>
      </c>
      <c r="E14" s="197" t="s">
        <v>374</v>
      </c>
      <c r="F14" s="197" t="s">
        <v>26</v>
      </c>
      <c r="G14" s="260">
        <v>1316.288</v>
      </c>
      <c r="H14" s="197">
        <v>1</v>
      </c>
      <c r="I14" s="197" t="s">
        <v>3954</v>
      </c>
      <c r="J14" s="197" t="s">
        <v>3982</v>
      </c>
      <c r="K14" s="197" t="s">
        <v>1283</v>
      </c>
      <c r="L14" s="261">
        <v>0.16</v>
      </c>
      <c r="M14" s="263">
        <v>135.427064</v>
      </c>
      <c r="N14" s="263">
        <f>L14*M14</f>
        <v>21.66833024</v>
      </c>
      <c r="O14" s="199"/>
      <c r="P14" s="261"/>
      <c r="Q14" s="261"/>
      <c r="R14" s="198"/>
      <c r="S14" s="197" t="s">
        <v>3983</v>
      </c>
      <c r="T14" s="197" t="s">
        <v>3984</v>
      </c>
      <c r="U14" s="197" t="s">
        <v>3958</v>
      </c>
      <c r="V14" s="197" t="s">
        <v>3959</v>
      </c>
    </row>
    <row r="15" spans="1:22" s="197" customFormat="1" x14ac:dyDescent="0.2">
      <c r="A15" s="197" t="s">
        <v>3981</v>
      </c>
      <c r="B15" s="197" t="s">
        <v>372</v>
      </c>
      <c r="C15" s="197" t="s">
        <v>1472</v>
      </c>
      <c r="D15" s="197" t="s">
        <v>24</v>
      </c>
      <c r="E15" s="197" t="s">
        <v>374</v>
      </c>
      <c r="F15" s="197" t="s">
        <v>26</v>
      </c>
      <c r="G15" s="260">
        <v>1316.288</v>
      </c>
      <c r="H15" s="197">
        <v>2</v>
      </c>
      <c r="I15" s="197" t="s">
        <v>3960</v>
      </c>
      <c r="J15" s="197" t="s">
        <v>3985</v>
      </c>
      <c r="K15" s="197" t="s">
        <v>1283</v>
      </c>
      <c r="L15" s="261">
        <v>0.64</v>
      </c>
      <c r="M15" s="263">
        <v>135.427064</v>
      </c>
      <c r="N15" s="263">
        <f>L15*M15</f>
        <v>86.673320959999998</v>
      </c>
      <c r="O15" s="199"/>
      <c r="P15" s="261"/>
      <c r="Q15" s="261"/>
      <c r="R15" s="198"/>
      <c r="S15" s="197" t="s">
        <v>3983</v>
      </c>
      <c r="T15" s="197" t="s">
        <v>3984</v>
      </c>
      <c r="U15" s="197" t="s">
        <v>3958</v>
      </c>
      <c r="V15" s="197" t="s">
        <v>3959</v>
      </c>
    </row>
    <row r="16" spans="1:22" s="197" customFormat="1" x14ac:dyDescent="0.2">
      <c r="A16" s="197" t="s">
        <v>3981</v>
      </c>
      <c r="B16" s="197" t="s">
        <v>372</v>
      </c>
      <c r="C16" s="197" t="s">
        <v>1472</v>
      </c>
      <c r="D16" s="197" t="s">
        <v>24</v>
      </c>
      <c r="E16" s="197" t="s">
        <v>374</v>
      </c>
      <c r="F16" s="197" t="s">
        <v>26</v>
      </c>
      <c r="G16" s="260">
        <v>1316.288</v>
      </c>
      <c r="H16" s="197">
        <v>3</v>
      </c>
      <c r="I16" s="197" t="s">
        <v>3962</v>
      </c>
      <c r="J16" s="197" t="s">
        <v>3986</v>
      </c>
      <c r="K16" s="197" t="s">
        <v>1283</v>
      </c>
      <c r="L16" s="261">
        <v>0.15</v>
      </c>
      <c r="M16" s="263">
        <v>135.427064</v>
      </c>
      <c r="N16" s="263">
        <f>L16*M16</f>
        <v>20.3140596</v>
      </c>
      <c r="O16" s="199"/>
      <c r="P16" s="261"/>
      <c r="Q16" s="261"/>
      <c r="R16" s="198"/>
      <c r="S16" s="197" t="s">
        <v>3983</v>
      </c>
      <c r="T16" s="197" t="s">
        <v>3984</v>
      </c>
      <c r="U16" s="197" t="s">
        <v>3958</v>
      </c>
      <c r="V16" s="197" t="s">
        <v>3959</v>
      </c>
    </row>
    <row r="17" spans="1:22" s="197" customFormat="1" x14ac:dyDescent="0.2">
      <c r="A17" s="197" t="s">
        <v>3981</v>
      </c>
      <c r="B17" s="197" t="s">
        <v>372</v>
      </c>
      <c r="C17" s="197" t="s">
        <v>1472</v>
      </c>
      <c r="D17" s="197" t="s">
        <v>24</v>
      </c>
      <c r="E17" s="197" t="s">
        <v>374</v>
      </c>
      <c r="F17" s="197" t="s">
        <v>26</v>
      </c>
      <c r="G17" s="260">
        <v>1316.288</v>
      </c>
      <c r="H17" s="197">
        <v>4</v>
      </c>
      <c r="I17" s="197" t="s">
        <v>3987</v>
      </c>
      <c r="J17" s="197" t="s">
        <v>3988</v>
      </c>
      <c r="K17" s="197" t="s">
        <v>1283</v>
      </c>
      <c r="L17" s="261">
        <v>0.05</v>
      </c>
      <c r="M17" s="263">
        <v>135.427064</v>
      </c>
      <c r="N17" s="263">
        <f>L17*M17</f>
        <v>6.7713532000000001</v>
      </c>
      <c r="O17" s="199"/>
      <c r="P17" s="261"/>
      <c r="Q17" s="261"/>
      <c r="R17" s="198"/>
      <c r="S17" s="197" t="s">
        <v>3983</v>
      </c>
      <c r="T17" s="197" t="s">
        <v>3984</v>
      </c>
      <c r="U17" s="197" t="s">
        <v>3958</v>
      </c>
      <c r="V17" s="197" t="s">
        <v>3959</v>
      </c>
    </row>
    <row r="18" spans="1:22" s="197" customFormat="1" x14ac:dyDescent="0.2">
      <c r="A18" s="197" t="s">
        <v>3981</v>
      </c>
      <c r="B18" s="197" t="s">
        <v>372</v>
      </c>
      <c r="C18" s="197" t="s">
        <v>1472</v>
      </c>
      <c r="D18" s="197" t="s">
        <v>24</v>
      </c>
      <c r="E18" s="197" t="s">
        <v>374</v>
      </c>
      <c r="F18" s="197" t="s">
        <v>26</v>
      </c>
      <c r="G18" s="260">
        <v>1316.288</v>
      </c>
      <c r="H18" s="197">
        <v>5</v>
      </c>
      <c r="I18" s="197" t="s">
        <v>3968</v>
      </c>
      <c r="J18" s="197" t="s">
        <v>3969</v>
      </c>
      <c r="K18" s="197" t="s">
        <v>26</v>
      </c>
      <c r="L18" s="261">
        <v>1</v>
      </c>
      <c r="M18" s="263"/>
      <c r="N18" s="263">
        <f>SUM(N14:N17)</f>
        <v>135.427064</v>
      </c>
      <c r="O18" s="199">
        <v>0.2223</v>
      </c>
      <c r="P18" s="261">
        <f>N18*O18</f>
        <v>30.1054363272</v>
      </c>
      <c r="Q18" s="261">
        <f>N18+P18</f>
        <v>165.53250032720001</v>
      </c>
      <c r="R18" s="198">
        <f>Q18*G18</f>
        <v>217888.44379068946</v>
      </c>
      <c r="S18" s="197" t="s">
        <v>3983</v>
      </c>
      <c r="T18" s="197" t="s">
        <v>3984</v>
      </c>
      <c r="U18" s="197" t="str">
        <f>IF(ABS(Q18-165.5325)&lt;=0.01,"FECHA COM PLANILHA","REVISAR")</f>
        <v>FECHA COM PLANILHA</v>
      </c>
      <c r="V18" s="197" t="s">
        <v>3989</v>
      </c>
    </row>
    <row r="19" spans="1:22" s="197" customFormat="1" x14ac:dyDescent="0.2">
      <c r="A19" s="197" t="s">
        <v>3990</v>
      </c>
      <c r="B19" s="197" t="s">
        <v>213</v>
      </c>
      <c r="C19" s="197" t="s">
        <v>1399</v>
      </c>
      <c r="D19" s="197" t="s">
        <v>56</v>
      </c>
      <c r="E19" s="197" t="s">
        <v>214</v>
      </c>
      <c r="F19" s="197" t="s">
        <v>26</v>
      </c>
      <c r="G19" s="260">
        <v>1460.3979999999999</v>
      </c>
      <c r="H19" s="197">
        <v>1</v>
      </c>
      <c r="I19" s="197" t="s">
        <v>3954</v>
      </c>
      <c r="J19" s="197" t="s">
        <v>3991</v>
      </c>
      <c r="K19" s="197" t="s">
        <v>1283</v>
      </c>
      <c r="L19" s="261">
        <v>0.34</v>
      </c>
      <c r="M19" s="263">
        <v>113.57072700000001</v>
      </c>
      <c r="N19" s="263">
        <f>L19*M19</f>
        <v>38.614047180000007</v>
      </c>
      <c r="O19" s="199"/>
      <c r="P19" s="261"/>
      <c r="Q19" s="261"/>
      <c r="R19" s="198"/>
      <c r="S19" s="197" t="s">
        <v>3992</v>
      </c>
      <c r="T19" s="197" t="s">
        <v>3993</v>
      </c>
      <c r="U19" s="197" t="s">
        <v>3958</v>
      </c>
      <c r="V19" s="197" t="s">
        <v>3959</v>
      </c>
    </row>
    <row r="20" spans="1:22" s="197" customFormat="1" x14ac:dyDescent="0.2">
      <c r="A20" s="197" t="s">
        <v>3990</v>
      </c>
      <c r="B20" s="197" t="s">
        <v>213</v>
      </c>
      <c r="C20" s="197" t="s">
        <v>1399</v>
      </c>
      <c r="D20" s="197" t="s">
        <v>56</v>
      </c>
      <c r="E20" s="197" t="s">
        <v>214</v>
      </c>
      <c r="F20" s="197" t="s">
        <v>26</v>
      </c>
      <c r="G20" s="260">
        <v>1460.3979999999999</v>
      </c>
      <c r="H20" s="197">
        <v>2</v>
      </c>
      <c r="I20" s="197" t="s">
        <v>3960</v>
      </c>
      <c r="J20" s="197" t="s">
        <v>3994</v>
      </c>
      <c r="K20" s="197" t="s">
        <v>1283</v>
      </c>
      <c r="L20" s="261">
        <v>0.54</v>
      </c>
      <c r="M20" s="263">
        <v>113.57072700000001</v>
      </c>
      <c r="N20" s="263">
        <f>L20*M20</f>
        <v>61.328192580000007</v>
      </c>
      <c r="O20" s="199"/>
      <c r="P20" s="261"/>
      <c r="Q20" s="261"/>
      <c r="R20" s="198"/>
      <c r="S20" s="197" t="s">
        <v>3992</v>
      </c>
      <c r="T20" s="197" t="s">
        <v>3993</v>
      </c>
      <c r="U20" s="197" t="s">
        <v>3958</v>
      </c>
      <c r="V20" s="197" t="s">
        <v>3959</v>
      </c>
    </row>
    <row r="21" spans="1:22" s="197" customFormat="1" x14ac:dyDescent="0.2">
      <c r="A21" s="197" t="s">
        <v>3990</v>
      </c>
      <c r="B21" s="197" t="s">
        <v>213</v>
      </c>
      <c r="C21" s="197" t="s">
        <v>1399</v>
      </c>
      <c r="D21" s="197" t="s">
        <v>56</v>
      </c>
      <c r="E21" s="197" t="s">
        <v>214</v>
      </c>
      <c r="F21" s="197" t="s">
        <v>26</v>
      </c>
      <c r="G21" s="260">
        <v>1460.3979999999999</v>
      </c>
      <c r="H21" s="197">
        <v>3</v>
      </c>
      <c r="I21" s="197" t="s">
        <v>3962</v>
      </c>
      <c r="J21" s="197" t="s">
        <v>3995</v>
      </c>
      <c r="K21" s="197" t="s">
        <v>1283</v>
      </c>
      <c r="L21" s="261">
        <v>0.08</v>
      </c>
      <c r="M21" s="263">
        <v>113.57072700000001</v>
      </c>
      <c r="N21" s="263">
        <f>L21*M21</f>
        <v>9.0856581600000013</v>
      </c>
      <c r="O21" s="199"/>
      <c r="P21" s="261"/>
      <c r="Q21" s="261"/>
      <c r="R21" s="198"/>
      <c r="S21" s="197" t="s">
        <v>3992</v>
      </c>
      <c r="T21" s="197" t="s">
        <v>3993</v>
      </c>
      <c r="U21" s="197" t="s">
        <v>3958</v>
      </c>
      <c r="V21" s="197" t="s">
        <v>3959</v>
      </c>
    </row>
    <row r="22" spans="1:22" s="197" customFormat="1" x14ac:dyDescent="0.2">
      <c r="A22" s="197" t="s">
        <v>3990</v>
      </c>
      <c r="B22" s="197" t="s">
        <v>213</v>
      </c>
      <c r="C22" s="197" t="s">
        <v>1399</v>
      </c>
      <c r="D22" s="197" t="s">
        <v>56</v>
      </c>
      <c r="E22" s="197" t="s">
        <v>214</v>
      </c>
      <c r="F22" s="197" t="s">
        <v>26</v>
      </c>
      <c r="G22" s="260">
        <v>1460.3979999999999</v>
      </c>
      <c r="H22" s="197">
        <v>4</v>
      </c>
      <c r="I22" s="197" t="s">
        <v>3966</v>
      </c>
      <c r="J22" s="197" t="s">
        <v>3996</v>
      </c>
      <c r="K22" s="197" t="s">
        <v>1283</v>
      </c>
      <c r="L22" s="261">
        <v>0.04</v>
      </c>
      <c r="M22" s="263">
        <v>113.57072700000001</v>
      </c>
      <c r="N22" s="263">
        <f>L22*M22</f>
        <v>4.5428290800000006</v>
      </c>
      <c r="O22" s="199"/>
      <c r="P22" s="261"/>
      <c r="Q22" s="261"/>
      <c r="R22" s="198"/>
      <c r="S22" s="197" t="s">
        <v>3992</v>
      </c>
      <c r="T22" s="197" t="s">
        <v>3993</v>
      </c>
      <c r="U22" s="197" t="s">
        <v>3958</v>
      </c>
      <c r="V22" s="197" t="s">
        <v>3959</v>
      </c>
    </row>
    <row r="23" spans="1:22" s="197" customFormat="1" x14ac:dyDescent="0.2">
      <c r="A23" s="197" t="s">
        <v>3990</v>
      </c>
      <c r="B23" s="197" t="s">
        <v>213</v>
      </c>
      <c r="C23" s="197" t="s">
        <v>1399</v>
      </c>
      <c r="D23" s="197" t="s">
        <v>56</v>
      </c>
      <c r="E23" s="197" t="s">
        <v>214</v>
      </c>
      <c r="F23" s="197" t="s">
        <v>26</v>
      </c>
      <c r="G23" s="260">
        <v>1460.3979999999999</v>
      </c>
      <c r="H23" s="197">
        <v>5</v>
      </c>
      <c r="I23" s="197" t="s">
        <v>3968</v>
      </c>
      <c r="J23" s="197" t="s">
        <v>3969</v>
      </c>
      <c r="K23" s="197" t="s">
        <v>26</v>
      </c>
      <c r="L23" s="261">
        <v>1</v>
      </c>
      <c r="M23" s="263"/>
      <c r="N23" s="263">
        <f>SUM(N19:N22)</f>
        <v>113.57072700000002</v>
      </c>
      <c r="O23" s="199">
        <v>0.2223</v>
      </c>
      <c r="P23" s="261">
        <f>N23*O23</f>
        <v>25.246772612100003</v>
      </c>
      <c r="Q23" s="261">
        <f>N23+P23</f>
        <v>138.81749961210002</v>
      </c>
      <c r="R23" s="198">
        <f>Q23*G23</f>
        <v>202728.79879851165</v>
      </c>
      <c r="S23" s="197" t="s">
        <v>3992</v>
      </c>
      <c r="T23" s="197" t="s">
        <v>3993</v>
      </c>
      <c r="U23" s="197" t="str">
        <f>IF(ABS(Q23-138.8175)&lt;=0.01,"FECHA COM PLANILHA","REVISAR")</f>
        <v>FECHA COM PLANILHA</v>
      </c>
      <c r="V23" s="197" t="s">
        <v>3997</v>
      </c>
    </row>
    <row r="24" spans="1:22" s="197" customFormat="1" x14ac:dyDescent="0.2">
      <c r="A24" s="197" t="s">
        <v>3998</v>
      </c>
      <c r="B24" s="197" t="s">
        <v>66</v>
      </c>
      <c r="C24" s="197" t="s">
        <v>1337</v>
      </c>
      <c r="D24" s="197" t="s">
        <v>24</v>
      </c>
      <c r="E24" s="197" t="s">
        <v>68</v>
      </c>
      <c r="F24" s="197" t="s">
        <v>58</v>
      </c>
      <c r="G24" s="260">
        <v>15</v>
      </c>
      <c r="H24" s="197">
        <v>1</v>
      </c>
      <c r="I24" s="197" t="s">
        <v>3954</v>
      </c>
      <c r="J24" s="197" t="s">
        <v>3999</v>
      </c>
      <c r="K24" s="197" t="s">
        <v>1283</v>
      </c>
      <c r="L24" s="261">
        <v>0.74</v>
      </c>
      <c r="M24" s="263">
        <v>10762.269901</v>
      </c>
      <c r="N24" s="263">
        <f>L24*M24</f>
        <v>7964.0797267399994</v>
      </c>
      <c r="O24" s="199"/>
      <c r="P24" s="261"/>
      <c r="Q24" s="261"/>
      <c r="R24" s="198"/>
      <c r="S24" s="197" t="s">
        <v>4000</v>
      </c>
      <c r="T24" s="197" t="s">
        <v>4001</v>
      </c>
      <c r="U24" s="197" t="s">
        <v>3958</v>
      </c>
      <c r="V24" s="197" t="s">
        <v>3959</v>
      </c>
    </row>
    <row r="25" spans="1:22" s="197" customFormat="1" x14ac:dyDescent="0.2">
      <c r="A25" s="197" t="s">
        <v>3998</v>
      </c>
      <c r="B25" s="197" t="s">
        <v>66</v>
      </c>
      <c r="C25" s="197" t="s">
        <v>1337</v>
      </c>
      <c r="D25" s="197" t="s">
        <v>24</v>
      </c>
      <c r="E25" s="197" t="s">
        <v>68</v>
      </c>
      <c r="F25" s="197" t="s">
        <v>58</v>
      </c>
      <c r="G25" s="260">
        <v>15</v>
      </c>
      <c r="H25" s="197">
        <v>2</v>
      </c>
      <c r="I25" s="197" t="s">
        <v>4002</v>
      </c>
      <c r="J25" s="197" t="s">
        <v>4003</v>
      </c>
      <c r="K25" s="197" t="s">
        <v>1283</v>
      </c>
      <c r="L25" s="261">
        <v>0.22</v>
      </c>
      <c r="M25" s="263">
        <v>10762.269901</v>
      </c>
      <c r="N25" s="263">
        <f>L25*M25</f>
        <v>2367.6993782199997</v>
      </c>
      <c r="O25" s="199"/>
      <c r="P25" s="261"/>
      <c r="Q25" s="261"/>
      <c r="R25" s="198"/>
      <c r="S25" s="197" t="s">
        <v>4000</v>
      </c>
      <c r="T25" s="197" t="s">
        <v>4001</v>
      </c>
      <c r="U25" s="197" t="s">
        <v>3958</v>
      </c>
      <c r="V25" s="197" t="s">
        <v>3959</v>
      </c>
    </row>
    <row r="26" spans="1:22" s="197" customFormat="1" x14ac:dyDescent="0.2">
      <c r="A26" s="197" t="s">
        <v>3998</v>
      </c>
      <c r="B26" s="197" t="s">
        <v>66</v>
      </c>
      <c r="C26" s="197" t="s">
        <v>1337</v>
      </c>
      <c r="D26" s="197" t="s">
        <v>24</v>
      </c>
      <c r="E26" s="197" t="s">
        <v>68</v>
      </c>
      <c r="F26" s="197" t="s">
        <v>58</v>
      </c>
      <c r="G26" s="260">
        <v>15</v>
      </c>
      <c r="H26" s="197">
        <v>3</v>
      </c>
      <c r="I26" s="197" t="s">
        <v>4004</v>
      </c>
      <c r="J26" s="197" t="s">
        <v>4005</v>
      </c>
      <c r="K26" s="197" t="s">
        <v>1283</v>
      </c>
      <c r="L26" s="261">
        <v>0.04</v>
      </c>
      <c r="M26" s="263">
        <v>10762.269901</v>
      </c>
      <c r="N26" s="263">
        <f>L26*M26</f>
        <v>430.49079604000002</v>
      </c>
      <c r="O26" s="199"/>
      <c r="P26" s="261"/>
      <c r="Q26" s="261"/>
      <c r="R26" s="198"/>
      <c r="S26" s="197" t="s">
        <v>4000</v>
      </c>
      <c r="T26" s="197" t="s">
        <v>4001</v>
      </c>
      <c r="U26" s="197" t="s">
        <v>3958</v>
      </c>
      <c r="V26" s="197" t="s">
        <v>3959</v>
      </c>
    </row>
    <row r="27" spans="1:22" s="197" customFormat="1" x14ac:dyDescent="0.2">
      <c r="A27" s="197" t="s">
        <v>3998</v>
      </c>
      <c r="B27" s="197" t="s">
        <v>66</v>
      </c>
      <c r="C27" s="197" t="s">
        <v>1337</v>
      </c>
      <c r="D27" s="197" t="s">
        <v>24</v>
      </c>
      <c r="E27" s="197" t="s">
        <v>68</v>
      </c>
      <c r="F27" s="197" t="s">
        <v>58</v>
      </c>
      <c r="G27" s="260">
        <v>15</v>
      </c>
      <c r="H27" s="197">
        <v>4</v>
      </c>
      <c r="I27" s="197" t="s">
        <v>3968</v>
      </c>
      <c r="J27" s="197" t="s">
        <v>3969</v>
      </c>
      <c r="K27" s="197" t="s">
        <v>58</v>
      </c>
      <c r="L27" s="261">
        <v>1</v>
      </c>
      <c r="M27" s="263"/>
      <c r="N27" s="263">
        <f>SUM(N24:N26)</f>
        <v>10762.269900999998</v>
      </c>
      <c r="O27" s="199">
        <v>0.2223</v>
      </c>
      <c r="P27" s="261">
        <f>N27*O27</f>
        <v>2392.4525989922995</v>
      </c>
      <c r="Q27" s="261">
        <f>N27+P27</f>
        <v>13154.722499992298</v>
      </c>
      <c r="R27" s="198">
        <f>Q27*G27</f>
        <v>197320.83749988448</v>
      </c>
      <c r="S27" s="197" t="s">
        <v>4000</v>
      </c>
      <c r="T27" s="197" t="s">
        <v>4001</v>
      </c>
      <c r="U27" s="197" t="str">
        <f>IF(ABS(Q27-13154.7225)&lt;=0.01,"FECHA COM PLANILHA","REVISAR")</f>
        <v>FECHA COM PLANILHA</v>
      </c>
      <c r="V27" s="197" t="s">
        <v>4006</v>
      </c>
    </row>
    <row r="28" spans="1:22" s="197" customFormat="1" x14ac:dyDescent="0.2">
      <c r="A28" s="197" t="s">
        <v>4007</v>
      </c>
      <c r="B28" s="197" t="s">
        <v>59</v>
      </c>
      <c r="C28" s="197" t="s">
        <v>1332</v>
      </c>
      <c r="D28" s="197" t="s">
        <v>56</v>
      </c>
      <c r="E28" s="197" t="s">
        <v>60</v>
      </c>
      <c r="F28" s="197" t="s">
        <v>61</v>
      </c>
      <c r="G28" s="260">
        <v>1440</v>
      </c>
      <c r="H28" s="197">
        <v>1</v>
      </c>
      <c r="I28" s="197" t="s">
        <v>3954</v>
      </c>
      <c r="J28" s="197" t="s">
        <v>3999</v>
      </c>
      <c r="K28" s="197" t="s">
        <v>1283</v>
      </c>
      <c r="L28" s="261">
        <v>0.74</v>
      </c>
      <c r="M28" s="263">
        <v>109.582345</v>
      </c>
      <c r="N28" s="263">
        <f>L28*M28</f>
        <v>81.090935299999998</v>
      </c>
      <c r="O28" s="199"/>
      <c r="P28" s="261"/>
      <c r="Q28" s="261"/>
      <c r="R28" s="198"/>
      <c r="S28" s="197" t="s">
        <v>4008</v>
      </c>
      <c r="T28" s="197" t="s">
        <v>4009</v>
      </c>
      <c r="U28" s="197" t="s">
        <v>3958</v>
      </c>
      <c r="V28" s="197" t="s">
        <v>3959</v>
      </c>
    </row>
    <row r="29" spans="1:22" s="197" customFormat="1" x14ac:dyDescent="0.2">
      <c r="A29" s="197" t="s">
        <v>4007</v>
      </c>
      <c r="B29" s="197" t="s">
        <v>59</v>
      </c>
      <c r="C29" s="197" t="s">
        <v>1332</v>
      </c>
      <c r="D29" s="197" t="s">
        <v>56</v>
      </c>
      <c r="E29" s="197" t="s">
        <v>60</v>
      </c>
      <c r="F29" s="197" t="s">
        <v>61</v>
      </c>
      <c r="G29" s="260">
        <v>1440</v>
      </c>
      <c r="H29" s="197">
        <v>2</v>
      </c>
      <c r="I29" s="197" t="s">
        <v>4002</v>
      </c>
      <c r="J29" s="197" t="s">
        <v>4003</v>
      </c>
      <c r="K29" s="197" t="s">
        <v>1283</v>
      </c>
      <c r="L29" s="261">
        <v>0.22</v>
      </c>
      <c r="M29" s="263">
        <v>109.582345</v>
      </c>
      <c r="N29" s="263">
        <f>L29*M29</f>
        <v>24.108115900000001</v>
      </c>
      <c r="O29" s="199"/>
      <c r="P29" s="261"/>
      <c r="Q29" s="261"/>
      <c r="R29" s="198"/>
      <c r="S29" s="197" t="s">
        <v>4008</v>
      </c>
      <c r="T29" s="197" t="s">
        <v>4009</v>
      </c>
      <c r="U29" s="197" t="s">
        <v>3958</v>
      </c>
      <c r="V29" s="197" t="s">
        <v>3959</v>
      </c>
    </row>
    <row r="30" spans="1:22" s="197" customFormat="1" x14ac:dyDescent="0.2">
      <c r="A30" s="197" t="s">
        <v>4007</v>
      </c>
      <c r="B30" s="197" t="s">
        <v>59</v>
      </c>
      <c r="C30" s="197" t="s">
        <v>1332</v>
      </c>
      <c r="D30" s="197" t="s">
        <v>56</v>
      </c>
      <c r="E30" s="197" t="s">
        <v>60</v>
      </c>
      <c r="F30" s="197" t="s">
        <v>61</v>
      </c>
      <c r="G30" s="260">
        <v>1440</v>
      </c>
      <c r="H30" s="197">
        <v>3</v>
      </c>
      <c r="I30" s="197" t="s">
        <v>4004</v>
      </c>
      <c r="J30" s="197" t="s">
        <v>4005</v>
      </c>
      <c r="K30" s="197" t="s">
        <v>1283</v>
      </c>
      <c r="L30" s="261">
        <v>0.04</v>
      </c>
      <c r="M30" s="263">
        <v>109.582345</v>
      </c>
      <c r="N30" s="263">
        <f>L30*M30</f>
        <v>4.3832938000000006</v>
      </c>
      <c r="O30" s="199"/>
      <c r="P30" s="261"/>
      <c r="Q30" s="261"/>
      <c r="R30" s="198"/>
      <c r="S30" s="197" t="s">
        <v>4008</v>
      </c>
      <c r="T30" s="197" t="s">
        <v>4009</v>
      </c>
      <c r="U30" s="197" t="s">
        <v>3958</v>
      </c>
      <c r="V30" s="197" t="s">
        <v>3959</v>
      </c>
    </row>
    <row r="31" spans="1:22" s="197" customFormat="1" x14ac:dyDescent="0.2">
      <c r="A31" s="197" t="s">
        <v>4007</v>
      </c>
      <c r="B31" s="197" t="s">
        <v>59</v>
      </c>
      <c r="C31" s="197" t="s">
        <v>1332</v>
      </c>
      <c r="D31" s="197" t="s">
        <v>56</v>
      </c>
      <c r="E31" s="197" t="s">
        <v>60</v>
      </c>
      <c r="F31" s="197" t="s">
        <v>61</v>
      </c>
      <c r="G31" s="260">
        <v>1440</v>
      </c>
      <c r="H31" s="197">
        <v>4</v>
      </c>
      <c r="I31" s="197" t="s">
        <v>3968</v>
      </c>
      <c r="J31" s="197" t="s">
        <v>3969</v>
      </c>
      <c r="K31" s="197" t="s">
        <v>61</v>
      </c>
      <c r="L31" s="261">
        <v>1</v>
      </c>
      <c r="M31" s="263"/>
      <c r="N31" s="263">
        <f>SUM(N28:N30)</f>
        <v>109.582345</v>
      </c>
      <c r="O31" s="199">
        <v>0.2223</v>
      </c>
      <c r="P31" s="261">
        <f>N31*O31</f>
        <v>24.3601552935</v>
      </c>
      <c r="Q31" s="261">
        <f>N31+P31</f>
        <v>133.94250029350002</v>
      </c>
      <c r="R31" s="198">
        <f>Q31*G31</f>
        <v>192877.20042264002</v>
      </c>
      <c r="S31" s="197" t="s">
        <v>4008</v>
      </c>
      <c r="T31" s="197" t="s">
        <v>4009</v>
      </c>
      <c r="U31" s="197" t="str">
        <f>IF(ABS(Q31-133.9425)&lt;=0.01,"FECHA COM PLANILHA","REVISAR")</f>
        <v>FECHA COM PLANILHA</v>
      </c>
      <c r="V31" s="197" t="s">
        <v>4010</v>
      </c>
    </row>
    <row r="32" spans="1:22" s="197" customFormat="1" x14ac:dyDescent="0.2">
      <c r="A32" s="197" t="s">
        <v>4011</v>
      </c>
      <c r="B32" s="197" t="s">
        <v>2194</v>
      </c>
      <c r="C32" s="197" t="s">
        <v>2195</v>
      </c>
      <c r="D32" s="197" t="s">
        <v>56</v>
      </c>
      <c r="E32" s="197" t="s">
        <v>1077</v>
      </c>
      <c r="F32" s="197" t="s">
        <v>26</v>
      </c>
      <c r="G32" s="260">
        <v>1170.211</v>
      </c>
      <c r="H32" s="197">
        <v>1</v>
      </c>
      <c r="I32" s="197" t="s">
        <v>3954</v>
      </c>
      <c r="J32" s="197" t="s">
        <v>4012</v>
      </c>
      <c r="K32" s="197" t="s">
        <v>1283</v>
      </c>
      <c r="L32" s="261">
        <v>0.22</v>
      </c>
      <c r="M32" s="263">
        <v>133.28560899999999</v>
      </c>
      <c r="N32" s="263">
        <f>L32*M32</f>
        <v>29.322833979999999</v>
      </c>
      <c r="O32" s="199"/>
      <c r="P32" s="261"/>
      <c r="Q32" s="261"/>
      <c r="R32" s="198"/>
      <c r="S32" s="197" t="s">
        <v>4013</v>
      </c>
      <c r="T32" s="197" t="s">
        <v>4014</v>
      </c>
      <c r="U32" s="197" t="s">
        <v>3958</v>
      </c>
      <c r="V32" s="197" t="s">
        <v>3959</v>
      </c>
    </row>
    <row r="33" spans="1:22" s="197" customFormat="1" x14ac:dyDescent="0.2">
      <c r="A33" s="197" t="s">
        <v>4011</v>
      </c>
      <c r="B33" s="197" t="s">
        <v>2194</v>
      </c>
      <c r="C33" s="197" t="s">
        <v>2195</v>
      </c>
      <c r="D33" s="197" t="s">
        <v>56</v>
      </c>
      <c r="E33" s="197" t="s">
        <v>1077</v>
      </c>
      <c r="F33" s="197" t="s">
        <v>26</v>
      </c>
      <c r="G33" s="260">
        <v>1170.211</v>
      </c>
      <c r="H33" s="197">
        <v>2</v>
      </c>
      <c r="I33" s="197" t="s">
        <v>3960</v>
      </c>
      <c r="J33" s="197" t="s">
        <v>4015</v>
      </c>
      <c r="K33" s="197" t="s">
        <v>1283</v>
      </c>
      <c r="L33" s="261">
        <v>0.7</v>
      </c>
      <c r="M33" s="263">
        <v>133.28560899999999</v>
      </c>
      <c r="N33" s="263">
        <f>L33*M33</f>
        <v>93.299926299999996</v>
      </c>
      <c r="O33" s="199"/>
      <c r="P33" s="261"/>
      <c r="Q33" s="261"/>
      <c r="R33" s="198"/>
      <c r="S33" s="197" t="s">
        <v>4013</v>
      </c>
      <c r="T33" s="197" t="s">
        <v>4014</v>
      </c>
      <c r="U33" s="197" t="s">
        <v>3958</v>
      </c>
      <c r="V33" s="197" t="s">
        <v>3959</v>
      </c>
    </row>
    <row r="34" spans="1:22" s="197" customFormat="1" x14ac:dyDescent="0.2">
      <c r="A34" s="197" t="s">
        <v>4011</v>
      </c>
      <c r="B34" s="197" t="s">
        <v>2194</v>
      </c>
      <c r="C34" s="197" t="s">
        <v>2195</v>
      </c>
      <c r="D34" s="197" t="s">
        <v>56</v>
      </c>
      <c r="E34" s="197" t="s">
        <v>1077</v>
      </c>
      <c r="F34" s="197" t="s">
        <v>26</v>
      </c>
      <c r="G34" s="260">
        <v>1170.211</v>
      </c>
      <c r="H34" s="197">
        <v>3</v>
      </c>
      <c r="I34" s="197" t="s">
        <v>3976</v>
      </c>
      <c r="J34" s="197" t="s">
        <v>4016</v>
      </c>
      <c r="K34" s="197" t="s">
        <v>1283</v>
      </c>
      <c r="L34" s="261">
        <v>0.05</v>
      </c>
      <c r="M34" s="263">
        <v>133.28560899999999</v>
      </c>
      <c r="N34" s="263">
        <f>L34*M34</f>
        <v>6.6642804499999997</v>
      </c>
      <c r="O34" s="199"/>
      <c r="P34" s="261"/>
      <c r="Q34" s="261"/>
      <c r="R34" s="198"/>
      <c r="S34" s="197" t="s">
        <v>4013</v>
      </c>
      <c r="T34" s="197" t="s">
        <v>4014</v>
      </c>
      <c r="U34" s="197" t="s">
        <v>3958</v>
      </c>
      <c r="V34" s="197" t="s">
        <v>3959</v>
      </c>
    </row>
    <row r="35" spans="1:22" s="197" customFormat="1" x14ac:dyDescent="0.2">
      <c r="A35" s="197" t="s">
        <v>4011</v>
      </c>
      <c r="B35" s="197" t="s">
        <v>2194</v>
      </c>
      <c r="C35" s="197" t="s">
        <v>2195</v>
      </c>
      <c r="D35" s="197" t="s">
        <v>56</v>
      </c>
      <c r="E35" s="197" t="s">
        <v>1077</v>
      </c>
      <c r="F35" s="197" t="s">
        <v>26</v>
      </c>
      <c r="G35" s="260">
        <v>1170.211</v>
      </c>
      <c r="H35" s="197">
        <v>4</v>
      </c>
      <c r="I35" s="197" t="s">
        <v>4017</v>
      </c>
      <c r="J35" s="197" t="s">
        <v>4018</v>
      </c>
      <c r="K35" s="197" t="s">
        <v>1283</v>
      </c>
      <c r="L35" s="261">
        <v>0.03</v>
      </c>
      <c r="M35" s="263">
        <v>133.28560899999999</v>
      </c>
      <c r="N35" s="263">
        <f>L35*M35</f>
        <v>3.9985682699999998</v>
      </c>
      <c r="O35" s="199"/>
      <c r="P35" s="261"/>
      <c r="Q35" s="261"/>
      <c r="R35" s="198"/>
      <c r="S35" s="197" t="s">
        <v>4013</v>
      </c>
      <c r="T35" s="197" t="s">
        <v>4014</v>
      </c>
      <c r="U35" s="197" t="s">
        <v>3958</v>
      </c>
      <c r="V35" s="197" t="s">
        <v>3959</v>
      </c>
    </row>
    <row r="36" spans="1:22" s="197" customFormat="1" x14ac:dyDescent="0.2">
      <c r="A36" s="197" t="s">
        <v>4011</v>
      </c>
      <c r="B36" s="197" t="s">
        <v>2194</v>
      </c>
      <c r="C36" s="197" t="s">
        <v>2195</v>
      </c>
      <c r="D36" s="197" t="s">
        <v>56</v>
      </c>
      <c r="E36" s="197" t="s">
        <v>1077</v>
      </c>
      <c r="F36" s="197" t="s">
        <v>26</v>
      </c>
      <c r="G36" s="260">
        <v>1170.211</v>
      </c>
      <c r="H36" s="197">
        <v>5</v>
      </c>
      <c r="I36" s="197" t="s">
        <v>3968</v>
      </c>
      <c r="J36" s="197" t="s">
        <v>3969</v>
      </c>
      <c r="K36" s="197" t="s">
        <v>26</v>
      </c>
      <c r="L36" s="261">
        <v>1</v>
      </c>
      <c r="M36" s="263"/>
      <c r="N36" s="263">
        <f>SUM(N32:N35)</f>
        <v>133.28560899999999</v>
      </c>
      <c r="O36" s="199">
        <v>0.2223</v>
      </c>
      <c r="P36" s="261">
        <f>N36*O36</f>
        <v>29.629390880699997</v>
      </c>
      <c r="Q36" s="261">
        <f>N36+P36</f>
        <v>162.91499988069998</v>
      </c>
      <c r="R36" s="198">
        <f>Q36*G36</f>
        <v>190644.9249253938</v>
      </c>
      <c r="S36" s="197" t="s">
        <v>4013</v>
      </c>
      <c r="T36" s="197" t="s">
        <v>4014</v>
      </c>
      <c r="U36" s="197" t="str">
        <f>IF(ABS(Q36-162.915)&lt;=0.01,"FECHA COM PLANILHA","REVISAR")</f>
        <v>FECHA COM PLANILHA</v>
      </c>
      <c r="V36" s="197" t="s">
        <v>4019</v>
      </c>
    </row>
    <row r="37" spans="1:22" s="197" customFormat="1" x14ac:dyDescent="0.2">
      <c r="A37" s="197" t="s">
        <v>4020</v>
      </c>
      <c r="B37" s="197" t="s">
        <v>215</v>
      </c>
      <c r="C37" s="197" t="s">
        <v>1400</v>
      </c>
      <c r="D37" s="197" t="s">
        <v>56</v>
      </c>
      <c r="E37" s="197" t="s">
        <v>216</v>
      </c>
      <c r="F37" s="197" t="s">
        <v>26</v>
      </c>
      <c r="G37" s="260">
        <v>2614.143</v>
      </c>
      <c r="H37" s="197">
        <v>1</v>
      </c>
      <c r="I37" s="197" t="s">
        <v>3954</v>
      </c>
      <c r="J37" s="197" t="s">
        <v>3991</v>
      </c>
      <c r="K37" s="197" t="s">
        <v>1283</v>
      </c>
      <c r="L37" s="261">
        <v>0.34</v>
      </c>
      <c r="M37" s="263">
        <v>57.880634999999998</v>
      </c>
      <c r="N37" s="263">
        <f>L37*M37</f>
        <v>19.679415900000002</v>
      </c>
      <c r="O37" s="199"/>
      <c r="P37" s="261"/>
      <c r="Q37" s="261"/>
      <c r="R37" s="198"/>
      <c r="S37" s="197" t="s">
        <v>4021</v>
      </c>
      <c r="T37" s="197" t="s">
        <v>4022</v>
      </c>
      <c r="U37" s="197" t="s">
        <v>3958</v>
      </c>
      <c r="V37" s="197" t="s">
        <v>3959</v>
      </c>
    </row>
    <row r="38" spans="1:22" s="197" customFormat="1" x14ac:dyDescent="0.2">
      <c r="A38" s="197" t="s">
        <v>4020</v>
      </c>
      <c r="B38" s="197" t="s">
        <v>215</v>
      </c>
      <c r="C38" s="197" t="s">
        <v>1400</v>
      </c>
      <c r="D38" s="197" t="s">
        <v>56</v>
      </c>
      <c r="E38" s="197" t="s">
        <v>216</v>
      </c>
      <c r="F38" s="197" t="s">
        <v>26</v>
      </c>
      <c r="G38" s="260">
        <v>2614.143</v>
      </c>
      <c r="H38" s="197">
        <v>2</v>
      </c>
      <c r="I38" s="197" t="s">
        <v>3960</v>
      </c>
      <c r="J38" s="197" t="s">
        <v>3994</v>
      </c>
      <c r="K38" s="197" t="s">
        <v>1283</v>
      </c>
      <c r="L38" s="261">
        <v>0.54</v>
      </c>
      <c r="M38" s="263">
        <v>57.880634999999998</v>
      </c>
      <c r="N38" s="263">
        <f>L38*M38</f>
        <v>31.255542900000002</v>
      </c>
      <c r="O38" s="199"/>
      <c r="P38" s="261"/>
      <c r="Q38" s="261"/>
      <c r="R38" s="198"/>
      <c r="S38" s="197" t="s">
        <v>4021</v>
      </c>
      <c r="T38" s="197" t="s">
        <v>4022</v>
      </c>
      <c r="U38" s="197" t="s">
        <v>3958</v>
      </c>
      <c r="V38" s="197" t="s">
        <v>3959</v>
      </c>
    </row>
    <row r="39" spans="1:22" s="197" customFormat="1" x14ac:dyDescent="0.2">
      <c r="A39" s="197" t="s">
        <v>4020</v>
      </c>
      <c r="B39" s="197" t="s">
        <v>215</v>
      </c>
      <c r="C39" s="197" t="s">
        <v>1400</v>
      </c>
      <c r="D39" s="197" t="s">
        <v>56</v>
      </c>
      <c r="E39" s="197" t="s">
        <v>216</v>
      </c>
      <c r="F39" s="197" t="s">
        <v>26</v>
      </c>
      <c r="G39" s="260">
        <v>2614.143</v>
      </c>
      <c r="H39" s="197">
        <v>3</v>
      </c>
      <c r="I39" s="197" t="s">
        <v>3962</v>
      </c>
      <c r="J39" s="197" t="s">
        <v>3995</v>
      </c>
      <c r="K39" s="197" t="s">
        <v>1283</v>
      </c>
      <c r="L39" s="261">
        <v>0.08</v>
      </c>
      <c r="M39" s="263">
        <v>57.880634999999998</v>
      </c>
      <c r="N39" s="263">
        <f>L39*M39</f>
        <v>4.6304508000000002</v>
      </c>
      <c r="O39" s="199"/>
      <c r="P39" s="261"/>
      <c r="Q39" s="261"/>
      <c r="R39" s="198"/>
      <c r="S39" s="197" t="s">
        <v>4021</v>
      </c>
      <c r="T39" s="197" t="s">
        <v>4022</v>
      </c>
      <c r="U39" s="197" t="s">
        <v>3958</v>
      </c>
      <c r="V39" s="197" t="s">
        <v>3959</v>
      </c>
    </row>
    <row r="40" spans="1:22" s="197" customFormat="1" x14ac:dyDescent="0.2">
      <c r="A40" s="197" t="s">
        <v>4020</v>
      </c>
      <c r="B40" s="197" t="s">
        <v>215</v>
      </c>
      <c r="C40" s="197" t="s">
        <v>1400</v>
      </c>
      <c r="D40" s="197" t="s">
        <v>56</v>
      </c>
      <c r="E40" s="197" t="s">
        <v>216</v>
      </c>
      <c r="F40" s="197" t="s">
        <v>26</v>
      </c>
      <c r="G40" s="260">
        <v>2614.143</v>
      </c>
      <c r="H40" s="197">
        <v>4</v>
      </c>
      <c r="I40" s="197" t="s">
        <v>3966</v>
      </c>
      <c r="J40" s="197" t="s">
        <v>3996</v>
      </c>
      <c r="K40" s="197" t="s">
        <v>1283</v>
      </c>
      <c r="L40" s="261">
        <v>0.04</v>
      </c>
      <c r="M40" s="263">
        <v>57.880634999999998</v>
      </c>
      <c r="N40" s="263">
        <f>L40*M40</f>
        <v>2.3152254000000001</v>
      </c>
      <c r="O40" s="199"/>
      <c r="P40" s="261"/>
      <c r="Q40" s="261"/>
      <c r="R40" s="198"/>
      <c r="S40" s="197" t="s">
        <v>4021</v>
      </c>
      <c r="T40" s="197" t="s">
        <v>4022</v>
      </c>
      <c r="U40" s="197" t="s">
        <v>3958</v>
      </c>
      <c r="V40" s="197" t="s">
        <v>3959</v>
      </c>
    </row>
    <row r="41" spans="1:22" s="197" customFormat="1" x14ac:dyDescent="0.2">
      <c r="A41" s="197" t="s">
        <v>4020</v>
      </c>
      <c r="B41" s="197" t="s">
        <v>215</v>
      </c>
      <c r="C41" s="197" t="s">
        <v>1400</v>
      </c>
      <c r="D41" s="197" t="s">
        <v>56</v>
      </c>
      <c r="E41" s="197" t="s">
        <v>216</v>
      </c>
      <c r="F41" s="197" t="s">
        <v>26</v>
      </c>
      <c r="G41" s="260">
        <v>2614.143</v>
      </c>
      <c r="H41" s="197">
        <v>5</v>
      </c>
      <c r="I41" s="197" t="s">
        <v>3968</v>
      </c>
      <c r="J41" s="197" t="s">
        <v>3969</v>
      </c>
      <c r="K41" s="197" t="s">
        <v>26</v>
      </c>
      <c r="L41" s="261">
        <v>1</v>
      </c>
      <c r="M41" s="263"/>
      <c r="N41" s="263">
        <f>SUM(N37:N40)</f>
        <v>57.880635000000005</v>
      </c>
      <c r="O41" s="199">
        <v>0.2223</v>
      </c>
      <c r="P41" s="261">
        <f>N41*O41</f>
        <v>12.866865160500002</v>
      </c>
      <c r="Q41" s="261">
        <f>N41+P41</f>
        <v>70.74750016050001</v>
      </c>
      <c r="R41" s="198">
        <f>Q41*G41</f>
        <v>184944.08231206998</v>
      </c>
      <c r="S41" s="197" t="s">
        <v>4021</v>
      </c>
      <c r="T41" s="197" t="s">
        <v>4022</v>
      </c>
      <c r="U41" s="197" t="str">
        <f>IF(ABS(Q41-70.7475)&lt;=0.01,"FECHA COM PLANILHA","REVISAR")</f>
        <v>FECHA COM PLANILHA</v>
      </c>
      <c r="V41" s="197" t="s">
        <v>4023</v>
      </c>
    </row>
    <row r="42" spans="1:22" s="197" customFormat="1" x14ac:dyDescent="0.2">
      <c r="A42" s="197" t="s">
        <v>4024</v>
      </c>
      <c r="B42" s="197" t="s">
        <v>356</v>
      </c>
      <c r="C42" s="197" t="s">
        <v>1465</v>
      </c>
      <c r="D42" s="197" t="s">
        <v>56</v>
      </c>
      <c r="E42" s="197" t="s">
        <v>357</v>
      </c>
      <c r="F42" s="197" t="s">
        <v>26</v>
      </c>
      <c r="G42" s="260">
        <v>1325.896</v>
      </c>
      <c r="H42" s="197">
        <v>1</v>
      </c>
      <c r="I42" s="197" t="s">
        <v>3954</v>
      </c>
      <c r="J42" s="197" t="s">
        <v>3972</v>
      </c>
      <c r="K42" s="197" t="s">
        <v>1283</v>
      </c>
      <c r="L42" s="261">
        <v>0.18</v>
      </c>
      <c r="M42" s="263">
        <v>92.966128999999995</v>
      </c>
      <c r="N42" s="263">
        <f>L42*M42</f>
        <v>16.733903219999998</v>
      </c>
      <c r="O42" s="199"/>
      <c r="P42" s="261"/>
      <c r="Q42" s="261"/>
      <c r="R42" s="198"/>
      <c r="S42" s="197" t="s">
        <v>4025</v>
      </c>
      <c r="T42" s="197" t="s">
        <v>4026</v>
      </c>
      <c r="U42" s="197" t="s">
        <v>3958</v>
      </c>
      <c r="V42" s="197" t="s">
        <v>3959</v>
      </c>
    </row>
    <row r="43" spans="1:22" s="197" customFormat="1" x14ac:dyDescent="0.2">
      <c r="A43" s="197" t="s">
        <v>4024</v>
      </c>
      <c r="B43" s="197" t="s">
        <v>356</v>
      </c>
      <c r="C43" s="197" t="s">
        <v>1465</v>
      </c>
      <c r="D43" s="197" t="s">
        <v>56</v>
      </c>
      <c r="E43" s="197" t="s">
        <v>357</v>
      </c>
      <c r="F43" s="197" t="s">
        <v>26</v>
      </c>
      <c r="G43" s="260">
        <v>1325.896</v>
      </c>
      <c r="H43" s="197">
        <v>2</v>
      </c>
      <c r="I43" s="197" t="s">
        <v>3960</v>
      </c>
      <c r="J43" s="197" t="s">
        <v>3975</v>
      </c>
      <c r="K43" s="197" t="s">
        <v>1283</v>
      </c>
      <c r="L43" s="261">
        <v>0.75</v>
      </c>
      <c r="M43" s="263">
        <v>92.966128999999995</v>
      </c>
      <c r="N43" s="263">
        <f>L43*M43</f>
        <v>69.724596749999989</v>
      </c>
      <c r="O43" s="199"/>
      <c r="P43" s="261"/>
      <c r="Q43" s="261"/>
      <c r="R43" s="198"/>
      <c r="S43" s="197" t="s">
        <v>4025</v>
      </c>
      <c r="T43" s="197" t="s">
        <v>4026</v>
      </c>
      <c r="U43" s="197" t="s">
        <v>3958</v>
      </c>
      <c r="V43" s="197" t="s">
        <v>3959</v>
      </c>
    </row>
    <row r="44" spans="1:22" s="197" customFormat="1" x14ac:dyDescent="0.2">
      <c r="A44" s="197" t="s">
        <v>4024</v>
      </c>
      <c r="B44" s="197" t="s">
        <v>356</v>
      </c>
      <c r="C44" s="197" t="s">
        <v>1465</v>
      </c>
      <c r="D44" s="197" t="s">
        <v>56</v>
      </c>
      <c r="E44" s="197" t="s">
        <v>357</v>
      </c>
      <c r="F44" s="197" t="s">
        <v>26</v>
      </c>
      <c r="G44" s="260">
        <v>1325.896</v>
      </c>
      <c r="H44" s="197">
        <v>3</v>
      </c>
      <c r="I44" s="197" t="s">
        <v>3976</v>
      </c>
      <c r="J44" s="197" t="s">
        <v>3977</v>
      </c>
      <c r="K44" s="197" t="s">
        <v>1283</v>
      </c>
      <c r="L44" s="261">
        <v>0.04</v>
      </c>
      <c r="M44" s="263">
        <v>92.966128999999995</v>
      </c>
      <c r="N44" s="263">
        <f>L44*M44</f>
        <v>3.7186451599999999</v>
      </c>
      <c r="O44" s="199"/>
      <c r="P44" s="261"/>
      <c r="Q44" s="261"/>
      <c r="R44" s="198"/>
      <c r="S44" s="197" t="s">
        <v>4025</v>
      </c>
      <c r="T44" s="197" t="s">
        <v>4026</v>
      </c>
      <c r="U44" s="197" t="s">
        <v>3958</v>
      </c>
      <c r="V44" s="197" t="s">
        <v>3959</v>
      </c>
    </row>
    <row r="45" spans="1:22" s="197" customFormat="1" x14ac:dyDescent="0.2">
      <c r="A45" s="197" t="s">
        <v>4024</v>
      </c>
      <c r="B45" s="197" t="s">
        <v>356</v>
      </c>
      <c r="C45" s="197" t="s">
        <v>1465</v>
      </c>
      <c r="D45" s="197" t="s">
        <v>56</v>
      </c>
      <c r="E45" s="197" t="s">
        <v>357</v>
      </c>
      <c r="F45" s="197" t="s">
        <v>26</v>
      </c>
      <c r="G45" s="260">
        <v>1325.896</v>
      </c>
      <c r="H45" s="197">
        <v>4</v>
      </c>
      <c r="I45" s="197" t="s">
        <v>3978</v>
      </c>
      <c r="J45" s="197" t="s">
        <v>3979</v>
      </c>
      <c r="K45" s="197" t="s">
        <v>1283</v>
      </c>
      <c r="L45" s="261">
        <v>0.03</v>
      </c>
      <c r="M45" s="263">
        <v>92.966128999999995</v>
      </c>
      <c r="N45" s="263">
        <f>L45*M45</f>
        <v>2.7889838699999996</v>
      </c>
      <c r="O45" s="199"/>
      <c r="P45" s="261"/>
      <c r="Q45" s="261"/>
      <c r="R45" s="198"/>
      <c r="S45" s="197" t="s">
        <v>4025</v>
      </c>
      <c r="T45" s="197" t="s">
        <v>4026</v>
      </c>
      <c r="U45" s="197" t="s">
        <v>3958</v>
      </c>
      <c r="V45" s="197" t="s">
        <v>3959</v>
      </c>
    </row>
    <row r="46" spans="1:22" s="197" customFormat="1" x14ac:dyDescent="0.2">
      <c r="A46" s="197" t="s">
        <v>4024</v>
      </c>
      <c r="B46" s="197" t="s">
        <v>356</v>
      </c>
      <c r="C46" s="197" t="s">
        <v>1465</v>
      </c>
      <c r="D46" s="197" t="s">
        <v>56</v>
      </c>
      <c r="E46" s="197" t="s">
        <v>357</v>
      </c>
      <c r="F46" s="197" t="s">
        <v>26</v>
      </c>
      <c r="G46" s="260">
        <v>1325.896</v>
      </c>
      <c r="H46" s="197">
        <v>5</v>
      </c>
      <c r="I46" s="197" t="s">
        <v>3968</v>
      </c>
      <c r="J46" s="197" t="s">
        <v>3969</v>
      </c>
      <c r="K46" s="197" t="s">
        <v>26</v>
      </c>
      <c r="L46" s="261">
        <v>1</v>
      </c>
      <c r="M46" s="263"/>
      <c r="N46" s="263">
        <f>SUM(N42:N45)</f>
        <v>92.966128999999981</v>
      </c>
      <c r="O46" s="199">
        <v>0.2223</v>
      </c>
      <c r="P46" s="261">
        <f>N46*O46</f>
        <v>20.666370476699996</v>
      </c>
      <c r="Q46" s="261">
        <f>N46+P46</f>
        <v>113.63249947669998</v>
      </c>
      <c r="R46" s="198">
        <f>Q46*G46</f>
        <v>150664.87652615859</v>
      </c>
      <c r="S46" s="197" t="s">
        <v>4025</v>
      </c>
      <c r="T46" s="197" t="s">
        <v>4026</v>
      </c>
      <c r="U46" s="197" t="str">
        <f>IF(ABS(Q46-113.6325)&lt;=0.01,"FECHA COM PLANILHA","REVISAR")</f>
        <v>FECHA COM PLANILHA</v>
      </c>
      <c r="V46" s="197" t="s">
        <v>4027</v>
      </c>
    </row>
    <row r="47" spans="1:22" s="197" customFormat="1" x14ac:dyDescent="0.2">
      <c r="A47" s="197" t="s">
        <v>4028</v>
      </c>
      <c r="B47" s="197" t="s">
        <v>97</v>
      </c>
      <c r="C47" s="197" t="s">
        <v>1348</v>
      </c>
      <c r="D47" s="197" t="s">
        <v>56</v>
      </c>
      <c r="E47" s="197" t="s">
        <v>98</v>
      </c>
      <c r="F47" s="197" t="s">
        <v>99</v>
      </c>
      <c r="G47" s="260">
        <v>3770</v>
      </c>
      <c r="H47" s="197">
        <v>1</v>
      </c>
      <c r="I47" s="197" t="s">
        <v>3954</v>
      </c>
      <c r="J47" s="197" t="s">
        <v>3991</v>
      </c>
      <c r="K47" s="197" t="s">
        <v>1283</v>
      </c>
      <c r="L47" s="261">
        <v>0.34</v>
      </c>
      <c r="M47" s="263">
        <v>32.035916</v>
      </c>
      <c r="N47" s="263">
        <f>L47*M47</f>
        <v>10.892211440000001</v>
      </c>
      <c r="O47" s="199"/>
      <c r="P47" s="261"/>
      <c r="Q47" s="261"/>
      <c r="R47" s="198"/>
      <c r="S47" s="197" t="s">
        <v>4029</v>
      </c>
      <c r="T47" s="197" t="s">
        <v>4030</v>
      </c>
      <c r="U47" s="197" t="s">
        <v>3958</v>
      </c>
      <c r="V47" s="197" t="s">
        <v>3959</v>
      </c>
    </row>
    <row r="48" spans="1:22" s="197" customFormat="1" x14ac:dyDescent="0.2">
      <c r="A48" s="197" t="s">
        <v>4028</v>
      </c>
      <c r="B48" s="197" t="s">
        <v>97</v>
      </c>
      <c r="C48" s="197" t="s">
        <v>1348</v>
      </c>
      <c r="D48" s="197" t="s">
        <v>56</v>
      </c>
      <c r="E48" s="197" t="s">
        <v>98</v>
      </c>
      <c r="F48" s="197" t="s">
        <v>99</v>
      </c>
      <c r="G48" s="260">
        <v>3770</v>
      </c>
      <c r="H48" s="197">
        <v>2</v>
      </c>
      <c r="I48" s="197" t="s">
        <v>3960</v>
      </c>
      <c r="J48" s="197" t="s">
        <v>3994</v>
      </c>
      <c r="K48" s="197" t="s">
        <v>1283</v>
      </c>
      <c r="L48" s="261">
        <v>0.54</v>
      </c>
      <c r="M48" s="263">
        <v>32.035916</v>
      </c>
      <c r="N48" s="263">
        <f>L48*M48</f>
        <v>17.299394640000003</v>
      </c>
      <c r="O48" s="199"/>
      <c r="P48" s="261"/>
      <c r="Q48" s="261"/>
      <c r="R48" s="198"/>
      <c r="S48" s="197" t="s">
        <v>4029</v>
      </c>
      <c r="T48" s="197" t="s">
        <v>4030</v>
      </c>
      <c r="U48" s="197" t="s">
        <v>3958</v>
      </c>
      <c r="V48" s="197" t="s">
        <v>3959</v>
      </c>
    </row>
    <row r="49" spans="1:22" s="197" customFormat="1" x14ac:dyDescent="0.2">
      <c r="A49" s="197" t="s">
        <v>4028</v>
      </c>
      <c r="B49" s="197" t="s">
        <v>97</v>
      </c>
      <c r="C49" s="197" t="s">
        <v>1348</v>
      </c>
      <c r="D49" s="197" t="s">
        <v>56</v>
      </c>
      <c r="E49" s="197" t="s">
        <v>98</v>
      </c>
      <c r="F49" s="197" t="s">
        <v>99</v>
      </c>
      <c r="G49" s="260">
        <v>3770</v>
      </c>
      <c r="H49" s="197">
        <v>3</v>
      </c>
      <c r="I49" s="197" t="s">
        <v>3962</v>
      </c>
      <c r="J49" s="197" t="s">
        <v>3995</v>
      </c>
      <c r="K49" s="197" t="s">
        <v>1283</v>
      </c>
      <c r="L49" s="261">
        <v>0.08</v>
      </c>
      <c r="M49" s="263">
        <v>32.035916</v>
      </c>
      <c r="N49" s="263">
        <f>L49*M49</f>
        <v>2.5628732800000003</v>
      </c>
      <c r="O49" s="199"/>
      <c r="P49" s="261"/>
      <c r="Q49" s="261"/>
      <c r="R49" s="198"/>
      <c r="S49" s="197" t="s">
        <v>4029</v>
      </c>
      <c r="T49" s="197" t="s">
        <v>4030</v>
      </c>
      <c r="U49" s="197" t="s">
        <v>3958</v>
      </c>
      <c r="V49" s="197" t="s">
        <v>3959</v>
      </c>
    </row>
    <row r="50" spans="1:22" s="197" customFormat="1" x14ac:dyDescent="0.2">
      <c r="A50" s="197" t="s">
        <v>4028</v>
      </c>
      <c r="B50" s="197" t="s">
        <v>97</v>
      </c>
      <c r="C50" s="197" t="s">
        <v>1348</v>
      </c>
      <c r="D50" s="197" t="s">
        <v>56</v>
      </c>
      <c r="E50" s="197" t="s">
        <v>98</v>
      </c>
      <c r="F50" s="197" t="s">
        <v>99</v>
      </c>
      <c r="G50" s="260">
        <v>3770</v>
      </c>
      <c r="H50" s="197">
        <v>4</v>
      </c>
      <c r="I50" s="197" t="s">
        <v>3966</v>
      </c>
      <c r="J50" s="197" t="s">
        <v>3996</v>
      </c>
      <c r="K50" s="197" t="s">
        <v>1283</v>
      </c>
      <c r="L50" s="261">
        <v>0.04</v>
      </c>
      <c r="M50" s="263">
        <v>32.035916</v>
      </c>
      <c r="N50" s="263">
        <f>L50*M50</f>
        <v>1.2814366400000001</v>
      </c>
      <c r="O50" s="199"/>
      <c r="P50" s="261"/>
      <c r="Q50" s="261"/>
      <c r="R50" s="198"/>
      <c r="S50" s="197" t="s">
        <v>4029</v>
      </c>
      <c r="T50" s="197" t="s">
        <v>4030</v>
      </c>
      <c r="U50" s="197" t="s">
        <v>3958</v>
      </c>
      <c r="V50" s="197" t="s">
        <v>3959</v>
      </c>
    </row>
    <row r="51" spans="1:22" s="197" customFormat="1" x14ac:dyDescent="0.2">
      <c r="A51" s="197" t="s">
        <v>4028</v>
      </c>
      <c r="B51" s="197" t="s">
        <v>97</v>
      </c>
      <c r="C51" s="197" t="s">
        <v>1348</v>
      </c>
      <c r="D51" s="197" t="s">
        <v>56</v>
      </c>
      <c r="E51" s="197" t="s">
        <v>98</v>
      </c>
      <c r="F51" s="197" t="s">
        <v>99</v>
      </c>
      <c r="G51" s="260">
        <v>3770</v>
      </c>
      <c r="H51" s="197">
        <v>5</v>
      </c>
      <c r="I51" s="197" t="s">
        <v>3968</v>
      </c>
      <c r="J51" s="197" t="s">
        <v>3969</v>
      </c>
      <c r="K51" s="197" t="s">
        <v>99</v>
      </c>
      <c r="L51" s="261">
        <v>1</v>
      </c>
      <c r="M51" s="263"/>
      <c r="N51" s="263">
        <f>SUM(N47:N50)</f>
        <v>32.035916000000007</v>
      </c>
      <c r="O51" s="199">
        <v>0.2223</v>
      </c>
      <c r="P51" s="261">
        <f>N51*O51</f>
        <v>7.121584126800002</v>
      </c>
      <c r="Q51" s="261">
        <f>N51+P51</f>
        <v>39.157500126800009</v>
      </c>
      <c r="R51" s="198">
        <f>Q51*G51</f>
        <v>147623.77547803603</v>
      </c>
      <c r="S51" s="197" t="s">
        <v>4029</v>
      </c>
      <c r="T51" s="197" t="s">
        <v>4030</v>
      </c>
      <c r="U51" s="197" t="str">
        <f>IF(ABS(Q51-39.1575)&lt;=0.01,"FECHA COM PLANILHA","REVISAR")</f>
        <v>FECHA COM PLANILHA</v>
      </c>
      <c r="V51" s="197" t="s">
        <v>4031</v>
      </c>
    </row>
    <row r="52" spans="1:22" s="197" customFormat="1" x14ac:dyDescent="0.2">
      <c r="A52" s="197" t="s">
        <v>4032</v>
      </c>
      <c r="B52" s="197" t="s">
        <v>55</v>
      </c>
      <c r="C52" s="197" t="s">
        <v>1331</v>
      </c>
      <c r="D52" s="197" t="s">
        <v>56</v>
      </c>
      <c r="E52" s="197" t="s">
        <v>57</v>
      </c>
      <c r="F52" s="197" t="s">
        <v>58</v>
      </c>
      <c r="G52" s="260">
        <v>15</v>
      </c>
      <c r="H52" s="197">
        <v>1</v>
      </c>
      <c r="I52" s="197" t="s">
        <v>3954</v>
      </c>
      <c r="J52" s="197" t="s">
        <v>3999</v>
      </c>
      <c r="K52" s="197" t="s">
        <v>1283</v>
      </c>
      <c r="L52" s="261">
        <v>0.74</v>
      </c>
      <c r="M52" s="263">
        <v>7867.7227359999997</v>
      </c>
      <c r="N52" s="263">
        <f>L52*M52</f>
        <v>5822.1148246399998</v>
      </c>
      <c r="O52" s="199"/>
      <c r="P52" s="261"/>
      <c r="Q52" s="261"/>
      <c r="R52" s="198"/>
      <c r="S52" s="197" t="s">
        <v>4033</v>
      </c>
      <c r="T52" s="197" t="s">
        <v>4034</v>
      </c>
      <c r="U52" s="197" t="s">
        <v>3958</v>
      </c>
      <c r="V52" s="197" t="s">
        <v>3959</v>
      </c>
    </row>
    <row r="53" spans="1:22" s="197" customFormat="1" x14ac:dyDescent="0.2">
      <c r="A53" s="197" t="s">
        <v>4032</v>
      </c>
      <c r="B53" s="197" t="s">
        <v>55</v>
      </c>
      <c r="C53" s="197" t="s">
        <v>1331</v>
      </c>
      <c r="D53" s="197" t="s">
        <v>56</v>
      </c>
      <c r="E53" s="197" t="s">
        <v>57</v>
      </c>
      <c r="F53" s="197" t="s">
        <v>58</v>
      </c>
      <c r="G53" s="260">
        <v>15</v>
      </c>
      <c r="H53" s="197">
        <v>2</v>
      </c>
      <c r="I53" s="197" t="s">
        <v>4002</v>
      </c>
      <c r="J53" s="197" t="s">
        <v>4003</v>
      </c>
      <c r="K53" s="197" t="s">
        <v>1283</v>
      </c>
      <c r="L53" s="261">
        <v>0.22</v>
      </c>
      <c r="M53" s="263">
        <v>7867.7227359999997</v>
      </c>
      <c r="N53" s="263">
        <f>L53*M53</f>
        <v>1730.89900192</v>
      </c>
      <c r="O53" s="199"/>
      <c r="P53" s="261"/>
      <c r="Q53" s="261"/>
      <c r="R53" s="198"/>
      <c r="S53" s="197" t="s">
        <v>4033</v>
      </c>
      <c r="T53" s="197" t="s">
        <v>4034</v>
      </c>
      <c r="U53" s="197" t="s">
        <v>3958</v>
      </c>
      <c r="V53" s="197" t="s">
        <v>3959</v>
      </c>
    </row>
    <row r="54" spans="1:22" s="197" customFormat="1" x14ac:dyDescent="0.2">
      <c r="A54" s="197" t="s">
        <v>4032</v>
      </c>
      <c r="B54" s="197" t="s">
        <v>55</v>
      </c>
      <c r="C54" s="197" t="s">
        <v>1331</v>
      </c>
      <c r="D54" s="197" t="s">
        <v>56</v>
      </c>
      <c r="E54" s="197" t="s">
        <v>57</v>
      </c>
      <c r="F54" s="197" t="s">
        <v>58</v>
      </c>
      <c r="G54" s="260">
        <v>15</v>
      </c>
      <c r="H54" s="197">
        <v>3</v>
      </c>
      <c r="I54" s="197" t="s">
        <v>4004</v>
      </c>
      <c r="J54" s="197" t="s">
        <v>4005</v>
      </c>
      <c r="K54" s="197" t="s">
        <v>1283</v>
      </c>
      <c r="L54" s="261">
        <v>0.04</v>
      </c>
      <c r="M54" s="263">
        <v>7867.7227359999997</v>
      </c>
      <c r="N54" s="263">
        <f>L54*M54</f>
        <v>314.70890944000001</v>
      </c>
      <c r="O54" s="199"/>
      <c r="P54" s="261"/>
      <c r="Q54" s="261"/>
      <c r="R54" s="198"/>
      <c r="S54" s="197" t="s">
        <v>4033</v>
      </c>
      <c r="T54" s="197" t="s">
        <v>4034</v>
      </c>
      <c r="U54" s="197" t="s">
        <v>3958</v>
      </c>
      <c r="V54" s="197" t="s">
        <v>3959</v>
      </c>
    </row>
    <row r="55" spans="1:22" s="197" customFormat="1" x14ac:dyDescent="0.2">
      <c r="A55" s="197" t="s">
        <v>4032</v>
      </c>
      <c r="B55" s="197" t="s">
        <v>55</v>
      </c>
      <c r="C55" s="197" t="s">
        <v>1331</v>
      </c>
      <c r="D55" s="197" t="s">
        <v>56</v>
      </c>
      <c r="E55" s="197" t="s">
        <v>57</v>
      </c>
      <c r="F55" s="197" t="s">
        <v>58</v>
      </c>
      <c r="G55" s="260">
        <v>15</v>
      </c>
      <c r="H55" s="197">
        <v>4</v>
      </c>
      <c r="I55" s="197" t="s">
        <v>3968</v>
      </c>
      <c r="J55" s="197" t="s">
        <v>3969</v>
      </c>
      <c r="K55" s="197" t="s">
        <v>58</v>
      </c>
      <c r="L55" s="261">
        <v>1</v>
      </c>
      <c r="M55" s="263"/>
      <c r="N55" s="263">
        <f>SUM(N52:N54)</f>
        <v>7867.7227359999997</v>
      </c>
      <c r="O55" s="199">
        <v>0.2223</v>
      </c>
      <c r="P55" s="261">
        <f>N55*O55</f>
        <v>1748.9947642128</v>
      </c>
      <c r="Q55" s="261">
        <f>N55+P55</f>
        <v>9616.7175002127988</v>
      </c>
      <c r="R55" s="198">
        <f>Q55*G55</f>
        <v>144250.76250319197</v>
      </c>
      <c r="S55" s="197" t="s">
        <v>4033</v>
      </c>
      <c r="T55" s="197" t="s">
        <v>4034</v>
      </c>
      <c r="U55" s="197" t="str">
        <f>IF(ABS(Q55-9616.7175)&lt;=0.01,"FECHA COM PLANILHA","REVISAR")</f>
        <v>FECHA COM PLANILHA</v>
      </c>
      <c r="V55" s="197" t="s">
        <v>4035</v>
      </c>
    </row>
    <row r="56" spans="1:22" s="197" customFormat="1" x14ac:dyDescent="0.2">
      <c r="A56" s="197" t="s">
        <v>4036</v>
      </c>
      <c r="B56" s="197" t="s">
        <v>394</v>
      </c>
      <c r="C56" s="197" t="s">
        <v>1487</v>
      </c>
      <c r="D56" s="197" t="s">
        <v>56</v>
      </c>
      <c r="E56" s="197" t="s">
        <v>1488</v>
      </c>
      <c r="F56" s="197" t="s">
        <v>26</v>
      </c>
      <c r="G56" s="260">
        <v>766.25300000000004</v>
      </c>
      <c r="H56" s="197">
        <v>1</v>
      </c>
      <c r="I56" s="197" t="s">
        <v>3954</v>
      </c>
      <c r="J56" s="197" t="s">
        <v>3982</v>
      </c>
      <c r="K56" s="197" t="s">
        <v>1283</v>
      </c>
      <c r="L56" s="261">
        <v>0.16</v>
      </c>
      <c r="M56" s="263">
        <v>153.896343</v>
      </c>
      <c r="N56" s="263">
        <f>L56*M56</f>
        <v>24.623414880000002</v>
      </c>
      <c r="O56" s="199"/>
      <c r="P56" s="261"/>
      <c r="Q56" s="261"/>
      <c r="R56" s="198"/>
      <c r="S56" s="197" t="s">
        <v>4037</v>
      </c>
      <c r="T56" s="197" t="s">
        <v>4038</v>
      </c>
      <c r="U56" s="197" t="s">
        <v>3958</v>
      </c>
      <c r="V56" s="197" t="s">
        <v>3959</v>
      </c>
    </row>
    <row r="57" spans="1:22" s="197" customFormat="1" x14ac:dyDescent="0.2">
      <c r="A57" s="197" t="s">
        <v>4036</v>
      </c>
      <c r="B57" s="197" t="s">
        <v>394</v>
      </c>
      <c r="C57" s="197" t="s">
        <v>1487</v>
      </c>
      <c r="D57" s="197" t="s">
        <v>56</v>
      </c>
      <c r="E57" s="197" t="s">
        <v>1488</v>
      </c>
      <c r="F57" s="197" t="s">
        <v>26</v>
      </c>
      <c r="G57" s="260">
        <v>766.25300000000004</v>
      </c>
      <c r="H57" s="197">
        <v>2</v>
      </c>
      <c r="I57" s="197" t="s">
        <v>3960</v>
      </c>
      <c r="J57" s="197" t="s">
        <v>3985</v>
      </c>
      <c r="K57" s="197" t="s">
        <v>1283</v>
      </c>
      <c r="L57" s="261">
        <v>0.64</v>
      </c>
      <c r="M57" s="263">
        <v>153.896343</v>
      </c>
      <c r="N57" s="263">
        <f>L57*M57</f>
        <v>98.493659520000008</v>
      </c>
      <c r="O57" s="199"/>
      <c r="P57" s="261"/>
      <c r="Q57" s="261"/>
      <c r="R57" s="198"/>
      <c r="S57" s="197" t="s">
        <v>4037</v>
      </c>
      <c r="T57" s="197" t="s">
        <v>4038</v>
      </c>
      <c r="U57" s="197" t="s">
        <v>3958</v>
      </c>
      <c r="V57" s="197" t="s">
        <v>3959</v>
      </c>
    </row>
    <row r="58" spans="1:22" s="197" customFormat="1" x14ac:dyDescent="0.2">
      <c r="A58" s="197" t="s">
        <v>4036</v>
      </c>
      <c r="B58" s="197" t="s">
        <v>394</v>
      </c>
      <c r="C58" s="197" t="s">
        <v>1487</v>
      </c>
      <c r="D58" s="197" t="s">
        <v>56</v>
      </c>
      <c r="E58" s="197" t="s">
        <v>1488</v>
      </c>
      <c r="F58" s="197" t="s">
        <v>26</v>
      </c>
      <c r="G58" s="260">
        <v>766.25300000000004</v>
      </c>
      <c r="H58" s="197">
        <v>3</v>
      </c>
      <c r="I58" s="197" t="s">
        <v>3962</v>
      </c>
      <c r="J58" s="197" t="s">
        <v>3986</v>
      </c>
      <c r="K58" s="197" t="s">
        <v>1283</v>
      </c>
      <c r="L58" s="261">
        <v>0.15</v>
      </c>
      <c r="M58" s="263">
        <v>153.896343</v>
      </c>
      <c r="N58" s="263">
        <f>L58*M58</f>
        <v>23.08445145</v>
      </c>
      <c r="O58" s="199"/>
      <c r="P58" s="261"/>
      <c r="Q58" s="261"/>
      <c r="R58" s="198"/>
      <c r="S58" s="197" t="s">
        <v>4037</v>
      </c>
      <c r="T58" s="197" t="s">
        <v>4038</v>
      </c>
      <c r="U58" s="197" t="s">
        <v>3958</v>
      </c>
      <c r="V58" s="197" t="s">
        <v>3959</v>
      </c>
    </row>
    <row r="59" spans="1:22" s="197" customFormat="1" x14ac:dyDescent="0.2">
      <c r="A59" s="197" t="s">
        <v>4036</v>
      </c>
      <c r="B59" s="197" t="s">
        <v>394</v>
      </c>
      <c r="C59" s="197" t="s">
        <v>1487</v>
      </c>
      <c r="D59" s="197" t="s">
        <v>56</v>
      </c>
      <c r="E59" s="197" t="s">
        <v>1488</v>
      </c>
      <c r="F59" s="197" t="s">
        <v>26</v>
      </c>
      <c r="G59" s="260">
        <v>766.25300000000004</v>
      </c>
      <c r="H59" s="197">
        <v>4</v>
      </c>
      <c r="I59" s="197" t="s">
        <v>3987</v>
      </c>
      <c r="J59" s="197" t="s">
        <v>3988</v>
      </c>
      <c r="K59" s="197" t="s">
        <v>1283</v>
      </c>
      <c r="L59" s="261">
        <v>0.05</v>
      </c>
      <c r="M59" s="263">
        <v>153.896343</v>
      </c>
      <c r="N59" s="263">
        <f>L59*M59</f>
        <v>7.6948171500000004</v>
      </c>
      <c r="O59" s="199"/>
      <c r="P59" s="261"/>
      <c r="Q59" s="261"/>
      <c r="R59" s="198"/>
      <c r="S59" s="197" t="s">
        <v>4037</v>
      </c>
      <c r="T59" s="197" t="s">
        <v>4038</v>
      </c>
      <c r="U59" s="197" t="s">
        <v>3958</v>
      </c>
      <c r="V59" s="197" t="s">
        <v>3959</v>
      </c>
    </row>
    <row r="60" spans="1:22" s="197" customFormat="1" x14ac:dyDescent="0.2">
      <c r="A60" s="197" t="s">
        <v>4036</v>
      </c>
      <c r="B60" s="197" t="s">
        <v>394</v>
      </c>
      <c r="C60" s="197" t="s">
        <v>1487</v>
      </c>
      <c r="D60" s="197" t="s">
        <v>56</v>
      </c>
      <c r="E60" s="197" t="s">
        <v>1488</v>
      </c>
      <c r="F60" s="197" t="s">
        <v>26</v>
      </c>
      <c r="G60" s="260">
        <v>766.25300000000004</v>
      </c>
      <c r="H60" s="197">
        <v>5</v>
      </c>
      <c r="I60" s="197" t="s">
        <v>3968</v>
      </c>
      <c r="J60" s="197" t="s">
        <v>3969</v>
      </c>
      <c r="K60" s="197" t="s">
        <v>26</v>
      </c>
      <c r="L60" s="261">
        <v>1</v>
      </c>
      <c r="M60" s="263"/>
      <c r="N60" s="263">
        <f>SUM(N56:N59)</f>
        <v>153.896343</v>
      </c>
      <c r="O60" s="199">
        <v>0.2223</v>
      </c>
      <c r="P60" s="261">
        <f>N60*O60</f>
        <v>34.211157048899999</v>
      </c>
      <c r="Q60" s="261">
        <f>N60+P60</f>
        <v>188.10750004889999</v>
      </c>
      <c r="R60" s="198">
        <f>Q60*G60</f>
        <v>144137.93623496976</v>
      </c>
      <c r="S60" s="197" t="s">
        <v>4037</v>
      </c>
      <c r="T60" s="197" t="s">
        <v>4038</v>
      </c>
      <c r="U60" s="197" t="str">
        <f>IF(ABS(Q60-188.1075)&lt;=0.01,"FECHA COM PLANILHA","REVISAR")</f>
        <v>FECHA COM PLANILHA</v>
      </c>
      <c r="V60" s="197" t="s">
        <v>4039</v>
      </c>
    </row>
    <row r="61" spans="1:22" s="197" customFormat="1" x14ac:dyDescent="0.2">
      <c r="A61" s="197" t="s">
        <v>4040</v>
      </c>
      <c r="B61" s="197" t="s">
        <v>1946</v>
      </c>
      <c r="C61" s="197" t="s">
        <v>1947</v>
      </c>
      <c r="D61" s="197" t="s">
        <v>24</v>
      </c>
      <c r="E61" s="197" t="s">
        <v>897</v>
      </c>
      <c r="F61" s="197" t="s">
        <v>84</v>
      </c>
      <c r="G61" s="260">
        <v>2</v>
      </c>
      <c r="H61" s="197">
        <v>1</v>
      </c>
      <c r="I61" s="197" t="s">
        <v>3954</v>
      </c>
      <c r="J61" s="197" t="s">
        <v>3972</v>
      </c>
      <c r="K61" s="197" t="s">
        <v>1283</v>
      </c>
      <c r="L61" s="261">
        <v>0.18</v>
      </c>
      <c r="M61" s="263">
        <v>57471.113883999999</v>
      </c>
      <c r="N61" s="263">
        <f>L61*M61</f>
        <v>10344.80049912</v>
      </c>
      <c r="O61" s="199"/>
      <c r="P61" s="261"/>
      <c r="Q61" s="261"/>
      <c r="R61" s="198"/>
      <c r="S61" s="197" t="s">
        <v>4041</v>
      </c>
      <c r="T61" s="197" t="s">
        <v>4042</v>
      </c>
      <c r="U61" s="197" t="s">
        <v>3958</v>
      </c>
      <c r="V61" s="197" t="s">
        <v>3959</v>
      </c>
    </row>
    <row r="62" spans="1:22" s="197" customFormat="1" x14ac:dyDescent="0.2">
      <c r="A62" s="197" t="s">
        <v>4040</v>
      </c>
      <c r="B62" s="197" t="s">
        <v>1946</v>
      </c>
      <c r="C62" s="197" t="s">
        <v>1947</v>
      </c>
      <c r="D62" s="197" t="s">
        <v>24</v>
      </c>
      <c r="E62" s="197" t="s">
        <v>897</v>
      </c>
      <c r="F62" s="197" t="s">
        <v>84</v>
      </c>
      <c r="G62" s="260">
        <v>2</v>
      </c>
      <c r="H62" s="197">
        <v>2</v>
      </c>
      <c r="I62" s="197" t="s">
        <v>3960</v>
      </c>
      <c r="J62" s="197" t="s">
        <v>3975</v>
      </c>
      <c r="K62" s="197" t="s">
        <v>1283</v>
      </c>
      <c r="L62" s="261">
        <v>0.75</v>
      </c>
      <c r="M62" s="263">
        <v>57471.113883999999</v>
      </c>
      <c r="N62" s="263">
        <f>L62*M62</f>
        <v>43103.335413000001</v>
      </c>
      <c r="O62" s="199"/>
      <c r="P62" s="261"/>
      <c r="Q62" s="261"/>
      <c r="R62" s="198"/>
      <c r="S62" s="197" t="s">
        <v>4041</v>
      </c>
      <c r="T62" s="197" t="s">
        <v>4042</v>
      </c>
      <c r="U62" s="197" t="s">
        <v>3958</v>
      </c>
      <c r="V62" s="197" t="s">
        <v>3959</v>
      </c>
    </row>
    <row r="63" spans="1:22" s="197" customFormat="1" x14ac:dyDescent="0.2">
      <c r="A63" s="197" t="s">
        <v>4040</v>
      </c>
      <c r="B63" s="197" t="s">
        <v>1946</v>
      </c>
      <c r="C63" s="197" t="s">
        <v>1947</v>
      </c>
      <c r="D63" s="197" t="s">
        <v>24</v>
      </c>
      <c r="E63" s="197" t="s">
        <v>897</v>
      </c>
      <c r="F63" s="197" t="s">
        <v>84</v>
      </c>
      <c r="G63" s="260">
        <v>2</v>
      </c>
      <c r="H63" s="197">
        <v>3</v>
      </c>
      <c r="I63" s="197" t="s">
        <v>3976</v>
      </c>
      <c r="J63" s="197" t="s">
        <v>3977</v>
      </c>
      <c r="K63" s="197" t="s">
        <v>1283</v>
      </c>
      <c r="L63" s="261">
        <v>0.04</v>
      </c>
      <c r="M63" s="263">
        <v>57471.113883999999</v>
      </c>
      <c r="N63" s="263">
        <f>L63*M63</f>
        <v>2298.84455536</v>
      </c>
      <c r="O63" s="199"/>
      <c r="P63" s="261"/>
      <c r="Q63" s="261"/>
      <c r="R63" s="198"/>
      <c r="S63" s="197" t="s">
        <v>4041</v>
      </c>
      <c r="T63" s="197" t="s">
        <v>4042</v>
      </c>
      <c r="U63" s="197" t="s">
        <v>3958</v>
      </c>
      <c r="V63" s="197" t="s">
        <v>3959</v>
      </c>
    </row>
    <row r="64" spans="1:22" s="197" customFormat="1" x14ac:dyDescent="0.2">
      <c r="A64" s="197" t="s">
        <v>4040</v>
      </c>
      <c r="B64" s="197" t="s">
        <v>1946</v>
      </c>
      <c r="C64" s="197" t="s">
        <v>1947</v>
      </c>
      <c r="D64" s="197" t="s">
        <v>24</v>
      </c>
      <c r="E64" s="197" t="s">
        <v>897</v>
      </c>
      <c r="F64" s="197" t="s">
        <v>84</v>
      </c>
      <c r="G64" s="260">
        <v>2</v>
      </c>
      <c r="H64" s="197">
        <v>4</v>
      </c>
      <c r="I64" s="197" t="s">
        <v>3978</v>
      </c>
      <c r="J64" s="197" t="s">
        <v>3979</v>
      </c>
      <c r="K64" s="197" t="s">
        <v>1283</v>
      </c>
      <c r="L64" s="261">
        <v>0.03</v>
      </c>
      <c r="M64" s="263">
        <v>57471.113883999999</v>
      </c>
      <c r="N64" s="263">
        <f>L64*M64</f>
        <v>1724.1334165199999</v>
      </c>
      <c r="O64" s="199"/>
      <c r="P64" s="261"/>
      <c r="Q64" s="261"/>
      <c r="R64" s="198"/>
      <c r="S64" s="197" t="s">
        <v>4041</v>
      </c>
      <c r="T64" s="197" t="s">
        <v>4042</v>
      </c>
      <c r="U64" s="197" t="s">
        <v>3958</v>
      </c>
      <c r="V64" s="197" t="s">
        <v>3959</v>
      </c>
    </row>
    <row r="65" spans="1:22" s="197" customFormat="1" x14ac:dyDescent="0.2">
      <c r="A65" s="197" t="s">
        <v>4040</v>
      </c>
      <c r="B65" s="197" t="s">
        <v>1946</v>
      </c>
      <c r="C65" s="197" t="s">
        <v>1947</v>
      </c>
      <c r="D65" s="197" t="s">
        <v>24</v>
      </c>
      <c r="E65" s="197" t="s">
        <v>897</v>
      </c>
      <c r="F65" s="197" t="s">
        <v>84</v>
      </c>
      <c r="G65" s="260">
        <v>2</v>
      </c>
      <c r="H65" s="197">
        <v>5</v>
      </c>
      <c r="I65" s="197" t="s">
        <v>3968</v>
      </c>
      <c r="J65" s="197" t="s">
        <v>3969</v>
      </c>
      <c r="K65" s="197" t="s">
        <v>84</v>
      </c>
      <c r="L65" s="261">
        <v>1</v>
      </c>
      <c r="M65" s="263"/>
      <c r="N65" s="263">
        <f>SUM(N61:N64)</f>
        <v>57471.113884000006</v>
      </c>
      <c r="O65" s="199">
        <v>0.2223</v>
      </c>
      <c r="P65" s="261">
        <f>N65*O65</f>
        <v>12775.828616413201</v>
      </c>
      <c r="Q65" s="261">
        <f>N65+P65</f>
        <v>70246.942500413206</v>
      </c>
      <c r="R65" s="198">
        <f>Q65*G65</f>
        <v>140493.88500082641</v>
      </c>
      <c r="S65" s="197" t="s">
        <v>4041</v>
      </c>
      <c r="T65" s="197" t="s">
        <v>4042</v>
      </c>
      <c r="U65" s="197" t="str">
        <f>IF(ABS(Q65-70246.9425)&lt;=0.01,"FECHA COM PLANILHA","REVISAR")</f>
        <v>FECHA COM PLANILHA</v>
      </c>
      <c r="V65" s="197" t="s">
        <v>4043</v>
      </c>
    </row>
    <row r="66" spans="1:22" s="197" customFormat="1" x14ac:dyDescent="0.2">
      <c r="A66" s="197" t="s">
        <v>4044</v>
      </c>
      <c r="B66" s="197" t="s">
        <v>328</v>
      </c>
      <c r="C66" s="197" t="s">
        <v>1456</v>
      </c>
      <c r="D66" s="197" t="s">
        <v>56</v>
      </c>
      <c r="E66" s="197" t="s">
        <v>329</v>
      </c>
      <c r="F66" s="197" t="s">
        <v>26</v>
      </c>
      <c r="G66" s="260">
        <v>2115.672</v>
      </c>
      <c r="H66" s="197">
        <v>1</v>
      </c>
      <c r="I66" s="197" t="s">
        <v>3954</v>
      </c>
      <c r="J66" s="197" t="s">
        <v>3982</v>
      </c>
      <c r="K66" s="197" t="s">
        <v>1283</v>
      </c>
      <c r="L66" s="261">
        <v>0.16</v>
      </c>
      <c r="M66" s="263">
        <v>50.719954000000001</v>
      </c>
      <c r="N66" s="263">
        <f>L66*M66</f>
        <v>8.1151926400000001</v>
      </c>
      <c r="O66" s="199"/>
      <c r="P66" s="261"/>
      <c r="Q66" s="261"/>
      <c r="R66" s="198"/>
      <c r="S66" s="197" t="s">
        <v>4045</v>
      </c>
      <c r="T66" s="197" t="s">
        <v>4046</v>
      </c>
      <c r="U66" s="197" t="s">
        <v>3958</v>
      </c>
      <c r="V66" s="197" t="s">
        <v>3959</v>
      </c>
    </row>
    <row r="67" spans="1:22" s="197" customFormat="1" x14ac:dyDescent="0.2">
      <c r="A67" s="197" t="s">
        <v>4044</v>
      </c>
      <c r="B67" s="197" t="s">
        <v>328</v>
      </c>
      <c r="C67" s="197" t="s">
        <v>1456</v>
      </c>
      <c r="D67" s="197" t="s">
        <v>56</v>
      </c>
      <c r="E67" s="197" t="s">
        <v>329</v>
      </c>
      <c r="F67" s="197" t="s">
        <v>26</v>
      </c>
      <c r="G67" s="260">
        <v>2115.672</v>
      </c>
      <c r="H67" s="197">
        <v>2</v>
      </c>
      <c r="I67" s="197" t="s">
        <v>3960</v>
      </c>
      <c r="J67" s="197" t="s">
        <v>3985</v>
      </c>
      <c r="K67" s="197" t="s">
        <v>1283</v>
      </c>
      <c r="L67" s="261">
        <v>0.64</v>
      </c>
      <c r="M67" s="263">
        <v>50.719954000000001</v>
      </c>
      <c r="N67" s="263">
        <f>L67*M67</f>
        <v>32.46077056</v>
      </c>
      <c r="O67" s="199"/>
      <c r="P67" s="261"/>
      <c r="Q67" s="261"/>
      <c r="R67" s="198"/>
      <c r="S67" s="197" t="s">
        <v>4045</v>
      </c>
      <c r="T67" s="197" t="s">
        <v>4046</v>
      </c>
      <c r="U67" s="197" t="s">
        <v>3958</v>
      </c>
      <c r="V67" s="197" t="s">
        <v>3959</v>
      </c>
    </row>
    <row r="68" spans="1:22" s="197" customFormat="1" x14ac:dyDescent="0.2">
      <c r="A68" s="197" t="s">
        <v>4044</v>
      </c>
      <c r="B68" s="197" t="s">
        <v>328</v>
      </c>
      <c r="C68" s="197" t="s">
        <v>1456</v>
      </c>
      <c r="D68" s="197" t="s">
        <v>56</v>
      </c>
      <c r="E68" s="197" t="s">
        <v>329</v>
      </c>
      <c r="F68" s="197" t="s">
        <v>26</v>
      </c>
      <c r="G68" s="260">
        <v>2115.672</v>
      </c>
      <c r="H68" s="197">
        <v>3</v>
      </c>
      <c r="I68" s="197" t="s">
        <v>3962</v>
      </c>
      <c r="J68" s="197" t="s">
        <v>3986</v>
      </c>
      <c r="K68" s="197" t="s">
        <v>1283</v>
      </c>
      <c r="L68" s="261">
        <v>0.15</v>
      </c>
      <c r="M68" s="263">
        <v>50.719954000000001</v>
      </c>
      <c r="N68" s="263">
        <f>L68*M68</f>
        <v>7.6079930999999998</v>
      </c>
      <c r="O68" s="199"/>
      <c r="P68" s="261"/>
      <c r="Q68" s="261"/>
      <c r="R68" s="198"/>
      <c r="S68" s="197" t="s">
        <v>4045</v>
      </c>
      <c r="T68" s="197" t="s">
        <v>4046</v>
      </c>
      <c r="U68" s="197" t="s">
        <v>3958</v>
      </c>
      <c r="V68" s="197" t="s">
        <v>3959</v>
      </c>
    </row>
    <row r="69" spans="1:22" s="197" customFormat="1" x14ac:dyDescent="0.2">
      <c r="A69" s="197" t="s">
        <v>4044</v>
      </c>
      <c r="B69" s="197" t="s">
        <v>328</v>
      </c>
      <c r="C69" s="197" t="s">
        <v>1456</v>
      </c>
      <c r="D69" s="197" t="s">
        <v>56</v>
      </c>
      <c r="E69" s="197" t="s">
        <v>329</v>
      </c>
      <c r="F69" s="197" t="s">
        <v>26</v>
      </c>
      <c r="G69" s="260">
        <v>2115.672</v>
      </c>
      <c r="H69" s="197">
        <v>4</v>
      </c>
      <c r="I69" s="197" t="s">
        <v>3987</v>
      </c>
      <c r="J69" s="197" t="s">
        <v>3988</v>
      </c>
      <c r="K69" s="197" t="s">
        <v>1283</v>
      </c>
      <c r="L69" s="261">
        <v>0.05</v>
      </c>
      <c r="M69" s="263">
        <v>50.719954000000001</v>
      </c>
      <c r="N69" s="263">
        <f>L69*M69</f>
        <v>2.5359977000000002</v>
      </c>
      <c r="O69" s="199"/>
      <c r="P69" s="261"/>
      <c r="Q69" s="261"/>
      <c r="R69" s="198"/>
      <c r="S69" s="197" t="s">
        <v>4045</v>
      </c>
      <c r="T69" s="197" t="s">
        <v>4046</v>
      </c>
      <c r="U69" s="197" t="s">
        <v>3958</v>
      </c>
      <c r="V69" s="197" t="s">
        <v>3959</v>
      </c>
    </row>
    <row r="70" spans="1:22" s="197" customFormat="1" x14ac:dyDescent="0.2">
      <c r="A70" s="197" t="s">
        <v>4044</v>
      </c>
      <c r="B70" s="197" t="s">
        <v>328</v>
      </c>
      <c r="C70" s="197" t="s">
        <v>1456</v>
      </c>
      <c r="D70" s="197" t="s">
        <v>56</v>
      </c>
      <c r="E70" s="197" t="s">
        <v>329</v>
      </c>
      <c r="F70" s="197" t="s">
        <v>26</v>
      </c>
      <c r="G70" s="260">
        <v>2115.672</v>
      </c>
      <c r="H70" s="197">
        <v>5</v>
      </c>
      <c r="I70" s="197" t="s">
        <v>3968</v>
      </c>
      <c r="J70" s="197" t="s">
        <v>3969</v>
      </c>
      <c r="K70" s="197" t="s">
        <v>26</v>
      </c>
      <c r="L70" s="261">
        <v>1</v>
      </c>
      <c r="M70" s="263"/>
      <c r="N70" s="263">
        <f>SUM(N66:N69)</f>
        <v>50.719954000000008</v>
      </c>
      <c r="O70" s="199">
        <v>0.2223</v>
      </c>
      <c r="P70" s="261">
        <f>N70*O70</f>
        <v>11.275045774200002</v>
      </c>
      <c r="Q70" s="261">
        <f>N70+P70</f>
        <v>61.994999774200011</v>
      </c>
      <c r="R70" s="198">
        <f>Q70*G70</f>
        <v>131161.08516228129</v>
      </c>
      <c r="S70" s="197" t="s">
        <v>4045</v>
      </c>
      <c r="T70" s="197" t="s">
        <v>4046</v>
      </c>
      <c r="U70" s="197" t="str">
        <f>IF(ABS(Q70-61.995)&lt;=0.01,"FECHA COM PLANILHA","REVISAR")</f>
        <v>FECHA COM PLANILHA</v>
      </c>
      <c r="V70" s="197" t="s">
        <v>4047</v>
      </c>
    </row>
    <row r="71" spans="1:22" s="197" customFormat="1" x14ac:dyDescent="0.2">
      <c r="A71" s="197" t="s">
        <v>4048</v>
      </c>
      <c r="B71" s="197" t="s">
        <v>348</v>
      </c>
      <c r="C71" s="197" t="s">
        <v>349</v>
      </c>
      <c r="D71" s="197" t="s">
        <v>209</v>
      </c>
      <c r="E71" s="197" t="s">
        <v>350</v>
      </c>
      <c r="F71" s="197" t="s">
        <v>26</v>
      </c>
      <c r="G71" s="260">
        <v>592.59400000000005</v>
      </c>
      <c r="H71" s="197">
        <v>1</v>
      </c>
      <c r="I71" s="197" t="s">
        <v>3954</v>
      </c>
      <c r="J71" s="197" t="s">
        <v>4049</v>
      </c>
      <c r="K71" s="197" t="s">
        <v>1283</v>
      </c>
      <c r="L71" s="261">
        <v>0.24</v>
      </c>
      <c r="M71" s="263">
        <v>175.580872</v>
      </c>
      <c r="N71" s="263">
        <f>L71*M71</f>
        <v>42.139409279999995</v>
      </c>
      <c r="O71" s="199"/>
      <c r="P71" s="261"/>
      <c r="Q71" s="261"/>
      <c r="R71" s="198"/>
      <c r="S71" s="197" t="s">
        <v>4050</v>
      </c>
      <c r="T71" s="197" t="s">
        <v>4051</v>
      </c>
      <c r="U71" s="197" t="s">
        <v>3958</v>
      </c>
      <c r="V71" s="197" t="s">
        <v>3959</v>
      </c>
    </row>
    <row r="72" spans="1:22" s="197" customFormat="1" x14ac:dyDescent="0.2">
      <c r="A72" s="197" t="s">
        <v>4048</v>
      </c>
      <c r="B72" s="197" t="s">
        <v>348</v>
      </c>
      <c r="C72" s="197" t="s">
        <v>349</v>
      </c>
      <c r="D72" s="197" t="s">
        <v>209</v>
      </c>
      <c r="E72" s="197" t="s">
        <v>350</v>
      </c>
      <c r="F72" s="197" t="s">
        <v>26</v>
      </c>
      <c r="G72" s="260">
        <v>592.59400000000005</v>
      </c>
      <c r="H72" s="197">
        <v>2</v>
      </c>
      <c r="I72" s="197" t="s">
        <v>3960</v>
      </c>
      <c r="J72" s="197" t="s">
        <v>4052</v>
      </c>
      <c r="K72" s="197" t="s">
        <v>1283</v>
      </c>
      <c r="L72" s="261">
        <v>0.68</v>
      </c>
      <c r="M72" s="263">
        <v>175.580872</v>
      </c>
      <c r="N72" s="263">
        <f>L72*M72</f>
        <v>119.39499296000001</v>
      </c>
      <c r="O72" s="199"/>
      <c r="P72" s="261"/>
      <c r="Q72" s="261"/>
      <c r="R72" s="198"/>
      <c r="S72" s="197" t="s">
        <v>4050</v>
      </c>
      <c r="T72" s="197" t="s">
        <v>4051</v>
      </c>
      <c r="U72" s="197" t="s">
        <v>3958</v>
      </c>
      <c r="V72" s="197" t="s">
        <v>3959</v>
      </c>
    </row>
    <row r="73" spans="1:22" s="197" customFormat="1" x14ac:dyDescent="0.2">
      <c r="A73" s="197" t="s">
        <v>4048</v>
      </c>
      <c r="B73" s="197" t="s">
        <v>348</v>
      </c>
      <c r="C73" s="197" t="s">
        <v>349</v>
      </c>
      <c r="D73" s="197" t="s">
        <v>209</v>
      </c>
      <c r="E73" s="197" t="s">
        <v>350</v>
      </c>
      <c r="F73" s="197" t="s">
        <v>26</v>
      </c>
      <c r="G73" s="260">
        <v>592.59400000000005</v>
      </c>
      <c r="H73" s="197">
        <v>3</v>
      </c>
      <c r="I73" s="197" t="s">
        <v>3976</v>
      </c>
      <c r="J73" s="197" t="s">
        <v>4053</v>
      </c>
      <c r="K73" s="197" t="s">
        <v>1283</v>
      </c>
      <c r="L73" s="261">
        <v>0.04</v>
      </c>
      <c r="M73" s="263">
        <v>175.580872</v>
      </c>
      <c r="N73" s="263">
        <f>L73*M73</f>
        <v>7.0232348800000004</v>
      </c>
      <c r="O73" s="199"/>
      <c r="P73" s="261"/>
      <c r="Q73" s="261"/>
      <c r="R73" s="198"/>
      <c r="S73" s="197" t="s">
        <v>4050</v>
      </c>
      <c r="T73" s="197" t="s">
        <v>4051</v>
      </c>
      <c r="U73" s="197" t="s">
        <v>3958</v>
      </c>
      <c r="V73" s="197" t="s">
        <v>3959</v>
      </c>
    </row>
    <row r="74" spans="1:22" s="197" customFormat="1" x14ac:dyDescent="0.2">
      <c r="A74" s="197" t="s">
        <v>4048</v>
      </c>
      <c r="B74" s="197" t="s">
        <v>348</v>
      </c>
      <c r="C74" s="197" t="s">
        <v>349</v>
      </c>
      <c r="D74" s="197" t="s">
        <v>209</v>
      </c>
      <c r="E74" s="197" t="s">
        <v>350</v>
      </c>
      <c r="F74" s="197" t="s">
        <v>26</v>
      </c>
      <c r="G74" s="260">
        <v>592.59400000000005</v>
      </c>
      <c r="H74" s="197">
        <v>4</v>
      </c>
      <c r="I74" s="197" t="s">
        <v>4054</v>
      </c>
      <c r="J74" s="197" t="s">
        <v>4055</v>
      </c>
      <c r="K74" s="197" t="s">
        <v>1283</v>
      </c>
      <c r="L74" s="261">
        <v>0.04</v>
      </c>
      <c r="M74" s="263">
        <v>175.580872</v>
      </c>
      <c r="N74" s="263">
        <f>L74*M74</f>
        <v>7.0232348800000004</v>
      </c>
      <c r="O74" s="199"/>
      <c r="P74" s="261"/>
      <c r="Q74" s="261"/>
      <c r="R74" s="198"/>
      <c r="S74" s="197" t="s">
        <v>4050</v>
      </c>
      <c r="T74" s="197" t="s">
        <v>4051</v>
      </c>
      <c r="U74" s="197" t="s">
        <v>3958</v>
      </c>
      <c r="V74" s="197" t="s">
        <v>3959</v>
      </c>
    </row>
    <row r="75" spans="1:22" s="197" customFormat="1" x14ac:dyDescent="0.2">
      <c r="A75" s="197" t="s">
        <v>4048</v>
      </c>
      <c r="B75" s="197" t="s">
        <v>348</v>
      </c>
      <c r="C75" s="197" t="s">
        <v>349</v>
      </c>
      <c r="D75" s="197" t="s">
        <v>209</v>
      </c>
      <c r="E75" s="197" t="s">
        <v>350</v>
      </c>
      <c r="F75" s="197" t="s">
        <v>26</v>
      </c>
      <c r="G75" s="260">
        <v>592.59400000000005</v>
      </c>
      <c r="H75" s="197">
        <v>5</v>
      </c>
      <c r="I75" s="197" t="s">
        <v>3968</v>
      </c>
      <c r="J75" s="197" t="s">
        <v>3969</v>
      </c>
      <c r="K75" s="197" t="s">
        <v>26</v>
      </c>
      <c r="L75" s="261">
        <v>1</v>
      </c>
      <c r="M75" s="263"/>
      <c r="N75" s="263">
        <f>SUM(N71:N74)</f>
        <v>175.580872</v>
      </c>
      <c r="O75" s="199">
        <v>0.2223</v>
      </c>
      <c r="P75" s="261">
        <f>N75*O75</f>
        <v>39.031627845599999</v>
      </c>
      <c r="Q75" s="261">
        <f>N75+P75</f>
        <v>214.61249984559998</v>
      </c>
      <c r="R75" s="198">
        <f>Q75*G75</f>
        <v>127178.07973350349</v>
      </c>
      <c r="S75" s="197" t="s">
        <v>4050</v>
      </c>
      <c r="T75" s="197" t="s">
        <v>4051</v>
      </c>
      <c r="U75" s="197" t="str">
        <f>IF(ABS(Q75-214.6125)&lt;=0.01,"FECHA COM PLANILHA","REVISAR")</f>
        <v>FECHA COM PLANILHA</v>
      </c>
      <c r="V75" s="197" t="s">
        <v>4056</v>
      </c>
    </row>
    <row r="76" spans="1:22" s="197" customFormat="1" x14ac:dyDescent="0.2">
      <c r="A76" s="197" t="s">
        <v>4057</v>
      </c>
      <c r="B76" s="197" t="s">
        <v>62</v>
      </c>
      <c r="C76" s="197" t="s">
        <v>1333</v>
      </c>
      <c r="D76" s="197" t="s">
        <v>56</v>
      </c>
      <c r="E76" s="197" t="s">
        <v>1334</v>
      </c>
      <c r="F76" s="197" t="s">
        <v>58</v>
      </c>
      <c r="G76" s="260">
        <v>15</v>
      </c>
      <c r="H76" s="197">
        <v>1</v>
      </c>
      <c r="I76" s="197" t="s">
        <v>3954</v>
      </c>
      <c r="J76" s="197" t="s">
        <v>3999</v>
      </c>
      <c r="K76" s="197" t="s">
        <v>1283</v>
      </c>
      <c r="L76" s="261">
        <v>0.74</v>
      </c>
      <c r="M76" s="263">
        <v>6406.6861650000001</v>
      </c>
      <c r="N76" s="263">
        <f>L76*M76</f>
        <v>4740.9477620999996</v>
      </c>
      <c r="O76" s="199"/>
      <c r="P76" s="261"/>
      <c r="Q76" s="261"/>
      <c r="R76" s="198"/>
      <c r="S76" s="197" t="s">
        <v>4058</v>
      </c>
      <c r="T76" s="197" t="s">
        <v>4059</v>
      </c>
      <c r="U76" s="197" t="s">
        <v>3958</v>
      </c>
      <c r="V76" s="197" t="s">
        <v>3959</v>
      </c>
    </row>
    <row r="77" spans="1:22" s="197" customFormat="1" x14ac:dyDescent="0.2">
      <c r="A77" s="197" t="s">
        <v>4057</v>
      </c>
      <c r="B77" s="197" t="s">
        <v>62</v>
      </c>
      <c r="C77" s="197" t="s">
        <v>1333</v>
      </c>
      <c r="D77" s="197" t="s">
        <v>56</v>
      </c>
      <c r="E77" s="197" t="s">
        <v>1334</v>
      </c>
      <c r="F77" s="197" t="s">
        <v>58</v>
      </c>
      <c r="G77" s="260">
        <v>15</v>
      </c>
      <c r="H77" s="197">
        <v>2</v>
      </c>
      <c r="I77" s="197" t="s">
        <v>4002</v>
      </c>
      <c r="J77" s="197" t="s">
        <v>4003</v>
      </c>
      <c r="K77" s="197" t="s">
        <v>1283</v>
      </c>
      <c r="L77" s="261">
        <v>0.22</v>
      </c>
      <c r="M77" s="263">
        <v>6406.6861650000001</v>
      </c>
      <c r="N77" s="263">
        <f>L77*M77</f>
        <v>1409.4709563000001</v>
      </c>
      <c r="O77" s="199"/>
      <c r="P77" s="261"/>
      <c r="Q77" s="261"/>
      <c r="R77" s="198"/>
      <c r="S77" s="197" t="s">
        <v>4058</v>
      </c>
      <c r="T77" s="197" t="s">
        <v>4059</v>
      </c>
      <c r="U77" s="197" t="s">
        <v>3958</v>
      </c>
      <c r="V77" s="197" t="s">
        <v>3959</v>
      </c>
    </row>
    <row r="78" spans="1:22" s="197" customFormat="1" x14ac:dyDescent="0.2">
      <c r="A78" s="197" t="s">
        <v>4057</v>
      </c>
      <c r="B78" s="197" t="s">
        <v>62</v>
      </c>
      <c r="C78" s="197" t="s">
        <v>1333</v>
      </c>
      <c r="D78" s="197" t="s">
        <v>56</v>
      </c>
      <c r="E78" s="197" t="s">
        <v>1334</v>
      </c>
      <c r="F78" s="197" t="s">
        <v>58</v>
      </c>
      <c r="G78" s="260">
        <v>15</v>
      </c>
      <c r="H78" s="197">
        <v>3</v>
      </c>
      <c r="I78" s="197" t="s">
        <v>4004</v>
      </c>
      <c r="J78" s="197" t="s">
        <v>4005</v>
      </c>
      <c r="K78" s="197" t="s">
        <v>1283</v>
      </c>
      <c r="L78" s="261">
        <v>0.04</v>
      </c>
      <c r="M78" s="263">
        <v>6406.6861650000001</v>
      </c>
      <c r="N78" s="263">
        <f>L78*M78</f>
        <v>256.26744660000003</v>
      </c>
      <c r="O78" s="199"/>
      <c r="P78" s="261"/>
      <c r="Q78" s="261"/>
      <c r="R78" s="198"/>
      <c r="S78" s="197" t="s">
        <v>4058</v>
      </c>
      <c r="T78" s="197" t="s">
        <v>4059</v>
      </c>
      <c r="U78" s="197" t="s">
        <v>3958</v>
      </c>
      <c r="V78" s="197" t="s">
        <v>3959</v>
      </c>
    </row>
    <row r="79" spans="1:22" s="197" customFormat="1" x14ac:dyDescent="0.2">
      <c r="A79" s="197" t="s">
        <v>4057</v>
      </c>
      <c r="B79" s="197" t="s">
        <v>62</v>
      </c>
      <c r="C79" s="197" t="s">
        <v>1333</v>
      </c>
      <c r="D79" s="197" t="s">
        <v>56</v>
      </c>
      <c r="E79" s="197" t="s">
        <v>1334</v>
      </c>
      <c r="F79" s="197" t="s">
        <v>58</v>
      </c>
      <c r="G79" s="260">
        <v>15</v>
      </c>
      <c r="H79" s="197">
        <v>4</v>
      </c>
      <c r="I79" s="197" t="s">
        <v>3968</v>
      </c>
      <c r="J79" s="197" t="s">
        <v>3969</v>
      </c>
      <c r="K79" s="197" t="s">
        <v>58</v>
      </c>
      <c r="L79" s="261">
        <v>1</v>
      </c>
      <c r="M79" s="263"/>
      <c r="N79" s="263">
        <f>SUM(N76:N78)</f>
        <v>6406.6861650000001</v>
      </c>
      <c r="O79" s="199">
        <v>0.2223</v>
      </c>
      <c r="P79" s="261">
        <f>N79*O79</f>
        <v>1424.2063344794999</v>
      </c>
      <c r="Q79" s="261">
        <f>N79+P79</f>
        <v>7830.8924994794997</v>
      </c>
      <c r="R79" s="198">
        <f>Q79*G79</f>
        <v>117463.3874921925</v>
      </c>
      <c r="S79" s="197" t="s">
        <v>4058</v>
      </c>
      <c r="T79" s="197" t="s">
        <v>4059</v>
      </c>
      <c r="U79" s="197" t="str">
        <f>IF(ABS(Q79-7830.8925)&lt;=0.01,"FECHA COM PLANILHA","REVISAR")</f>
        <v>FECHA COM PLANILHA</v>
      </c>
      <c r="V79" s="197" t="s">
        <v>4060</v>
      </c>
    </row>
    <row r="80" spans="1:22" s="197" customFormat="1" x14ac:dyDescent="0.2">
      <c r="A80" s="197" t="s">
        <v>4061</v>
      </c>
      <c r="B80" s="197" t="s">
        <v>488</v>
      </c>
      <c r="C80" s="197" t="s">
        <v>1533</v>
      </c>
      <c r="D80" s="197" t="s">
        <v>24</v>
      </c>
      <c r="E80" s="197" t="s">
        <v>490</v>
      </c>
      <c r="F80" s="197" t="s">
        <v>26</v>
      </c>
      <c r="G80" s="260">
        <v>192.67599999999999</v>
      </c>
      <c r="H80" s="197">
        <v>1</v>
      </c>
      <c r="I80" s="197" t="s">
        <v>3954</v>
      </c>
      <c r="J80" s="197" t="s">
        <v>4049</v>
      </c>
      <c r="K80" s="197" t="s">
        <v>1283</v>
      </c>
      <c r="L80" s="261">
        <v>0.24</v>
      </c>
      <c r="M80" s="263">
        <v>485.12231000000003</v>
      </c>
      <c r="N80" s="263">
        <f>L80*M80</f>
        <v>116.42935440000001</v>
      </c>
      <c r="O80" s="199"/>
      <c r="P80" s="261"/>
      <c r="Q80" s="261"/>
      <c r="R80" s="198"/>
      <c r="S80" s="197" t="s">
        <v>4062</v>
      </c>
      <c r="T80" s="197" t="s">
        <v>4063</v>
      </c>
      <c r="U80" s="197" t="s">
        <v>3958</v>
      </c>
      <c r="V80" s="197" t="s">
        <v>3959</v>
      </c>
    </row>
    <row r="81" spans="1:22" s="197" customFormat="1" x14ac:dyDescent="0.2">
      <c r="A81" s="197" t="s">
        <v>4061</v>
      </c>
      <c r="B81" s="197" t="s">
        <v>488</v>
      </c>
      <c r="C81" s="197" t="s">
        <v>1533</v>
      </c>
      <c r="D81" s="197" t="s">
        <v>24</v>
      </c>
      <c r="E81" s="197" t="s">
        <v>490</v>
      </c>
      <c r="F81" s="197" t="s">
        <v>26</v>
      </c>
      <c r="G81" s="260">
        <v>192.67599999999999</v>
      </c>
      <c r="H81" s="197">
        <v>2</v>
      </c>
      <c r="I81" s="197" t="s">
        <v>3960</v>
      </c>
      <c r="J81" s="197" t="s">
        <v>4052</v>
      </c>
      <c r="K81" s="197" t="s">
        <v>1283</v>
      </c>
      <c r="L81" s="261">
        <v>0.68</v>
      </c>
      <c r="M81" s="263">
        <v>485.12231000000003</v>
      </c>
      <c r="N81" s="263">
        <f>L81*M81</f>
        <v>329.88317080000002</v>
      </c>
      <c r="O81" s="199"/>
      <c r="P81" s="261"/>
      <c r="Q81" s="261"/>
      <c r="R81" s="198"/>
      <c r="S81" s="197" t="s">
        <v>4062</v>
      </c>
      <c r="T81" s="197" t="s">
        <v>4063</v>
      </c>
      <c r="U81" s="197" t="s">
        <v>3958</v>
      </c>
      <c r="V81" s="197" t="s">
        <v>3959</v>
      </c>
    </row>
    <row r="82" spans="1:22" s="197" customFormat="1" x14ac:dyDescent="0.2">
      <c r="A82" s="197" t="s">
        <v>4061</v>
      </c>
      <c r="B82" s="197" t="s">
        <v>488</v>
      </c>
      <c r="C82" s="197" t="s">
        <v>1533</v>
      </c>
      <c r="D82" s="197" t="s">
        <v>24</v>
      </c>
      <c r="E82" s="197" t="s">
        <v>490</v>
      </c>
      <c r="F82" s="197" t="s">
        <v>26</v>
      </c>
      <c r="G82" s="260">
        <v>192.67599999999999</v>
      </c>
      <c r="H82" s="197">
        <v>3</v>
      </c>
      <c r="I82" s="197" t="s">
        <v>3976</v>
      </c>
      <c r="J82" s="197" t="s">
        <v>4053</v>
      </c>
      <c r="K82" s="197" t="s">
        <v>1283</v>
      </c>
      <c r="L82" s="261">
        <v>0.04</v>
      </c>
      <c r="M82" s="263">
        <v>485.12231000000003</v>
      </c>
      <c r="N82" s="263">
        <f>L82*M82</f>
        <v>19.404892400000001</v>
      </c>
      <c r="O82" s="199"/>
      <c r="P82" s="261"/>
      <c r="Q82" s="261"/>
      <c r="R82" s="198"/>
      <c r="S82" s="197" t="s">
        <v>4062</v>
      </c>
      <c r="T82" s="197" t="s">
        <v>4063</v>
      </c>
      <c r="U82" s="197" t="s">
        <v>3958</v>
      </c>
      <c r="V82" s="197" t="s">
        <v>3959</v>
      </c>
    </row>
    <row r="83" spans="1:22" s="197" customFormat="1" x14ac:dyDescent="0.2">
      <c r="A83" s="197" t="s">
        <v>4061</v>
      </c>
      <c r="B83" s="197" t="s">
        <v>488</v>
      </c>
      <c r="C83" s="197" t="s">
        <v>1533</v>
      </c>
      <c r="D83" s="197" t="s">
        <v>24</v>
      </c>
      <c r="E83" s="197" t="s">
        <v>490</v>
      </c>
      <c r="F83" s="197" t="s">
        <v>26</v>
      </c>
      <c r="G83" s="260">
        <v>192.67599999999999</v>
      </c>
      <c r="H83" s="197">
        <v>4</v>
      </c>
      <c r="I83" s="197" t="s">
        <v>4054</v>
      </c>
      <c r="J83" s="197" t="s">
        <v>4055</v>
      </c>
      <c r="K83" s="197" t="s">
        <v>1283</v>
      </c>
      <c r="L83" s="261">
        <v>0.04</v>
      </c>
      <c r="M83" s="263">
        <v>485.12231000000003</v>
      </c>
      <c r="N83" s="263">
        <f>L83*M83</f>
        <v>19.404892400000001</v>
      </c>
      <c r="O83" s="199"/>
      <c r="P83" s="261"/>
      <c r="Q83" s="261"/>
      <c r="R83" s="198"/>
      <c r="S83" s="197" t="s">
        <v>4062</v>
      </c>
      <c r="T83" s="197" t="s">
        <v>4063</v>
      </c>
      <c r="U83" s="197" t="s">
        <v>3958</v>
      </c>
      <c r="V83" s="197" t="s">
        <v>3959</v>
      </c>
    </row>
    <row r="84" spans="1:22" s="197" customFormat="1" x14ac:dyDescent="0.2">
      <c r="A84" s="197" t="s">
        <v>4061</v>
      </c>
      <c r="B84" s="197" t="s">
        <v>488</v>
      </c>
      <c r="C84" s="197" t="s">
        <v>1533</v>
      </c>
      <c r="D84" s="197" t="s">
        <v>24</v>
      </c>
      <c r="E84" s="197" t="s">
        <v>490</v>
      </c>
      <c r="F84" s="197" t="s">
        <v>26</v>
      </c>
      <c r="G84" s="260">
        <v>192.67599999999999</v>
      </c>
      <c r="H84" s="197">
        <v>5</v>
      </c>
      <c r="I84" s="197" t="s">
        <v>3968</v>
      </c>
      <c r="J84" s="197" t="s">
        <v>3969</v>
      </c>
      <c r="K84" s="197" t="s">
        <v>26</v>
      </c>
      <c r="L84" s="261">
        <v>1</v>
      </c>
      <c r="M84" s="263"/>
      <c r="N84" s="263">
        <f>SUM(N80:N83)</f>
        <v>485.12231000000003</v>
      </c>
      <c r="O84" s="199">
        <v>0.2223</v>
      </c>
      <c r="P84" s="261">
        <f>N84*O84</f>
        <v>107.84268951300001</v>
      </c>
      <c r="Q84" s="261">
        <f>N84+P84</f>
        <v>592.96499951300007</v>
      </c>
      <c r="R84" s="198">
        <f>Q84*G84</f>
        <v>114250.1242461668</v>
      </c>
      <c r="S84" s="197" t="s">
        <v>4062</v>
      </c>
      <c r="T84" s="197" t="s">
        <v>4063</v>
      </c>
      <c r="U84" s="197" t="str">
        <f>IF(ABS(Q84-592.965)&lt;=0.01,"FECHA COM PLANILHA","REVISAR")</f>
        <v>FECHA COM PLANILHA</v>
      </c>
      <c r="V84" s="197" t="s">
        <v>4064</v>
      </c>
    </row>
    <row r="85" spans="1:22" s="197" customFormat="1" x14ac:dyDescent="0.2">
      <c r="A85" s="197" t="s">
        <v>4065</v>
      </c>
      <c r="B85" s="197" t="s">
        <v>22</v>
      </c>
      <c r="C85" s="197" t="s">
        <v>1317</v>
      </c>
      <c r="D85" s="197" t="s">
        <v>24</v>
      </c>
      <c r="E85" s="197" t="s">
        <v>1318</v>
      </c>
      <c r="F85" s="197" t="s">
        <v>26</v>
      </c>
      <c r="G85" s="260">
        <v>1404.56</v>
      </c>
      <c r="H85" s="197">
        <v>1</v>
      </c>
      <c r="I85" s="197" t="s">
        <v>4066</v>
      </c>
      <c r="J85" s="197" t="s">
        <v>4067</v>
      </c>
      <c r="K85" s="197" t="s">
        <v>1283</v>
      </c>
      <c r="L85" s="261">
        <v>0.7</v>
      </c>
      <c r="M85" s="263">
        <v>64.789741000000006</v>
      </c>
      <c r="N85" s="263">
        <f>L85*M85</f>
        <v>45.3528187</v>
      </c>
      <c r="O85" s="199"/>
      <c r="P85" s="261"/>
      <c r="Q85" s="261"/>
      <c r="R85" s="198"/>
      <c r="S85" s="197" t="s">
        <v>4068</v>
      </c>
      <c r="T85" s="197" t="s">
        <v>4069</v>
      </c>
      <c r="U85" s="197" t="s">
        <v>3958</v>
      </c>
      <c r="V85" s="197" t="s">
        <v>3959</v>
      </c>
    </row>
    <row r="86" spans="1:22" s="197" customFormat="1" x14ac:dyDescent="0.2">
      <c r="A86" s="197" t="s">
        <v>4065</v>
      </c>
      <c r="B86" s="197" t="s">
        <v>22</v>
      </c>
      <c r="C86" s="197" t="s">
        <v>1317</v>
      </c>
      <c r="D86" s="197" t="s">
        <v>24</v>
      </c>
      <c r="E86" s="197" t="s">
        <v>1318</v>
      </c>
      <c r="F86" s="197" t="s">
        <v>26</v>
      </c>
      <c r="G86" s="260">
        <v>1404.56</v>
      </c>
      <c r="H86" s="197">
        <v>2</v>
      </c>
      <c r="I86" s="197" t="s">
        <v>4070</v>
      </c>
      <c r="J86" s="197" t="s">
        <v>4071</v>
      </c>
      <c r="K86" s="197" t="s">
        <v>1283</v>
      </c>
      <c r="L86" s="261">
        <v>0.15</v>
      </c>
      <c r="M86" s="263">
        <v>64.789741000000006</v>
      </c>
      <c r="N86" s="263">
        <f>L86*M86</f>
        <v>9.7184611500000013</v>
      </c>
      <c r="O86" s="199"/>
      <c r="P86" s="261"/>
      <c r="Q86" s="261"/>
      <c r="R86" s="198"/>
      <c r="S86" s="197" t="s">
        <v>4068</v>
      </c>
      <c r="T86" s="197" t="s">
        <v>4069</v>
      </c>
      <c r="U86" s="197" t="s">
        <v>3958</v>
      </c>
      <c r="V86" s="197" t="s">
        <v>3959</v>
      </c>
    </row>
    <row r="87" spans="1:22" s="197" customFormat="1" x14ac:dyDescent="0.2">
      <c r="A87" s="197" t="s">
        <v>4065</v>
      </c>
      <c r="B87" s="197" t="s">
        <v>22</v>
      </c>
      <c r="C87" s="197" t="s">
        <v>1317</v>
      </c>
      <c r="D87" s="197" t="s">
        <v>24</v>
      </c>
      <c r="E87" s="197" t="s">
        <v>1318</v>
      </c>
      <c r="F87" s="197" t="s">
        <v>26</v>
      </c>
      <c r="G87" s="260">
        <v>1404.56</v>
      </c>
      <c r="H87" s="197">
        <v>3</v>
      </c>
      <c r="I87" s="197" t="s">
        <v>4072</v>
      </c>
      <c r="J87" s="197" t="s">
        <v>4073</v>
      </c>
      <c r="K87" s="197" t="s">
        <v>1283</v>
      </c>
      <c r="L87" s="261">
        <v>0.15</v>
      </c>
      <c r="M87" s="263">
        <v>64.789741000000006</v>
      </c>
      <c r="N87" s="263">
        <f>L87*M87</f>
        <v>9.7184611500000013</v>
      </c>
      <c r="O87" s="199"/>
      <c r="P87" s="261"/>
      <c r="Q87" s="261"/>
      <c r="R87" s="198"/>
      <c r="S87" s="197" t="s">
        <v>4068</v>
      </c>
      <c r="T87" s="197" t="s">
        <v>4069</v>
      </c>
      <c r="U87" s="197" t="s">
        <v>3958</v>
      </c>
      <c r="V87" s="197" t="s">
        <v>3959</v>
      </c>
    </row>
    <row r="88" spans="1:22" s="197" customFormat="1" x14ac:dyDescent="0.2">
      <c r="A88" s="197" t="s">
        <v>4065</v>
      </c>
      <c r="B88" s="197" t="s">
        <v>22</v>
      </c>
      <c r="C88" s="197" t="s">
        <v>1317</v>
      </c>
      <c r="D88" s="197" t="s">
        <v>24</v>
      </c>
      <c r="E88" s="197" t="s">
        <v>1318</v>
      </c>
      <c r="F88" s="197" t="s">
        <v>26</v>
      </c>
      <c r="G88" s="260">
        <v>1404.56</v>
      </c>
      <c r="H88" s="197">
        <v>4</v>
      </c>
      <c r="I88" s="197" t="s">
        <v>3968</v>
      </c>
      <c r="J88" s="197" t="s">
        <v>3969</v>
      </c>
      <c r="K88" s="197" t="s">
        <v>26</v>
      </c>
      <c r="L88" s="261">
        <v>1</v>
      </c>
      <c r="M88" s="263"/>
      <c r="N88" s="263">
        <f>SUM(N85:N87)</f>
        <v>64.789741000000006</v>
      </c>
      <c r="O88" s="199">
        <v>0.2223</v>
      </c>
      <c r="P88" s="261">
        <f>N88*O88</f>
        <v>14.402759424300001</v>
      </c>
      <c r="Q88" s="261">
        <f>N88+P88</f>
        <v>79.192500424300007</v>
      </c>
      <c r="R88" s="198">
        <f>Q88*G88</f>
        <v>111230.61839595481</v>
      </c>
      <c r="S88" s="197" t="s">
        <v>4068</v>
      </c>
      <c r="T88" s="197" t="s">
        <v>4069</v>
      </c>
      <c r="U88" s="197" t="str">
        <f>IF(ABS(Q88-79.1925)&lt;=0.01,"FECHA COM PLANILHA","REVISAR")</f>
        <v>FECHA COM PLANILHA</v>
      </c>
      <c r="V88" s="197" t="s">
        <v>4074</v>
      </c>
    </row>
    <row r="89" spans="1:22" s="197" customFormat="1" x14ac:dyDescent="0.2">
      <c r="A89" s="197" t="s">
        <v>4075</v>
      </c>
      <c r="B89" s="197" t="s">
        <v>217</v>
      </c>
      <c r="C89" s="197" t="s">
        <v>1401</v>
      </c>
      <c r="D89" s="197" t="s">
        <v>56</v>
      </c>
      <c r="E89" s="197" t="s">
        <v>218</v>
      </c>
      <c r="F89" s="197" t="s">
        <v>118</v>
      </c>
      <c r="G89" s="260">
        <v>5400.143</v>
      </c>
      <c r="H89" s="197">
        <v>1</v>
      </c>
      <c r="I89" s="197" t="s">
        <v>3954</v>
      </c>
      <c r="J89" s="197" t="s">
        <v>3991</v>
      </c>
      <c r="K89" s="197" t="s">
        <v>1283</v>
      </c>
      <c r="L89" s="261">
        <v>0.34</v>
      </c>
      <c r="M89" s="263">
        <v>15.898306</v>
      </c>
      <c r="N89" s="263">
        <f>L89*M89</f>
        <v>5.4054240400000007</v>
      </c>
      <c r="O89" s="199"/>
      <c r="P89" s="261"/>
      <c r="Q89" s="261"/>
      <c r="R89" s="198"/>
      <c r="S89" s="197" t="s">
        <v>4076</v>
      </c>
      <c r="T89" s="197" t="s">
        <v>4077</v>
      </c>
      <c r="U89" s="197" t="s">
        <v>3958</v>
      </c>
      <c r="V89" s="197" t="s">
        <v>3959</v>
      </c>
    </row>
    <row r="90" spans="1:22" s="197" customFormat="1" x14ac:dyDescent="0.2">
      <c r="A90" s="197" t="s">
        <v>4075</v>
      </c>
      <c r="B90" s="197" t="s">
        <v>217</v>
      </c>
      <c r="C90" s="197" t="s">
        <v>1401</v>
      </c>
      <c r="D90" s="197" t="s">
        <v>56</v>
      </c>
      <c r="E90" s="197" t="s">
        <v>218</v>
      </c>
      <c r="F90" s="197" t="s">
        <v>118</v>
      </c>
      <c r="G90" s="260">
        <v>5400.143</v>
      </c>
      <c r="H90" s="197">
        <v>2</v>
      </c>
      <c r="I90" s="197" t="s">
        <v>3960</v>
      </c>
      <c r="J90" s="197" t="s">
        <v>3994</v>
      </c>
      <c r="K90" s="197" t="s">
        <v>1283</v>
      </c>
      <c r="L90" s="261">
        <v>0.54</v>
      </c>
      <c r="M90" s="263">
        <v>15.898306</v>
      </c>
      <c r="N90" s="263">
        <f>L90*M90</f>
        <v>8.5850852399999997</v>
      </c>
      <c r="O90" s="199"/>
      <c r="P90" s="261"/>
      <c r="Q90" s="261"/>
      <c r="R90" s="198"/>
      <c r="S90" s="197" t="s">
        <v>4076</v>
      </c>
      <c r="T90" s="197" t="s">
        <v>4077</v>
      </c>
      <c r="U90" s="197" t="s">
        <v>3958</v>
      </c>
      <c r="V90" s="197" t="s">
        <v>3959</v>
      </c>
    </row>
    <row r="91" spans="1:22" s="197" customFormat="1" x14ac:dyDescent="0.2">
      <c r="A91" s="197" t="s">
        <v>4075</v>
      </c>
      <c r="B91" s="197" t="s">
        <v>217</v>
      </c>
      <c r="C91" s="197" t="s">
        <v>1401</v>
      </c>
      <c r="D91" s="197" t="s">
        <v>56</v>
      </c>
      <c r="E91" s="197" t="s">
        <v>218</v>
      </c>
      <c r="F91" s="197" t="s">
        <v>118</v>
      </c>
      <c r="G91" s="260">
        <v>5400.143</v>
      </c>
      <c r="H91" s="197">
        <v>3</v>
      </c>
      <c r="I91" s="197" t="s">
        <v>3962</v>
      </c>
      <c r="J91" s="197" t="s">
        <v>3995</v>
      </c>
      <c r="K91" s="197" t="s">
        <v>1283</v>
      </c>
      <c r="L91" s="261">
        <v>0.08</v>
      </c>
      <c r="M91" s="263">
        <v>15.898306</v>
      </c>
      <c r="N91" s="263">
        <f>L91*M91</f>
        <v>1.2718644800000001</v>
      </c>
      <c r="O91" s="199"/>
      <c r="P91" s="261"/>
      <c r="Q91" s="261"/>
      <c r="R91" s="198"/>
      <c r="S91" s="197" t="s">
        <v>4076</v>
      </c>
      <c r="T91" s="197" t="s">
        <v>4077</v>
      </c>
      <c r="U91" s="197" t="s">
        <v>3958</v>
      </c>
      <c r="V91" s="197" t="s">
        <v>3959</v>
      </c>
    </row>
    <row r="92" spans="1:22" s="197" customFormat="1" x14ac:dyDescent="0.2">
      <c r="A92" s="197" t="s">
        <v>4075</v>
      </c>
      <c r="B92" s="197" t="s">
        <v>217</v>
      </c>
      <c r="C92" s="197" t="s">
        <v>1401</v>
      </c>
      <c r="D92" s="197" t="s">
        <v>56</v>
      </c>
      <c r="E92" s="197" t="s">
        <v>218</v>
      </c>
      <c r="F92" s="197" t="s">
        <v>118</v>
      </c>
      <c r="G92" s="260">
        <v>5400.143</v>
      </c>
      <c r="H92" s="197">
        <v>4</v>
      </c>
      <c r="I92" s="197" t="s">
        <v>3966</v>
      </c>
      <c r="J92" s="197" t="s">
        <v>3996</v>
      </c>
      <c r="K92" s="197" t="s">
        <v>1283</v>
      </c>
      <c r="L92" s="261">
        <v>0.04</v>
      </c>
      <c r="M92" s="263">
        <v>15.898306</v>
      </c>
      <c r="N92" s="263">
        <f>L92*M92</f>
        <v>0.63593224000000004</v>
      </c>
      <c r="O92" s="199"/>
      <c r="P92" s="261"/>
      <c r="Q92" s="261"/>
      <c r="R92" s="198"/>
      <c r="S92" s="197" t="s">
        <v>4076</v>
      </c>
      <c r="T92" s="197" t="s">
        <v>4077</v>
      </c>
      <c r="U92" s="197" t="s">
        <v>3958</v>
      </c>
      <c r="V92" s="197" t="s">
        <v>3959</v>
      </c>
    </row>
    <row r="93" spans="1:22" s="197" customFormat="1" x14ac:dyDescent="0.2">
      <c r="A93" s="197" t="s">
        <v>4075</v>
      </c>
      <c r="B93" s="197" t="s">
        <v>217</v>
      </c>
      <c r="C93" s="197" t="s">
        <v>1401</v>
      </c>
      <c r="D93" s="197" t="s">
        <v>56</v>
      </c>
      <c r="E93" s="197" t="s">
        <v>218</v>
      </c>
      <c r="F93" s="197" t="s">
        <v>118</v>
      </c>
      <c r="G93" s="260">
        <v>5400.143</v>
      </c>
      <c r="H93" s="197">
        <v>5</v>
      </c>
      <c r="I93" s="197" t="s">
        <v>3968</v>
      </c>
      <c r="J93" s="197" t="s">
        <v>3969</v>
      </c>
      <c r="K93" s="197" t="s">
        <v>118</v>
      </c>
      <c r="L93" s="261">
        <v>1</v>
      </c>
      <c r="M93" s="263"/>
      <c r="N93" s="263">
        <f>SUM(N89:N92)</f>
        <v>15.898306000000002</v>
      </c>
      <c r="O93" s="199">
        <v>0.2223</v>
      </c>
      <c r="P93" s="261">
        <f>N93*O93</f>
        <v>3.5341934238000001</v>
      </c>
      <c r="Q93" s="261">
        <f>N93+P93</f>
        <v>19.432499423800003</v>
      </c>
      <c r="R93" s="198">
        <f>Q93*G93</f>
        <v>104938.27573593763</v>
      </c>
      <c r="S93" s="197" t="s">
        <v>4076</v>
      </c>
      <c r="T93" s="197" t="s">
        <v>4077</v>
      </c>
      <c r="U93" s="197" t="str">
        <f>IF(ABS(Q93-19.4325)&lt;=0.01,"FECHA COM PLANILHA","REVISAR")</f>
        <v>FECHA COM PLANILHA</v>
      </c>
      <c r="V93" s="197" t="s">
        <v>4078</v>
      </c>
    </row>
    <row r="94" spans="1:22" s="197" customFormat="1" x14ac:dyDescent="0.2">
      <c r="A94" s="197" t="s">
        <v>4079</v>
      </c>
      <c r="B94" s="197" t="s">
        <v>2126</v>
      </c>
      <c r="C94" s="197" t="s">
        <v>2127</v>
      </c>
      <c r="D94" s="197" t="s">
        <v>24</v>
      </c>
      <c r="E94" s="197" t="s">
        <v>2128</v>
      </c>
      <c r="F94" s="197" t="s">
        <v>84</v>
      </c>
      <c r="G94" s="260">
        <v>377</v>
      </c>
      <c r="H94" s="197">
        <v>1</v>
      </c>
      <c r="I94" s="197" t="s">
        <v>3954</v>
      </c>
      <c r="J94" s="197" t="s">
        <v>3972</v>
      </c>
      <c r="K94" s="197" t="s">
        <v>1283</v>
      </c>
      <c r="L94" s="261">
        <v>0.18</v>
      </c>
      <c r="M94" s="263">
        <v>225.362022</v>
      </c>
      <c r="N94" s="263">
        <f>L94*M94</f>
        <v>40.56516396</v>
      </c>
      <c r="O94" s="199"/>
      <c r="P94" s="261"/>
      <c r="Q94" s="261"/>
      <c r="R94" s="198"/>
      <c r="S94" s="197" t="s">
        <v>4080</v>
      </c>
      <c r="T94" s="197" t="s">
        <v>4081</v>
      </c>
      <c r="U94" s="197" t="s">
        <v>3958</v>
      </c>
      <c r="V94" s="197" t="s">
        <v>3959</v>
      </c>
    </row>
    <row r="95" spans="1:22" s="197" customFormat="1" x14ac:dyDescent="0.2">
      <c r="A95" s="197" t="s">
        <v>4079</v>
      </c>
      <c r="B95" s="197" t="s">
        <v>2126</v>
      </c>
      <c r="C95" s="197" t="s">
        <v>2127</v>
      </c>
      <c r="D95" s="197" t="s">
        <v>24</v>
      </c>
      <c r="E95" s="197" t="s">
        <v>2128</v>
      </c>
      <c r="F95" s="197" t="s">
        <v>84</v>
      </c>
      <c r="G95" s="260">
        <v>377</v>
      </c>
      <c r="H95" s="197">
        <v>2</v>
      </c>
      <c r="I95" s="197" t="s">
        <v>3960</v>
      </c>
      <c r="J95" s="197" t="s">
        <v>3975</v>
      </c>
      <c r="K95" s="197" t="s">
        <v>1283</v>
      </c>
      <c r="L95" s="261">
        <v>0.75</v>
      </c>
      <c r="M95" s="263">
        <v>225.362022</v>
      </c>
      <c r="N95" s="263">
        <f>L95*M95</f>
        <v>169.02151649999999</v>
      </c>
      <c r="O95" s="199"/>
      <c r="P95" s="261"/>
      <c r="Q95" s="261"/>
      <c r="R95" s="198"/>
      <c r="S95" s="197" t="s">
        <v>4080</v>
      </c>
      <c r="T95" s="197" t="s">
        <v>4081</v>
      </c>
      <c r="U95" s="197" t="s">
        <v>3958</v>
      </c>
      <c r="V95" s="197" t="s">
        <v>3959</v>
      </c>
    </row>
    <row r="96" spans="1:22" s="197" customFormat="1" x14ac:dyDescent="0.2">
      <c r="A96" s="197" t="s">
        <v>4079</v>
      </c>
      <c r="B96" s="197" t="s">
        <v>2126</v>
      </c>
      <c r="C96" s="197" t="s">
        <v>2127</v>
      </c>
      <c r="D96" s="197" t="s">
        <v>24</v>
      </c>
      <c r="E96" s="197" t="s">
        <v>2128</v>
      </c>
      <c r="F96" s="197" t="s">
        <v>84</v>
      </c>
      <c r="G96" s="260">
        <v>377</v>
      </c>
      <c r="H96" s="197">
        <v>3</v>
      </c>
      <c r="I96" s="197" t="s">
        <v>3976</v>
      </c>
      <c r="J96" s="197" t="s">
        <v>3977</v>
      </c>
      <c r="K96" s="197" t="s">
        <v>1283</v>
      </c>
      <c r="L96" s="261">
        <v>0.04</v>
      </c>
      <c r="M96" s="263">
        <v>225.362022</v>
      </c>
      <c r="N96" s="263">
        <f>L96*M96</f>
        <v>9.0144808800000007</v>
      </c>
      <c r="O96" s="199"/>
      <c r="P96" s="261"/>
      <c r="Q96" s="261"/>
      <c r="R96" s="198"/>
      <c r="S96" s="197" t="s">
        <v>4080</v>
      </c>
      <c r="T96" s="197" t="s">
        <v>4081</v>
      </c>
      <c r="U96" s="197" t="s">
        <v>3958</v>
      </c>
      <c r="V96" s="197" t="s">
        <v>3959</v>
      </c>
    </row>
    <row r="97" spans="1:22" s="197" customFormat="1" x14ac:dyDescent="0.2">
      <c r="A97" s="197" t="s">
        <v>4079</v>
      </c>
      <c r="B97" s="197" t="s">
        <v>2126</v>
      </c>
      <c r="C97" s="197" t="s">
        <v>2127</v>
      </c>
      <c r="D97" s="197" t="s">
        <v>24</v>
      </c>
      <c r="E97" s="197" t="s">
        <v>2128</v>
      </c>
      <c r="F97" s="197" t="s">
        <v>84</v>
      </c>
      <c r="G97" s="260">
        <v>377</v>
      </c>
      <c r="H97" s="197">
        <v>4</v>
      </c>
      <c r="I97" s="197" t="s">
        <v>3978</v>
      </c>
      <c r="J97" s="197" t="s">
        <v>3979</v>
      </c>
      <c r="K97" s="197" t="s">
        <v>1283</v>
      </c>
      <c r="L97" s="261">
        <v>0.03</v>
      </c>
      <c r="M97" s="263">
        <v>225.362022</v>
      </c>
      <c r="N97" s="263">
        <f>L97*M97</f>
        <v>6.7608606599999996</v>
      </c>
      <c r="O97" s="199"/>
      <c r="P97" s="261"/>
      <c r="Q97" s="261"/>
      <c r="R97" s="198"/>
      <c r="S97" s="197" t="s">
        <v>4080</v>
      </c>
      <c r="T97" s="197" t="s">
        <v>4081</v>
      </c>
      <c r="U97" s="197" t="s">
        <v>3958</v>
      </c>
      <c r="V97" s="197" t="s">
        <v>3959</v>
      </c>
    </row>
    <row r="98" spans="1:22" s="197" customFormat="1" x14ac:dyDescent="0.2">
      <c r="A98" s="197" t="s">
        <v>4079</v>
      </c>
      <c r="B98" s="197" t="s">
        <v>2126</v>
      </c>
      <c r="C98" s="197" t="s">
        <v>2127</v>
      </c>
      <c r="D98" s="197" t="s">
        <v>24</v>
      </c>
      <c r="E98" s="197" t="s">
        <v>2128</v>
      </c>
      <c r="F98" s="197" t="s">
        <v>84</v>
      </c>
      <c r="G98" s="260">
        <v>377</v>
      </c>
      <c r="H98" s="197">
        <v>5</v>
      </c>
      <c r="I98" s="197" t="s">
        <v>3968</v>
      </c>
      <c r="J98" s="197" t="s">
        <v>3969</v>
      </c>
      <c r="K98" s="197" t="s">
        <v>84</v>
      </c>
      <c r="L98" s="261">
        <v>1</v>
      </c>
      <c r="M98" s="263"/>
      <c r="N98" s="263">
        <f>SUM(N94:N97)</f>
        <v>225.362022</v>
      </c>
      <c r="O98" s="199">
        <v>0.2223</v>
      </c>
      <c r="P98" s="261">
        <f>N98*O98</f>
        <v>50.097977490600002</v>
      </c>
      <c r="Q98" s="261">
        <f>N98+P98</f>
        <v>275.45999949060001</v>
      </c>
      <c r="R98" s="198">
        <f>Q98*G98</f>
        <v>103848.4198079562</v>
      </c>
      <c r="S98" s="197" t="s">
        <v>4080</v>
      </c>
      <c r="T98" s="197" t="s">
        <v>4081</v>
      </c>
      <c r="U98" s="197" t="str">
        <f>IF(ABS(Q98-275.46)&lt;=0.01,"FECHA COM PLANILHA","REVISAR")</f>
        <v>FECHA COM PLANILHA</v>
      </c>
      <c r="V98" s="197" t="s">
        <v>4082</v>
      </c>
    </row>
    <row r="99" spans="1:22" s="197" customFormat="1" x14ac:dyDescent="0.2">
      <c r="A99" s="197" t="s">
        <v>4083</v>
      </c>
      <c r="B99" s="197" t="s">
        <v>517</v>
      </c>
      <c r="C99" s="197" t="s">
        <v>1544</v>
      </c>
      <c r="D99" s="197" t="s">
        <v>24</v>
      </c>
      <c r="E99" s="197" t="s">
        <v>519</v>
      </c>
      <c r="F99" s="197" t="s">
        <v>26</v>
      </c>
      <c r="G99" s="260">
        <v>115.76900000000001</v>
      </c>
      <c r="H99" s="197">
        <v>1</v>
      </c>
      <c r="I99" s="197" t="s">
        <v>3954</v>
      </c>
      <c r="J99" s="197" t="s">
        <v>4049</v>
      </c>
      <c r="K99" s="197" t="s">
        <v>1283</v>
      </c>
      <c r="L99" s="261">
        <v>0.24</v>
      </c>
      <c r="M99" s="263">
        <v>712.49693200000002</v>
      </c>
      <c r="N99" s="263">
        <f>L99*M99</f>
        <v>170.99926367999998</v>
      </c>
      <c r="O99" s="199"/>
      <c r="P99" s="261"/>
      <c r="Q99" s="261"/>
      <c r="R99" s="198"/>
      <c r="S99" s="197" t="s">
        <v>4084</v>
      </c>
      <c r="T99" s="197" t="s">
        <v>4085</v>
      </c>
      <c r="U99" s="197" t="s">
        <v>3958</v>
      </c>
      <c r="V99" s="197" t="s">
        <v>3959</v>
      </c>
    </row>
    <row r="100" spans="1:22" s="197" customFormat="1" x14ac:dyDescent="0.2">
      <c r="A100" s="197" t="s">
        <v>4083</v>
      </c>
      <c r="B100" s="197" t="s">
        <v>517</v>
      </c>
      <c r="C100" s="197" t="s">
        <v>1544</v>
      </c>
      <c r="D100" s="197" t="s">
        <v>24</v>
      </c>
      <c r="E100" s="197" t="s">
        <v>519</v>
      </c>
      <c r="F100" s="197" t="s">
        <v>26</v>
      </c>
      <c r="G100" s="260">
        <v>115.76900000000001</v>
      </c>
      <c r="H100" s="197">
        <v>2</v>
      </c>
      <c r="I100" s="197" t="s">
        <v>3960</v>
      </c>
      <c r="J100" s="197" t="s">
        <v>4052</v>
      </c>
      <c r="K100" s="197" t="s">
        <v>1283</v>
      </c>
      <c r="L100" s="261">
        <v>0.68</v>
      </c>
      <c r="M100" s="263">
        <v>712.49693200000002</v>
      </c>
      <c r="N100" s="263">
        <f>L100*M100</f>
        <v>484.49791376000002</v>
      </c>
      <c r="O100" s="199"/>
      <c r="P100" s="261"/>
      <c r="Q100" s="261"/>
      <c r="R100" s="198"/>
      <c r="S100" s="197" t="s">
        <v>4084</v>
      </c>
      <c r="T100" s="197" t="s">
        <v>4085</v>
      </c>
      <c r="U100" s="197" t="s">
        <v>3958</v>
      </c>
      <c r="V100" s="197" t="s">
        <v>3959</v>
      </c>
    </row>
    <row r="101" spans="1:22" s="197" customFormat="1" x14ac:dyDescent="0.2">
      <c r="A101" s="197" t="s">
        <v>4083</v>
      </c>
      <c r="B101" s="197" t="s">
        <v>517</v>
      </c>
      <c r="C101" s="197" t="s">
        <v>1544</v>
      </c>
      <c r="D101" s="197" t="s">
        <v>24</v>
      </c>
      <c r="E101" s="197" t="s">
        <v>519</v>
      </c>
      <c r="F101" s="197" t="s">
        <v>26</v>
      </c>
      <c r="G101" s="260">
        <v>115.76900000000001</v>
      </c>
      <c r="H101" s="197">
        <v>3</v>
      </c>
      <c r="I101" s="197" t="s">
        <v>3976</v>
      </c>
      <c r="J101" s="197" t="s">
        <v>4053</v>
      </c>
      <c r="K101" s="197" t="s">
        <v>1283</v>
      </c>
      <c r="L101" s="261">
        <v>0.04</v>
      </c>
      <c r="M101" s="263">
        <v>712.49693200000002</v>
      </c>
      <c r="N101" s="263">
        <f>L101*M101</f>
        <v>28.49987728</v>
      </c>
      <c r="O101" s="199"/>
      <c r="P101" s="261"/>
      <c r="Q101" s="261"/>
      <c r="R101" s="198"/>
      <c r="S101" s="197" t="s">
        <v>4084</v>
      </c>
      <c r="T101" s="197" t="s">
        <v>4085</v>
      </c>
      <c r="U101" s="197" t="s">
        <v>3958</v>
      </c>
      <c r="V101" s="197" t="s">
        <v>3959</v>
      </c>
    </row>
    <row r="102" spans="1:22" s="197" customFormat="1" x14ac:dyDescent="0.2">
      <c r="A102" s="197" t="s">
        <v>4083</v>
      </c>
      <c r="B102" s="197" t="s">
        <v>517</v>
      </c>
      <c r="C102" s="197" t="s">
        <v>1544</v>
      </c>
      <c r="D102" s="197" t="s">
        <v>24</v>
      </c>
      <c r="E102" s="197" t="s">
        <v>519</v>
      </c>
      <c r="F102" s="197" t="s">
        <v>26</v>
      </c>
      <c r="G102" s="260">
        <v>115.76900000000001</v>
      </c>
      <c r="H102" s="197">
        <v>4</v>
      </c>
      <c r="I102" s="197" t="s">
        <v>4054</v>
      </c>
      <c r="J102" s="197" t="s">
        <v>4055</v>
      </c>
      <c r="K102" s="197" t="s">
        <v>1283</v>
      </c>
      <c r="L102" s="261">
        <v>0.04</v>
      </c>
      <c r="M102" s="263">
        <v>712.49693200000002</v>
      </c>
      <c r="N102" s="263">
        <f>L102*M102</f>
        <v>28.49987728</v>
      </c>
      <c r="O102" s="199"/>
      <c r="P102" s="261"/>
      <c r="Q102" s="261"/>
      <c r="R102" s="198"/>
      <c r="S102" s="197" t="s">
        <v>4084</v>
      </c>
      <c r="T102" s="197" t="s">
        <v>4085</v>
      </c>
      <c r="U102" s="197" t="s">
        <v>3958</v>
      </c>
      <c r="V102" s="197" t="s">
        <v>3959</v>
      </c>
    </row>
    <row r="103" spans="1:22" s="197" customFormat="1" x14ac:dyDescent="0.2">
      <c r="A103" s="197" t="s">
        <v>4083</v>
      </c>
      <c r="B103" s="197" t="s">
        <v>517</v>
      </c>
      <c r="C103" s="197" t="s">
        <v>1544</v>
      </c>
      <c r="D103" s="197" t="s">
        <v>24</v>
      </c>
      <c r="E103" s="197" t="s">
        <v>519</v>
      </c>
      <c r="F103" s="197" t="s">
        <v>26</v>
      </c>
      <c r="G103" s="260">
        <v>115.76900000000001</v>
      </c>
      <c r="H103" s="197">
        <v>5</v>
      </c>
      <c r="I103" s="197" t="s">
        <v>3968</v>
      </c>
      <c r="J103" s="197" t="s">
        <v>3969</v>
      </c>
      <c r="K103" s="197" t="s">
        <v>26</v>
      </c>
      <c r="L103" s="261">
        <v>1</v>
      </c>
      <c r="M103" s="263"/>
      <c r="N103" s="263">
        <f>SUM(N99:N102)</f>
        <v>712.4969319999999</v>
      </c>
      <c r="O103" s="199">
        <v>0.2223</v>
      </c>
      <c r="P103" s="261">
        <f>N103*O103</f>
        <v>158.38806798359997</v>
      </c>
      <c r="Q103" s="261">
        <f>N103+P103</f>
        <v>870.88499998359987</v>
      </c>
      <c r="R103" s="198">
        <f>Q103*G103</f>
        <v>100821.48556310138</v>
      </c>
      <c r="S103" s="197" t="s">
        <v>4084</v>
      </c>
      <c r="T103" s="197" t="s">
        <v>4085</v>
      </c>
      <c r="U103" s="197" t="str">
        <f>IF(ABS(Q103-870.885)&lt;=0.01,"FECHA COM PLANILHA","REVISAR")</f>
        <v>FECHA COM PLANILHA</v>
      </c>
      <c r="V103" s="197" t="s">
        <v>4086</v>
      </c>
    </row>
    <row r="104" spans="1:22" s="197" customFormat="1" x14ac:dyDescent="0.2">
      <c r="A104" s="197" t="s">
        <v>4087</v>
      </c>
      <c r="B104" s="197" t="s">
        <v>1938</v>
      </c>
      <c r="C104" s="197" t="s">
        <v>1939</v>
      </c>
      <c r="D104" s="197" t="s">
        <v>56</v>
      </c>
      <c r="E104" s="197" t="s">
        <v>887</v>
      </c>
      <c r="F104" s="197" t="s">
        <v>84</v>
      </c>
      <c r="G104" s="260">
        <v>14</v>
      </c>
      <c r="H104" s="197">
        <v>1</v>
      </c>
      <c r="I104" s="197" t="s">
        <v>3954</v>
      </c>
      <c r="J104" s="197" t="s">
        <v>4088</v>
      </c>
      <c r="K104" s="197" t="s">
        <v>1283</v>
      </c>
      <c r="L104" s="261">
        <v>0.1</v>
      </c>
      <c r="M104" s="263">
        <v>5870.6782300000004</v>
      </c>
      <c r="N104" s="263">
        <f>L104*M104</f>
        <v>587.06782300000009</v>
      </c>
      <c r="O104" s="199"/>
      <c r="P104" s="261"/>
      <c r="Q104" s="261"/>
      <c r="R104" s="198"/>
      <c r="S104" s="197" t="s">
        <v>4089</v>
      </c>
      <c r="T104" s="197" t="s">
        <v>4090</v>
      </c>
      <c r="U104" s="197" t="s">
        <v>3958</v>
      </c>
      <c r="V104" s="197" t="s">
        <v>3959</v>
      </c>
    </row>
    <row r="105" spans="1:22" s="197" customFormat="1" x14ac:dyDescent="0.2">
      <c r="A105" s="197" t="s">
        <v>4087</v>
      </c>
      <c r="B105" s="197" t="s">
        <v>1938</v>
      </c>
      <c r="C105" s="197" t="s">
        <v>1939</v>
      </c>
      <c r="D105" s="197" t="s">
        <v>56</v>
      </c>
      <c r="E105" s="197" t="s">
        <v>887</v>
      </c>
      <c r="F105" s="197" t="s">
        <v>84</v>
      </c>
      <c r="G105" s="260">
        <v>14</v>
      </c>
      <c r="H105" s="197">
        <v>2</v>
      </c>
      <c r="I105" s="197" t="s">
        <v>4091</v>
      </c>
      <c r="J105" s="197" t="s">
        <v>4092</v>
      </c>
      <c r="K105" s="197" t="s">
        <v>1283</v>
      </c>
      <c r="L105" s="261">
        <v>0.84</v>
      </c>
      <c r="M105" s="263">
        <v>5870.6782300000004</v>
      </c>
      <c r="N105" s="263">
        <f>L105*M105</f>
        <v>4931.3697131999998</v>
      </c>
      <c r="O105" s="199"/>
      <c r="P105" s="261"/>
      <c r="Q105" s="261"/>
      <c r="R105" s="198"/>
      <c r="S105" s="197" t="s">
        <v>4089</v>
      </c>
      <c r="T105" s="197" t="s">
        <v>4090</v>
      </c>
      <c r="U105" s="197" t="s">
        <v>3958</v>
      </c>
      <c r="V105" s="197" t="s">
        <v>3959</v>
      </c>
    </row>
    <row r="106" spans="1:22" s="197" customFormat="1" x14ac:dyDescent="0.2">
      <c r="A106" s="197" t="s">
        <v>4087</v>
      </c>
      <c r="B106" s="197" t="s">
        <v>1938</v>
      </c>
      <c r="C106" s="197" t="s">
        <v>1939</v>
      </c>
      <c r="D106" s="197" t="s">
        <v>56</v>
      </c>
      <c r="E106" s="197" t="s">
        <v>887</v>
      </c>
      <c r="F106" s="197" t="s">
        <v>84</v>
      </c>
      <c r="G106" s="260">
        <v>14</v>
      </c>
      <c r="H106" s="197">
        <v>3</v>
      </c>
      <c r="I106" s="197" t="s">
        <v>4093</v>
      </c>
      <c r="J106" s="197" t="s">
        <v>4094</v>
      </c>
      <c r="K106" s="197" t="s">
        <v>1283</v>
      </c>
      <c r="L106" s="261">
        <v>0.03</v>
      </c>
      <c r="M106" s="263">
        <v>5870.6782300000004</v>
      </c>
      <c r="N106" s="263">
        <f>L106*M106</f>
        <v>176.12034690000002</v>
      </c>
      <c r="O106" s="199"/>
      <c r="P106" s="261"/>
      <c r="Q106" s="261"/>
      <c r="R106" s="198"/>
      <c r="S106" s="197" t="s">
        <v>4089</v>
      </c>
      <c r="T106" s="197" t="s">
        <v>4090</v>
      </c>
      <c r="U106" s="197" t="s">
        <v>3958</v>
      </c>
      <c r="V106" s="197" t="s">
        <v>3959</v>
      </c>
    </row>
    <row r="107" spans="1:22" s="197" customFormat="1" x14ac:dyDescent="0.2">
      <c r="A107" s="197" t="s">
        <v>4087</v>
      </c>
      <c r="B107" s="197" t="s">
        <v>1938</v>
      </c>
      <c r="C107" s="197" t="s">
        <v>1939</v>
      </c>
      <c r="D107" s="197" t="s">
        <v>56</v>
      </c>
      <c r="E107" s="197" t="s">
        <v>887</v>
      </c>
      <c r="F107" s="197" t="s">
        <v>84</v>
      </c>
      <c r="G107" s="260">
        <v>14</v>
      </c>
      <c r="H107" s="197">
        <v>4</v>
      </c>
      <c r="I107" s="197" t="s">
        <v>4017</v>
      </c>
      <c r="J107" s="197" t="s">
        <v>4095</v>
      </c>
      <c r="K107" s="197" t="s">
        <v>1283</v>
      </c>
      <c r="L107" s="261">
        <v>0.03</v>
      </c>
      <c r="M107" s="263">
        <v>5870.6782300000004</v>
      </c>
      <c r="N107" s="263">
        <f>L107*M107</f>
        <v>176.12034690000002</v>
      </c>
      <c r="O107" s="199"/>
      <c r="P107" s="261"/>
      <c r="Q107" s="261"/>
      <c r="R107" s="198"/>
      <c r="S107" s="197" t="s">
        <v>4089</v>
      </c>
      <c r="T107" s="197" t="s">
        <v>4090</v>
      </c>
      <c r="U107" s="197" t="s">
        <v>3958</v>
      </c>
      <c r="V107" s="197" t="s">
        <v>3959</v>
      </c>
    </row>
    <row r="108" spans="1:22" s="197" customFormat="1" x14ac:dyDescent="0.2">
      <c r="A108" s="197" t="s">
        <v>4087</v>
      </c>
      <c r="B108" s="197" t="s">
        <v>1938</v>
      </c>
      <c r="C108" s="197" t="s">
        <v>1939</v>
      </c>
      <c r="D108" s="197" t="s">
        <v>56</v>
      </c>
      <c r="E108" s="197" t="s">
        <v>887</v>
      </c>
      <c r="F108" s="197" t="s">
        <v>84</v>
      </c>
      <c r="G108" s="260">
        <v>14</v>
      </c>
      <c r="H108" s="197">
        <v>5</v>
      </c>
      <c r="I108" s="197" t="s">
        <v>3968</v>
      </c>
      <c r="J108" s="197" t="s">
        <v>3969</v>
      </c>
      <c r="K108" s="197" t="s">
        <v>84</v>
      </c>
      <c r="L108" s="261">
        <v>1</v>
      </c>
      <c r="M108" s="263"/>
      <c r="N108" s="263">
        <f>SUM(N104:N107)</f>
        <v>5870.6782300000004</v>
      </c>
      <c r="O108" s="199">
        <v>0.2223</v>
      </c>
      <c r="P108" s="261">
        <f>N108*O108</f>
        <v>1305.0517705290001</v>
      </c>
      <c r="Q108" s="261">
        <f>N108+P108</f>
        <v>7175.7300005290008</v>
      </c>
      <c r="R108" s="198">
        <f>Q108*G108</f>
        <v>100460.22000740601</v>
      </c>
      <c r="S108" s="197" t="s">
        <v>4089</v>
      </c>
      <c r="T108" s="197" t="s">
        <v>4090</v>
      </c>
      <c r="U108" s="197" t="str">
        <f>IF(ABS(Q108-7175.73)&lt;=0.01,"FECHA COM PLANILHA","REVISAR")</f>
        <v>FECHA COM PLANILHA</v>
      </c>
      <c r="V108" s="197" t="s">
        <v>4096</v>
      </c>
    </row>
    <row r="109" spans="1:22" s="197" customFormat="1" x14ac:dyDescent="0.2">
      <c r="A109" s="197" t="s">
        <v>4097</v>
      </c>
      <c r="B109" s="197" t="s">
        <v>315</v>
      </c>
      <c r="C109" s="197" t="s">
        <v>316</v>
      </c>
      <c r="D109" s="197" t="s">
        <v>317</v>
      </c>
      <c r="E109" s="197" t="s">
        <v>318</v>
      </c>
      <c r="F109" s="197" t="s">
        <v>26</v>
      </c>
      <c r="G109" s="260">
        <v>76.228999999999999</v>
      </c>
      <c r="H109" s="197">
        <v>1</v>
      </c>
      <c r="I109" s="197" t="s">
        <v>4066</v>
      </c>
      <c r="J109" s="197" t="s">
        <v>4067</v>
      </c>
      <c r="K109" s="197" t="s">
        <v>1283</v>
      </c>
      <c r="L109" s="261">
        <v>0.7</v>
      </c>
      <c r="M109" s="263">
        <v>1075.955166</v>
      </c>
      <c r="N109" s="263">
        <f>L109*M109</f>
        <v>753.16861619999997</v>
      </c>
      <c r="O109" s="199"/>
      <c r="P109" s="261"/>
      <c r="Q109" s="261"/>
      <c r="R109" s="198"/>
      <c r="S109" s="197" t="s">
        <v>4098</v>
      </c>
      <c r="T109" s="197" t="s">
        <v>4099</v>
      </c>
      <c r="U109" s="197" t="s">
        <v>3958</v>
      </c>
      <c r="V109" s="197" t="s">
        <v>3959</v>
      </c>
    </row>
    <row r="110" spans="1:22" s="197" customFormat="1" x14ac:dyDescent="0.2">
      <c r="A110" s="197" t="s">
        <v>4097</v>
      </c>
      <c r="B110" s="197" t="s">
        <v>315</v>
      </c>
      <c r="C110" s="197" t="s">
        <v>316</v>
      </c>
      <c r="D110" s="197" t="s">
        <v>317</v>
      </c>
      <c r="E110" s="197" t="s">
        <v>318</v>
      </c>
      <c r="F110" s="197" t="s">
        <v>26</v>
      </c>
      <c r="G110" s="260">
        <v>76.228999999999999</v>
      </c>
      <c r="H110" s="197">
        <v>2</v>
      </c>
      <c r="I110" s="197" t="s">
        <v>4070</v>
      </c>
      <c r="J110" s="197" t="s">
        <v>4071</v>
      </c>
      <c r="K110" s="197" t="s">
        <v>1283</v>
      </c>
      <c r="L110" s="261">
        <v>0.15</v>
      </c>
      <c r="M110" s="263">
        <v>1075.955166</v>
      </c>
      <c r="N110" s="263">
        <f>L110*M110</f>
        <v>161.39327489999999</v>
      </c>
      <c r="O110" s="199"/>
      <c r="P110" s="261"/>
      <c r="Q110" s="261"/>
      <c r="R110" s="198"/>
      <c r="S110" s="197" t="s">
        <v>4098</v>
      </c>
      <c r="T110" s="197" t="s">
        <v>4099</v>
      </c>
      <c r="U110" s="197" t="s">
        <v>3958</v>
      </c>
      <c r="V110" s="197" t="s">
        <v>3959</v>
      </c>
    </row>
    <row r="111" spans="1:22" s="197" customFormat="1" x14ac:dyDescent="0.2">
      <c r="A111" s="197" t="s">
        <v>4097</v>
      </c>
      <c r="B111" s="197" t="s">
        <v>315</v>
      </c>
      <c r="C111" s="197" t="s">
        <v>316</v>
      </c>
      <c r="D111" s="197" t="s">
        <v>317</v>
      </c>
      <c r="E111" s="197" t="s">
        <v>318</v>
      </c>
      <c r="F111" s="197" t="s">
        <v>26</v>
      </c>
      <c r="G111" s="260">
        <v>76.228999999999999</v>
      </c>
      <c r="H111" s="197">
        <v>3</v>
      </c>
      <c r="I111" s="197" t="s">
        <v>4072</v>
      </c>
      <c r="J111" s="197" t="s">
        <v>4073</v>
      </c>
      <c r="K111" s="197" t="s">
        <v>1283</v>
      </c>
      <c r="L111" s="261">
        <v>0.15</v>
      </c>
      <c r="M111" s="263">
        <v>1075.955166</v>
      </c>
      <c r="N111" s="263">
        <f>L111*M111</f>
        <v>161.39327489999999</v>
      </c>
      <c r="O111" s="199"/>
      <c r="P111" s="261"/>
      <c r="Q111" s="261"/>
      <c r="R111" s="198"/>
      <c r="S111" s="197" t="s">
        <v>4098</v>
      </c>
      <c r="T111" s="197" t="s">
        <v>4099</v>
      </c>
      <c r="U111" s="197" t="s">
        <v>3958</v>
      </c>
      <c r="V111" s="197" t="s">
        <v>3959</v>
      </c>
    </row>
    <row r="112" spans="1:22" s="197" customFormat="1" x14ac:dyDescent="0.2">
      <c r="A112" s="197" t="s">
        <v>4097</v>
      </c>
      <c r="B112" s="197" t="s">
        <v>315</v>
      </c>
      <c r="C112" s="197" t="s">
        <v>316</v>
      </c>
      <c r="D112" s="197" t="s">
        <v>317</v>
      </c>
      <c r="E112" s="197" t="s">
        <v>318</v>
      </c>
      <c r="F112" s="197" t="s">
        <v>26</v>
      </c>
      <c r="G112" s="260">
        <v>76.228999999999999</v>
      </c>
      <c r="H112" s="197">
        <v>4</v>
      </c>
      <c r="I112" s="197" t="s">
        <v>3968</v>
      </c>
      <c r="J112" s="197" t="s">
        <v>3969</v>
      </c>
      <c r="K112" s="197" t="s">
        <v>26</v>
      </c>
      <c r="L112" s="261">
        <v>1</v>
      </c>
      <c r="M112" s="263"/>
      <c r="N112" s="263">
        <f>SUM(N109:N111)</f>
        <v>1075.955166</v>
      </c>
      <c r="O112" s="199">
        <v>0.2223</v>
      </c>
      <c r="P112" s="261">
        <f>N112*O112</f>
        <v>239.18483340179998</v>
      </c>
      <c r="Q112" s="261">
        <f>N112+P112</f>
        <v>1315.1399994018</v>
      </c>
      <c r="R112" s="198">
        <f>Q112*G112</f>
        <v>100251.8070143998</v>
      </c>
      <c r="S112" s="197" t="s">
        <v>4098</v>
      </c>
      <c r="T112" s="197" t="s">
        <v>4099</v>
      </c>
      <c r="U112" s="197" t="str">
        <f>IF(ABS(Q112-1315.14)&lt;=0.01,"FECHA COM PLANILHA","REVISAR")</f>
        <v>FECHA COM PLANILHA</v>
      </c>
      <c r="V112" s="197" t="s">
        <v>4100</v>
      </c>
    </row>
    <row r="113" spans="1:22" s="197" customFormat="1" x14ac:dyDescent="0.2">
      <c r="A113" s="197" t="s">
        <v>4101</v>
      </c>
      <c r="B113" s="197" t="s">
        <v>1936</v>
      </c>
      <c r="C113" s="197" t="s">
        <v>1937</v>
      </c>
      <c r="D113" s="197" t="s">
        <v>56</v>
      </c>
      <c r="E113" s="197" t="s">
        <v>885</v>
      </c>
      <c r="F113" s="197" t="s">
        <v>84</v>
      </c>
      <c r="G113" s="260">
        <v>17</v>
      </c>
      <c r="H113" s="197">
        <v>1</v>
      </c>
      <c r="I113" s="197" t="s">
        <v>3954</v>
      </c>
      <c r="J113" s="197" t="s">
        <v>4088</v>
      </c>
      <c r="K113" s="197" t="s">
        <v>1283</v>
      </c>
      <c r="L113" s="261">
        <v>0.1</v>
      </c>
      <c r="M113" s="263">
        <v>4779.8433279999999</v>
      </c>
      <c r="N113" s="263">
        <f>L113*M113</f>
        <v>477.9843328</v>
      </c>
      <c r="O113" s="199"/>
      <c r="P113" s="261"/>
      <c r="Q113" s="261"/>
      <c r="R113" s="198"/>
      <c r="S113" s="197" t="s">
        <v>4102</v>
      </c>
      <c r="T113" s="197" t="s">
        <v>4103</v>
      </c>
      <c r="U113" s="197" t="s">
        <v>3958</v>
      </c>
      <c r="V113" s="197" t="s">
        <v>3959</v>
      </c>
    </row>
    <row r="114" spans="1:22" s="197" customFormat="1" x14ac:dyDescent="0.2">
      <c r="A114" s="197" t="s">
        <v>4101</v>
      </c>
      <c r="B114" s="197" t="s">
        <v>1936</v>
      </c>
      <c r="C114" s="197" t="s">
        <v>1937</v>
      </c>
      <c r="D114" s="197" t="s">
        <v>56</v>
      </c>
      <c r="E114" s="197" t="s">
        <v>885</v>
      </c>
      <c r="F114" s="197" t="s">
        <v>84</v>
      </c>
      <c r="G114" s="260">
        <v>17</v>
      </c>
      <c r="H114" s="197">
        <v>2</v>
      </c>
      <c r="I114" s="197" t="s">
        <v>4091</v>
      </c>
      <c r="J114" s="197" t="s">
        <v>4092</v>
      </c>
      <c r="K114" s="197" t="s">
        <v>1283</v>
      </c>
      <c r="L114" s="261">
        <v>0.84</v>
      </c>
      <c r="M114" s="263">
        <v>4779.8433279999999</v>
      </c>
      <c r="N114" s="263">
        <f>L114*M114</f>
        <v>4015.0683955199997</v>
      </c>
      <c r="O114" s="199"/>
      <c r="P114" s="261"/>
      <c r="Q114" s="261"/>
      <c r="R114" s="198"/>
      <c r="S114" s="197" t="s">
        <v>4102</v>
      </c>
      <c r="T114" s="197" t="s">
        <v>4103</v>
      </c>
      <c r="U114" s="197" t="s">
        <v>3958</v>
      </c>
      <c r="V114" s="197" t="s">
        <v>3959</v>
      </c>
    </row>
    <row r="115" spans="1:22" s="197" customFormat="1" x14ac:dyDescent="0.2">
      <c r="A115" s="197" t="s">
        <v>4101</v>
      </c>
      <c r="B115" s="197" t="s">
        <v>1936</v>
      </c>
      <c r="C115" s="197" t="s">
        <v>1937</v>
      </c>
      <c r="D115" s="197" t="s">
        <v>56</v>
      </c>
      <c r="E115" s="197" t="s">
        <v>885</v>
      </c>
      <c r="F115" s="197" t="s">
        <v>84</v>
      </c>
      <c r="G115" s="260">
        <v>17</v>
      </c>
      <c r="H115" s="197">
        <v>3</v>
      </c>
      <c r="I115" s="197" t="s">
        <v>4093</v>
      </c>
      <c r="J115" s="197" t="s">
        <v>4094</v>
      </c>
      <c r="K115" s="197" t="s">
        <v>1283</v>
      </c>
      <c r="L115" s="261">
        <v>0.03</v>
      </c>
      <c r="M115" s="263">
        <v>4779.8433279999999</v>
      </c>
      <c r="N115" s="263">
        <f>L115*M115</f>
        <v>143.39529983999998</v>
      </c>
      <c r="O115" s="199"/>
      <c r="P115" s="261"/>
      <c r="Q115" s="261"/>
      <c r="R115" s="198"/>
      <c r="S115" s="197" t="s">
        <v>4102</v>
      </c>
      <c r="T115" s="197" t="s">
        <v>4103</v>
      </c>
      <c r="U115" s="197" t="s">
        <v>3958</v>
      </c>
      <c r="V115" s="197" t="s">
        <v>3959</v>
      </c>
    </row>
    <row r="116" spans="1:22" s="197" customFormat="1" x14ac:dyDescent="0.2">
      <c r="A116" s="197" t="s">
        <v>4101</v>
      </c>
      <c r="B116" s="197" t="s">
        <v>1936</v>
      </c>
      <c r="C116" s="197" t="s">
        <v>1937</v>
      </c>
      <c r="D116" s="197" t="s">
        <v>56</v>
      </c>
      <c r="E116" s="197" t="s">
        <v>885</v>
      </c>
      <c r="F116" s="197" t="s">
        <v>84</v>
      </c>
      <c r="G116" s="260">
        <v>17</v>
      </c>
      <c r="H116" s="197">
        <v>4</v>
      </c>
      <c r="I116" s="197" t="s">
        <v>4017</v>
      </c>
      <c r="J116" s="197" t="s">
        <v>4095</v>
      </c>
      <c r="K116" s="197" t="s">
        <v>1283</v>
      </c>
      <c r="L116" s="261">
        <v>0.03</v>
      </c>
      <c r="M116" s="263">
        <v>4779.8433279999999</v>
      </c>
      <c r="N116" s="263">
        <f>L116*M116</f>
        <v>143.39529983999998</v>
      </c>
      <c r="O116" s="199"/>
      <c r="P116" s="261"/>
      <c r="Q116" s="261"/>
      <c r="R116" s="198"/>
      <c r="S116" s="197" t="s">
        <v>4102</v>
      </c>
      <c r="T116" s="197" t="s">
        <v>4103</v>
      </c>
      <c r="U116" s="197" t="s">
        <v>3958</v>
      </c>
      <c r="V116" s="197" t="s">
        <v>3959</v>
      </c>
    </row>
    <row r="117" spans="1:22" s="197" customFormat="1" x14ac:dyDescent="0.2">
      <c r="A117" s="197" t="s">
        <v>4101</v>
      </c>
      <c r="B117" s="197" t="s">
        <v>1936</v>
      </c>
      <c r="C117" s="197" t="s">
        <v>1937</v>
      </c>
      <c r="D117" s="197" t="s">
        <v>56</v>
      </c>
      <c r="E117" s="197" t="s">
        <v>885</v>
      </c>
      <c r="F117" s="197" t="s">
        <v>84</v>
      </c>
      <c r="G117" s="260">
        <v>17</v>
      </c>
      <c r="H117" s="197">
        <v>5</v>
      </c>
      <c r="I117" s="197" t="s">
        <v>3968</v>
      </c>
      <c r="J117" s="197" t="s">
        <v>3969</v>
      </c>
      <c r="K117" s="197" t="s">
        <v>84</v>
      </c>
      <c r="L117" s="261">
        <v>1</v>
      </c>
      <c r="M117" s="263"/>
      <c r="N117" s="263">
        <f>SUM(N113:N116)</f>
        <v>4779.8433279999999</v>
      </c>
      <c r="O117" s="199">
        <v>0.2223</v>
      </c>
      <c r="P117" s="261">
        <f>N117*O117</f>
        <v>1062.5591718143999</v>
      </c>
      <c r="Q117" s="261">
        <f>N117+P117</f>
        <v>5842.4024998143996</v>
      </c>
      <c r="R117" s="198">
        <f>Q117*G117</f>
        <v>99320.842496844794</v>
      </c>
      <c r="S117" s="197" t="s">
        <v>4102</v>
      </c>
      <c r="T117" s="197" t="s">
        <v>4103</v>
      </c>
      <c r="U117" s="197" t="str">
        <f>IF(ABS(Q117-5842.4025)&lt;=0.01,"FECHA COM PLANILHA","REVISAR")</f>
        <v>FECHA COM PLANILHA</v>
      </c>
      <c r="V117" s="197" t="s">
        <v>4104</v>
      </c>
    </row>
    <row r="118" spans="1:22" s="197" customFormat="1" x14ac:dyDescent="0.2">
      <c r="A118" s="197" t="s">
        <v>4105</v>
      </c>
      <c r="B118" s="197" t="s">
        <v>1416</v>
      </c>
      <c r="C118" s="197" t="s">
        <v>236</v>
      </c>
      <c r="D118" s="197" t="s">
        <v>209</v>
      </c>
      <c r="E118" s="197" t="s">
        <v>271</v>
      </c>
      <c r="F118" s="197" t="s">
        <v>118</v>
      </c>
      <c r="G118" s="260">
        <v>147.48699999999999</v>
      </c>
      <c r="H118" s="197">
        <v>1</v>
      </c>
      <c r="I118" s="197" t="s">
        <v>3954</v>
      </c>
      <c r="J118" s="197" t="s">
        <v>3982</v>
      </c>
      <c r="K118" s="197" t="s">
        <v>1283</v>
      </c>
      <c r="L118" s="261">
        <v>0.16</v>
      </c>
      <c r="M118" s="263">
        <v>521.81542999999999</v>
      </c>
      <c r="N118" s="263">
        <f>L118*M118</f>
        <v>83.490468800000002</v>
      </c>
      <c r="O118" s="199"/>
      <c r="P118" s="261"/>
      <c r="Q118" s="261"/>
      <c r="R118" s="198"/>
      <c r="S118" s="197" t="s">
        <v>4106</v>
      </c>
      <c r="T118" s="197" t="s">
        <v>4107</v>
      </c>
      <c r="U118" s="197" t="s">
        <v>3958</v>
      </c>
      <c r="V118" s="197" t="s">
        <v>3959</v>
      </c>
    </row>
    <row r="119" spans="1:22" s="197" customFormat="1" x14ac:dyDescent="0.2">
      <c r="A119" s="197" t="s">
        <v>4105</v>
      </c>
      <c r="B119" s="197" t="s">
        <v>1416</v>
      </c>
      <c r="C119" s="197" t="s">
        <v>236</v>
      </c>
      <c r="D119" s="197" t="s">
        <v>209</v>
      </c>
      <c r="E119" s="197" t="s">
        <v>271</v>
      </c>
      <c r="F119" s="197" t="s">
        <v>118</v>
      </c>
      <c r="G119" s="260">
        <v>147.48699999999999</v>
      </c>
      <c r="H119" s="197">
        <v>2</v>
      </c>
      <c r="I119" s="197" t="s">
        <v>3960</v>
      </c>
      <c r="J119" s="197" t="s">
        <v>3985</v>
      </c>
      <c r="K119" s="197" t="s">
        <v>1283</v>
      </c>
      <c r="L119" s="261">
        <v>0.64</v>
      </c>
      <c r="M119" s="263">
        <v>521.81542999999999</v>
      </c>
      <c r="N119" s="263">
        <f>L119*M119</f>
        <v>333.96187520000001</v>
      </c>
      <c r="O119" s="199"/>
      <c r="P119" s="261"/>
      <c r="Q119" s="261"/>
      <c r="R119" s="198"/>
      <c r="S119" s="197" t="s">
        <v>4106</v>
      </c>
      <c r="T119" s="197" t="s">
        <v>4107</v>
      </c>
      <c r="U119" s="197" t="s">
        <v>3958</v>
      </c>
      <c r="V119" s="197" t="s">
        <v>3959</v>
      </c>
    </row>
    <row r="120" spans="1:22" s="197" customFormat="1" x14ac:dyDescent="0.2">
      <c r="A120" s="197" t="s">
        <v>4105</v>
      </c>
      <c r="B120" s="197" t="s">
        <v>1416</v>
      </c>
      <c r="C120" s="197" t="s">
        <v>236</v>
      </c>
      <c r="D120" s="197" t="s">
        <v>209</v>
      </c>
      <c r="E120" s="197" t="s">
        <v>271</v>
      </c>
      <c r="F120" s="197" t="s">
        <v>118</v>
      </c>
      <c r="G120" s="260">
        <v>147.48699999999999</v>
      </c>
      <c r="H120" s="197">
        <v>3</v>
      </c>
      <c r="I120" s="197" t="s">
        <v>3962</v>
      </c>
      <c r="J120" s="197" t="s">
        <v>3986</v>
      </c>
      <c r="K120" s="197" t="s">
        <v>1283</v>
      </c>
      <c r="L120" s="261">
        <v>0.15</v>
      </c>
      <c r="M120" s="263">
        <v>521.81542999999999</v>
      </c>
      <c r="N120" s="263">
        <f>L120*M120</f>
        <v>78.272314499999993</v>
      </c>
      <c r="O120" s="199"/>
      <c r="P120" s="261"/>
      <c r="Q120" s="261"/>
      <c r="R120" s="198"/>
      <c r="S120" s="197" t="s">
        <v>4106</v>
      </c>
      <c r="T120" s="197" t="s">
        <v>4107</v>
      </c>
      <c r="U120" s="197" t="s">
        <v>3958</v>
      </c>
      <c r="V120" s="197" t="s">
        <v>3959</v>
      </c>
    </row>
    <row r="121" spans="1:22" s="197" customFormat="1" x14ac:dyDescent="0.2">
      <c r="A121" s="197" t="s">
        <v>4105</v>
      </c>
      <c r="B121" s="197" t="s">
        <v>1416</v>
      </c>
      <c r="C121" s="197" t="s">
        <v>236</v>
      </c>
      <c r="D121" s="197" t="s">
        <v>209</v>
      </c>
      <c r="E121" s="197" t="s">
        <v>271</v>
      </c>
      <c r="F121" s="197" t="s">
        <v>118</v>
      </c>
      <c r="G121" s="260">
        <v>147.48699999999999</v>
      </c>
      <c r="H121" s="197">
        <v>4</v>
      </c>
      <c r="I121" s="197" t="s">
        <v>3987</v>
      </c>
      <c r="J121" s="197" t="s">
        <v>3988</v>
      </c>
      <c r="K121" s="197" t="s">
        <v>1283</v>
      </c>
      <c r="L121" s="261">
        <v>0.05</v>
      </c>
      <c r="M121" s="263">
        <v>521.81542999999999</v>
      </c>
      <c r="N121" s="263">
        <f>L121*M121</f>
        <v>26.090771500000002</v>
      </c>
      <c r="O121" s="199"/>
      <c r="P121" s="261"/>
      <c r="Q121" s="261"/>
      <c r="R121" s="198"/>
      <c r="S121" s="197" t="s">
        <v>4106</v>
      </c>
      <c r="T121" s="197" t="s">
        <v>4107</v>
      </c>
      <c r="U121" s="197" t="s">
        <v>3958</v>
      </c>
      <c r="V121" s="197" t="s">
        <v>3959</v>
      </c>
    </row>
    <row r="122" spans="1:22" s="197" customFormat="1" x14ac:dyDescent="0.2">
      <c r="A122" s="197" t="s">
        <v>4105</v>
      </c>
      <c r="B122" s="197" t="s">
        <v>1416</v>
      </c>
      <c r="C122" s="197" t="s">
        <v>236</v>
      </c>
      <c r="D122" s="197" t="s">
        <v>209</v>
      </c>
      <c r="E122" s="197" t="s">
        <v>271</v>
      </c>
      <c r="F122" s="197" t="s">
        <v>118</v>
      </c>
      <c r="G122" s="260">
        <v>147.48699999999999</v>
      </c>
      <c r="H122" s="197">
        <v>5</v>
      </c>
      <c r="I122" s="197" t="s">
        <v>3968</v>
      </c>
      <c r="J122" s="197" t="s">
        <v>3969</v>
      </c>
      <c r="K122" s="197" t="s">
        <v>118</v>
      </c>
      <c r="L122" s="261">
        <v>1</v>
      </c>
      <c r="M122" s="263"/>
      <c r="N122" s="263">
        <f>SUM(N118:N121)</f>
        <v>521.81542999999999</v>
      </c>
      <c r="O122" s="199">
        <v>0.2223</v>
      </c>
      <c r="P122" s="261">
        <f>N122*O122</f>
        <v>115.999570089</v>
      </c>
      <c r="Q122" s="261">
        <f>N122+P122</f>
        <v>637.81500008900002</v>
      </c>
      <c r="R122" s="198">
        <f>Q122*G122</f>
        <v>94069.420918126343</v>
      </c>
      <c r="S122" s="197" t="s">
        <v>4106</v>
      </c>
      <c r="T122" s="197" t="s">
        <v>4107</v>
      </c>
      <c r="U122" s="197" t="str">
        <f>IF(ABS(Q122-637.815)&lt;=0.01,"FECHA COM PLANILHA","REVISAR")</f>
        <v>FECHA COM PLANILHA</v>
      </c>
      <c r="V122" s="197" t="s">
        <v>4108</v>
      </c>
    </row>
    <row r="123" spans="1:22" s="197" customFormat="1" x14ac:dyDescent="0.2">
      <c r="A123" s="197" t="s">
        <v>4109</v>
      </c>
      <c r="B123" s="197" t="s">
        <v>2206</v>
      </c>
      <c r="C123" s="197" t="s">
        <v>2207</v>
      </c>
      <c r="D123" s="197" t="s">
        <v>56</v>
      </c>
      <c r="E123" s="197" t="s">
        <v>2208</v>
      </c>
      <c r="F123" s="197" t="s">
        <v>26</v>
      </c>
      <c r="G123" s="260">
        <v>359.84500000000003</v>
      </c>
      <c r="H123" s="197">
        <v>1</v>
      </c>
      <c r="I123" s="197" t="s">
        <v>3954</v>
      </c>
      <c r="J123" s="197" t="s">
        <v>4110</v>
      </c>
      <c r="K123" s="197" t="s">
        <v>1283</v>
      </c>
      <c r="L123" s="261">
        <v>0.3</v>
      </c>
      <c r="M123" s="263">
        <v>212.54397399999999</v>
      </c>
      <c r="N123" s="263">
        <f>L123*M123</f>
        <v>63.763192199999992</v>
      </c>
      <c r="O123" s="199"/>
      <c r="P123" s="261"/>
      <c r="Q123" s="261"/>
      <c r="R123" s="198"/>
      <c r="S123" s="197" t="s">
        <v>4111</v>
      </c>
      <c r="T123" s="197" t="s">
        <v>4112</v>
      </c>
      <c r="U123" s="197" t="s">
        <v>3958</v>
      </c>
      <c r="V123" s="197" t="s">
        <v>3959</v>
      </c>
    </row>
    <row r="124" spans="1:22" s="197" customFormat="1" x14ac:dyDescent="0.2">
      <c r="A124" s="197" t="s">
        <v>4109</v>
      </c>
      <c r="B124" s="197" t="s">
        <v>2206</v>
      </c>
      <c r="C124" s="197" t="s">
        <v>2207</v>
      </c>
      <c r="D124" s="197" t="s">
        <v>56</v>
      </c>
      <c r="E124" s="197" t="s">
        <v>2208</v>
      </c>
      <c r="F124" s="197" t="s">
        <v>26</v>
      </c>
      <c r="G124" s="260">
        <v>359.84500000000003</v>
      </c>
      <c r="H124" s="197">
        <v>2</v>
      </c>
      <c r="I124" s="197" t="s">
        <v>3960</v>
      </c>
      <c r="J124" s="197" t="s">
        <v>4113</v>
      </c>
      <c r="K124" s="197" t="s">
        <v>1283</v>
      </c>
      <c r="L124" s="261">
        <v>0.55000000000000004</v>
      </c>
      <c r="M124" s="263">
        <v>212.54397399999999</v>
      </c>
      <c r="N124" s="263">
        <f>L124*M124</f>
        <v>116.8991857</v>
      </c>
      <c r="O124" s="199"/>
      <c r="P124" s="261"/>
      <c r="Q124" s="261"/>
      <c r="R124" s="198"/>
      <c r="S124" s="197" t="s">
        <v>4111</v>
      </c>
      <c r="T124" s="197" t="s">
        <v>4112</v>
      </c>
      <c r="U124" s="197" t="s">
        <v>3958</v>
      </c>
      <c r="V124" s="197" t="s">
        <v>3959</v>
      </c>
    </row>
    <row r="125" spans="1:22" s="197" customFormat="1" x14ac:dyDescent="0.2">
      <c r="A125" s="197" t="s">
        <v>4109</v>
      </c>
      <c r="B125" s="197" t="s">
        <v>2206</v>
      </c>
      <c r="C125" s="197" t="s">
        <v>2207</v>
      </c>
      <c r="D125" s="197" t="s">
        <v>56</v>
      </c>
      <c r="E125" s="197" t="s">
        <v>2208</v>
      </c>
      <c r="F125" s="197" t="s">
        <v>26</v>
      </c>
      <c r="G125" s="260">
        <v>359.84500000000003</v>
      </c>
      <c r="H125" s="197">
        <v>3</v>
      </c>
      <c r="I125" s="197" t="s">
        <v>3976</v>
      </c>
      <c r="J125" s="197" t="s">
        <v>4114</v>
      </c>
      <c r="K125" s="197" t="s">
        <v>1283</v>
      </c>
      <c r="L125" s="261">
        <v>0.1</v>
      </c>
      <c r="M125" s="263">
        <v>212.54397399999999</v>
      </c>
      <c r="N125" s="263">
        <f>L125*M125</f>
        <v>21.254397400000002</v>
      </c>
      <c r="O125" s="199"/>
      <c r="P125" s="261"/>
      <c r="Q125" s="261"/>
      <c r="R125" s="198"/>
      <c r="S125" s="197" t="s">
        <v>4111</v>
      </c>
      <c r="T125" s="197" t="s">
        <v>4112</v>
      </c>
      <c r="U125" s="197" t="s">
        <v>3958</v>
      </c>
      <c r="V125" s="197" t="s">
        <v>3959</v>
      </c>
    </row>
    <row r="126" spans="1:22" s="197" customFormat="1" x14ac:dyDescent="0.2">
      <c r="A126" s="197" t="s">
        <v>4109</v>
      </c>
      <c r="B126" s="197" t="s">
        <v>2206</v>
      </c>
      <c r="C126" s="197" t="s">
        <v>2207</v>
      </c>
      <c r="D126" s="197" t="s">
        <v>56</v>
      </c>
      <c r="E126" s="197" t="s">
        <v>2208</v>
      </c>
      <c r="F126" s="197" t="s">
        <v>26</v>
      </c>
      <c r="G126" s="260">
        <v>359.84500000000003</v>
      </c>
      <c r="H126" s="197">
        <v>4</v>
      </c>
      <c r="I126" s="197" t="s">
        <v>4017</v>
      </c>
      <c r="J126" s="197" t="s">
        <v>4115</v>
      </c>
      <c r="K126" s="197" t="s">
        <v>1283</v>
      </c>
      <c r="L126" s="261">
        <v>0.05</v>
      </c>
      <c r="M126" s="263">
        <v>212.54397399999999</v>
      </c>
      <c r="N126" s="263">
        <f>L126*M126</f>
        <v>10.627198700000001</v>
      </c>
      <c r="O126" s="199"/>
      <c r="P126" s="261"/>
      <c r="Q126" s="261"/>
      <c r="R126" s="198"/>
      <c r="S126" s="197" t="s">
        <v>4111</v>
      </c>
      <c r="T126" s="197" t="s">
        <v>4112</v>
      </c>
      <c r="U126" s="197" t="s">
        <v>3958</v>
      </c>
      <c r="V126" s="197" t="s">
        <v>3959</v>
      </c>
    </row>
    <row r="127" spans="1:22" s="197" customFormat="1" x14ac:dyDescent="0.2">
      <c r="A127" s="197" t="s">
        <v>4109</v>
      </c>
      <c r="B127" s="197" t="s">
        <v>2206</v>
      </c>
      <c r="C127" s="197" t="s">
        <v>2207</v>
      </c>
      <c r="D127" s="197" t="s">
        <v>56</v>
      </c>
      <c r="E127" s="197" t="s">
        <v>2208</v>
      </c>
      <c r="F127" s="197" t="s">
        <v>26</v>
      </c>
      <c r="G127" s="260">
        <v>359.84500000000003</v>
      </c>
      <c r="H127" s="197">
        <v>5</v>
      </c>
      <c r="I127" s="197" t="s">
        <v>3968</v>
      </c>
      <c r="J127" s="197" t="s">
        <v>3969</v>
      </c>
      <c r="K127" s="197" t="s">
        <v>26</v>
      </c>
      <c r="L127" s="261">
        <v>1</v>
      </c>
      <c r="M127" s="263"/>
      <c r="N127" s="263">
        <f>SUM(N123:N126)</f>
        <v>212.54397399999999</v>
      </c>
      <c r="O127" s="199">
        <v>0.2223</v>
      </c>
      <c r="P127" s="261">
        <f>N127*O127</f>
        <v>47.248525420199996</v>
      </c>
      <c r="Q127" s="261">
        <f>N127+P127</f>
        <v>259.79249942019999</v>
      </c>
      <c r="R127" s="198">
        <f>Q127*G127</f>
        <v>93485.031953861879</v>
      </c>
      <c r="S127" s="197" t="s">
        <v>4111</v>
      </c>
      <c r="T127" s="197" t="s">
        <v>4112</v>
      </c>
      <c r="U127" s="197" t="str">
        <f>IF(ABS(Q127-259.7925)&lt;=0.01,"FECHA COM PLANILHA","REVISAR")</f>
        <v>FECHA COM PLANILHA</v>
      </c>
      <c r="V127" s="197" t="s">
        <v>4116</v>
      </c>
    </row>
    <row r="128" spans="1:22" s="197" customFormat="1" x14ac:dyDescent="0.2">
      <c r="A128" s="197" t="s">
        <v>4117</v>
      </c>
      <c r="B128" s="197" t="s">
        <v>1408</v>
      </c>
      <c r="C128" s="197" t="s">
        <v>1409</v>
      </c>
      <c r="D128" s="197" t="s">
        <v>56</v>
      </c>
      <c r="E128" s="197" t="s">
        <v>232</v>
      </c>
      <c r="F128" s="197" t="s">
        <v>180</v>
      </c>
      <c r="G128" s="260">
        <v>7341.5159999999996</v>
      </c>
      <c r="H128" s="197">
        <v>1</v>
      </c>
      <c r="I128" s="197" t="s">
        <v>3954</v>
      </c>
      <c r="J128" s="197" t="s">
        <v>3982</v>
      </c>
      <c r="K128" s="197" t="s">
        <v>1283</v>
      </c>
      <c r="L128" s="261">
        <v>0.16</v>
      </c>
      <c r="M128" s="263">
        <v>10.075267999999999</v>
      </c>
      <c r="N128" s="263">
        <f>L128*M128</f>
        <v>1.61204288</v>
      </c>
      <c r="O128" s="199"/>
      <c r="P128" s="261"/>
      <c r="Q128" s="261"/>
      <c r="R128" s="198"/>
      <c r="S128" s="197" t="s">
        <v>4118</v>
      </c>
      <c r="T128" s="197" t="s">
        <v>4119</v>
      </c>
      <c r="U128" s="197" t="s">
        <v>3958</v>
      </c>
      <c r="V128" s="197" t="s">
        <v>3959</v>
      </c>
    </row>
    <row r="129" spans="1:22" s="197" customFormat="1" x14ac:dyDescent="0.2">
      <c r="A129" s="197" t="s">
        <v>4117</v>
      </c>
      <c r="B129" s="197" t="s">
        <v>1408</v>
      </c>
      <c r="C129" s="197" t="s">
        <v>1409</v>
      </c>
      <c r="D129" s="197" t="s">
        <v>56</v>
      </c>
      <c r="E129" s="197" t="s">
        <v>232</v>
      </c>
      <c r="F129" s="197" t="s">
        <v>180</v>
      </c>
      <c r="G129" s="260">
        <v>7341.5159999999996</v>
      </c>
      <c r="H129" s="197">
        <v>2</v>
      </c>
      <c r="I129" s="197" t="s">
        <v>3960</v>
      </c>
      <c r="J129" s="197" t="s">
        <v>3985</v>
      </c>
      <c r="K129" s="197" t="s">
        <v>1283</v>
      </c>
      <c r="L129" s="261">
        <v>0.64</v>
      </c>
      <c r="M129" s="263">
        <v>10.075267999999999</v>
      </c>
      <c r="N129" s="263">
        <f>L129*M129</f>
        <v>6.4481715199999998</v>
      </c>
      <c r="O129" s="199"/>
      <c r="P129" s="261"/>
      <c r="Q129" s="261"/>
      <c r="R129" s="198"/>
      <c r="S129" s="197" t="s">
        <v>4118</v>
      </c>
      <c r="T129" s="197" t="s">
        <v>4119</v>
      </c>
      <c r="U129" s="197" t="s">
        <v>3958</v>
      </c>
      <c r="V129" s="197" t="s">
        <v>3959</v>
      </c>
    </row>
    <row r="130" spans="1:22" s="197" customFormat="1" x14ac:dyDescent="0.2">
      <c r="A130" s="197" t="s">
        <v>4117</v>
      </c>
      <c r="B130" s="197" t="s">
        <v>1408</v>
      </c>
      <c r="C130" s="197" t="s">
        <v>1409</v>
      </c>
      <c r="D130" s="197" t="s">
        <v>56</v>
      </c>
      <c r="E130" s="197" t="s">
        <v>232</v>
      </c>
      <c r="F130" s="197" t="s">
        <v>180</v>
      </c>
      <c r="G130" s="260">
        <v>7341.5159999999996</v>
      </c>
      <c r="H130" s="197">
        <v>3</v>
      </c>
      <c r="I130" s="197" t="s">
        <v>3962</v>
      </c>
      <c r="J130" s="197" t="s">
        <v>3986</v>
      </c>
      <c r="K130" s="197" t="s">
        <v>1283</v>
      </c>
      <c r="L130" s="261">
        <v>0.15</v>
      </c>
      <c r="M130" s="263">
        <v>10.075267999999999</v>
      </c>
      <c r="N130" s="263">
        <f>L130*M130</f>
        <v>1.5112901999999999</v>
      </c>
      <c r="O130" s="199"/>
      <c r="P130" s="261"/>
      <c r="Q130" s="261"/>
      <c r="R130" s="198"/>
      <c r="S130" s="197" t="s">
        <v>4118</v>
      </c>
      <c r="T130" s="197" t="s">
        <v>4119</v>
      </c>
      <c r="U130" s="197" t="s">
        <v>3958</v>
      </c>
      <c r="V130" s="197" t="s">
        <v>3959</v>
      </c>
    </row>
    <row r="131" spans="1:22" s="197" customFormat="1" x14ac:dyDescent="0.2">
      <c r="A131" s="197" t="s">
        <v>4117</v>
      </c>
      <c r="B131" s="197" t="s">
        <v>1408</v>
      </c>
      <c r="C131" s="197" t="s">
        <v>1409</v>
      </c>
      <c r="D131" s="197" t="s">
        <v>56</v>
      </c>
      <c r="E131" s="197" t="s">
        <v>232</v>
      </c>
      <c r="F131" s="197" t="s">
        <v>180</v>
      </c>
      <c r="G131" s="260">
        <v>7341.5159999999996</v>
      </c>
      <c r="H131" s="197">
        <v>4</v>
      </c>
      <c r="I131" s="197" t="s">
        <v>3987</v>
      </c>
      <c r="J131" s="197" t="s">
        <v>3988</v>
      </c>
      <c r="K131" s="197" t="s">
        <v>1283</v>
      </c>
      <c r="L131" s="261">
        <v>0.05</v>
      </c>
      <c r="M131" s="263">
        <v>10.075267999999999</v>
      </c>
      <c r="N131" s="263">
        <f>L131*M131</f>
        <v>0.50376339999999997</v>
      </c>
      <c r="O131" s="199"/>
      <c r="P131" s="261"/>
      <c r="Q131" s="261"/>
      <c r="R131" s="198"/>
      <c r="S131" s="197" t="s">
        <v>4118</v>
      </c>
      <c r="T131" s="197" t="s">
        <v>4119</v>
      </c>
      <c r="U131" s="197" t="s">
        <v>3958</v>
      </c>
      <c r="V131" s="197" t="s">
        <v>3959</v>
      </c>
    </row>
    <row r="132" spans="1:22" s="197" customFormat="1" x14ac:dyDescent="0.2">
      <c r="A132" s="197" t="s">
        <v>4117</v>
      </c>
      <c r="B132" s="197" t="s">
        <v>1408</v>
      </c>
      <c r="C132" s="197" t="s">
        <v>1409</v>
      </c>
      <c r="D132" s="197" t="s">
        <v>56</v>
      </c>
      <c r="E132" s="197" t="s">
        <v>232</v>
      </c>
      <c r="F132" s="197" t="s">
        <v>180</v>
      </c>
      <c r="G132" s="260">
        <v>7341.5159999999996</v>
      </c>
      <c r="H132" s="197">
        <v>5</v>
      </c>
      <c r="I132" s="197" t="s">
        <v>3968</v>
      </c>
      <c r="J132" s="197" t="s">
        <v>3969</v>
      </c>
      <c r="K132" s="197" t="s">
        <v>180</v>
      </c>
      <c r="L132" s="261">
        <v>1</v>
      </c>
      <c r="M132" s="263"/>
      <c r="N132" s="263">
        <f>SUM(N128:N131)</f>
        <v>10.075267999999999</v>
      </c>
      <c r="O132" s="199">
        <v>0.2223</v>
      </c>
      <c r="P132" s="261">
        <f>N132*O132</f>
        <v>2.2397320763999997</v>
      </c>
      <c r="Q132" s="261">
        <f>N132+P132</f>
        <v>12.315000076399999</v>
      </c>
      <c r="R132" s="198">
        <f>Q132*G132</f>
        <v>90410.770100891808</v>
      </c>
      <c r="S132" s="197" t="s">
        <v>4118</v>
      </c>
      <c r="T132" s="197" t="s">
        <v>4119</v>
      </c>
      <c r="U132" s="197" t="str">
        <f>IF(ABS(Q132-12.315)&lt;=0.01,"FECHA COM PLANILHA","REVISAR")</f>
        <v>FECHA COM PLANILHA</v>
      </c>
      <c r="V132" s="197" t="s">
        <v>4120</v>
      </c>
    </row>
    <row r="133" spans="1:22" s="197" customFormat="1" x14ac:dyDescent="0.2">
      <c r="A133" s="197" t="s">
        <v>4121</v>
      </c>
      <c r="B133" s="197" t="s">
        <v>428</v>
      </c>
      <c r="C133" s="197" t="s">
        <v>1503</v>
      </c>
      <c r="D133" s="197" t="s">
        <v>56</v>
      </c>
      <c r="E133" s="197" t="s">
        <v>429</v>
      </c>
      <c r="F133" s="197" t="s">
        <v>26</v>
      </c>
      <c r="G133" s="260">
        <v>1359.8</v>
      </c>
      <c r="H133" s="197">
        <v>1</v>
      </c>
      <c r="I133" s="197" t="s">
        <v>3954</v>
      </c>
      <c r="J133" s="197" t="s">
        <v>4122</v>
      </c>
      <c r="K133" s="197" t="s">
        <v>1283</v>
      </c>
      <c r="L133" s="261">
        <v>0.5</v>
      </c>
      <c r="M133" s="263">
        <v>50.658594000000001</v>
      </c>
      <c r="N133" s="263">
        <f>L133*M133</f>
        <v>25.329297</v>
      </c>
      <c r="O133" s="199"/>
      <c r="P133" s="261"/>
      <c r="Q133" s="261"/>
      <c r="R133" s="198"/>
      <c r="S133" s="197" t="s">
        <v>4123</v>
      </c>
      <c r="T133" s="197" t="s">
        <v>4124</v>
      </c>
      <c r="U133" s="197" t="s">
        <v>3958</v>
      </c>
      <c r="V133" s="197" t="s">
        <v>3959</v>
      </c>
    </row>
    <row r="134" spans="1:22" s="197" customFormat="1" x14ac:dyDescent="0.2">
      <c r="A134" s="197" t="s">
        <v>4121</v>
      </c>
      <c r="B134" s="197" t="s">
        <v>428</v>
      </c>
      <c r="C134" s="197" t="s">
        <v>1503</v>
      </c>
      <c r="D134" s="197" t="s">
        <v>56</v>
      </c>
      <c r="E134" s="197" t="s">
        <v>429</v>
      </c>
      <c r="F134" s="197" t="s">
        <v>26</v>
      </c>
      <c r="G134" s="260">
        <v>1359.8</v>
      </c>
      <c r="H134" s="197">
        <v>2</v>
      </c>
      <c r="I134" s="197" t="s">
        <v>3960</v>
      </c>
      <c r="J134" s="197" t="s">
        <v>4125</v>
      </c>
      <c r="K134" s="197" t="s">
        <v>1283</v>
      </c>
      <c r="L134" s="261">
        <v>0.43</v>
      </c>
      <c r="M134" s="263">
        <v>50.658594000000001</v>
      </c>
      <c r="N134" s="263">
        <f>L134*M134</f>
        <v>21.783195419999998</v>
      </c>
      <c r="O134" s="199"/>
      <c r="P134" s="261"/>
      <c r="Q134" s="261"/>
      <c r="R134" s="198"/>
      <c r="S134" s="197" t="s">
        <v>4123</v>
      </c>
      <c r="T134" s="197" t="s">
        <v>4124</v>
      </c>
      <c r="U134" s="197" t="s">
        <v>3958</v>
      </c>
      <c r="V134" s="197" t="s">
        <v>3959</v>
      </c>
    </row>
    <row r="135" spans="1:22" s="197" customFormat="1" x14ac:dyDescent="0.2">
      <c r="A135" s="197" t="s">
        <v>4121</v>
      </c>
      <c r="B135" s="197" t="s">
        <v>428</v>
      </c>
      <c r="C135" s="197" t="s">
        <v>1503</v>
      </c>
      <c r="D135" s="197" t="s">
        <v>56</v>
      </c>
      <c r="E135" s="197" t="s">
        <v>429</v>
      </c>
      <c r="F135" s="197" t="s">
        <v>26</v>
      </c>
      <c r="G135" s="260">
        <v>1359.8</v>
      </c>
      <c r="H135" s="197">
        <v>3</v>
      </c>
      <c r="I135" s="197" t="s">
        <v>4126</v>
      </c>
      <c r="J135" s="197" t="s">
        <v>4127</v>
      </c>
      <c r="K135" s="197" t="s">
        <v>1283</v>
      </c>
      <c r="L135" s="261">
        <v>7.0000000000000007E-2</v>
      </c>
      <c r="M135" s="263">
        <v>50.658594000000001</v>
      </c>
      <c r="N135" s="263">
        <f>L135*M135</f>
        <v>3.5461015800000002</v>
      </c>
      <c r="O135" s="199"/>
      <c r="P135" s="261"/>
      <c r="Q135" s="261"/>
      <c r="R135" s="198"/>
      <c r="S135" s="197" t="s">
        <v>4123</v>
      </c>
      <c r="T135" s="197" t="s">
        <v>4124</v>
      </c>
      <c r="U135" s="197" t="s">
        <v>3958</v>
      </c>
      <c r="V135" s="197" t="s">
        <v>3959</v>
      </c>
    </row>
    <row r="136" spans="1:22" s="197" customFormat="1" x14ac:dyDescent="0.2">
      <c r="A136" s="197" t="s">
        <v>4121</v>
      </c>
      <c r="B136" s="197" t="s">
        <v>428</v>
      </c>
      <c r="C136" s="197" t="s">
        <v>1503</v>
      </c>
      <c r="D136" s="197" t="s">
        <v>56</v>
      </c>
      <c r="E136" s="197" t="s">
        <v>429</v>
      </c>
      <c r="F136" s="197" t="s">
        <v>26</v>
      </c>
      <c r="G136" s="260">
        <v>1359.8</v>
      </c>
      <c r="H136" s="197">
        <v>4</v>
      </c>
      <c r="I136" s="197" t="s">
        <v>3968</v>
      </c>
      <c r="J136" s="197" t="s">
        <v>3969</v>
      </c>
      <c r="K136" s="197" t="s">
        <v>26</v>
      </c>
      <c r="L136" s="261">
        <v>1</v>
      </c>
      <c r="M136" s="263"/>
      <c r="N136" s="263">
        <f>SUM(N133:N135)</f>
        <v>50.658593999999994</v>
      </c>
      <c r="O136" s="199">
        <v>0.2223</v>
      </c>
      <c r="P136" s="261">
        <f>N136*O136</f>
        <v>11.261405446199998</v>
      </c>
      <c r="Q136" s="261">
        <f>N136+P136</f>
        <v>61.919999446199995</v>
      </c>
      <c r="R136" s="198">
        <f>Q136*G136</f>
        <v>84198.815246942744</v>
      </c>
      <c r="S136" s="197" t="s">
        <v>4123</v>
      </c>
      <c r="T136" s="197" t="s">
        <v>4124</v>
      </c>
      <c r="U136" s="197" t="str">
        <f>IF(ABS(Q136-61.92)&lt;=0.01,"FECHA COM PLANILHA","REVISAR")</f>
        <v>FECHA COM PLANILHA</v>
      </c>
      <c r="V136" s="197" t="s">
        <v>4128</v>
      </c>
    </row>
    <row r="137" spans="1:22" s="197" customFormat="1" x14ac:dyDescent="0.2">
      <c r="A137" s="197" t="s">
        <v>4129</v>
      </c>
      <c r="B137" s="197" t="s">
        <v>400</v>
      </c>
      <c r="C137" s="197" t="s">
        <v>1491</v>
      </c>
      <c r="D137" s="197" t="s">
        <v>335</v>
      </c>
      <c r="E137" s="197" t="s">
        <v>401</v>
      </c>
      <c r="F137" s="197" t="s">
        <v>26</v>
      </c>
      <c r="G137" s="260">
        <v>483.697</v>
      </c>
      <c r="H137" s="197">
        <v>1</v>
      </c>
      <c r="I137" s="197" t="s">
        <v>3954</v>
      </c>
      <c r="J137" s="197" t="s">
        <v>4049</v>
      </c>
      <c r="K137" s="197" t="s">
        <v>1283</v>
      </c>
      <c r="L137" s="261">
        <v>0.24</v>
      </c>
      <c r="M137" s="263">
        <v>138.814121</v>
      </c>
      <c r="N137" s="263">
        <f>L137*M137</f>
        <v>33.315389039999999</v>
      </c>
      <c r="O137" s="199"/>
      <c r="P137" s="261"/>
      <c r="Q137" s="261"/>
      <c r="R137" s="198"/>
      <c r="S137" s="197" t="s">
        <v>4130</v>
      </c>
      <c r="T137" s="197" t="s">
        <v>4131</v>
      </c>
      <c r="U137" s="197" t="s">
        <v>3958</v>
      </c>
      <c r="V137" s="197" t="s">
        <v>3959</v>
      </c>
    </row>
    <row r="138" spans="1:22" s="197" customFormat="1" x14ac:dyDescent="0.2">
      <c r="A138" s="197" t="s">
        <v>4129</v>
      </c>
      <c r="B138" s="197" t="s">
        <v>400</v>
      </c>
      <c r="C138" s="197" t="s">
        <v>1491</v>
      </c>
      <c r="D138" s="197" t="s">
        <v>335</v>
      </c>
      <c r="E138" s="197" t="s">
        <v>401</v>
      </c>
      <c r="F138" s="197" t="s">
        <v>26</v>
      </c>
      <c r="G138" s="260">
        <v>483.697</v>
      </c>
      <c r="H138" s="197">
        <v>2</v>
      </c>
      <c r="I138" s="197" t="s">
        <v>3960</v>
      </c>
      <c r="J138" s="197" t="s">
        <v>4052</v>
      </c>
      <c r="K138" s="197" t="s">
        <v>1283</v>
      </c>
      <c r="L138" s="261">
        <v>0.68</v>
      </c>
      <c r="M138" s="263">
        <v>138.814121</v>
      </c>
      <c r="N138" s="263">
        <f>L138*M138</f>
        <v>94.39360228000001</v>
      </c>
      <c r="O138" s="199"/>
      <c r="P138" s="261"/>
      <c r="Q138" s="261"/>
      <c r="R138" s="198"/>
      <c r="S138" s="197" t="s">
        <v>4130</v>
      </c>
      <c r="T138" s="197" t="s">
        <v>4131</v>
      </c>
      <c r="U138" s="197" t="s">
        <v>3958</v>
      </c>
      <c r="V138" s="197" t="s">
        <v>3959</v>
      </c>
    </row>
    <row r="139" spans="1:22" s="197" customFormat="1" x14ac:dyDescent="0.2">
      <c r="A139" s="197" t="s">
        <v>4129</v>
      </c>
      <c r="B139" s="197" t="s">
        <v>400</v>
      </c>
      <c r="C139" s="197" t="s">
        <v>1491</v>
      </c>
      <c r="D139" s="197" t="s">
        <v>335</v>
      </c>
      <c r="E139" s="197" t="s">
        <v>401</v>
      </c>
      <c r="F139" s="197" t="s">
        <v>26</v>
      </c>
      <c r="G139" s="260">
        <v>483.697</v>
      </c>
      <c r="H139" s="197">
        <v>3</v>
      </c>
      <c r="I139" s="197" t="s">
        <v>3976</v>
      </c>
      <c r="J139" s="197" t="s">
        <v>4053</v>
      </c>
      <c r="K139" s="197" t="s">
        <v>1283</v>
      </c>
      <c r="L139" s="261">
        <v>0.04</v>
      </c>
      <c r="M139" s="263">
        <v>138.814121</v>
      </c>
      <c r="N139" s="263">
        <f>L139*M139</f>
        <v>5.5525648400000005</v>
      </c>
      <c r="O139" s="199"/>
      <c r="P139" s="261"/>
      <c r="Q139" s="261"/>
      <c r="R139" s="198"/>
      <c r="S139" s="197" t="s">
        <v>4130</v>
      </c>
      <c r="T139" s="197" t="s">
        <v>4131</v>
      </c>
      <c r="U139" s="197" t="s">
        <v>3958</v>
      </c>
      <c r="V139" s="197" t="s">
        <v>3959</v>
      </c>
    </row>
    <row r="140" spans="1:22" s="197" customFormat="1" x14ac:dyDescent="0.2">
      <c r="A140" s="197" t="s">
        <v>4129</v>
      </c>
      <c r="B140" s="197" t="s">
        <v>400</v>
      </c>
      <c r="C140" s="197" t="s">
        <v>1491</v>
      </c>
      <c r="D140" s="197" t="s">
        <v>335</v>
      </c>
      <c r="E140" s="197" t="s">
        <v>401</v>
      </c>
      <c r="F140" s="197" t="s">
        <v>26</v>
      </c>
      <c r="G140" s="260">
        <v>483.697</v>
      </c>
      <c r="H140" s="197">
        <v>4</v>
      </c>
      <c r="I140" s="197" t="s">
        <v>4054</v>
      </c>
      <c r="J140" s="197" t="s">
        <v>4055</v>
      </c>
      <c r="K140" s="197" t="s">
        <v>1283</v>
      </c>
      <c r="L140" s="261">
        <v>0.04</v>
      </c>
      <c r="M140" s="263">
        <v>138.814121</v>
      </c>
      <c r="N140" s="263">
        <f>L140*M140</f>
        <v>5.5525648400000005</v>
      </c>
      <c r="O140" s="199"/>
      <c r="P140" s="261"/>
      <c r="Q140" s="261"/>
      <c r="R140" s="198"/>
      <c r="S140" s="197" t="s">
        <v>4130</v>
      </c>
      <c r="T140" s="197" t="s">
        <v>4131</v>
      </c>
      <c r="U140" s="197" t="s">
        <v>3958</v>
      </c>
      <c r="V140" s="197" t="s">
        <v>3959</v>
      </c>
    </row>
    <row r="141" spans="1:22" s="197" customFormat="1" x14ac:dyDescent="0.2">
      <c r="A141" s="197" t="s">
        <v>4129</v>
      </c>
      <c r="B141" s="197" t="s">
        <v>400</v>
      </c>
      <c r="C141" s="197" t="s">
        <v>1491</v>
      </c>
      <c r="D141" s="197" t="s">
        <v>335</v>
      </c>
      <c r="E141" s="197" t="s">
        <v>401</v>
      </c>
      <c r="F141" s="197" t="s">
        <v>26</v>
      </c>
      <c r="G141" s="260">
        <v>483.697</v>
      </c>
      <c r="H141" s="197">
        <v>5</v>
      </c>
      <c r="I141" s="197" t="s">
        <v>3968</v>
      </c>
      <c r="J141" s="197" t="s">
        <v>3969</v>
      </c>
      <c r="K141" s="197" t="s">
        <v>26</v>
      </c>
      <c r="L141" s="261">
        <v>1</v>
      </c>
      <c r="M141" s="263"/>
      <c r="N141" s="263">
        <f>SUM(N137:N140)</f>
        <v>138.814121</v>
      </c>
      <c r="O141" s="199">
        <v>0.2223</v>
      </c>
      <c r="P141" s="261">
        <f>N141*O141</f>
        <v>30.858379098299999</v>
      </c>
      <c r="Q141" s="261">
        <f>N141+P141</f>
        <v>169.67250009829999</v>
      </c>
      <c r="R141" s="198">
        <f>Q141*G141</f>
        <v>82070.079280047416</v>
      </c>
      <c r="S141" s="197" t="s">
        <v>4130</v>
      </c>
      <c r="T141" s="197" t="s">
        <v>4131</v>
      </c>
      <c r="U141" s="197" t="str">
        <f>IF(ABS(Q141-169.6725)&lt;=0.01,"FECHA COM PLANILHA","REVISAR")</f>
        <v>FECHA COM PLANILHA</v>
      </c>
      <c r="V141" s="197" t="s">
        <v>4132</v>
      </c>
    </row>
    <row r="142" spans="1:22" s="197" customFormat="1" x14ac:dyDescent="0.2">
      <c r="A142" s="197" t="s">
        <v>4133</v>
      </c>
      <c r="B142" s="197" t="s">
        <v>307</v>
      </c>
      <c r="C142" s="197" t="s">
        <v>1451</v>
      </c>
      <c r="D142" s="197" t="s">
        <v>56</v>
      </c>
      <c r="E142" s="197" t="s">
        <v>308</v>
      </c>
      <c r="F142" s="197" t="s">
        <v>26</v>
      </c>
      <c r="G142" s="260">
        <v>803.67100000000005</v>
      </c>
      <c r="H142" s="197">
        <v>1</v>
      </c>
      <c r="I142" s="197" t="s">
        <v>3954</v>
      </c>
      <c r="J142" s="197" t="s">
        <v>4049</v>
      </c>
      <c r="K142" s="197" t="s">
        <v>1283</v>
      </c>
      <c r="L142" s="261">
        <v>0.24</v>
      </c>
      <c r="M142" s="263">
        <v>83.314244000000002</v>
      </c>
      <c r="N142" s="263">
        <f>L142*M142</f>
        <v>19.995418560000001</v>
      </c>
      <c r="O142" s="199"/>
      <c r="P142" s="261"/>
      <c r="Q142" s="261"/>
      <c r="R142" s="198"/>
      <c r="S142" s="197" t="s">
        <v>4134</v>
      </c>
      <c r="T142" s="197" t="s">
        <v>4135</v>
      </c>
      <c r="U142" s="197" t="s">
        <v>3958</v>
      </c>
      <c r="V142" s="197" t="s">
        <v>3959</v>
      </c>
    </row>
    <row r="143" spans="1:22" s="197" customFormat="1" x14ac:dyDescent="0.2">
      <c r="A143" s="197" t="s">
        <v>4133</v>
      </c>
      <c r="B143" s="197" t="s">
        <v>307</v>
      </c>
      <c r="C143" s="197" t="s">
        <v>1451</v>
      </c>
      <c r="D143" s="197" t="s">
        <v>56</v>
      </c>
      <c r="E143" s="197" t="s">
        <v>308</v>
      </c>
      <c r="F143" s="197" t="s">
        <v>26</v>
      </c>
      <c r="G143" s="260">
        <v>803.67100000000005</v>
      </c>
      <c r="H143" s="197">
        <v>2</v>
      </c>
      <c r="I143" s="197" t="s">
        <v>3960</v>
      </c>
      <c r="J143" s="197" t="s">
        <v>4052</v>
      </c>
      <c r="K143" s="197" t="s">
        <v>1283</v>
      </c>
      <c r="L143" s="261">
        <v>0.68</v>
      </c>
      <c r="M143" s="263">
        <v>83.314244000000002</v>
      </c>
      <c r="N143" s="263">
        <f>L143*M143</f>
        <v>56.653685920000008</v>
      </c>
      <c r="O143" s="199"/>
      <c r="P143" s="261"/>
      <c r="Q143" s="261"/>
      <c r="R143" s="198"/>
      <c r="S143" s="197" t="s">
        <v>4134</v>
      </c>
      <c r="T143" s="197" t="s">
        <v>4135</v>
      </c>
      <c r="U143" s="197" t="s">
        <v>3958</v>
      </c>
      <c r="V143" s="197" t="s">
        <v>3959</v>
      </c>
    </row>
    <row r="144" spans="1:22" s="197" customFormat="1" x14ac:dyDescent="0.2">
      <c r="A144" s="197" t="s">
        <v>4133</v>
      </c>
      <c r="B144" s="197" t="s">
        <v>307</v>
      </c>
      <c r="C144" s="197" t="s">
        <v>1451</v>
      </c>
      <c r="D144" s="197" t="s">
        <v>56</v>
      </c>
      <c r="E144" s="197" t="s">
        <v>308</v>
      </c>
      <c r="F144" s="197" t="s">
        <v>26</v>
      </c>
      <c r="G144" s="260">
        <v>803.67100000000005</v>
      </c>
      <c r="H144" s="197">
        <v>3</v>
      </c>
      <c r="I144" s="197" t="s">
        <v>3976</v>
      </c>
      <c r="J144" s="197" t="s">
        <v>4053</v>
      </c>
      <c r="K144" s="197" t="s">
        <v>1283</v>
      </c>
      <c r="L144" s="261">
        <v>0.04</v>
      </c>
      <c r="M144" s="263">
        <v>83.314244000000002</v>
      </c>
      <c r="N144" s="263">
        <f>L144*M144</f>
        <v>3.3325697600000002</v>
      </c>
      <c r="O144" s="199"/>
      <c r="P144" s="261"/>
      <c r="Q144" s="261"/>
      <c r="R144" s="198"/>
      <c r="S144" s="197" t="s">
        <v>4134</v>
      </c>
      <c r="T144" s="197" t="s">
        <v>4135</v>
      </c>
      <c r="U144" s="197" t="s">
        <v>3958</v>
      </c>
      <c r="V144" s="197" t="s">
        <v>3959</v>
      </c>
    </row>
    <row r="145" spans="1:22" s="197" customFormat="1" x14ac:dyDescent="0.2">
      <c r="A145" s="197" t="s">
        <v>4133</v>
      </c>
      <c r="B145" s="197" t="s">
        <v>307</v>
      </c>
      <c r="C145" s="197" t="s">
        <v>1451</v>
      </c>
      <c r="D145" s="197" t="s">
        <v>56</v>
      </c>
      <c r="E145" s="197" t="s">
        <v>308</v>
      </c>
      <c r="F145" s="197" t="s">
        <v>26</v>
      </c>
      <c r="G145" s="260">
        <v>803.67100000000005</v>
      </c>
      <c r="H145" s="197">
        <v>4</v>
      </c>
      <c r="I145" s="197" t="s">
        <v>4054</v>
      </c>
      <c r="J145" s="197" t="s">
        <v>4055</v>
      </c>
      <c r="K145" s="197" t="s">
        <v>1283</v>
      </c>
      <c r="L145" s="261">
        <v>0.04</v>
      </c>
      <c r="M145" s="263">
        <v>83.314244000000002</v>
      </c>
      <c r="N145" s="263">
        <f>L145*M145</f>
        <v>3.3325697600000002</v>
      </c>
      <c r="O145" s="199"/>
      <c r="P145" s="261"/>
      <c r="Q145" s="261"/>
      <c r="R145" s="198"/>
      <c r="S145" s="197" t="s">
        <v>4134</v>
      </c>
      <c r="T145" s="197" t="s">
        <v>4135</v>
      </c>
      <c r="U145" s="197" t="s">
        <v>3958</v>
      </c>
      <c r="V145" s="197" t="s">
        <v>3959</v>
      </c>
    </row>
    <row r="146" spans="1:22" s="197" customFormat="1" x14ac:dyDescent="0.2">
      <c r="A146" s="197" t="s">
        <v>4133</v>
      </c>
      <c r="B146" s="197" t="s">
        <v>307</v>
      </c>
      <c r="C146" s="197" t="s">
        <v>1451</v>
      </c>
      <c r="D146" s="197" t="s">
        <v>56</v>
      </c>
      <c r="E146" s="197" t="s">
        <v>308</v>
      </c>
      <c r="F146" s="197" t="s">
        <v>26</v>
      </c>
      <c r="G146" s="260">
        <v>803.67100000000005</v>
      </c>
      <c r="H146" s="197">
        <v>5</v>
      </c>
      <c r="I146" s="197" t="s">
        <v>3968</v>
      </c>
      <c r="J146" s="197" t="s">
        <v>3969</v>
      </c>
      <c r="K146" s="197" t="s">
        <v>26</v>
      </c>
      <c r="L146" s="261">
        <v>1</v>
      </c>
      <c r="M146" s="263"/>
      <c r="N146" s="263">
        <f>SUM(N142:N145)</f>
        <v>83.314244000000002</v>
      </c>
      <c r="O146" s="199">
        <v>0.2223</v>
      </c>
      <c r="P146" s="261">
        <f>N146*O146</f>
        <v>18.5207564412</v>
      </c>
      <c r="Q146" s="261">
        <f>N146+P146</f>
        <v>101.83500044120001</v>
      </c>
      <c r="R146" s="198">
        <f>Q146*G146</f>
        <v>81841.836639579662</v>
      </c>
      <c r="S146" s="197" t="s">
        <v>4134</v>
      </c>
      <c r="T146" s="197" t="s">
        <v>4135</v>
      </c>
      <c r="U146" s="197" t="str">
        <f>IF(ABS(Q146-101.835)&lt;=0.01,"FECHA COM PLANILHA","REVISAR")</f>
        <v>FECHA COM PLANILHA</v>
      </c>
      <c r="V146" s="197" t="s">
        <v>4136</v>
      </c>
    </row>
    <row r="147" spans="1:22" s="197" customFormat="1" x14ac:dyDescent="0.2">
      <c r="A147" s="197" t="s">
        <v>4137</v>
      </c>
      <c r="B147" s="197" t="s">
        <v>1524</v>
      </c>
      <c r="C147" s="197" t="s">
        <v>1525</v>
      </c>
      <c r="D147" s="197" t="s">
        <v>24</v>
      </c>
      <c r="E147" s="197" t="s">
        <v>473</v>
      </c>
      <c r="F147" s="197" t="s">
        <v>26</v>
      </c>
      <c r="G147" s="260">
        <v>73.483000000000004</v>
      </c>
      <c r="H147" s="197">
        <v>1</v>
      </c>
      <c r="I147" s="197" t="s">
        <v>3954</v>
      </c>
      <c r="J147" s="197" t="s">
        <v>4049</v>
      </c>
      <c r="K147" s="197" t="s">
        <v>1283</v>
      </c>
      <c r="L147" s="261">
        <v>0.24</v>
      </c>
      <c r="M147" s="263">
        <v>875.84880999999996</v>
      </c>
      <c r="N147" s="263">
        <f>L147*M147</f>
        <v>210.2037144</v>
      </c>
      <c r="O147" s="199"/>
      <c r="P147" s="261"/>
      <c r="Q147" s="261"/>
      <c r="R147" s="198"/>
      <c r="S147" s="197" t="s">
        <v>4138</v>
      </c>
      <c r="T147" s="197" t="s">
        <v>4139</v>
      </c>
      <c r="U147" s="197" t="s">
        <v>3958</v>
      </c>
      <c r="V147" s="197" t="s">
        <v>3959</v>
      </c>
    </row>
    <row r="148" spans="1:22" s="197" customFormat="1" x14ac:dyDescent="0.2">
      <c r="A148" s="197" t="s">
        <v>4137</v>
      </c>
      <c r="B148" s="197" t="s">
        <v>1524</v>
      </c>
      <c r="C148" s="197" t="s">
        <v>1525</v>
      </c>
      <c r="D148" s="197" t="s">
        <v>24</v>
      </c>
      <c r="E148" s="197" t="s">
        <v>473</v>
      </c>
      <c r="F148" s="197" t="s">
        <v>26</v>
      </c>
      <c r="G148" s="260">
        <v>73.483000000000004</v>
      </c>
      <c r="H148" s="197">
        <v>2</v>
      </c>
      <c r="I148" s="197" t="s">
        <v>3960</v>
      </c>
      <c r="J148" s="197" t="s">
        <v>4052</v>
      </c>
      <c r="K148" s="197" t="s">
        <v>1283</v>
      </c>
      <c r="L148" s="261">
        <v>0.68</v>
      </c>
      <c r="M148" s="263">
        <v>875.84880999999996</v>
      </c>
      <c r="N148" s="263">
        <f>L148*M148</f>
        <v>595.57719080000004</v>
      </c>
      <c r="O148" s="199"/>
      <c r="P148" s="261"/>
      <c r="Q148" s="261"/>
      <c r="R148" s="198"/>
      <c r="S148" s="197" t="s">
        <v>4138</v>
      </c>
      <c r="T148" s="197" t="s">
        <v>4139</v>
      </c>
      <c r="U148" s="197" t="s">
        <v>3958</v>
      </c>
      <c r="V148" s="197" t="s">
        <v>3959</v>
      </c>
    </row>
    <row r="149" spans="1:22" s="197" customFormat="1" x14ac:dyDescent="0.2">
      <c r="A149" s="197" t="s">
        <v>4137</v>
      </c>
      <c r="B149" s="197" t="s">
        <v>1524</v>
      </c>
      <c r="C149" s="197" t="s">
        <v>1525</v>
      </c>
      <c r="D149" s="197" t="s">
        <v>24</v>
      </c>
      <c r="E149" s="197" t="s">
        <v>473</v>
      </c>
      <c r="F149" s="197" t="s">
        <v>26</v>
      </c>
      <c r="G149" s="260">
        <v>73.483000000000004</v>
      </c>
      <c r="H149" s="197">
        <v>3</v>
      </c>
      <c r="I149" s="197" t="s">
        <v>3976</v>
      </c>
      <c r="J149" s="197" t="s">
        <v>4053</v>
      </c>
      <c r="K149" s="197" t="s">
        <v>1283</v>
      </c>
      <c r="L149" s="261">
        <v>0.04</v>
      </c>
      <c r="M149" s="263">
        <v>875.84880999999996</v>
      </c>
      <c r="N149" s="263">
        <f>L149*M149</f>
        <v>35.033952399999997</v>
      </c>
      <c r="O149" s="199"/>
      <c r="P149" s="261"/>
      <c r="Q149" s="261"/>
      <c r="R149" s="198"/>
      <c r="S149" s="197" t="s">
        <v>4138</v>
      </c>
      <c r="T149" s="197" t="s">
        <v>4139</v>
      </c>
      <c r="U149" s="197" t="s">
        <v>3958</v>
      </c>
      <c r="V149" s="197" t="s">
        <v>3959</v>
      </c>
    </row>
    <row r="150" spans="1:22" s="197" customFormat="1" x14ac:dyDescent="0.2">
      <c r="A150" s="197" t="s">
        <v>4137</v>
      </c>
      <c r="B150" s="197" t="s">
        <v>1524</v>
      </c>
      <c r="C150" s="197" t="s">
        <v>1525</v>
      </c>
      <c r="D150" s="197" t="s">
        <v>24</v>
      </c>
      <c r="E150" s="197" t="s">
        <v>473</v>
      </c>
      <c r="F150" s="197" t="s">
        <v>26</v>
      </c>
      <c r="G150" s="260">
        <v>73.483000000000004</v>
      </c>
      <c r="H150" s="197">
        <v>4</v>
      </c>
      <c r="I150" s="197" t="s">
        <v>4054</v>
      </c>
      <c r="J150" s="197" t="s">
        <v>4055</v>
      </c>
      <c r="K150" s="197" t="s">
        <v>1283</v>
      </c>
      <c r="L150" s="261">
        <v>0.04</v>
      </c>
      <c r="M150" s="263">
        <v>875.84880999999996</v>
      </c>
      <c r="N150" s="263">
        <f>L150*M150</f>
        <v>35.033952399999997</v>
      </c>
      <c r="O150" s="199"/>
      <c r="P150" s="261"/>
      <c r="Q150" s="261"/>
      <c r="R150" s="198"/>
      <c r="S150" s="197" t="s">
        <v>4138</v>
      </c>
      <c r="T150" s="197" t="s">
        <v>4139</v>
      </c>
      <c r="U150" s="197" t="s">
        <v>3958</v>
      </c>
      <c r="V150" s="197" t="s">
        <v>3959</v>
      </c>
    </row>
    <row r="151" spans="1:22" s="197" customFormat="1" x14ac:dyDescent="0.2">
      <c r="A151" s="197" t="s">
        <v>4137</v>
      </c>
      <c r="B151" s="197" t="s">
        <v>1524</v>
      </c>
      <c r="C151" s="197" t="s">
        <v>1525</v>
      </c>
      <c r="D151" s="197" t="s">
        <v>24</v>
      </c>
      <c r="E151" s="197" t="s">
        <v>473</v>
      </c>
      <c r="F151" s="197" t="s">
        <v>26</v>
      </c>
      <c r="G151" s="260">
        <v>73.483000000000004</v>
      </c>
      <c r="H151" s="197">
        <v>5</v>
      </c>
      <c r="I151" s="197" t="s">
        <v>3968</v>
      </c>
      <c r="J151" s="197" t="s">
        <v>3969</v>
      </c>
      <c r="K151" s="197" t="s">
        <v>26</v>
      </c>
      <c r="L151" s="261">
        <v>1</v>
      </c>
      <c r="M151" s="263"/>
      <c r="N151" s="263">
        <f>SUM(N147:N150)</f>
        <v>875.84880999999996</v>
      </c>
      <c r="O151" s="199">
        <v>0.2223</v>
      </c>
      <c r="P151" s="261">
        <f>N151*O151</f>
        <v>194.70119046299999</v>
      </c>
      <c r="Q151" s="261">
        <f>N151+P151</f>
        <v>1070.5500004629998</v>
      </c>
      <c r="R151" s="198">
        <f>Q151*G151</f>
        <v>78667.225684022618</v>
      </c>
      <c r="S151" s="197" t="s">
        <v>4138</v>
      </c>
      <c r="T151" s="197" t="s">
        <v>4139</v>
      </c>
      <c r="U151" s="197" t="str">
        <f>IF(ABS(Q151-1070.55)&lt;=0.01,"FECHA COM PLANILHA","REVISAR")</f>
        <v>FECHA COM PLANILHA</v>
      </c>
      <c r="V151" s="197" t="s">
        <v>4140</v>
      </c>
    </row>
    <row r="152" spans="1:22" s="197" customFormat="1" x14ac:dyDescent="0.2">
      <c r="A152" s="197" t="s">
        <v>4141</v>
      </c>
      <c r="B152" s="197" t="s">
        <v>541</v>
      </c>
      <c r="C152" s="197" t="s">
        <v>1556</v>
      </c>
      <c r="D152" s="197" t="s">
        <v>335</v>
      </c>
      <c r="E152" s="197" t="s">
        <v>542</v>
      </c>
      <c r="F152" s="197" t="s">
        <v>26</v>
      </c>
      <c r="G152" s="260">
        <v>173.72300000000001</v>
      </c>
      <c r="H152" s="197">
        <v>1</v>
      </c>
      <c r="I152" s="197" t="s">
        <v>3954</v>
      </c>
      <c r="J152" s="197" t="s">
        <v>4049</v>
      </c>
      <c r="K152" s="197" t="s">
        <v>1283</v>
      </c>
      <c r="L152" s="261">
        <v>0.24</v>
      </c>
      <c r="M152" s="263">
        <v>369.07265000000001</v>
      </c>
      <c r="N152" s="263">
        <f>L152*M152</f>
        <v>88.577436000000006</v>
      </c>
      <c r="O152" s="199"/>
      <c r="P152" s="261"/>
      <c r="Q152" s="261"/>
      <c r="R152" s="198"/>
      <c r="S152" s="197" t="s">
        <v>4142</v>
      </c>
      <c r="T152" s="197" t="s">
        <v>4143</v>
      </c>
      <c r="U152" s="197" t="s">
        <v>3958</v>
      </c>
      <c r="V152" s="197" t="s">
        <v>3959</v>
      </c>
    </row>
    <row r="153" spans="1:22" s="197" customFormat="1" x14ac:dyDescent="0.2">
      <c r="A153" s="197" t="s">
        <v>4141</v>
      </c>
      <c r="B153" s="197" t="s">
        <v>541</v>
      </c>
      <c r="C153" s="197" t="s">
        <v>1556</v>
      </c>
      <c r="D153" s="197" t="s">
        <v>335</v>
      </c>
      <c r="E153" s="197" t="s">
        <v>542</v>
      </c>
      <c r="F153" s="197" t="s">
        <v>26</v>
      </c>
      <c r="G153" s="260">
        <v>173.72300000000001</v>
      </c>
      <c r="H153" s="197">
        <v>2</v>
      </c>
      <c r="I153" s="197" t="s">
        <v>3960</v>
      </c>
      <c r="J153" s="197" t="s">
        <v>4052</v>
      </c>
      <c r="K153" s="197" t="s">
        <v>1283</v>
      </c>
      <c r="L153" s="261">
        <v>0.68</v>
      </c>
      <c r="M153" s="263">
        <v>369.07265000000001</v>
      </c>
      <c r="N153" s="263">
        <f>L153*M153</f>
        <v>250.96940200000003</v>
      </c>
      <c r="O153" s="199"/>
      <c r="P153" s="261"/>
      <c r="Q153" s="261"/>
      <c r="R153" s="198"/>
      <c r="S153" s="197" t="s">
        <v>4142</v>
      </c>
      <c r="T153" s="197" t="s">
        <v>4143</v>
      </c>
      <c r="U153" s="197" t="s">
        <v>3958</v>
      </c>
      <c r="V153" s="197" t="s">
        <v>3959</v>
      </c>
    </row>
    <row r="154" spans="1:22" s="197" customFormat="1" x14ac:dyDescent="0.2">
      <c r="A154" s="197" t="s">
        <v>4141</v>
      </c>
      <c r="B154" s="197" t="s">
        <v>541</v>
      </c>
      <c r="C154" s="197" t="s">
        <v>1556</v>
      </c>
      <c r="D154" s="197" t="s">
        <v>335</v>
      </c>
      <c r="E154" s="197" t="s">
        <v>542</v>
      </c>
      <c r="F154" s="197" t="s">
        <v>26</v>
      </c>
      <c r="G154" s="260">
        <v>173.72300000000001</v>
      </c>
      <c r="H154" s="197">
        <v>3</v>
      </c>
      <c r="I154" s="197" t="s">
        <v>3976</v>
      </c>
      <c r="J154" s="197" t="s">
        <v>4053</v>
      </c>
      <c r="K154" s="197" t="s">
        <v>1283</v>
      </c>
      <c r="L154" s="261">
        <v>0.04</v>
      </c>
      <c r="M154" s="263">
        <v>369.07265000000001</v>
      </c>
      <c r="N154" s="263">
        <f>L154*M154</f>
        <v>14.762906000000001</v>
      </c>
      <c r="O154" s="199"/>
      <c r="P154" s="261"/>
      <c r="Q154" s="261"/>
      <c r="R154" s="198"/>
      <c r="S154" s="197" t="s">
        <v>4142</v>
      </c>
      <c r="T154" s="197" t="s">
        <v>4143</v>
      </c>
      <c r="U154" s="197" t="s">
        <v>3958</v>
      </c>
      <c r="V154" s="197" t="s">
        <v>3959</v>
      </c>
    </row>
    <row r="155" spans="1:22" s="197" customFormat="1" x14ac:dyDescent="0.2">
      <c r="A155" s="197" t="s">
        <v>4141</v>
      </c>
      <c r="B155" s="197" t="s">
        <v>541</v>
      </c>
      <c r="C155" s="197" t="s">
        <v>1556</v>
      </c>
      <c r="D155" s="197" t="s">
        <v>335</v>
      </c>
      <c r="E155" s="197" t="s">
        <v>542</v>
      </c>
      <c r="F155" s="197" t="s">
        <v>26</v>
      </c>
      <c r="G155" s="260">
        <v>173.72300000000001</v>
      </c>
      <c r="H155" s="197">
        <v>4</v>
      </c>
      <c r="I155" s="197" t="s">
        <v>4054</v>
      </c>
      <c r="J155" s="197" t="s">
        <v>4055</v>
      </c>
      <c r="K155" s="197" t="s">
        <v>1283</v>
      </c>
      <c r="L155" s="261">
        <v>0.04</v>
      </c>
      <c r="M155" s="263">
        <v>369.07265000000001</v>
      </c>
      <c r="N155" s="263">
        <f>L155*M155</f>
        <v>14.762906000000001</v>
      </c>
      <c r="O155" s="199"/>
      <c r="P155" s="261"/>
      <c r="Q155" s="261"/>
      <c r="R155" s="198"/>
      <c r="S155" s="197" t="s">
        <v>4142</v>
      </c>
      <c r="T155" s="197" t="s">
        <v>4143</v>
      </c>
      <c r="U155" s="197" t="s">
        <v>3958</v>
      </c>
      <c r="V155" s="197" t="s">
        <v>3959</v>
      </c>
    </row>
    <row r="156" spans="1:22" s="197" customFormat="1" x14ac:dyDescent="0.2">
      <c r="A156" s="197" t="s">
        <v>4141</v>
      </c>
      <c r="B156" s="197" t="s">
        <v>541</v>
      </c>
      <c r="C156" s="197" t="s">
        <v>1556</v>
      </c>
      <c r="D156" s="197" t="s">
        <v>335</v>
      </c>
      <c r="E156" s="197" t="s">
        <v>542</v>
      </c>
      <c r="F156" s="197" t="s">
        <v>26</v>
      </c>
      <c r="G156" s="260">
        <v>173.72300000000001</v>
      </c>
      <c r="H156" s="197">
        <v>5</v>
      </c>
      <c r="I156" s="197" t="s">
        <v>3968</v>
      </c>
      <c r="J156" s="197" t="s">
        <v>3969</v>
      </c>
      <c r="K156" s="197" t="s">
        <v>26</v>
      </c>
      <c r="L156" s="261">
        <v>1</v>
      </c>
      <c r="M156" s="263"/>
      <c r="N156" s="263">
        <f>SUM(N152:N155)</f>
        <v>369.07265000000001</v>
      </c>
      <c r="O156" s="199">
        <v>0.2223</v>
      </c>
      <c r="P156" s="261">
        <f>N156*O156</f>
        <v>82.044850095000001</v>
      </c>
      <c r="Q156" s="261">
        <f>N156+P156</f>
        <v>451.11750009500003</v>
      </c>
      <c r="R156" s="198">
        <f>Q156*G156</f>
        <v>78369.485469003688</v>
      </c>
      <c r="S156" s="197" t="s">
        <v>4142</v>
      </c>
      <c r="T156" s="197" t="s">
        <v>4143</v>
      </c>
      <c r="U156" s="197" t="str">
        <f>IF(ABS(Q156-451.1175)&lt;=0.01,"FECHA COM PLANILHA","REVISAR")</f>
        <v>FECHA COM PLANILHA</v>
      </c>
      <c r="V156" s="197" t="s">
        <v>4144</v>
      </c>
    </row>
    <row r="157" spans="1:22" s="197" customFormat="1" x14ac:dyDescent="0.2">
      <c r="A157" s="197" t="s">
        <v>4145</v>
      </c>
      <c r="B157" s="197" t="s">
        <v>1969</v>
      </c>
      <c r="C157" s="197" t="s">
        <v>1970</v>
      </c>
      <c r="D157" s="197" t="s">
        <v>24</v>
      </c>
      <c r="E157" s="197" t="s">
        <v>918</v>
      </c>
      <c r="F157" s="197" t="s">
        <v>84</v>
      </c>
      <c r="G157" s="260">
        <v>1</v>
      </c>
      <c r="H157" s="197">
        <v>1</v>
      </c>
      <c r="I157" s="197" t="s">
        <v>3954</v>
      </c>
      <c r="J157" s="197" t="s">
        <v>3955</v>
      </c>
      <c r="K157" s="197" t="s">
        <v>1283</v>
      </c>
      <c r="L157" s="261">
        <v>0.14000000000000001</v>
      </c>
      <c r="M157" s="263">
        <v>63435.341160000004</v>
      </c>
      <c r="N157" s="263">
        <f>L157*M157</f>
        <v>8880.947762400001</v>
      </c>
      <c r="O157" s="199"/>
      <c r="P157" s="261"/>
      <c r="Q157" s="261"/>
      <c r="R157" s="198"/>
      <c r="S157" s="197" t="s">
        <v>4146</v>
      </c>
      <c r="T157" s="197" t="s">
        <v>4147</v>
      </c>
      <c r="U157" s="197" t="s">
        <v>3958</v>
      </c>
      <c r="V157" s="197" t="s">
        <v>3959</v>
      </c>
    </row>
    <row r="158" spans="1:22" s="197" customFormat="1" x14ac:dyDescent="0.2">
      <c r="A158" s="197" t="s">
        <v>4145</v>
      </c>
      <c r="B158" s="197" t="s">
        <v>1969</v>
      </c>
      <c r="C158" s="197" t="s">
        <v>1970</v>
      </c>
      <c r="D158" s="197" t="s">
        <v>24</v>
      </c>
      <c r="E158" s="197" t="s">
        <v>918</v>
      </c>
      <c r="F158" s="197" t="s">
        <v>84</v>
      </c>
      <c r="G158" s="260">
        <v>1</v>
      </c>
      <c r="H158" s="197">
        <v>2</v>
      </c>
      <c r="I158" s="197" t="s">
        <v>3960</v>
      </c>
      <c r="J158" s="197" t="s">
        <v>3961</v>
      </c>
      <c r="K158" s="197" t="s">
        <v>1283</v>
      </c>
      <c r="L158" s="261">
        <v>0.5</v>
      </c>
      <c r="M158" s="263">
        <v>63435.341160000004</v>
      </c>
      <c r="N158" s="263">
        <f>L158*M158</f>
        <v>31717.670580000002</v>
      </c>
      <c r="O158" s="199"/>
      <c r="P158" s="261"/>
      <c r="Q158" s="261"/>
      <c r="R158" s="198"/>
      <c r="S158" s="197" t="s">
        <v>4146</v>
      </c>
      <c r="T158" s="197" t="s">
        <v>4147</v>
      </c>
      <c r="U158" s="197" t="s">
        <v>3958</v>
      </c>
      <c r="V158" s="197" t="s">
        <v>3959</v>
      </c>
    </row>
    <row r="159" spans="1:22" s="197" customFormat="1" x14ac:dyDescent="0.2">
      <c r="A159" s="197" t="s">
        <v>4145</v>
      </c>
      <c r="B159" s="197" t="s">
        <v>1969</v>
      </c>
      <c r="C159" s="197" t="s">
        <v>1970</v>
      </c>
      <c r="D159" s="197" t="s">
        <v>24</v>
      </c>
      <c r="E159" s="197" t="s">
        <v>918</v>
      </c>
      <c r="F159" s="197" t="s">
        <v>84</v>
      </c>
      <c r="G159" s="260">
        <v>1</v>
      </c>
      <c r="H159" s="197">
        <v>3</v>
      </c>
      <c r="I159" s="197" t="s">
        <v>3962</v>
      </c>
      <c r="J159" s="197" t="s">
        <v>3963</v>
      </c>
      <c r="K159" s="197" t="s">
        <v>1283</v>
      </c>
      <c r="L159" s="261">
        <v>0.26</v>
      </c>
      <c r="M159" s="263">
        <v>63435.341160000004</v>
      </c>
      <c r="N159" s="263">
        <f>L159*M159</f>
        <v>16493.1887016</v>
      </c>
      <c r="O159" s="199"/>
      <c r="P159" s="261"/>
      <c r="Q159" s="261"/>
      <c r="R159" s="198"/>
      <c r="S159" s="197" t="s">
        <v>4146</v>
      </c>
      <c r="T159" s="197" t="s">
        <v>4147</v>
      </c>
      <c r="U159" s="197" t="s">
        <v>3958</v>
      </c>
      <c r="V159" s="197" t="s">
        <v>3959</v>
      </c>
    </row>
    <row r="160" spans="1:22" s="197" customFormat="1" x14ac:dyDescent="0.2">
      <c r="A160" s="197" t="s">
        <v>4145</v>
      </c>
      <c r="B160" s="197" t="s">
        <v>1969</v>
      </c>
      <c r="C160" s="197" t="s">
        <v>1970</v>
      </c>
      <c r="D160" s="197" t="s">
        <v>24</v>
      </c>
      <c r="E160" s="197" t="s">
        <v>918</v>
      </c>
      <c r="F160" s="197" t="s">
        <v>84</v>
      </c>
      <c r="G160" s="260">
        <v>1</v>
      </c>
      <c r="H160" s="197">
        <v>4</v>
      </c>
      <c r="I160" s="197" t="s">
        <v>3964</v>
      </c>
      <c r="J160" s="197" t="s">
        <v>3965</v>
      </c>
      <c r="K160" s="197" t="s">
        <v>1283</v>
      </c>
      <c r="L160" s="261">
        <v>7.0000000000000007E-2</v>
      </c>
      <c r="M160" s="263">
        <v>63435.341160000004</v>
      </c>
      <c r="N160" s="263">
        <f>L160*M160</f>
        <v>4440.4738812000005</v>
      </c>
      <c r="O160" s="199"/>
      <c r="P160" s="261"/>
      <c r="Q160" s="261"/>
      <c r="R160" s="198"/>
      <c r="S160" s="197" t="s">
        <v>4146</v>
      </c>
      <c r="T160" s="197" t="s">
        <v>4147</v>
      </c>
      <c r="U160" s="197" t="s">
        <v>3958</v>
      </c>
      <c r="V160" s="197" t="s">
        <v>3959</v>
      </c>
    </row>
    <row r="161" spans="1:22" s="197" customFormat="1" x14ac:dyDescent="0.2">
      <c r="A161" s="197" t="s">
        <v>4145</v>
      </c>
      <c r="B161" s="197" t="s">
        <v>1969</v>
      </c>
      <c r="C161" s="197" t="s">
        <v>1970</v>
      </c>
      <c r="D161" s="197" t="s">
        <v>24</v>
      </c>
      <c r="E161" s="197" t="s">
        <v>918</v>
      </c>
      <c r="F161" s="197" t="s">
        <v>84</v>
      </c>
      <c r="G161" s="260">
        <v>1</v>
      </c>
      <c r="H161" s="197">
        <v>5</v>
      </c>
      <c r="I161" s="197" t="s">
        <v>3966</v>
      </c>
      <c r="J161" s="197" t="s">
        <v>3967</v>
      </c>
      <c r="K161" s="197" t="s">
        <v>1283</v>
      </c>
      <c r="L161" s="261">
        <v>0.03</v>
      </c>
      <c r="M161" s="263">
        <v>63435.341160000004</v>
      </c>
      <c r="N161" s="263">
        <f>L161*M161</f>
        <v>1903.0602348</v>
      </c>
      <c r="O161" s="199"/>
      <c r="P161" s="261"/>
      <c r="Q161" s="261"/>
      <c r="R161" s="198"/>
      <c r="S161" s="197" t="s">
        <v>4146</v>
      </c>
      <c r="T161" s="197" t="s">
        <v>4147</v>
      </c>
      <c r="U161" s="197" t="s">
        <v>3958</v>
      </c>
      <c r="V161" s="197" t="s">
        <v>3959</v>
      </c>
    </row>
    <row r="162" spans="1:22" s="197" customFormat="1" x14ac:dyDescent="0.2">
      <c r="A162" s="197" t="s">
        <v>4145</v>
      </c>
      <c r="B162" s="197" t="s">
        <v>1969</v>
      </c>
      <c r="C162" s="197" t="s">
        <v>1970</v>
      </c>
      <c r="D162" s="197" t="s">
        <v>24</v>
      </c>
      <c r="E162" s="197" t="s">
        <v>918</v>
      </c>
      <c r="F162" s="197" t="s">
        <v>84</v>
      </c>
      <c r="G162" s="260">
        <v>1</v>
      </c>
      <c r="H162" s="197">
        <v>6</v>
      </c>
      <c r="I162" s="197" t="s">
        <v>3968</v>
      </c>
      <c r="J162" s="197" t="s">
        <v>3969</v>
      </c>
      <c r="K162" s="197" t="s">
        <v>84</v>
      </c>
      <c r="L162" s="261">
        <v>1</v>
      </c>
      <c r="M162" s="263"/>
      <c r="N162" s="263">
        <f>SUM(N157:N161)</f>
        <v>63435.341160000004</v>
      </c>
      <c r="O162" s="199">
        <v>0.2223</v>
      </c>
      <c r="P162" s="261">
        <f>N162*O162</f>
        <v>14101.676339868001</v>
      </c>
      <c r="Q162" s="261">
        <f>N162+P162</f>
        <v>77537.017499868001</v>
      </c>
      <c r="R162" s="198">
        <f>Q162*G162</f>
        <v>77537.017499868001</v>
      </c>
      <c r="S162" s="197" t="s">
        <v>4146</v>
      </c>
      <c r="T162" s="197" t="s">
        <v>4147</v>
      </c>
      <c r="U162" s="197" t="str">
        <f>IF(ABS(Q162-77537.0175)&lt;=0.01,"FECHA COM PLANILHA","REVISAR")</f>
        <v>FECHA COM PLANILHA</v>
      </c>
      <c r="V162" s="197" t="s">
        <v>4148</v>
      </c>
    </row>
    <row r="163" spans="1:22" s="197" customFormat="1" x14ac:dyDescent="0.2">
      <c r="A163" s="197" t="s">
        <v>4149</v>
      </c>
      <c r="B163" s="197" t="s">
        <v>392</v>
      </c>
      <c r="C163" s="197" t="s">
        <v>1485</v>
      </c>
      <c r="D163" s="197" t="s">
        <v>56</v>
      </c>
      <c r="E163" s="197" t="s">
        <v>1486</v>
      </c>
      <c r="F163" s="197" t="s">
        <v>26</v>
      </c>
      <c r="G163" s="260">
        <v>834.29499999999996</v>
      </c>
      <c r="H163" s="197">
        <v>1</v>
      </c>
      <c r="I163" s="197" t="s">
        <v>3954</v>
      </c>
      <c r="J163" s="197" t="s">
        <v>4049</v>
      </c>
      <c r="K163" s="197" t="s">
        <v>1283</v>
      </c>
      <c r="L163" s="261">
        <v>0.24</v>
      </c>
      <c r="M163" s="263">
        <v>73.705309999999997</v>
      </c>
      <c r="N163" s="263">
        <f>L163*M163</f>
        <v>17.689274399999999</v>
      </c>
      <c r="O163" s="199"/>
      <c r="P163" s="261"/>
      <c r="Q163" s="261"/>
      <c r="R163" s="198"/>
      <c r="S163" s="197" t="s">
        <v>4150</v>
      </c>
      <c r="T163" s="197" t="s">
        <v>4151</v>
      </c>
      <c r="U163" s="197" t="s">
        <v>3958</v>
      </c>
      <c r="V163" s="197" t="s">
        <v>3959</v>
      </c>
    </row>
    <row r="164" spans="1:22" s="197" customFormat="1" x14ac:dyDescent="0.2">
      <c r="A164" s="197" t="s">
        <v>4149</v>
      </c>
      <c r="B164" s="197" t="s">
        <v>392</v>
      </c>
      <c r="C164" s="197" t="s">
        <v>1485</v>
      </c>
      <c r="D164" s="197" t="s">
        <v>56</v>
      </c>
      <c r="E164" s="197" t="s">
        <v>1486</v>
      </c>
      <c r="F164" s="197" t="s">
        <v>26</v>
      </c>
      <c r="G164" s="260">
        <v>834.29499999999996</v>
      </c>
      <c r="H164" s="197">
        <v>2</v>
      </c>
      <c r="I164" s="197" t="s">
        <v>3960</v>
      </c>
      <c r="J164" s="197" t="s">
        <v>4052</v>
      </c>
      <c r="K164" s="197" t="s">
        <v>1283</v>
      </c>
      <c r="L164" s="261">
        <v>0.68</v>
      </c>
      <c r="M164" s="263">
        <v>73.705309999999997</v>
      </c>
      <c r="N164" s="263">
        <f>L164*M164</f>
        <v>50.119610800000004</v>
      </c>
      <c r="O164" s="199"/>
      <c r="P164" s="261"/>
      <c r="Q164" s="261"/>
      <c r="R164" s="198"/>
      <c r="S164" s="197" t="s">
        <v>4150</v>
      </c>
      <c r="T164" s="197" t="s">
        <v>4151</v>
      </c>
      <c r="U164" s="197" t="s">
        <v>3958</v>
      </c>
      <c r="V164" s="197" t="s">
        <v>3959</v>
      </c>
    </row>
    <row r="165" spans="1:22" s="197" customFormat="1" x14ac:dyDescent="0.2">
      <c r="A165" s="197" t="s">
        <v>4149</v>
      </c>
      <c r="B165" s="197" t="s">
        <v>392</v>
      </c>
      <c r="C165" s="197" t="s">
        <v>1485</v>
      </c>
      <c r="D165" s="197" t="s">
        <v>56</v>
      </c>
      <c r="E165" s="197" t="s">
        <v>1486</v>
      </c>
      <c r="F165" s="197" t="s">
        <v>26</v>
      </c>
      <c r="G165" s="260">
        <v>834.29499999999996</v>
      </c>
      <c r="H165" s="197">
        <v>3</v>
      </c>
      <c r="I165" s="197" t="s">
        <v>3976</v>
      </c>
      <c r="J165" s="197" t="s">
        <v>4053</v>
      </c>
      <c r="K165" s="197" t="s">
        <v>1283</v>
      </c>
      <c r="L165" s="261">
        <v>0.04</v>
      </c>
      <c r="M165" s="263">
        <v>73.705309999999997</v>
      </c>
      <c r="N165" s="263">
        <f>L165*M165</f>
        <v>2.9482124000000001</v>
      </c>
      <c r="O165" s="199"/>
      <c r="P165" s="261"/>
      <c r="Q165" s="261"/>
      <c r="R165" s="198"/>
      <c r="S165" s="197" t="s">
        <v>4150</v>
      </c>
      <c r="T165" s="197" t="s">
        <v>4151</v>
      </c>
      <c r="U165" s="197" t="s">
        <v>3958</v>
      </c>
      <c r="V165" s="197" t="s">
        <v>3959</v>
      </c>
    </row>
    <row r="166" spans="1:22" s="197" customFormat="1" x14ac:dyDescent="0.2">
      <c r="A166" s="197" t="s">
        <v>4149</v>
      </c>
      <c r="B166" s="197" t="s">
        <v>392</v>
      </c>
      <c r="C166" s="197" t="s">
        <v>1485</v>
      </c>
      <c r="D166" s="197" t="s">
        <v>56</v>
      </c>
      <c r="E166" s="197" t="s">
        <v>1486</v>
      </c>
      <c r="F166" s="197" t="s">
        <v>26</v>
      </c>
      <c r="G166" s="260">
        <v>834.29499999999996</v>
      </c>
      <c r="H166" s="197">
        <v>4</v>
      </c>
      <c r="I166" s="197" t="s">
        <v>4054</v>
      </c>
      <c r="J166" s="197" t="s">
        <v>4055</v>
      </c>
      <c r="K166" s="197" t="s">
        <v>1283</v>
      </c>
      <c r="L166" s="261">
        <v>0.04</v>
      </c>
      <c r="M166" s="263">
        <v>73.705309999999997</v>
      </c>
      <c r="N166" s="263">
        <f>L166*M166</f>
        <v>2.9482124000000001</v>
      </c>
      <c r="O166" s="199"/>
      <c r="P166" s="261"/>
      <c r="Q166" s="261"/>
      <c r="R166" s="198"/>
      <c r="S166" s="197" t="s">
        <v>4150</v>
      </c>
      <c r="T166" s="197" t="s">
        <v>4151</v>
      </c>
      <c r="U166" s="197" t="s">
        <v>3958</v>
      </c>
      <c r="V166" s="197" t="s">
        <v>3959</v>
      </c>
    </row>
    <row r="167" spans="1:22" s="197" customFormat="1" x14ac:dyDescent="0.2">
      <c r="A167" s="197" t="s">
        <v>4149</v>
      </c>
      <c r="B167" s="197" t="s">
        <v>392</v>
      </c>
      <c r="C167" s="197" t="s">
        <v>1485</v>
      </c>
      <c r="D167" s="197" t="s">
        <v>56</v>
      </c>
      <c r="E167" s="197" t="s">
        <v>1486</v>
      </c>
      <c r="F167" s="197" t="s">
        <v>26</v>
      </c>
      <c r="G167" s="260">
        <v>834.29499999999996</v>
      </c>
      <c r="H167" s="197">
        <v>5</v>
      </c>
      <c r="I167" s="197" t="s">
        <v>3968</v>
      </c>
      <c r="J167" s="197" t="s">
        <v>3969</v>
      </c>
      <c r="K167" s="197" t="s">
        <v>26</v>
      </c>
      <c r="L167" s="261">
        <v>1</v>
      </c>
      <c r="M167" s="263"/>
      <c r="N167" s="263">
        <f>SUM(N163:N166)</f>
        <v>73.705310000000011</v>
      </c>
      <c r="O167" s="199">
        <v>0.2223</v>
      </c>
      <c r="P167" s="261">
        <f>N167*O167</f>
        <v>16.384690413000001</v>
      </c>
      <c r="Q167" s="261">
        <f>N167+P167</f>
        <v>90.090000413000013</v>
      </c>
      <c r="R167" s="198">
        <f>Q167*G167</f>
        <v>75161.636894563839</v>
      </c>
      <c r="S167" s="197" t="s">
        <v>4150</v>
      </c>
      <c r="T167" s="197" t="s">
        <v>4151</v>
      </c>
      <c r="U167" s="197" t="str">
        <f>IF(ABS(Q167-90.09)&lt;=0.01,"FECHA COM PLANILHA","REVISAR")</f>
        <v>FECHA COM PLANILHA</v>
      </c>
      <c r="V167" s="197" t="s">
        <v>4152</v>
      </c>
    </row>
    <row r="168" spans="1:22" s="197" customFormat="1" x14ac:dyDescent="0.2">
      <c r="A168" s="197" t="s">
        <v>4153</v>
      </c>
      <c r="B168" s="197" t="s">
        <v>295</v>
      </c>
      <c r="C168" s="197" t="s">
        <v>1443</v>
      </c>
      <c r="D168" s="197" t="s">
        <v>56</v>
      </c>
      <c r="E168" s="197" t="s">
        <v>296</v>
      </c>
      <c r="F168" s="197" t="s">
        <v>26</v>
      </c>
      <c r="G168" s="260">
        <v>741.14700000000005</v>
      </c>
      <c r="H168" s="197">
        <v>1</v>
      </c>
      <c r="I168" s="197" t="s">
        <v>3954</v>
      </c>
      <c r="J168" s="197" t="s">
        <v>3982</v>
      </c>
      <c r="K168" s="197" t="s">
        <v>1283</v>
      </c>
      <c r="L168" s="261">
        <v>0.16</v>
      </c>
      <c r="M168" s="263">
        <v>82.712918000000002</v>
      </c>
      <c r="N168" s="263">
        <f>L168*M168</f>
        <v>13.23406688</v>
      </c>
      <c r="O168" s="199"/>
      <c r="P168" s="261"/>
      <c r="Q168" s="261"/>
      <c r="R168" s="198"/>
      <c r="S168" s="197" t="s">
        <v>4154</v>
      </c>
      <c r="T168" s="197" t="s">
        <v>4155</v>
      </c>
      <c r="U168" s="197" t="s">
        <v>3958</v>
      </c>
      <c r="V168" s="197" t="s">
        <v>3959</v>
      </c>
    </row>
    <row r="169" spans="1:22" s="197" customFormat="1" x14ac:dyDescent="0.2">
      <c r="A169" s="197" t="s">
        <v>4153</v>
      </c>
      <c r="B169" s="197" t="s">
        <v>295</v>
      </c>
      <c r="C169" s="197" t="s">
        <v>1443</v>
      </c>
      <c r="D169" s="197" t="s">
        <v>56</v>
      </c>
      <c r="E169" s="197" t="s">
        <v>296</v>
      </c>
      <c r="F169" s="197" t="s">
        <v>26</v>
      </c>
      <c r="G169" s="260">
        <v>741.14700000000005</v>
      </c>
      <c r="H169" s="197">
        <v>2</v>
      </c>
      <c r="I169" s="197" t="s">
        <v>3960</v>
      </c>
      <c r="J169" s="197" t="s">
        <v>3985</v>
      </c>
      <c r="K169" s="197" t="s">
        <v>1283</v>
      </c>
      <c r="L169" s="261">
        <v>0.64</v>
      </c>
      <c r="M169" s="263">
        <v>82.712918000000002</v>
      </c>
      <c r="N169" s="263">
        <f>L169*M169</f>
        <v>52.936267520000001</v>
      </c>
      <c r="O169" s="199"/>
      <c r="P169" s="261"/>
      <c r="Q169" s="261"/>
      <c r="R169" s="198"/>
      <c r="S169" s="197" t="s">
        <v>4154</v>
      </c>
      <c r="T169" s="197" t="s">
        <v>4155</v>
      </c>
      <c r="U169" s="197" t="s">
        <v>3958</v>
      </c>
      <c r="V169" s="197" t="s">
        <v>3959</v>
      </c>
    </row>
    <row r="170" spans="1:22" s="197" customFormat="1" x14ac:dyDescent="0.2">
      <c r="A170" s="197" t="s">
        <v>4153</v>
      </c>
      <c r="B170" s="197" t="s">
        <v>295</v>
      </c>
      <c r="C170" s="197" t="s">
        <v>1443</v>
      </c>
      <c r="D170" s="197" t="s">
        <v>56</v>
      </c>
      <c r="E170" s="197" t="s">
        <v>296</v>
      </c>
      <c r="F170" s="197" t="s">
        <v>26</v>
      </c>
      <c r="G170" s="260">
        <v>741.14700000000005</v>
      </c>
      <c r="H170" s="197">
        <v>3</v>
      </c>
      <c r="I170" s="197" t="s">
        <v>3962</v>
      </c>
      <c r="J170" s="197" t="s">
        <v>3986</v>
      </c>
      <c r="K170" s="197" t="s">
        <v>1283</v>
      </c>
      <c r="L170" s="261">
        <v>0.15</v>
      </c>
      <c r="M170" s="263">
        <v>82.712918000000002</v>
      </c>
      <c r="N170" s="263">
        <f>L170*M170</f>
        <v>12.4069377</v>
      </c>
      <c r="O170" s="199"/>
      <c r="P170" s="261"/>
      <c r="Q170" s="261"/>
      <c r="R170" s="198"/>
      <c r="S170" s="197" t="s">
        <v>4154</v>
      </c>
      <c r="T170" s="197" t="s">
        <v>4155</v>
      </c>
      <c r="U170" s="197" t="s">
        <v>3958</v>
      </c>
      <c r="V170" s="197" t="s">
        <v>3959</v>
      </c>
    </row>
    <row r="171" spans="1:22" s="197" customFormat="1" x14ac:dyDescent="0.2">
      <c r="A171" s="197" t="s">
        <v>4153</v>
      </c>
      <c r="B171" s="197" t="s">
        <v>295</v>
      </c>
      <c r="C171" s="197" t="s">
        <v>1443</v>
      </c>
      <c r="D171" s="197" t="s">
        <v>56</v>
      </c>
      <c r="E171" s="197" t="s">
        <v>296</v>
      </c>
      <c r="F171" s="197" t="s">
        <v>26</v>
      </c>
      <c r="G171" s="260">
        <v>741.14700000000005</v>
      </c>
      <c r="H171" s="197">
        <v>4</v>
      </c>
      <c r="I171" s="197" t="s">
        <v>3987</v>
      </c>
      <c r="J171" s="197" t="s">
        <v>3988</v>
      </c>
      <c r="K171" s="197" t="s">
        <v>1283</v>
      </c>
      <c r="L171" s="261">
        <v>0.05</v>
      </c>
      <c r="M171" s="263">
        <v>82.712918000000002</v>
      </c>
      <c r="N171" s="263">
        <f>L171*M171</f>
        <v>4.1356459000000001</v>
      </c>
      <c r="O171" s="199"/>
      <c r="P171" s="261"/>
      <c r="Q171" s="261"/>
      <c r="R171" s="198"/>
      <c r="S171" s="197" t="s">
        <v>4154</v>
      </c>
      <c r="T171" s="197" t="s">
        <v>4155</v>
      </c>
      <c r="U171" s="197" t="s">
        <v>3958</v>
      </c>
      <c r="V171" s="197" t="s">
        <v>3959</v>
      </c>
    </row>
    <row r="172" spans="1:22" s="197" customFormat="1" x14ac:dyDescent="0.2">
      <c r="A172" s="197" t="s">
        <v>4153</v>
      </c>
      <c r="B172" s="197" t="s">
        <v>295</v>
      </c>
      <c r="C172" s="197" t="s">
        <v>1443</v>
      </c>
      <c r="D172" s="197" t="s">
        <v>56</v>
      </c>
      <c r="E172" s="197" t="s">
        <v>296</v>
      </c>
      <c r="F172" s="197" t="s">
        <v>26</v>
      </c>
      <c r="G172" s="260">
        <v>741.14700000000005</v>
      </c>
      <c r="H172" s="197">
        <v>5</v>
      </c>
      <c r="I172" s="197" t="s">
        <v>3968</v>
      </c>
      <c r="J172" s="197" t="s">
        <v>3969</v>
      </c>
      <c r="K172" s="197" t="s">
        <v>26</v>
      </c>
      <c r="L172" s="261">
        <v>1</v>
      </c>
      <c r="M172" s="263"/>
      <c r="N172" s="263">
        <f>SUM(N168:N171)</f>
        <v>82.712918000000002</v>
      </c>
      <c r="O172" s="199">
        <v>0.2223</v>
      </c>
      <c r="P172" s="261">
        <f>N172*O172</f>
        <v>18.387081671400001</v>
      </c>
      <c r="Q172" s="261">
        <f>N172+P172</f>
        <v>101.0999996714</v>
      </c>
      <c r="R172" s="198">
        <f>Q172*G172</f>
        <v>74929.961456459103</v>
      </c>
      <c r="S172" s="197" t="s">
        <v>4154</v>
      </c>
      <c r="T172" s="197" t="s">
        <v>4155</v>
      </c>
      <c r="U172" s="197" t="str">
        <f>IF(ABS(Q172-101.1)&lt;=0.01,"FECHA COM PLANILHA","REVISAR")</f>
        <v>FECHA COM PLANILHA</v>
      </c>
      <c r="V172" s="197" t="s">
        <v>4156</v>
      </c>
    </row>
    <row r="173" spans="1:22" s="197" customFormat="1" x14ac:dyDescent="0.2">
      <c r="A173" s="197" t="s">
        <v>4157</v>
      </c>
      <c r="B173" s="197" t="s">
        <v>309</v>
      </c>
      <c r="C173" s="197" t="s">
        <v>310</v>
      </c>
      <c r="D173" s="197" t="s">
        <v>209</v>
      </c>
      <c r="E173" s="197" t="s">
        <v>311</v>
      </c>
      <c r="F173" s="197" t="s">
        <v>26</v>
      </c>
      <c r="G173" s="260">
        <v>638.43600000000004</v>
      </c>
      <c r="H173" s="197">
        <v>1</v>
      </c>
      <c r="I173" s="197" t="s">
        <v>3954</v>
      </c>
      <c r="J173" s="197" t="s">
        <v>4049</v>
      </c>
      <c r="K173" s="197" t="s">
        <v>1283</v>
      </c>
      <c r="L173" s="261">
        <v>0.24</v>
      </c>
      <c r="M173" s="263">
        <v>95.469605999999999</v>
      </c>
      <c r="N173" s="263">
        <f>L173*M173</f>
        <v>22.91270544</v>
      </c>
      <c r="O173" s="199"/>
      <c r="P173" s="261"/>
      <c r="Q173" s="261"/>
      <c r="R173" s="198"/>
      <c r="S173" s="197" t="s">
        <v>4158</v>
      </c>
      <c r="T173" s="197" t="s">
        <v>4159</v>
      </c>
      <c r="U173" s="197" t="s">
        <v>3958</v>
      </c>
      <c r="V173" s="197" t="s">
        <v>3959</v>
      </c>
    </row>
    <row r="174" spans="1:22" s="197" customFormat="1" x14ac:dyDescent="0.2">
      <c r="A174" s="197" t="s">
        <v>4157</v>
      </c>
      <c r="B174" s="197" t="s">
        <v>309</v>
      </c>
      <c r="C174" s="197" t="s">
        <v>310</v>
      </c>
      <c r="D174" s="197" t="s">
        <v>209</v>
      </c>
      <c r="E174" s="197" t="s">
        <v>311</v>
      </c>
      <c r="F174" s="197" t="s">
        <v>26</v>
      </c>
      <c r="G174" s="260">
        <v>638.43600000000004</v>
      </c>
      <c r="H174" s="197">
        <v>2</v>
      </c>
      <c r="I174" s="197" t="s">
        <v>3960</v>
      </c>
      <c r="J174" s="197" t="s">
        <v>4052</v>
      </c>
      <c r="K174" s="197" t="s">
        <v>1283</v>
      </c>
      <c r="L174" s="261">
        <v>0.68</v>
      </c>
      <c r="M174" s="263">
        <v>95.469605999999999</v>
      </c>
      <c r="N174" s="263">
        <f>L174*M174</f>
        <v>64.919332080000004</v>
      </c>
      <c r="O174" s="199"/>
      <c r="P174" s="261"/>
      <c r="Q174" s="261"/>
      <c r="R174" s="198"/>
      <c r="S174" s="197" t="s">
        <v>4158</v>
      </c>
      <c r="T174" s="197" t="s">
        <v>4159</v>
      </c>
      <c r="U174" s="197" t="s">
        <v>3958</v>
      </c>
      <c r="V174" s="197" t="s">
        <v>3959</v>
      </c>
    </row>
    <row r="175" spans="1:22" s="197" customFormat="1" x14ac:dyDescent="0.2">
      <c r="A175" s="197" t="s">
        <v>4157</v>
      </c>
      <c r="B175" s="197" t="s">
        <v>309</v>
      </c>
      <c r="C175" s="197" t="s">
        <v>310</v>
      </c>
      <c r="D175" s="197" t="s">
        <v>209</v>
      </c>
      <c r="E175" s="197" t="s">
        <v>311</v>
      </c>
      <c r="F175" s="197" t="s">
        <v>26</v>
      </c>
      <c r="G175" s="260">
        <v>638.43600000000004</v>
      </c>
      <c r="H175" s="197">
        <v>3</v>
      </c>
      <c r="I175" s="197" t="s">
        <v>3976</v>
      </c>
      <c r="J175" s="197" t="s">
        <v>4053</v>
      </c>
      <c r="K175" s="197" t="s">
        <v>1283</v>
      </c>
      <c r="L175" s="261">
        <v>0.04</v>
      </c>
      <c r="M175" s="263">
        <v>95.469605999999999</v>
      </c>
      <c r="N175" s="263">
        <f>L175*M175</f>
        <v>3.8187842399999998</v>
      </c>
      <c r="O175" s="199"/>
      <c r="P175" s="261"/>
      <c r="Q175" s="261"/>
      <c r="R175" s="198"/>
      <c r="S175" s="197" t="s">
        <v>4158</v>
      </c>
      <c r="T175" s="197" t="s">
        <v>4159</v>
      </c>
      <c r="U175" s="197" t="s">
        <v>3958</v>
      </c>
      <c r="V175" s="197" t="s">
        <v>3959</v>
      </c>
    </row>
    <row r="176" spans="1:22" s="197" customFormat="1" x14ac:dyDescent="0.2">
      <c r="A176" s="197" t="s">
        <v>4157</v>
      </c>
      <c r="B176" s="197" t="s">
        <v>309</v>
      </c>
      <c r="C176" s="197" t="s">
        <v>310</v>
      </c>
      <c r="D176" s="197" t="s">
        <v>209</v>
      </c>
      <c r="E176" s="197" t="s">
        <v>311</v>
      </c>
      <c r="F176" s="197" t="s">
        <v>26</v>
      </c>
      <c r="G176" s="260">
        <v>638.43600000000004</v>
      </c>
      <c r="H176" s="197">
        <v>4</v>
      </c>
      <c r="I176" s="197" t="s">
        <v>4054</v>
      </c>
      <c r="J176" s="197" t="s">
        <v>4055</v>
      </c>
      <c r="K176" s="197" t="s">
        <v>1283</v>
      </c>
      <c r="L176" s="261">
        <v>0.04</v>
      </c>
      <c r="M176" s="263">
        <v>95.469605999999999</v>
      </c>
      <c r="N176" s="263">
        <f>L176*M176</f>
        <v>3.8187842399999998</v>
      </c>
      <c r="O176" s="199"/>
      <c r="P176" s="261"/>
      <c r="Q176" s="261"/>
      <c r="R176" s="198"/>
      <c r="S176" s="197" t="s">
        <v>4158</v>
      </c>
      <c r="T176" s="197" t="s">
        <v>4159</v>
      </c>
      <c r="U176" s="197" t="s">
        <v>3958</v>
      </c>
      <c r="V176" s="197" t="s">
        <v>3959</v>
      </c>
    </row>
    <row r="177" spans="1:22" s="197" customFormat="1" x14ac:dyDescent="0.2">
      <c r="A177" s="197" t="s">
        <v>4157</v>
      </c>
      <c r="B177" s="197" t="s">
        <v>309</v>
      </c>
      <c r="C177" s="197" t="s">
        <v>310</v>
      </c>
      <c r="D177" s="197" t="s">
        <v>209</v>
      </c>
      <c r="E177" s="197" t="s">
        <v>311</v>
      </c>
      <c r="F177" s="197" t="s">
        <v>26</v>
      </c>
      <c r="G177" s="260">
        <v>638.43600000000004</v>
      </c>
      <c r="H177" s="197">
        <v>5</v>
      </c>
      <c r="I177" s="197" t="s">
        <v>3968</v>
      </c>
      <c r="J177" s="197" t="s">
        <v>3969</v>
      </c>
      <c r="K177" s="197" t="s">
        <v>26</v>
      </c>
      <c r="L177" s="261">
        <v>1</v>
      </c>
      <c r="M177" s="263"/>
      <c r="N177" s="263">
        <f>SUM(N173:N176)</f>
        <v>95.469605999999999</v>
      </c>
      <c r="O177" s="199">
        <v>0.2223</v>
      </c>
      <c r="P177" s="261">
        <f>N177*O177</f>
        <v>21.222893413799998</v>
      </c>
      <c r="Q177" s="261">
        <f>N177+P177</f>
        <v>116.69249941379999</v>
      </c>
      <c r="R177" s="198">
        <f>Q177*G177</f>
        <v>74500.692555748814</v>
      </c>
      <c r="S177" s="197" t="s">
        <v>4158</v>
      </c>
      <c r="T177" s="197" t="s">
        <v>4159</v>
      </c>
      <c r="U177" s="197" t="str">
        <f>IF(ABS(Q177-116.6925)&lt;=0.01,"FECHA COM PLANILHA","REVISAR")</f>
        <v>FECHA COM PLANILHA</v>
      </c>
      <c r="V177" s="197" t="s">
        <v>4160</v>
      </c>
    </row>
    <row r="178" spans="1:22" s="197" customFormat="1" x14ac:dyDescent="0.2">
      <c r="A178" s="197" t="s">
        <v>4161</v>
      </c>
      <c r="B178" s="197" t="s">
        <v>345</v>
      </c>
      <c r="C178" s="197" t="s">
        <v>346</v>
      </c>
      <c r="D178" s="197" t="s">
        <v>209</v>
      </c>
      <c r="E178" s="197" t="s">
        <v>1462</v>
      </c>
      <c r="F178" s="197" t="s">
        <v>26</v>
      </c>
      <c r="G178" s="260">
        <v>135.49</v>
      </c>
      <c r="H178" s="197">
        <v>1</v>
      </c>
      <c r="I178" s="197" t="s">
        <v>3954</v>
      </c>
      <c r="J178" s="197" t="s">
        <v>3982</v>
      </c>
      <c r="K178" s="197" t="s">
        <v>1283</v>
      </c>
      <c r="L178" s="261">
        <v>0.16</v>
      </c>
      <c r="M178" s="263">
        <v>447.85240900000002</v>
      </c>
      <c r="N178" s="263">
        <f>L178*M178</f>
        <v>71.656385440000008</v>
      </c>
      <c r="O178" s="199"/>
      <c r="P178" s="261"/>
      <c r="Q178" s="261"/>
      <c r="R178" s="198"/>
      <c r="S178" s="197" t="s">
        <v>4162</v>
      </c>
      <c r="T178" s="197" t="s">
        <v>4163</v>
      </c>
      <c r="U178" s="197" t="s">
        <v>3958</v>
      </c>
      <c r="V178" s="197" t="s">
        <v>3959</v>
      </c>
    </row>
    <row r="179" spans="1:22" s="197" customFormat="1" x14ac:dyDescent="0.2">
      <c r="A179" s="197" t="s">
        <v>4161</v>
      </c>
      <c r="B179" s="197" t="s">
        <v>345</v>
      </c>
      <c r="C179" s="197" t="s">
        <v>346</v>
      </c>
      <c r="D179" s="197" t="s">
        <v>209</v>
      </c>
      <c r="E179" s="197" t="s">
        <v>1462</v>
      </c>
      <c r="F179" s="197" t="s">
        <v>26</v>
      </c>
      <c r="G179" s="260">
        <v>135.49</v>
      </c>
      <c r="H179" s="197">
        <v>2</v>
      </c>
      <c r="I179" s="197" t="s">
        <v>3960</v>
      </c>
      <c r="J179" s="197" t="s">
        <v>3985</v>
      </c>
      <c r="K179" s="197" t="s">
        <v>1283</v>
      </c>
      <c r="L179" s="261">
        <v>0.64</v>
      </c>
      <c r="M179" s="263">
        <v>447.85240900000002</v>
      </c>
      <c r="N179" s="263">
        <f>L179*M179</f>
        <v>286.62554176000003</v>
      </c>
      <c r="O179" s="199"/>
      <c r="P179" s="261"/>
      <c r="Q179" s="261"/>
      <c r="R179" s="198"/>
      <c r="S179" s="197" t="s">
        <v>4162</v>
      </c>
      <c r="T179" s="197" t="s">
        <v>4163</v>
      </c>
      <c r="U179" s="197" t="s">
        <v>3958</v>
      </c>
      <c r="V179" s="197" t="s">
        <v>3959</v>
      </c>
    </row>
    <row r="180" spans="1:22" s="197" customFormat="1" x14ac:dyDescent="0.2">
      <c r="A180" s="197" t="s">
        <v>4161</v>
      </c>
      <c r="B180" s="197" t="s">
        <v>345</v>
      </c>
      <c r="C180" s="197" t="s">
        <v>346</v>
      </c>
      <c r="D180" s="197" t="s">
        <v>209</v>
      </c>
      <c r="E180" s="197" t="s">
        <v>1462</v>
      </c>
      <c r="F180" s="197" t="s">
        <v>26</v>
      </c>
      <c r="G180" s="260">
        <v>135.49</v>
      </c>
      <c r="H180" s="197">
        <v>3</v>
      </c>
      <c r="I180" s="197" t="s">
        <v>3962</v>
      </c>
      <c r="J180" s="197" t="s">
        <v>3986</v>
      </c>
      <c r="K180" s="197" t="s">
        <v>1283</v>
      </c>
      <c r="L180" s="261">
        <v>0.15</v>
      </c>
      <c r="M180" s="263">
        <v>447.85240900000002</v>
      </c>
      <c r="N180" s="263">
        <f>L180*M180</f>
        <v>67.177861350000001</v>
      </c>
      <c r="O180" s="199"/>
      <c r="P180" s="261"/>
      <c r="Q180" s="261"/>
      <c r="R180" s="198"/>
      <c r="S180" s="197" t="s">
        <v>4162</v>
      </c>
      <c r="T180" s="197" t="s">
        <v>4163</v>
      </c>
      <c r="U180" s="197" t="s">
        <v>3958</v>
      </c>
      <c r="V180" s="197" t="s">
        <v>3959</v>
      </c>
    </row>
    <row r="181" spans="1:22" s="197" customFormat="1" x14ac:dyDescent="0.2">
      <c r="A181" s="197" t="s">
        <v>4161</v>
      </c>
      <c r="B181" s="197" t="s">
        <v>345</v>
      </c>
      <c r="C181" s="197" t="s">
        <v>346</v>
      </c>
      <c r="D181" s="197" t="s">
        <v>209</v>
      </c>
      <c r="E181" s="197" t="s">
        <v>1462</v>
      </c>
      <c r="F181" s="197" t="s">
        <v>26</v>
      </c>
      <c r="G181" s="260">
        <v>135.49</v>
      </c>
      <c r="H181" s="197">
        <v>4</v>
      </c>
      <c r="I181" s="197" t="s">
        <v>3987</v>
      </c>
      <c r="J181" s="197" t="s">
        <v>3988</v>
      </c>
      <c r="K181" s="197" t="s">
        <v>1283</v>
      </c>
      <c r="L181" s="261">
        <v>0.05</v>
      </c>
      <c r="M181" s="263">
        <v>447.85240900000002</v>
      </c>
      <c r="N181" s="263">
        <f>L181*M181</f>
        <v>22.392620450000003</v>
      </c>
      <c r="O181" s="199"/>
      <c r="P181" s="261"/>
      <c r="Q181" s="261"/>
      <c r="R181" s="198"/>
      <c r="S181" s="197" t="s">
        <v>4162</v>
      </c>
      <c r="T181" s="197" t="s">
        <v>4163</v>
      </c>
      <c r="U181" s="197" t="s">
        <v>3958</v>
      </c>
      <c r="V181" s="197" t="s">
        <v>3959</v>
      </c>
    </row>
    <row r="182" spans="1:22" s="197" customFormat="1" x14ac:dyDescent="0.2">
      <c r="A182" s="197" t="s">
        <v>4161</v>
      </c>
      <c r="B182" s="197" t="s">
        <v>345</v>
      </c>
      <c r="C182" s="197" t="s">
        <v>346</v>
      </c>
      <c r="D182" s="197" t="s">
        <v>209</v>
      </c>
      <c r="E182" s="197" t="s">
        <v>1462</v>
      </c>
      <c r="F182" s="197" t="s">
        <v>26</v>
      </c>
      <c r="G182" s="260">
        <v>135.49</v>
      </c>
      <c r="H182" s="197">
        <v>5</v>
      </c>
      <c r="I182" s="197" t="s">
        <v>3968</v>
      </c>
      <c r="J182" s="197" t="s">
        <v>3969</v>
      </c>
      <c r="K182" s="197" t="s">
        <v>26</v>
      </c>
      <c r="L182" s="261">
        <v>1</v>
      </c>
      <c r="M182" s="263"/>
      <c r="N182" s="263">
        <f>SUM(N178:N181)</f>
        <v>447.85240900000002</v>
      </c>
      <c r="O182" s="199">
        <v>0.2223</v>
      </c>
      <c r="P182" s="261">
        <f>N182*O182</f>
        <v>99.557590520700003</v>
      </c>
      <c r="Q182" s="261">
        <f>N182+P182</f>
        <v>547.40999952070001</v>
      </c>
      <c r="R182" s="198">
        <f>Q182*G182</f>
        <v>74168.580835059649</v>
      </c>
      <c r="S182" s="197" t="s">
        <v>4162</v>
      </c>
      <c r="T182" s="197" t="s">
        <v>4163</v>
      </c>
      <c r="U182" s="197" t="str">
        <f>IF(ABS(Q182-547.41)&lt;=0.01,"FECHA COM PLANILHA","REVISAR")</f>
        <v>FECHA COM PLANILHA</v>
      </c>
      <c r="V182" s="197" t="s">
        <v>4164</v>
      </c>
    </row>
    <row r="183" spans="1:22" s="197" customFormat="1" x14ac:dyDescent="0.2">
      <c r="A183" s="197" t="s">
        <v>4165</v>
      </c>
      <c r="B183" s="197" t="s">
        <v>2038</v>
      </c>
      <c r="C183" s="197" t="s">
        <v>2039</v>
      </c>
      <c r="D183" s="197" t="s">
        <v>56</v>
      </c>
      <c r="E183" s="197" t="s">
        <v>966</v>
      </c>
      <c r="F183" s="197" t="s">
        <v>99</v>
      </c>
      <c r="G183" s="260">
        <v>9877.1</v>
      </c>
      <c r="H183" s="197">
        <v>1</v>
      </c>
      <c r="I183" s="197" t="s">
        <v>3954</v>
      </c>
      <c r="J183" s="197" t="s">
        <v>3972</v>
      </c>
      <c r="K183" s="197" t="s">
        <v>1283</v>
      </c>
      <c r="L183" s="261">
        <v>0.18</v>
      </c>
      <c r="M183" s="263">
        <v>5.7555430000000003</v>
      </c>
      <c r="N183" s="263">
        <f>L183*M183</f>
        <v>1.03599774</v>
      </c>
      <c r="O183" s="199"/>
      <c r="P183" s="261"/>
      <c r="Q183" s="261"/>
      <c r="R183" s="198"/>
      <c r="S183" s="197" t="s">
        <v>4166</v>
      </c>
      <c r="T183" s="197" t="s">
        <v>4167</v>
      </c>
      <c r="U183" s="197" t="s">
        <v>3958</v>
      </c>
      <c r="V183" s="197" t="s">
        <v>3959</v>
      </c>
    </row>
    <row r="184" spans="1:22" s="197" customFormat="1" x14ac:dyDescent="0.2">
      <c r="A184" s="197" t="s">
        <v>4165</v>
      </c>
      <c r="B184" s="197" t="s">
        <v>2038</v>
      </c>
      <c r="C184" s="197" t="s">
        <v>2039</v>
      </c>
      <c r="D184" s="197" t="s">
        <v>56</v>
      </c>
      <c r="E184" s="197" t="s">
        <v>966</v>
      </c>
      <c r="F184" s="197" t="s">
        <v>99</v>
      </c>
      <c r="G184" s="260">
        <v>9877.1</v>
      </c>
      <c r="H184" s="197">
        <v>2</v>
      </c>
      <c r="I184" s="197" t="s">
        <v>3960</v>
      </c>
      <c r="J184" s="197" t="s">
        <v>3975</v>
      </c>
      <c r="K184" s="197" t="s">
        <v>1283</v>
      </c>
      <c r="L184" s="261">
        <v>0.75</v>
      </c>
      <c r="M184" s="263">
        <v>5.7555430000000003</v>
      </c>
      <c r="N184" s="263">
        <f>L184*M184</f>
        <v>4.3166572500000004</v>
      </c>
      <c r="O184" s="199"/>
      <c r="P184" s="261"/>
      <c r="Q184" s="261"/>
      <c r="R184" s="198"/>
      <c r="S184" s="197" t="s">
        <v>4166</v>
      </c>
      <c r="T184" s="197" t="s">
        <v>4167</v>
      </c>
      <c r="U184" s="197" t="s">
        <v>3958</v>
      </c>
      <c r="V184" s="197" t="s">
        <v>3959</v>
      </c>
    </row>
    <row r="185" spans="1:22" s="197" customFormat="1" x14ac:dyDescent="0.2">
      <c r="A185" s="197" t="s">
        <v>4165</v>
      </c>
      <c r="B185" s="197" t="s">
        <v>2038</v>
      </c>
      <c r="C185" s="197" t="s">
        <v>2039</v>
      </c>
      <c r="D185" s="197" t="s">
        <v>56</v>
      </c>
      <c r="E185" s="197" t="s">
        <v>966</v>
      </c>
      <c r="F185" s="197" t="s">
        <v>99</v>
      </c>
      <c r="G185" s="260">
        <v>9877.1</v>
      </c>
      <c r="H185" s="197">
        <v>3</v>
      </c>
      <c r="I185" s="197" t="s">
        <v>3976</v>
      </c>
      <c r="J185" s="197" t="s">
        <v>3977</v>
      </c>
      <c r="K185" s="197" t="s">
        <v>1283</v>
      </c>
      <c r="L185" s="261">
        <v>0.04</v>
      </c>
      <c r="M185" s="263">
        <v>5.7555430000000003</v>
      </c>
      <c r="N185" s="263">
        <f>L185*M185</f>
        <v>0.23022172000000002</v>
      </c>
      <c r="O185" s="199"/>
      <c r="P185" s="261"/>
      <c r="Q185" s="261"/>
      <c r="R185" s="198"/>
      <c r="S185" s="197" t="s">
        <v>4166</v>
      </c>
      <c r="T185" s="197" t="s">
        <v>4167</v>
      </c>
      <c r="U185" s="197" t="s">
        <v>3958</v>
      </c>
      <c r="V185" s="197" t="s">
        <v>3959</v>
      </c>
    </row>
    <row r="186" spans="1:22" s="197" customFormat="1" x14ac:dyDescent="0.2">
      <c r="A186" s="197" t="s">
        <v>4165</v>
      </c>
      <c r="B186" s="197" t="s">
        <v>2038</v>
      </c>
      <c r="C186" s="197" t="s">
        <v>2039</v>
      </c>
      <c r="D186" s="197" t="s">
        <v>56</v>
      </c>
      <c r="E186" s="197" t="s">
        <v>966</v>
      </c>
      <c r="F186" s="197" t="s">
        <v>99</v>
      </c>
      <c r="G186" s="260">
        <v>9877.1</v>
      </c>
      <c r="H186" s="197">
        <v>4</v>
      </c>
      <c r="I186" s="197" t="s">
        <v>3978</v>
      </c>
      <c r="J186" s="197" t="s">
        <v>3979</v>
      </c>
      <c r="K186" s="197" t="s">
        <v>1283</v>
      </c>
      <c r="L186" s="261">
        <v>0.03</v>
      </c>
      <c r="M186" s="263">
        <v>5.7555430000000003</v>
      </c>
      <c r="N186" s="263">
        <f>L186*M186</f>
        <v>0.17266629</v>
      </c>
      <c r="O186" s="199"/>
      <c r="P186" s="261"/>
      <c r="Q186" s="261"/>
      <c r="R186" s="198"/>
      <c r="S186" s="197" t="s">
        <v>4166</v>
      </c>
      <c r="T186" s="197" t="s">
        <v>4167</v>
      </c>
      <c r="U186" s="197" t="s">
        <v>3958</v>
      </c>
      <c r="V186" s="197" t="s">
        <v>3959</v>
      </c>
    </row>
    <row r="187" spans="1:22" s="197" customFormat="1" x14ac:dyDescent="0.2">
      <c r="A187" s="197" t="s">
        <v>4165</v>
      </c>
      <c r="B187" s="197" t="s">
        <v>2038</v>
      </c>
      <c r="C187" s="197" t="s">
        <v>2039</v>
      </c>
      <c r="D187" s="197" t="s">
        <v>56</v>
      </c>
      <c r="E187" s="197" t="s">
        <v>966</v>
      </c>
      <c r="F187" s="197" t="s">
        <v>99</v>
      </c>
      <c r="G187" s="260">
        <v>9877.1</v>
      </c>
      <c r="H187" s="197">
        <v>5</v>
      </c>
      <c r="I187" s="197" t="s">
        <v>3968</v>
      </c>
      <c r="J187" s="197" t="s">
        <v>3969</v>
      </c>
      <c r="K187" s="197" t="s">
        <v>99</v>
      </c>
      <c r="L187" s="261">
        <v>1</v>
      </c>
      <c r="M187" s="263"/>
      <c r="N187" s="263">
        <f>SUM(N183:N186)</f>
        <v>5.7555430000000012</v>
      </c>
      <c r="O187" s="199">
        <v>0.2223</v>
      </c>
      <c r="P187" s="261">
        <f>N187*O187</f>
        <v>1.2794572089000003</v>
      </c>
      <c r="Q187" s="261">
        <f>N187+P187</f>
        <v>7.0350002089000014</v>
      </c>
      <c r="R187" s="198">
        <f>Q187*G187</f>
        <v>69485.400563326213</v>
      </c>
      <c r="S187" s="197" t="s">
        <v>4166</v>
      </c>
      <c r="T187" s="197" t="s">
        <v>4167</v>
      </c>
      <c r="U187" s="197" t="str">
        <f>IF(ABS(Q187-7.035)&lt;=0.01,"FECHA COM PLANILHA","REVISAR")</f>
        <v>FECHA COM PLANILHA</v>
      </c>
      <c r="V187" s="197" t="s">
        <v>4168</v>
      </c>
    </row>
    <row r="188" spans="1:22" s="197" customFormat="1" x14ac:dyDescent="0.2">
      <c r="A188" s="197" t="s">
        <v>4169</v>
      </c>
      <c r="B188" s="197" t="s">
        <v>197</v>
      </c>
      <c r="C188" s="197" t="s">
        <v>1394</v>
      </c>
      <c r="D188" s="197" t="s">
        <v>56</v>
      </c>
      <c r="E188" s="197" t="s">
        <v>198</v>
      </c>
      <c r="F188" s="197" t="s">
        <v>26</v>
      </c>
      <c r="G188" s="260">
        <v>680.04700000000003</v>
      </c>
      <c r="H188" s="197">
        <v>1</v>
      </c>
      <c r="I188" s="197" t="s">
        <v>3954</v>
      </c>
      <c r="J188" s="197" t="s">
        <v>3991</v>
      </c>
      <c r="K188" s="197" t="s">
        <v>1283</v>
      </c>
      <c r="L188" s="261">
        <v>0.34</v>
      </c>
      <c r="M188" s="263">
        <v>83.590361999999999</v>
      </c>
      <c r="N188" s="263">
        <f>L188*M188</f>
        <v>28.420723080000002</v>
      </c>
      <c r="O188" s="199"/>
      <c r="P188" s="261"/>
      <c r="Q188" s="261"/>
      <c r="R188" s="198"/>
      <c r="S188" s="197" t="s">
        <v>4170</v>
      </c>
      <c r="T188" s="197" t="s">
        <v>4171</v>
      </c>
      <c r="U188" s="197" t="s">
        <v>3958</v>
      </c>
      <c r="V188" s="197" t="s">
        <v>3959</v>
      </c>
    </row>
    <row r="189" spans="1:22" s="197" customFormat="1" x14ac:dyDescent="0.2">
      <c r="A189" s="197" t="s">
        <v>4169</v>
      </c>
      <c r="B189" s="197" t="s">
        <v>197</v>
      </c>
      <c r="C189" s="197" t="s">
        <v>1394</v>
      </c>
      <c r="D189" s="197" t="s">
        <v>56</v>
      </c>
      <c r="E189" s="197" t="s">
        <v>198</v>
      </c>
      <c r="F189" s="197" t="s">
        <v>26</v>
      </c>
      <c r="G189" s="260">
        <v>680.04700000000003</v>
      </c>
      <c r="H189" s="197">
        <v>2</v>
      </c>
      <c r="I189" s="197" t="s">
        <v>3960</v>
      </c>
      <c r="J189" s="197" t="s">
        <v>3994</v>
      </c>
      <c r="K189" s="197" t="s">
        <v>1283</v>
      </c>
      <c r="L189" s="261">
        <v>0.54</v>
      </c>
      <c r="M189" s="263">
        <v>83.590361999999999</v>
      </c>
      <c r="N189" s="263">
        <f>L189*M189</f>
        <v>45.138795479999999</v>
      </c>
      <c r="O189" s="199"/>
      <c r="P189" s="261"/>
      <c r="Q189" s="261"/>
      <c r="R189" s="198"/>
      <c r="S189" s="197" t="s">
        <v>4170</v>
      </c>
      <c r="T189" s="197" t="s">
        <v>4171</v>
      </c>
      <c r="U189" s="197" t="s">
        <v>3958</v>
      </c>
      <c r="V189" s="197" t="s">
        <v>3959</v>
      </c>
    </row>
    <row r="190" spans="1:22" s="197" customFormat="1" x14ac:dyDescent="0.2">
      <c r="A190" s="197" t="s">
        <v>4169</v>
      </c>
      <c r="B190" s="197" t="s">
        <v>197</v>
      </c>
      <c r="C190" s="197" t="s">
        <v>1394</v>
      </c>
      <c r="D190" s="197" t="s">
        <v>56</v>
      </c>
      <c r="E190" s="197" t="s">
        <v>198</v>
      </c>
      <c r="F190" s="197" t="s">
        <v>26</v>
      </c>
      <c r="G190" s="260">
        <v>680.04700000000003</v>
      </c>
      <c r="H190" s="197">
        <v>3</v>
      </c>
      <c r="I190" s="197" t="s">
        <v>3962</v>
      </c>
      <c r="J190" s="197" t="s">
        <v>3995</v>
      </c>
      <c r="K190" s="197" t="s">
        <v>1283</v>
      </c>
      <c r="L190" s="261">
        <v>0.08</v>
      </c>
      <c r="M190" s="263">
        <v>83.590361999999999</v>
      </c>
      <c r="N190" s="263">
        <f>L190*M190</f>
        <v>6.6872289599999997</v>
      </c>
      <c r="O190" s="199"/>
      <c r="P190" s="261"/>
      <c r="Q190" s="261"/>
      <c r="R190" s="198"/>
      <c r="S190" s="197" t="s">
        <v>4170</v>
      </c>
      <c r="T190" s="197" t="s">
        <v>4171</v>
      </c>
      <c r="U190" s="197" t="s">
        <v>3958</v>
      </c>
      <c r="V190" s="197" t="s">
        <v>3959</v>
      </c>
    </row>
    <row r="191" spans="1:22" s="197" customFormat="1" x14ac:dyDescent="0.2">
      <c r="A191" s="197" t="s">
        <v>4169</v>
      </c>
      <c r="B191" s="197" t="s">
        <v>197</v>
      </c>
      <c r="C191" s="197" t="s">
        <v>1394</v>
      </c>
      <c r="D191" s="197" t="s">
        <v>56</v>
      </c>
      <c r="E191" s="197" t="s">
        <v>198</v>
      </c>
      <c r="F191" s="197" t="s">
        <v>26</v>
      </c>
      <c r="G191" s="260">
        <v>680.04700000000003</v>
      </c>
      <c r="H191" s="197">
        <v>4</v>
      </c>
      <c r="I191" s="197" t="s">
        <v>3966</v>
      </c>
      <c r="J191" s="197" t="s">
        <v>3996</v>
      </c>
      <c r="K191" s="197" t="s">
        <v>1283</v>
      </c>
      <c r="L191" s="261">
        <v>0.04</v>
      </c>
      <c r="M191" s="263">
        <v>83.590361999999999</v>
      </c>
      <c r="N191" s="263">
        <f>L191*M191</f>
        <v>3.3436144799999998</v>
      </c>
      <c r="O191" s="199"/>
      <c r="P191" s="261"/>
      <c r="Q191" s="261"/>
      <c r="R191" s="198"/>
      <c r="S191" s="197" t="s">
        <v>4170</v>
      </c>
      <c r="T191" s="197" t="s">
        <v>4171</v>
      </c>
      <c r="U191" s="197" t="s">
        <v>3958</v>
      </c>
      <c r="V191" s="197" t="s">
        <v>3959</v>
      </c>
    </row>
    <row r="192" spans="1:22" s="197" customFormat="1" x14ac:dyDescent="0.2">
      <c r="A192" s="197" t="s">
        <v>4169</v>
      </c>
      <c r="B192" s="197" t="s">
        <v>197</v>
      </c>
      <c r="C192" s="197" t="s">
        <v>1394</v>
      </c>
      <c r="D192" s="197" t="s">
        <v>56</v>
      </c>
      <c r="E192" s="197" t="s">
        <v>198</v>
      </c>
      <c r="F192" s="197" t="s">
        <v>26</v>
      </c>
      <c r="G192" s="260">
        <v>680.04700000000003</v>
      </c>
      <c r="H192" s="197">
        <v>5</v>
      </c>
      <c r="I192" s="197" t="s">
        <v>3968</v>
      </c>
      <c r="J192" s="197" t="s">
        <v>3969</v>
      </c>
      <c r="K192" s="197" t="s">
        <v>26</v>
      </c>
      <c r="L192" s="261">
        <v>1</v>
      </c>
      <c r="M192" s="263"/>
      <c r="N192" s="263">
        <f>SUM(N188:N191)</f>
        <v>83.590361999999999</v>
      </c>
      <c r="O192" s="199">
        <v>0.2223</v>
      </c>
      <c r="P192" s="261">
        <f>N192*O192</f>
        <v>18.582137472599999</v>
      </c>
      <c r="Q192" s="261">
        <f>N192+P192</f>
        <v>102.17249947259999</v>
      </c>
      <c r="R192" s="198">
        <f>Q192*G192</f>
        <v>69482.101748843212</v>
      </c>
      <c r="S192" s="197" t="s">
        <v>4170</v>
      </c>
      <c r="T192" s="197" t="s">
        <v>4171</v>
      </c>
      <c r="U192" s="197" t="str">
        <f>IF(ABS(Q192-102.1725)&lt;=0.01,"FECHA COM PLANILHA","REVISAR")</f>
        <v>FECHA COM PLANILHA</v>
      </c>
      <c r="V192" s="197" t="s">
        <v>4172</v>
      </c>
    </row>
    <row r="193" spans="1:22" s="197" customFormat="1" x14ac:dyDescent="0.2">
      <c r="A193" s="197" t="s">
        <v>4173</v>
      </c>
      <c r="B193" s="197" t="s">
        <v>1406</v>
      </c>
      <c r="C193" s="197" t="s">
        <v>1407</v>
      </c>
      <c r="D193" s="197" t="s">
        <v>56</v>
      </c>
      <c r="E193" s="197" t="s">
        <v>231</v>
      </c>
      <c r="F193" s="197" t="s">
        <v>180</v>
      </c>
      <c r="G193" s="260">
        <v>4937.3140000000003</v>
      </c>
      <c r="H193" s="197">
        <v>1</v>
      </c>
      <c r="I193" s="197" t="s">
        <v>3954</v>
      </c>
      <c r="J193" s="197" t="s">
        <v>3982</v>
      </c>
      <c r="K193" s="197" t="s">
        <v>1283</v>
      </c>
      <c r="L193" s="261">
        <v>0.16</v>
      </c>
      <c r="M193" s="263">
        <v>11.277919000000001</v>
      </c>
      <c r="N193" s="263">
        <f>L193*M193</f>
        <v>1.8044670400000002</v>
      </c>
      <c r="O193" s="199"/>
      <c r="P193" s="261"/>
      <c r="Q193" s="261"/>
      <c r="R193" s="198"/>
      <c r="S193" s="197" t="s">
        <v>4174</v>
      </c>
      <c r="T193" s="197" t="s">
        <v>4175</v>
      </c>
      <c r="U193" s="197" t="s">
        <v>3958</v>
      </c>
      <c r="V193" s="197" t="s">
        <v>3959</v>
      </c>
    </row>
    <row r="194" spans="1:22" s="197" customFormat="1" x14ac:dyDescent="0.2">
      <c r="A194" s="197" t="s">
        <v>4173</v>
      </c>
      <c r="B194" s="197" t="s">
        <v>1406</v>
      </c>
      <c r="C194" s="197" t="s">
        <v>1407</v>
      </c>
      <c r="D194" s="197" t="s">
        <v>56</v>
      </c>
      <c r="E194" s="197" t="s">
        <v>231</v>
      </c>
      <c r="F194" s="197" t="s">
        <v>180</v>
      </c>
      <c r="G194" s="260">
        <v>4937.3140000000003</v>
      </c>
      <c r="H194" s="197">
        <v>2</v>
      </c>
      <c r="I194" s="197" t="s">
        <v>3960</v>
      </c>
      <c r="J194" s="197" t="s">
        <v>3985</v>
      </c>
      <c r="K194" s="197" t="s">
        <v>1283</v>
      </c>
      <c r="L194" s="261">
        <v>0.64</v>
      </c>
      <c r="M194" s="263">
        <v>11.277919000000001</v>
      </c>
      <c r="N194" s="263">
        <f>L194*M194</f>
        <v>7.217868160000001</v>
      </c>
      <c r="O194" s="199"/>
      <c r="P194" s="261"/>
      <c r="Q194" s="261"/>
      <c r="R194" s="198"/>
      <c r="S194" s="197" t="s">
        <v>4174</v>
      </c>
      <c r="T194" s="197" t="s">
        <v>4175</v>
      </c>
      <c r="U194" s="197" t="s">
        <v>3958</v>
      </c>
      <c r="V194" s="197" t="s">
        <v>3959</v>
      </c>
    </row>
    <row r="195" spans="1:22" s="197" customFormat="1" x14ac:dyDescent="0.2">
      <c r="A195" s="197" t="s">
        <v>4173</v>
      </c>
      <c r="B195" s="197" t="s">
        <v>1406</v>
      </c>
      <c r="C195" s="197" t="s">
        <v>1407</v>
      </c>
      <c r="D195" s="197" t="s">
        <v>56</v>
      </c>
      <c r="E195" s="197" t="s">
        <v>231</v>
      </c>
      <c r="F195" s="197" t="s">
        <v>180</v>
      </c>
      <c r="G195" s="260">
        <v>4937.3140000000003</v>
      </c>
      <c r="H195" s="197">
        <v>3</v>
      </c>
      <c r="I195" s="197" t="s">
        <v>3962</v>
      </c>
      <c r="J195" s="197" t="s">
        <v>3986</v>
      </c>
      <c r="K195" s="197" t="s">
        <v>1283</v>
      </c>
      <c r="L195" s="261">
        <v>0.15</v>
      </c>
      <c r="M195" s="263">
        <v>11.277919000000001</v>
      </c>
      <c r="N195" s="263">
        <f>L195*M195</f>
        <v>1.6916878500000001</v>
      </c>
      <c r="O195" s="199"/>
      <c r="P195" s="261"/>
      <c r="Q195" s="261"/>
      <c r="R195" s="198"/>
      <c r="S195" s="197" t="s">
        <v>4174</v>
      </c>
      <c r="T195" s="197" t="s">
        <v>4175</v>
      </c>
      <c r="U195" s="197" t="s">
        <v>3958</v>
      </c>
      <c r="V195" s="197" t="s">
        <v>3959</v>
      </c>
    </row>
    <row r="196" spans="1:22" s="197" customFormat="1" x14ac:dyDescent="0.2">
      <c r="A196" s="197" t="s">
        <v>4173</v>
      </c>
      <c r="B196" s="197" t="s">
        <v>1406</v>
      </c>
      <c r="C196" s="197" t="s">
        <v>1407</v>
      </c>
      <c r="D196" s="197" t="s">
        <v>56</v>
      </c>
      <c r="E196" s="197" t="s">
        <v>231</v>
      </c>
      <c r="F196" s="197" t="s">
        <v>180</v>
      </c>
      <c r="G196" s="260">
        <v>4937.3140000000003</v>
      </c>
      <c r="H196" s="197">
        <v>4</v>
      </c>
      <c r="I196" s="197" t="s">
        <v>3987</v>
      </c>
      <c r="J196" s="197" t="s">
        <v>3988</v>
      </c>
      <c r="K196" s="197" t="s">
        <v>1283</v>
      </c>
      <c r="L196" s="261">
        <v>0.05</v>
      </c>
      <c r="M196" s="263">
        <v>11.277919000000001</v>
      </c>
      <c r="N196" s="263">
        <f>L196*M196</f>
        <v>0.56389595000000003</v>
      </c>
      <c r="O196" s="199"/>
      <c r="P196" s="261"/>
      <c r="Q196" s="261"/>
      <c r="R196" s="198"/>
      <c r="S196" s="197" t="s">
        <v>4174</v>
      </c>
      <c r="T196" s="197" t="s">
        <v>4175</v>
      </c>
      <c r="U196" s="197" t="s">
        <v>3958</v>
      </c>
      <c r="V196" s="197" t="s">
        <v>3959</v>
      </c>
    </row>
    <row r="197" spans="1:22" s="197" customFormat="1" x14ac:dyDescent="0.2">
      <c r="A197" s="197" t="s">
        <v>4173</v>
      </c>
      <c r="B197" s="197" t="s">
        <v>1406</v>
      </c>
      <c r="C197" s="197" t="s">
        <v>1407</v>
      </c>
      <c r="D197" s="197" t="s">
        <v>56</v>
      </c>
      <c r="E197" s="197" t="s">
        <v>231</v>
      </c>
      <c r="F197" s="197" t="s">
        <v>180</v>
      </c>
      <c r="G197" s="260">
        <v>4937.3140000000003</v>
      </c>
      <c r="H197" s="197">
        <v>5</v>
      </c>
      <c r="I197" s="197" t="s">
        <v>3968</v>
      </c>
      <c r="J197" s="197" t="s">
        <v>3969</v>
      </c>
      <c r="K197" s="197" t="s">
        <v>180</v>
      </c>
      <c r="L197" s="261">
        <v>1</v>
      </c>
      <c r="M197" s="263"/>
      <c r="N197" s="263">
        <f>SUM(N193:N196)</f>
        <v>11.277919000000001</v>
      </c>
      <c r="O197" s="199">
        <v>0.2223</v>
      </c>
      <c r="P197" s="261">
        <f>N197*O197</f>
        <v>2.5070813937</v>
      </c>
      <c r="Q197" s="261">
        <f>N197+P197</f>
        <v>13.785000393700001</v>
      </c>
      <c r="R197" s="198">
        <f>Q197*G197</f>
        <v>68060.875433820533</v>
      </c>
      <c r="S197" s="197" t="s">
        <v>4174</v>
      </c>
      <c r="T197" s="197" t="s">
        <v>4175</v>
      </c>
      <c r="U197" s="197" t="str">
        <f>IF(ABS(Q197-13.785)&lt;=0.01,"FECHA COM PLANILHA","REVISAR")</f>
        <v>FECHA COM PLANILHA</v>
      </c>
      <c r="V197" s="197" t="s">
        <v>4176</v>
      </c>
    </row>
    <row r="198" spans="1:22" s="197" customFormat="1" x14ac:dyDescent="0.2">
      <c r="A198" s="197" t="s">
        <v>4177</v>
      </c>
      <c r="B198" s="197" t="s">
        <v>334</v>
      </c>
      <c r="C198" s="197" t="s">
        <v>1459</v>
      </c>
      <c r="D198" s="197" t="s">
        <v>335</v>
      </c>
      <c r="E198" s="197" t="s">
        <v>336</v>
      </c>
      <c r="F198" s="197" t="s">
        <v>26</v>
      </c>
      <c r="G198" s="260">
        <v>1233.3820000000001</v>
      </c>
      <c r="H198" s="197">
        <v>1</v>
      </c>
      <c r="I198" s="197" t="s">
        <v>3954</v>
      </c>
      <c r="J198" s="197" t="s">
        <v>3972</v>
      </c>
      <c r="K198" s="197" t="s">
        <v>1283</v>
      </c>
      <c r="L198" s="261">
        <v>0.18</v>
      </c>
      <c r="M198" s="263">
        <v>41.466906999999999</v>
      </c>
      <c r="N198" s="263">
        <f>L198*M198</f>
        <v>7.4640432599999995</v>
      </c>
      <c r="O198" s="199"/>
      <c r="P198" s="261"/>
      <c r="Q198" s="261"/>
      <c r="R198" s="198"/>
      <c r="S198" s="197" t="s">
        <v>4178</v>
      </c>
      <c r="T198" s="197" t="s">
        <v>4179</v>
      </c>
      <c r="U198" s="197" t="s">
        <v>3958</v>
      </c>
      <c r="V198" s="197" t="s">
        <v>3959</v>
      </c>
    </row>
    <row r="199" spans="1:22" s="197" customFormat="1" x14ac:dyDescent="0.2">
      <c r="A199" s="197" t="s">
        <v>4177</v>
      </c>
      <c r="B199" s="197" t="s">
        <v>334</v>
      </c>
      <c r="C199" s="197" t="s">
        <v>1459</v>
      </c>
      <c r="D199" s="197" t="s">
        <v>335</v>
      </c>
      <c r="E199" s="197" t="s">
        <v>336</v>
      </c>
      <c r="F199" s="197" t="s">
        <v>26</v>
      </c>
      <c r="G199" s="260">
        <v>1233.3820000000001</v>
      </c>
      <c r="H199" s="197">
        <v>2</v>
      </c>
      <c r="I199" s="197" t="s">
        <v>3960</v>
      </c>
      <c r="J199" s="197" t="s">
        <v>3975</v>
      </c>
      <c r="K199" s="197" t="s">
        <v>1283</v>
      </c>
      <c r="L199" s="261">
        <v>0.75</v>
      </c>
      <c r="M199" s="263">
        <v>41.466906999999999</v>
      </c>
      <c r="N199" s="263">
        <f>L199*M199</f>
        <v>31.100180250000001</v>
      </c>
      <c r="O199" s="199"/>
      <c r="P199" s="261"/>
      <c r="Q199" s="261"/>
      <c r="R199" s="198"/>
      <c r="S199" s="197" t="s">
        <v>4178</v>
      </c>
      <c r="T199" s="197" t="s">
        <v>4179</v>
      </c>
      <c r="U199" s="197" t="s">
        <v>3958</v>
      </c>
      <c r="V199" s="197" t="s">
        <v>3959</v>
      </c>
    </row>
    <row r="200" spans="1:22" s="197" customFormat="1" x14ac:dyDescent="0.2">
      <c r="A200" s="197" t="s">
        <v>4177</v>
      </c>
      <c r="B200" s="197" t="s">
        <v>334</v>
      </c>
      <c r="C200" s="197" t="s">
        <v>1459</v>
      </c>
      <c r="D200" s="197" t="s">
        <v>335</v>
      </c>
      <c r="E200" s="197" t="s">
        <v>336</v>
      </c>
      <c r="F200" s="197" t="s">
        <v>26</v>
      </c>
      <c r="G200" s="260">
        <v>1233.3820000000001</v>
      </c>
      <c r="H200" s="197">
        <v>3</v>
      </c>
      <c r="I200" s="197" t="s">
        <v>3976</v>
      </c>
      <c r="J200" s="197" t="s">
        <v>3977</v>
      </c>
      <c r="K200" s="197" t="s">
        <v>1283</v>
      </c>
      <c r="L200" s="261">
        <v>0.04</v>
      </c>
      <c r="M200" s="263">
        <v>41.466906999999999</v>
      </c>
      <c r="N200" s="263">
        <f>L200*M200</f>
        <v>1.6586762799999999</v>
      </c>
      <c r="O200" s="199"/>
      <c r="P200" s="261"/>
      <c r="Q200" s="261"/>
      <c r="R200" s="198"/>
      <c r="S200" s="197" t="s">
        <v>4178</v>
      </c>
      <c r="T200" s="197" t="s">
        <v>4179</v>
      </c>
      <c r="U200" s="197" t="s">
        <v>3958</v>
      </c>
      <c r="V200" s="197" t="s">
        <v>3959</v>
      </c>
    </row>
    <row r="201" spans="1:22" s="197" customFormat="1" x14ac:dyDescent="0.2">
      <c r="A201" s="197" t="s">
        <v>4177</v>
      </c>
      <c r="B201" s="197" t="s">
        <v>334</v>
      </c>
      <c r="C201" s="197" t="s">
        <v>1459</v>
      </c>
      <c r="D201" s="197" t="s">
        <v>335</v>
      </c>
      <c r="E201" s="197" t="s">
        <v>336</v>
      </c>
      <c r="F201" s="197" t="s">
        <v>26</v>
      </c>
      <c r="G201" s="260">
        <v>1233.3820000000001</v>
      </c>
      <c r="H201" s="197">
        <v>4</v>
      </c>
      <c r="I201" s="197" t="s">
        <v>3978</v>
      </c>
      <c r="J201" s="197" t="s">
        <v>3979</v>
      </c>
      <c r="K201" s="197" t="s">
        <v>1283</v>
      </c>
      <c r="L201" s="261">
        <v>0.03</v>
      </c>
      <c r="M201" s="263">
        <v>41.466906999999999</v>
      </c>
      <c r="N201" s="263">
        <f>L201*M201</f>
        <v>1.2440072099999999</v>
      </c>
      <c r="O201" s="199"/>
      <c r="P201" s="261"/>
      <c r="Q201" s="261"/>
      <c r="R201" s="198"/>
      <c r="S201" s="197" t="s">
        <v>4178</v>
      </c>
      <c r="T201" s="197" t="s">
        <v>4179</v>
      </c>
      <c r="U201" s="197" t="s">
        <v>3958</v>
      </c>
      <c r="V201" s="197" t="s">
        <v>3959</v>
      </c>
    </row>
    <row r="202" spans="1:22" s="197" customFormat="1" x14ac:dyDescent="0.2">
      <c r="A202" s="197" t="s">
        <v>4177</v>
      </c>
      <c r="B202" s="197" t="s">
        <v>334</v>
      </c>
      <c r="C202" s="197" t="s">
        <v>1459</v>
      </c>
      <c r="D202" s="197" t="s">
        <v>335</v>
      </c>
      <c r="E202" s="197" t="s">
        <v>336</v>
      </c>
      <c r="F202" s="197" t="s">
        <v>26</v>
      </c>
      <c r="G202" s="260">
        <v>1233.3820000000001</v>
      </c>
      <c r="H202" s="197">
        <v>5</v>
      </c>
      <c r="I202" s="197" t="s">
        <v>3968</v>
      </c>
      <c r="J202" s="197" t="s">
        <v>3969</v>
      </c>
      <c r="K202" s="197" t="s">
        <v>26</v>
      </c>
      <c r="L202" s="261">
        <v>1</v>
      </c>
      <c r="M202" s="263"/>
      <c r="N202" s="263">
        <f>SUM(N198:N201)</f>
        <v>41.466906999999999</v>
      </c>
      <c r="O202" s="199">
        <v>0.2223</v>
      </c>
      <c r="P202" s="261">
        <f>N202*O202</f>
        <v>9.2180934260999994</v>
      </c>
      <c r="Q202" s="261">
        <f>N202+P202</f>
        <v>50.685000426099997</v>
      </c>
      <c r="R202" s="198">
        <f>Q202*G202</f>
        <v>62513.967195544072</v>
      </c>
      <c r="S202" s="197" t="s">
        <v>4178</v>
      </c>
      <c r="T202" s="197" t="s">
        <v>4179</v>
      </c>
      <c r="U202" s="197" t="str">
        <f>IF(ABS(Q202-50.685)&lt;=0.01,"FECHA COM PLANILHA","REVISAR")</f>
        <v>FECHA COM PLANILHA</v>
      </c>
      <c r="V202" s="197" t="s">
        <v>4180</v>
      </c>
    </row>
    <row r="203" spans="1:22" s="197" customFormat="1" x14ac:dyDescent="0.2">
      <c r="A203" s="197" t="s">
        <v>4181</v>
      </c>
      <c r="B203" s="197" t="s">
        <v>27</v>
      </c>
      <c r="C203" s="197" t="s">
        <v>1321</v>
      </c>
      <c r="D203" s="197" t="s">
        <v>24</v>
      </c>
      <c r="E203" s="197" t="s">
        <v>29</v>
      </c>
      <c r="F203" s="197" t="s">
        <v>26</v>
      </c>
      <c r="G203" s="260">
        <v>1404.56</v>
      </c>
      <c r="H203" s="197">
        <v>1</v>
      </c>
      <c r="I203" s="197" t="s">
        <v>4066</v>
      </c>
      <c r="J203" s="197" t="s">
        <v>4067</v>
      </c>
      <c r="K203" s="197" t="s">
        <v>1283</v>
      </c>
      <c r="L203" s="261">
        <v>0.7</v>
      </c>
      <c r="M203" s="263">
        <v>36.251328999999998</v>
      </c>
      <c r="N203" s="263">
        <f>L203*M203</f>
        <v>25.375930299999997</v>
      </c>
      <c r="O203" s="199"/>
      <c r="P203" s="261"/>
      <c r="Q203" s="261"/>
      <c r="R203" s="198"/>
      <c r="S203" s="197" t="s">
        <v>4182</v>
      </c>
      <c r="T203" s="197" t="s">
        <v>4183</v>
      </c>
      <c r="U203" s="197" t="s">
        <v>3958</v>
      </c>
      <c r="V203" s="197" t="s">
        <v>3959</v>
      </c>
    </row>
    <row r="204" spans="1:22" s="197" customFormat="1" x14ac:dyDescent="0.2">
      <c r="A204" s="197" t="s">
        <v>4181</v>
      </c>
      <c r="B204" s="197" t="s">
        <v>27</v>
      </c>
      <c r="C204" s="197" t="s">
        <v>1321</v>
      </c>
      <c r="D204" s="197" t="s">
        <v>24</v>
      </c>
      <c r="E204" s="197" t="s">
        <v>29</v>
      </c>
      <c r="F204" s="197" t="s">
        <v>26</v>
      </c>
      <c r="G204" s="260">
        <v>1404.56</v>
      </c>
      <c r="H204" s="197">
        <v>2</v>
      </c>
      <c r="I204" s="197" t="s">
        <v>4070</v>
      </c>
      <c r="J204" s="197" t="s">
        <v>4071</v>
      </c>
      <c r="K204" s="197" t="s">
        <v>1283</v>
      </c>
      <c r="L204" s="261">
        <v>0.15</v>
      </c>
      <c r="M204" s="263">
        <v>36.251328999999998</v>
      </c>
      <c r="N204" s="263">
        <f>L204*M204</f>
        <v>5.4376993499999999</v>
      </c>
      <c r="O204" s="199"/>
      <c r="P204" s="261"/>
      <c r="Q204" s="261"/>
      <c r="R204" s="198"/>
      <c r="S204" s="197" t="s">
        <v>4182</v>
      </c>
      <c r="T204" s="197" t="s">
        <v>4183</v>
      </c>
      <c r="U204" s="197" t="s">
        <v>3958</v>
      </c>
      <c r="V204" s="197" t="s">
        <v>3959</v>
      </c>
    </row>
    <row r="205" spans="1:22" s="197" customFormat="1" x14ac:dyDescent="0.2">
      <c r="A205" s="197" t="s">
        <v>4181</v>
      </c>
      <c r="B205" s="197" t="s">
        <v>27</v>
      </c>
      <c r="C205" s="197" t="s">
        <v>1321</v>
      </c>
      <c r="D205" s="197" t="s">
        <v>24</v>
      </c>
      <c r="E205" s="197" t="s">
        <v>29</v>
      </c>
      <c r="F205" s="197" t="s">
        <v>26</v>
      </c>
      <c r="G205" s="260">
        <v>1404.56</v>
      </c>
      <c r="H205" s="197">
        <v>3</v>
      </c>
      <c r="I205" s="197" t="s">
        <v>4072</v>
      </c>
      <c r="J205" s="197" t="s">
        <v>4073</v>
      </c>
      <c r="K205" s="197" t="s">
        <v>1283</v>
      </c>
      <c r="L205" s="261">
        <v>0.15</v>
      </c>
      <c r="M205" s="263">
        <v>36.251328999999998</v>
      </c>
      <c r="N205" s="263">
        <f>L205*M205</f>
        <v>5.4376993499999999</v>
      </c>
      <c r="O205" s="199"/>
      <c r="P205" s="261"/>
      <c r="Q205" s="261"/>
      <c r="R205" s="198"/>
      <c r="S205" s="197" t="s">
        <v>4182</v>
      </c>
      <c r="T205" s="197" t="s">
        <v>4183</v>
      </c>
      <c r="U205" s="197" t="s">
        <v>3958</v>
      </c>
      <c r="V205" s="197" t="s">
        <v>3959</v>
      </c>
    </row>
    <row r="206" spans="1:22" s="197" customFormat="1" x14ac:dyDescent="0.2">
      <c r="A206" s="197" t="s">
        <v>4181</v>
      </c>
      <c r="B206" s="197" t="s">
        <v>27</v>
      </c>
      <c r="C206" s="197" t="s">
        <v>1321</v>
      </c>
      <c r="D206" s="197" t="s">
        <v>24</v>
      </c>
      <c r="E206" s="197" t="s">
        <v>29</v>
      </c>
      <c r="F206" s="197" t="s">
        <v>26</v>
      </c>
      <c r="G206" s="260">
        <v>1404.56</v>
      </c>
      <c r="H206" s="197">
        <v>4</v>
      </c>
      <c r="I206" s="197" t="s">
        <v>3968</v>
      </c>
      <c r="J206" s="197" t="s">
        <v>3969</v>
      </c>
      <c r="K206" s="197" t="s">
        <v>26</v>
      </c>
      <c r="L206" s="261">
        <v>1</v>
      </c>
      <c r="M206" s="263"/>
      <c r="N206" s="263">
        <f>SUM(N203:N205)</f>
        <v>36.251328999999998</v>
      </c>
      <c r="O206" s="199">
        <v>0.2223</v>
      </c>
      <c r="P206" s="261">
        <f>N206*O206</f>
        <v>8.0586704366999999</v>
      </c>
      <c r="Q206" s="261">
        <f>N206+P206</f>
        <v>44.309999436699997</v>
      </c>
      <c r="R206" s="198">
        <f>Q206*G206</f>
        <v>62236.052808811342</v>
      </c>
      <c r="S206" s="197" t="s">
        <v>4182</v>
      </c>
      <c r="T206" s="197" t="s">
        <v>4183</v>
      </c>
      <c r="U206" s="197" t="str">
        <f>IF(ABS(Q206-44.31)&lt;=0.01,"FECHA COM PLANILHA","REVISAR")</f>
        <v>FECHA COM PLANILHA</v>
      </c>
      <c r="V206" s="197" t="s">
        <v>4184</v>
      </c>
    </row>
    <row r="207" spans="1:22" s="197" customFormat="1" x14ac:dyDescent="0.2">
      <c r="A207" s="197" t="s">
        <v>4185</v>
      </c>
      <c r="B207" s="197" t="s">
        <v>291</v>
      </c>
      <c r="C207" s="197" t="s">
        <v>1441</v>
      </c>
      <c r="D207" s="197" t="s">
        <v>56</v>
      </c>
      <c r="E207" s="197" t="s">
        <v>292</v>
      </c>
      <c r="F207" s="197" t="s">
        <v>26</v>
      </c>
      <c r="G207" s="260">
        <v>922.11</v>
      </c>
      <c r="H207" s="197">
        <v>1</v>
      </c>
      <c r="I207" s="197" t="s">
        <v>3954</v>
      </c>
      <c r="J207" s="197" t="s">
        <v>3982</v>
      </c>
      <c r="K207" s="197" t="s">
        <v>1283</v>
      </c>
      <c r="L207" s="261">
        <v>0.16</v>
      </c>
      <c r="M207" s="263">
        <v>54.156098999999998</v>
      </c>
      <c r="N207" s="263">
        <f>L207*M207</f>
        <v>8.6649758400000003</v>
      </c>
      <c r="O207" s="199"/>
      <c r="P207" s="261"/>
      <c r="Q207" s="261"/>
      <c r="R207" s="198"/>
      <c r="S207" s="197" t="s">
        <v>4186</v>
      </c>
      <c r="T207" s="197" t="s">
        <v>4187</v>
      </c>
      <c r="U207" s="197" t="s">
        <v>3958</v>
      </c>
      <c r="V207" s="197" t="s">
        <v>3959</v>
      </c>
    </row>
    <row r="208" spans="1:22" s="197" customFormat="1" x14ac:dyDescent="0.2">
      <c r="A208" s="197" t="s">
        <v>4185</v>
      </c>
      <c r="B208" s="197" t="s">
        <v>291</v>
      </c>
      <c r="C208" s="197" t="s">
        <v>1441</v>
      </c>
      <c r="D208" s="197" t="s">
        <v>56</v>
      </c>
      <c r="E208" s="197" t="s">
        <v>292</v>
      </c>
      <c r="F208" s="197" t="s">
        <v>26</v>
      </c>
      <c r="G208" s="260">
        <v>922.11</v>
      </c>
      <c r="H208" s="197">
        <v>2</v>
      </c>
      <c r="I208" s="197" t="s">
        <v>3960</v>
      </c>
      <c r="J208" s="197" t="s">
        <v>3985</v>
      </c>
      <c r="K208" s="197" t="s">
        <v>1283</v>
      </c>
      <c r="L208" s="261">
        <v>0.64</v>
      </c>
      <c r="M208" s="263">
        <v>54.156098999999998</v>
      </c>
      <c r="N208" s="263">
        <f>L208*M208</f>
        <v>34.659903360000001</v>
      </c>
      <c r="O208" s="199"/>
      <c r="P208" s="261"/>
      <c r="Q208" s="261"/>
      <c r="R208" s="198"/>
      <c r="S208" s="197" t="s">
        <v>4186</v>
      </c>
      <c r="T208" s="197" t="s">
        <v>4187</v>
      </c>
      <c r="U208" s="197" t="s">
        <v>3958</v>
      </c>
      <c r="V208" s="197" t="s">
        <v>3959</v>
      </c>
    </row>
    <row r="209" spans="1:22" s="197" customFormat="1" x14ac:dyDescent="0.2">
      <c r="A209" s="197" t="s">
        <v>4185</v>
      </c>
      <c r="B209" s="197" t="s">
        <v>291</v>
      </c>
      <c r="C209" s="197" t="s">
        <v>1441</v>
      </c>
      <c r="D209" s="197" t="s">
        <v>56</v>
      </c>
      <c r="E209" s="197" t="s">
        <v>292</v>
      </c>
      <c r="F209" s="197" t="s">
        <v>26</v>
      </c>
      <c r="G209" s="260">
        <v>922.11</v>
      </c>
      <c r="H209" s="197">
        <v>3</v>
      </c>
      <c r="I209" s="197" t="s">
        <v>3962</v>
      </c>
      <c r="J209" s="197" t="s">
        <v>3986</v>
      </c>
      <c r="K209" s="197" t="s">
        <v>1283</v>
      </c>
      <c r="L209" s="261">
        <v>0.15</v>
      </c>
      <c r="M209" s="263">
        <v>54.156098999999998</v>
      </c>
      <c r="N209" s="263">
        <f>L209*M209</f>
        <v>8.1234148499999996</v>
      </c>
      <c r="O209" s="199"/>
      <c r="P209" s="261"/>
      <c r="Q209" s="261"/>
      <c r="R209" s="198"/>
      <c r="S209" s="197" t="s">
        <v>4186</v>
      </c>
      <c r="T209" s="197" t="s">
        <v>4187</v>
      </c>
      <c r="U209" s="197" t="s">
        <v>3958</v>
      </c>
      <c r="V209" s="197" t="s">
        <v>3959</v>
      </c>
    </row>
    <row r="210" spans="1:22" s="197" customFormat="1" x14ac:dyDescent="0.2">
      <c r="A210" s="197" t="s">
        <v>4185</v>
      </c>
      <c r="B210" s="197" t="s">
        <v>291</v>
      </c>
      <c r="C210" s="197" t="s">
        <v>1441</v>
      </c>
      <c r="D210" s="197" t="s">
        <v>56</v>
      </c>
      <c r="E210" s="197" t="s">
        <v>292</v>
      </c>
      <c r="F210" s="197" t="s">
        <v>26</v>
      </c>
      <c r="G210" s="260">
        <v>922.11</v>
      </c>
      <c r="H210" s="197">
        <v>4</v>
      </c>
      <c r="I210" s="197" t="s">
        <v>3987</v>
      </c>
      <c r="J210" s="197" t="s">
        <v>3988</v>
      </c>
      <c r="K210" s="197" t="s">
        <v>1283</v>
      </c>
      <c r="L210" s="261">
        <v>0.05</v>
      </c>
      <c r="M210" s="263">
        <v>54.156098999999998</v>
      </c>
      <c r="N210" s="263">
        <f>L210*M210</f>
        <v>2.7078049499999999</v>
      </c>
      <c r="O210" s="199"/>
      <c r="P210" s="261"/>
      <c r="Q210" s="261"/>
      <c r="R210" s="198"/>
      <c r="S210" s="197" t="s">
        <v>4186</v>
      </c>
      <c r="T210" s="197" t="s">
        <v>4187</v>
      </c>
      <c r="U210" s="197" t="s">
        <v>3958</v>
      </c>
      <c r="V210" s="197" t="s">
        <v>3959</v>
      </c>
    </row>
    <row r="211" spans="1:22" s="197" customFormat="1" x14ac:dyDescent="0.2">
      <c r="A211" s="197" t="s">
        <v>4185</v>
      </c>
      <c r="B211" s="197" t="s">
        <v>291</v>
      </c>
      <c r="C211" s="197" t="s">
        <v>1441</v>
      </c>
      <c r="D211" s="197" t="s">
        <v>56</v>
      </c>
      <c r="E211" s="197" t="s">
        <v>292</v>
      </c>
      <c r="F211" s="197" t="s">
        <v>26</v>
      </c>
      <c r="G211" s="260">
        <v>922.11</v>
      </c>
      <c r="H211" s="197">
        <v>5</v>
      </c>
      <c r="I211" s="197" t="s">
        <v>3968</v>
      </c>
      <c r="J211" s="197" t="s">
        <v>3969</v>
      </c>
      <c r="K211" s="197" t="s">
        <v>26</v>
      </c>
      <c r="L211" s="261">
        <v>1</v>
      </c>
      <c r="M211" s="263"/>
      <c r="N211" s="263">
        <f>SUM(N207:N210)</f>
        <v>54.156098999999998</v>
      </c>
      <c r="O211" s="199">
        <v>0.2223</v>
      </c>
      <c r="P211" s="261">
        <f>N211*O211</f>
        <v>12.038900807699999</v>
      </c>
      <c r="Q211" s="261">
        <f>N211+P211</f>
        <v>66.1949998077</v>
      </c>
      <c r="R211" s="198">
        <f>Q211*G211</f>
        <v>61039.071272678251</v>
      </c>
      <c r="S211" s="197" t="s">
        <v>4186</v>
      </c>
      <c r="T211" s="197" t="s">
        <v>4187</v>
      </c>
      <c r="U211" s="197" t="str">
        <f>IF(ABS(Q211-66.195)&lt;=0.01,"FECHA COM PLANILHA","REVISAR")</f>
        <v>FECHA COM PLANILHA</v>
      </c>
      <c r="V211" s="197" t="s">
        <v>4188</v>
      </c>
    </row>
    <row r="212" spans="1:22" s="197" customFormat="1" x14ac:dyDescent="0.2">
      <c r="A212" s="197" t="s">
        <v>4189</v>
      </c>
      <c r="B212" s="197" t="s">
        <v>312</v>
      </c>
      <c r="C212" s="197" t="s">
        <v>1452</v>
      </c>
      <c r="D212" s="197" t="s">
        <v>24</v>
      </c>
      <c r="E212" s="197" t="s">
        <v>314</v>
      </c>
      <c r="F212" s="197" t="s">
        <v>26</v>
      </c>
      <c r="G212" s="260">
        <v>1442.107</v>
      </c>
      <c r="H212" s="197">
        <v>1</v>
      </c>
      <c r="I212" s="197" t="s">
        <v>3954</v>
      </c>
      <c r="J212" s="197" t="s">
        <v>4049</v>
      </c>
      <c r="K212" s="197" t="s">
        <v>1283</v>
      </c>
      <c r="L212" s="261">
        <v>0.24</v>
      </c>
      <c r="M212" s="263">
        <v>34.502577000000002</v>
      </c>
      <c r="N212" s="263">
        <f>L212*M212</f>
        <v>8.2806184800000011</v>
      </c>
      <c r="O212" s="199"/>
      <c r="P212" s="261"/>
      <c r="Q212" s="261"/>
      <c r="R212" s="198"/>
      <c r="S212" s="197" t="s">
        <v>4190</v>
      </c>
      <c r="T212" s="197" t="s">
        <v>4191</v>
      </c>
      <c r="U212" s="197" t="s">
        <v>3958</v>
      </c>
      <c r="V212" s="197" t="s">
        <v>3959</v>
      </c>
    </row>
    <row r="213" spans="1:22" s="197" customFormat="1" x14ac:dyDescent="0.2">
      <c r="A213" s="197" t="s">
        <v>4189</v>
      </c>
      <c r="B213" s="197" t="s">
        <v>312</v>
      </c>
      <c r="C213" s="197" t="s">
        <v>1452</v>
      </c>
      <c r="D213" s="197" t="s">
        <v>24</v>
      </c>
      <c r="E213" s="197" t="s">
        <v>314</v>
      </c>
      <c r="F213" s="197" t="s">
        <v>26</v>
      </c>
      <c r="G213" s="260">
        <v>1442.107</v>
      </c>
      <c r="H213" s="197">
        <v>2</v>
      </c>
      <c r="I213" s="197" t="s">
        <v>3960</v>
      </c>
      <c r="J213" s="197" t="s">
        <v>4052</v>
      </c>
      <c r="K213" s="197" t="s">
        <v>1283</v>
      </c>
      <c r="L213" s="261">
        <v>0.68</v>
      </c>
      <c r="M213" s="263">
        <v>34.502577000000002</v>
      </c>
      <c r="N213" s="263">
        <f>L213*M213</f>
        <v>23.461752360000002</v>
      </c>
      <c r="O213" s="199"/>
      <c r="P213" s="261"/>
      <c r="Q213" s="261"/>
      <c r="R213" s="198"/>
      <c r="S213" s="197" t="s">
        <v>4190</v>
      </c>
      <c r="T213" s="197" t="s">
        <v>4191</v>
      </c>
      <c r="U213" s="197" t="s">
        <v>3958</v>
      </c>
      <c r="V213" s="197" t="s">
        <v>3959</v>
      </c>
    </row>
    <row r="214" spans="1:22" s="197" customFormat="1" x14ac:dyDescent="0.2">
      <c r="A214" s="197" t="s">
        <v>4189</v>
      </c>
      <c r="B214" s="197" t="s">
        <v>312</v>
      </c>
      <c r="C214" s="197" t="s">
        <v>1452</v>
      </c>
      <c r="D214" s="197" t="s">
        <v>24</v>
      </c>
      <c r="E214" s="197" t="s">
        <v>314</v>
      </c>
      <c r="F214" s="197" t="s">
        <v>26</v>
      </c>
      <c r="G214" s="260">
        <v>1442.107</v>
      </c>
      <c r="H214" s="197">
        <v>3</v>
      </c>
      <c r="I214" s="197" t="s">
        <v>3976</v>
      </c>
      <c r="J214" s="197" t="s">
        <v>4053</v>
      </c>
      <c r="K214" s="197" t="s">
        <v>1283</v>
      </c>
      <c r="L214" s="261">
        <v>0.04</v>
      </c>
      <c r="M214" s="263">
        <v>34.502577000000002</v>
      </c>
      <c r="N214" s="263">
        <f>L214*M214</f>
        <v>1.38010308</v>
      </c>
      <c r="O214" s="199"/>
      <c r="P214" s="261"/>
      <c r="Q214" s="261"/>
      <c r="R214" s="198"/>
      <c r="S214" s="197" t="s">
        <v>4190</v>
      </c>
      <c r="T214" s="197" t="s">
        <v>4191</v>
      </c>
      <c r="U214" s="197" t="s">
        <v>3958</v>
      </c>
      <c r="V214" s="197" t="s">
        <v>3959</v>
      </c>
    </row>
    <row r="215" spans="1:22" s="197" customFormat="1" x14ac:dyDescent="0.2">
      <c r="A215" s="197" t="s">
        <v>4189</v>
      </c>
      <c r="B215" s="197" t="s">
        <v>312</v>
      </c>
      <c r="C215" s="197" t="s">
        <v>1452</v>
      </c>
      <c r="D215" s="197" t="s">
        <v>24</v>
      </c>
      <c r="E215" s="197" t="s">
        <v>314</v>
      </c>
      <c r="F215" s="197" t="s">
        <v>26</v>
      </c>
      <c r="G215" s="260">
        <v>1442.107</v>
      </c>
      <c r="H215" s="197">
        <v>4</v>
      </c>
      <c r="I215" s="197" t="s">
        <v>4054</v>
      </c>
      <c r="J215" s="197" t="s">
        <v>4055</v>
      </c>
      <c r="K215" s="197" t="s">
        <v>1283</v>
      </c>
      <c r="L215" s="261">
        <v>0.04</v>
      </c>
      <c r="M215" s="263">
        <v>34.502577000000002</v>
      </c>
      <c r="N215" s="263">
        <f>L215*M215</f>
        <v>1.38010308</v>
      </c>
      <c r="O215" s="199"/>
      <c r="P215" s="261"/>
      <c r="Q215" s="261"/>
      <c r="R215" s="198"/>
      <c r="S215" s="197" t="s">
        <v>4190</v>
      </c>
      <c r="T215" s="197" t="s">
        <v>4191</v>
      </c>
      <c r="U215" s="197" t="s">
        <v>3958</v>
      </c>
      <c r="V215" s="197" t="s">
        <v>3959</v>
      </c>
    </row>
    <row r="216" spans="1:22" s="197" customFormat="1" x14ac:dyDescent="0.2">
      <c r="A216" s="197" t="s">
        <v>4189</v>
      </c>
      <c r="B216" s="197" t="s">
        <v>312</v>
      </c>
      <c r="C216" s="197" t="s">
        <v>1452</v>
      </c>
      <c r="D216" s="197" t="s">
        <v>24</v>
      </c>
      <c r="E216" s="197" t="s">
        <v>314</v>
      </c>
      <c r="F216" s="197" t="s">
        <v>26</v>
      </c>
      <c r="G216" s="260">
        <v>1442.107</v>
      </c>
      <c r="H216" s="197">
        <v>5</v>
      </c>
      <c r="I216" s="197" t="s">
        <v>3968</v>
      </c>
      <c r="J216" s="197" t="s">
        <v>3969</v>
      </c>
      <c r="K216" s="197" t="s">
        <v>26</v>
      </c>
      <c r="L216" s="261">
        <v>1</v>
      </c>
      <c r="M216" s="263"/>
      <c r="N216" s="263">
        <f>SUM(N212:N215)</f>
        <v>34.502577000000002</v>
      </c>
      <c r="O216" s="199">
        <v>0.2223</v>
      </c>
      <c r="P216" s="261">
        <f>N216*O216</f>
        <v>7.6699228671000004</v>
      </c>
      <c r="Q216" s="261">
        <f>N216+P216</f>
        <v>42.172499867100001</v>
      </c>
      <c r="R216" s="198">
        <f>Q216*G216</f>
        <v>60817.257265843982</v>
      </c>
      <c r="S216" s="197" t="s">
        <v>4190</v>
      </c>
      <c r="T216" s="197" t="s">
        <v>4191</v>
      </c>
      <c r="U216" s="197" t="str">
        <f>IF(ABS(Q216-42.1725)&lt;=0.01,"FECHA COM PLANILHA","REVISAR")</f>
        <v>FECHA COM PLANILHA</v>
      </c>
      <c r="V216" s="197" t="s">
        <v>4192</v>
      </c>
    </row>
    <row r="217" spans="1:22" s="197" customFormat="1" x14ac:dyDescent="0.2">
      <c r="A217" s="197" t="s">
        <v>4193</v>
      </c>
      <c r="B217" s="197" t="s">
        <v>491</v>
      </c>
      <c r="C217" s="197" t="s">
        <v>1534</v>
      </c>
      <c r="D217" s="197" t="s">
        <v>24</v>
      </c>
      <c r="E217" s="197" t="s">
        <v>493</v>
      </c>
      <c r="F217" s="197" t="s">
        <v>26</v>
      </c>
      <c r="G217" s="260">
        <v>140.98599999999999</v>
      </c>
      <c r="H217" s="197">
        <v>1</v>
      </c>
      <c r="I217" s="197" t="s">
        <v>3954</v>
      </c>
      <c r="J217" s="197" t="s">
        <v>4049</v>
      </c>
      <c r="K217" s="197" t="s">
        <v>1283</v>
      </c>
      <c r="L217" s="261">
        <v>0.24</v>
      </c>
      <c r="M217" s="263">
        <v>321.46976999999998</v>
      </c>
      <c r="N217" s="263">
        <f>L217*M217</f>
        <v>77.152744799999994</v>
      </c>
      <c r="O217" s="199"/>
      <c r="P217" s="261"/>
      <c r="Q217" s="261"/>
      <c r="R217" s="198"/>
      <c r="S217" s="197" t="s">
        <v>4194</v>
      </c>
      <c r="T217" s="197" t="s">
        <v>4195</v>
      </c>
      <c r="U217" s="197" t="s">
        <v>3958</v>
      </c>
      <c r="V217" s="197" t="s">
        <v>3959</v>
      </c>
    </row>
    <row r="218" spans="1:22" s="197" customFormat="1" x14ac:dyDescent="0.2">
      <c r="A218" s="197" t="s">
        <v>4193</v>
      </c>
      <c r="B218" s="197" t="s">
        <v>491</v>
      </c>
      <c r="C218" s="197" t="s">
        <v>1534</v>
      </c>
      <c r="D218" s="197" t="s">
        <v>24</v>
      </c>
      <c r="E218" s="197" t="s">
        <v>493</v>
      </c>
      <c r="F218" s="197" t="s">
        <v>26</v>
      </c>
      <c r="G218" s="260">
        <v>140.98599999999999</v>
      </c>
      <c r="H218" s="197">
        <v>2</v>
      </c>
      <c r="I218" s="197" t="s">
        <v>3960</v>
      </c>
      <c r="J218" s="197" t="s">
        <v>4052</v>
      </c>
      <c r="K218" s="197" t="s">
        <v>1283</v>
      </c>
      <c r="L218" s="261">
        <v>0.68</v>
      </c>
      <c r="M218" s="263">
        <v>321.46976999999998</v>
      </c>
      <c r="N218" s="263">
        <f>L218*M218</f>
        <v>218.5994436</v>
      </c>
      <c r="O218" s="199"/>
      <c r="P218" s="261"/>
      <c r="Q218" s="261"/>
      <c r="R218" s="198"/>
      <c r="S218" s="197" t="s">
        <v>4194</v>
      </c>
      <c r="T218" s="197" t="s">
        <v>4195</v>
      </c>
      <c r="U218" s="197" t="s">
        <v>3958</v>
      </c>
      <c r="V218" s="197" t="s">
        <v>3959</v>
      </c>
    </row>
    <row r="219" spans="1:22" s="197" customFormat="1" x14ac:dyDescent="0.2">
      <c r="A219" s="197" t="s">
        <v>4193</v>
      </c>
      <c r="B219" s="197" t="s">
        <v>491</v>
      </c>
      <c r="C219" s="197" t="s">
        <v>1534</v>
      </c>
      <c r="D219" s="197" t="s">
        <v>24</v>
      </c>
      <c r="E219" s="197" t="s">
        <v>493</v>
      </c>
      <c r="F219" s="197" t="s">
        <v>26</v>
      </c>
      <c r="G219" s="260">
        <v>140.98599999999999</v>
      </c>
      <c r="H219" s="197">
        <v>3</v>
      </c>
      <c r="I219" s="197" t="s">
        <v>3976</v>
      </c>
      <c r="J219" s="197" t="s">
        <v>4053</v>
      </c>
      <c r="K219" s="197" t="s">
        <v>1283</v>
      </c>
      <c r="L219" s="261">
        <v>0.04</v>
      </c>
      <c r="M219" s="263">
        <v>321.46976999999998</v>
      </c>
      <c r="N219" s="263">
        <f>L219*M219</f>
        <v>12.8587908</v>
      </c>
      <c r="O219" s="199"/>
      <c r="P219" s="261"/>
      <c r="Q219" s="261"/>
      <c r="R219" s="198"/>
      <c r="S219" s="197" t="s">
        <v>4194</v>
      </c>
      <c r="T219" s="197" t="s">
        <v>4195</v>
      </c>
      <c r="U219" s="197" t="s">
        <v>3958</v>
      </c>
      <c r="V219" s="197" t="s">
        <v>3959</v>
      </c>
    </row>
    <row r="220" spans="1:22" s="197" customFormat="1" x14ac:dyDescent="0.2">
      <c r="A220" s="197" t="s">
        <v>4193</v>
      </c>
      <c r="B220" s="197" t="s">
        <v>491</v>
      </c>
      <c r="C220" s="197" t="s">
        <v>1534</v>
      </c>
      <c r="D220" s="197" t="s">
        <v>24</v>
      </c>
      <c r="E220" s="197" t="s">
        <v>493</v>
      </c>
      <c r="F220" s="197" t="s">
        <v>26</v>
      </c>
      <c r="G220" s="260">
        <v>140.98599999999999</v>
      </c>
      <c r="H220" s="197">
        <v>4</v>
      </c>
      <c r="I220" s="197" t="s">
        <v>4054</v>
      </c>
      <c r="J220" s="197" t="s">
        <v>4055</v>
      </c>
      <c r="K220" s="197" t="s">
        <v>1283</v>
      </c>
      <c r="L220" s="261">
        <v>0.04</v>
      </c>
      <c r="M220" s="263">
        <v>321.46976999999998</v>
      </c>
      <c r="N220" s="263">
        <f>L220*M220</f>
        <v>12.8587908</v>
      </c>
      <c r="O220" s="199"/>
      <c r="P220" s="261"/>
      <c r="Q220" s="261"/>
      <c r="R220" s="198"/>
      <c r="S220" s="197" t="s">
        <v>4194</v>
      </c>
      <c r="T220" s="197" t="s">
        <v>4195</v>
      </c>
      <c r="U220" s="197" t="s">
        <v>3958</v>
      </c>
      <c r="V220" s="197" t="s">
        <v>3959</v>
      </c>
    </row>
    <row r="221" spans="1:22" s="197" customFormat="1" x14ac:dyDescent="0.2">
      <c r="A221" s="197" t="s">
        <v>4193</v>
      </c>
      <c r="B221" s="197" t="s">
        <v>491</v>
      </c>
      <c r="C221" s="197" t="s">
        <v>1534</v>
      </c>
      <c r="D221" s="197" t="s">
        <v>24</v>
      </c>
      <c r="E221" s="197" t="s">
        <v>493</v>
      </c>
      <c r="F221" s="197" t="s">
        <v>26</v>
      </c>
      <c r="G221" s="260">
        <v>140.98599999999999</v>
      </c>
      <c r="H221" s="197">
        <v>5</v>
      </c>
      <c r="I221" s="197" t="s">
        <v>3968</v>
      </c>
      <c r="J221" s="197" t="s">
        <v>3969</v>
      </c>
      <c r="K221" s="197" t="s">
        <v>26</v>
      </c>
      <c r="L221" s="261">
        <v>1</v>
      </c>
      <c r="M221" s="263"/>
      <c r="N221" s="263">
        <f>SUM(N217:N220)</f>
        <v>321.46977000000004</v>
      </c>
      <c r="O221" s="199">
        <v>0.2223</v>
      </c>
      <c r="P221" s="261">
        <f>N221*O221</f>
        <v>71.462729871000008</v>
      </c>
      <c r="Q221" s="261">
        <f>N221+P221</f>
        <v>392.93249987100006</v>
      </c>
      <c r="R221" s="198">
        <f>Q221*G221</f>
        <v>55397.98142681281</v>
      </c>
      <c r="S221" s="197" t="s">
        <v>4194</v>
      </c>
      <c r="T221" s="197" t="s">
        <v>4195</v>
      </c>
      <c r="U221" s="197" t="str">
        <f>IF(ABS(Q221-392.9325)&lt;=0.01,"FECHA COM PLANILHA","REVISAR")</f>
        <v>FECHA COM PLANILHA</v>
      </c>
      <c r="V221" s="197" t="s">
        <v>4196</v>
      </c>
    </row>
    <row r="222" spans="1:22" s="197" customFormat="1" x14ac:dyDescent="0.2">
      <c r="A222" s="197" t="s">
        <v>4197</v>
      </c>
      <c r="B222" s="197" t="s">
        <v>546</v>
      </c>
      <c r="C222" s="197" t="s">
        <v>1558</v>
      </c>
      <c r="D222" s="197" t="s">
        <v>335</v>
      </c>
      <c r="E222" s="197" t="s">
        <v>547</v>
      </c>
      <c r="F222" s="197" t="s">
        <v>26</v>
      </c>
      <c r="G222" s="260">
        <v>208.96299999999999</v>
      </c>
      <c r="H222" s="197">
        <v>1</v>
      </c>
      <c r="I222" s="197" t="s">
        <v>3954</v>
      </c>
      <c r="J222" s="197" t="s">
        <v>4012</v>
      </c>
      <c r="K222" s="197" t="s">
        <v>1283</v>
      </c>
      <c r="L222" s="261">
        <v>0.22</v>
      </c>
      <c r="M222" s="263">
        <v>215.710137</v>
      </c>
      <c r="N222" s="263">
        <f>L222*M222</f>
        <v>47.456230140000002</v>
      </c>
      <c r="O222" s="199"/>
      <c r="P222" s="261"/>
      <c r="Q222" s="261"/>
      <c r="R222" s="198"/>
      <c r="S222" s="197" t="s">
        <v>4198</v>
      </c>
      <c r="T222" s="197" t="s">
        <v>4199</v>
      </c>
      <c r="U222" s="197" t="s">
        <v>3958</v>
      </c>
      <c r="V222" s="197" t="s">
        <v>3959</v>
      </c>
    </row>
    <row r="223" spans="1:22" s="197" customFormat="1" x14ac:dyDescent="0.2">
      <c r="A223" s="197" t="s">
        <v>4197</v>
      </c>
      <c r="B223" s="197" t="s">
        <v>546</v>
      </c>
      <c r="C223" s="197" t="s">
        <v>1558</v>
      </c>
      <c r="D223" s="197" t="s">
        <v>335</v>
      </c>
      <c r="E223" s="197" t="s">
        <v>547</v>
      </c>
      <c r="F223" s="197" t="s">
        <v>26</v>
      </c>
      <c r="G223" s="260">
        <v>208.96299999999999</v>
      </c>
      <c r="H223" s="197">
        <v>2</v>
      </c>
      <c r="I223" s="197" t="s">
        <v>3960</v>
      </c>
      <c r="J223" s="197" t="s">
        <v>4015</v>
      </c>
      <c r="K223" s="197" t="s">
        <v>1283</v>
      </c>
      <c r="L223" s="261">
        <v>0.7</v>
      </c>
      <c r="M223" s="263">
        <v>215.710137</v>
      </c>
      <c r="N223" s="263">
        <f>L223*M223</f>
        <v>150.99709590000001</v>
      </c>
      <c r="O223" s="199"/>
      <c r="P223" s="261"/>
      <c r="Q223" s="261"/>
      <c r="R223" s="198"/>
      <c r="S223" s="197" t="s">
        <v>4198</v>
      </c>
      <c r="T223" s="197" t="s">
        <v>4199</v>
      </c>
      <c r="U223" s="197" t="s">
        <v>3958</v>
      </c>
      <c r="V223" s="197" t="s">
        <v>3959</v>
      </c>
    </row>
    <row r="224" spans="1:22" s="197" customFormat="1" x14ac:dyDescent="0.2">
      <c r="A224" s="197" t="s">
        <v>4197</v>
      </c>
      <c r="B224" s="197" t="s">
        <v>546</v>
      </c>
      <c r="C224" s="197" t="s">
        <v>1558</v>
      </c>
      <c r="D224" s="197" t="s">
        <v>335</v>
      </c>
      <c r="E224" s="197" t="s">
        <v>547</v>
      </c>
      <c r="F224" s="197" t="s">
        <v>26</v>
      </c>
      <c r="G224" s="260">
        <v>208.96299999999999</v>
      </c>
      <c r="H224" s="197">
        <v>3</v>
      </c>
      <c r="I224" s="197" t="s">
        <v>3976</v>
      </c>
      <c r="J224" s="197" t="s">
        <v>4016</v>
      </c>
      <c r="K224" s="197" t="s">
        <v>1283</v>
      </c>
      <c r="L224" s="261">
        <v>0.05</v>
      </c>
      <c r="M224" s="263">
        <v>215.710137</v>
      </c>
      <c r="N224" s="263">
        <f>L224*M224</f>
        <v>10.785506850000001</v>
      </c>
      <c r="O224" s="199"/>
      <c r="P224" s="261"/>
      <c r="Q224" s="261"/>
      <c r="R224" s="198"/>
      <c r="S224" s="197" t="s">
        <v>4198</v>
      </c>
      <c r="T224" s="197" t="s">
        <v>4199</v>
      </c>
      <c r="U224" s="197" t="s">
        <v>3958</v>
      </c>
      <c r="V224" s="197" t="s">
        <v>3959</v>
      </c>
    </row>
    <row r="225" spans="1:22" s="197" customFormat="1" x14ac:dyDescent="0.2">
      <c r="A225" s="197" t="s">
        <v>4197</v>
      </c>
      <c r="B225" s="197" t="s">
        <v>546</v>
      </c>
      <c r="C225" s="197" t="s">
        <v>1558</v>
      </c>
      <c r="D225" s="197" t="s">
        <v>335</v>
      </c>
      <c r="E225" s="197" t="s">
        <v>547</v>
      </c>
      <c r="F225" s="197" t="s">
        <v>26</v>
      </c>
      <c r="G225" s="260">
        <v>208.96299999999999</v>
      </c>
      <c r="H225" s="197">
        <v>4</v>
      </c>
      <c r="I225" s="197" t="s">
        <v>4017</v>
      </c>
      <c r="J225" s="197" t="s">
        <v>4018</v>
      </c>
      <c r="K225" s="197" t="s">
        <v>1283</v>
      </c>
      <c r="L225" s="261">
        <v>0.03</v>
      </c>
      <c r="M225" s="263">
        <v>215.710137</v>
      </c>
      <c r="N225" s="263">
        <f>L225*M225</f>
        <v>6.4713041100000002</v>
      </c>
      <c r="O225" s="199"/>
      <c r="P225" s="261"/>
      <c r="Q225" s="261"/>
      <c r="R225" s="198"/>
      <c r="S225" s="197" t="s">
        <v>4198</v>
      </c>
      <c r="T225" s="197" t="s">
        <v>4199</v>
      </c>
      <c r="U225" s="197" t="s">
        <v>3958</v>
      </c>
      <c r="V225" s="197" t="s">
        <v>3959</v>
      </c>
    </row>
    <row r="226" spans="1:22" s="197" customFormat="1" x14ac:dyDescent="0.2">
      <c r="A226" s="197" t="s">
        <v>4197</v>
      </c>
      <c r="B226" s="197" t="s">
        <v>546</v>
      </c>
      <c r="C226" s="197" t="s">
        <v>1558</v>
      </c>
      <c r="D226" s="197" t="s">
        <v>335</v>
      </c>
      <c r="E226" s="197" t="s">
        <v>547</v>
      </c>
      <c r="F226" s="197" t="s">
        <v>26</v>
      </c>
      <c r="G226" s="260">
        <v>208.96299999999999</v>
      </c>
      <c r="H226" s="197">
        <v>5</v>
      </c>
      <c r="I226" s="197" t="s">
        <v>3968</v>
      </c>
      <c r="J226" s="197" t="s">
        <v>3969</v>
      </c>
      <c r="K226" s="197" t="s">
        <v>26</v>
      </c>
      <c r="L226" s="261">
        <v>1</v>
      </c>
      <c r="M226" s="263"/>
      <c r="N226" s="263">
        <f>SUM(N222:N225)</f>
        <v>215.710137</v>
      </c>
      <c r="O226" s="199">
        <v>0.2223</v>
      </c>
      <c r="P226" s="261">
        <f>N226*O226</f>
        <v>47.952363455099999</v>
      </c>
      <c r="Q226" s="261">
        <f>N226+P226</f>
        <v>263.66250045510003</v>
      </c>
      <c r="R226" s="198">
        <f>Q226*G226</f>
        <v>55095.707082599067</v>
      </c>
      <c r="S226" s="197" t="s">
        <v>4198</v>
      </c>
      <c r="T226" s="197" t="s">
        <v>4199</v>
      </c>
      <c r="U226" s="197" t="str">
        <f>IF(ABS(Q226-263.6625)&lt;=0.01,"FECHA COM PLANILHA","REVISAR")</f>
        <v>FECHA COM PLANILHA</v>
      </c>
      <c r="V226" s="197" t="s">
        <v>4200</v>
      </c>
    </row>
    <row r="227" spans="1:22" s="197" customFormat="1" x14ac:dyDescent="0.2">
      <c r="A227" s="197" t="s">
        <v>4201</v>
      </c>
      <c r="B227" s="197" t="s">
        <v>406</v>
      </c>
      <c r="C227" s="197" t="s">
        <v>1493</v>
      </c>
      <c r="D227" s="197" t="s">
        <v>56</v>
      </c>
      <c r="E227" s="197" t="s">
        <v>407</v>
      </c>
      <c r="F227" s="197" t="s">
        <v>99</v>
      </c>
      <c r="G227" s="260">
        <v>336.04300000000001</v>
      </c>
      <c r="H227" s="197">
        <v>1</v>
      </c>
      <c r="I227" s="197" t="s">
        <v>3954</v>
      </c>
      <c r="J227" s="197" t="s">
        <v>3982</v>
      </c>
      <c r="K227" s="197" t="s">
        <v>1283</v>
      </c>
      <c r="L227" s="261">
        <v>0.16</v>
      </c>
      <c r="M227" s="263">
        <v>132.033871</v>
      </c>
      <c r="N227" s="263">
        <f>L227*M227</f>
        <v>21.125419360000002</v>
      </c>
      <c r="O227" s="199"/>
      <c r="P227" s="261"/>
      <c r="Q227" s="261"/>
      <c r="R227" s="198"/>
      <c r="S227" s="197" t="s">
        <v>4202</v>
      </c>
      <c r="T227" s="197" t="s">
        <v>4203</v>
      </c>
      <c r="U227" s="197" t="s">
        <v>3958</v>
      </c>
      <c r="V227" s="197" t="s">
        <v>3959</v>
      </c>
    </row>
    <row r="228" spans="1:22" s="197" customFormat="1" x14ac:dyDescent="0.2">
      <c r="A228" s="197" t="s">
        <v>4201</v>
      </c>
      <c r="B228" s="197" t="s">
        <v>406</v>
      </c>
      <c r="C228" s="197" t="s">
        <v>1493</v>
      </c>
      <c r="D228" s="197" t="s">
        <v>56</v>
      </c>
      <c r="E228" s="197" t="s">
        <v>407</v>
      </c>
      <c r="F228" s="197" t="s">
        <v>99</v>
      </c>
      <c r="G228" s="260">
        <v>336.04300000000001</v>
      </c>
      <c r="H228" s="197">
        <v>2</v>
      </c>
      <c r="I228" s="197" t="s">
        <v>3960</v>
      </c>
      <c r="J228" s="197" t="s">
        <v>3985</v>
      </c>
      <c r="K228" s="197" t="s">
        <v>1283</v>
      </c>
      <c r="L228" s="261">
        <v>0.64</v>
      </c>
      <c r="M228" s="263">
        <v>132.033871</v>
      </c>
      <c r="N228" s="263">
        <f>L228*M228</f>
        <v>84.501677440000009</v>
      </c>
      <c r="O228" s="199"/>
      <c r="P228" s="261"/>
      <c r="Q228" s="261"/>
      <c r="R228" s="198"/>
      <c r="S228" s="197" t="s">
        <v>4202</v>
      </c>
      <c r="T228" s="197" t="s">
        <v>4203</v>
      </c>
      <c r="U228" s="197" t="s">
        <v>3958</v>
      </c>
      <c r="V228" s="197" t="s">
        <v>3959</v>
      </c>
    </row>
    <row r="229" spans="1:22" s="197" customFormat="1" x14ac:dyDescent="0.2">
      <c r="A229" s="197" t="s">
        <v>4201</v>
      </c>
      <c r="B229" s="197" t="s">
        <v>406</v>
      </c>
      <c r="C229" s="197" t="s">
        <v>1493</v>
      </c>
      <c r="D229" s="197" t="s">
        <v>56</v>
      </c>
      <c r="E229" s="197" t="s">
        <v>407</v>
      </c>
      <c r="F229" s="197" t="s">
        <v>99</v>
      </c>
      <c r="G229" s="260">
        <v>336.04300000000001</v>
      </c>
      <c r="H229" s="197">
        <v>3</v>
      </c>
      <c r="I229" s="197" t="s">
        <v>3962</v>
      </c>
      <c r="J229" s="197" t="s">
        <v>3986</v>
      </c>
      <c r="K229" s="197" t="s">
        <v>1283</v>
      </c>
      <c r="L229" s="261">
        <v>0.15</v>
      </c>
      <c r="M229" s="263">
        <v>132.033871</v>
      </c>
      <c r="N229" s="263">
        <f>L229*M229</f>
        <v>19.805080650000001</v>
      </c>
      <c r="O229" s="199"/>
      <c r="P229" s="261"/>
      <c r="Q229" s="261"/>
      <c r="R229" s="198"/>
      <c r="S229" s="197" t="s">
        <v>4202</v>
      </c>
      <c r="T229" s="197" t="s">
        <v>4203</v>
      </c>
      <c r="U229" s="197" t="s">
        <v>3958</v>
      </c>
      <c r="V229" s="197" t="s">
        <v>3959</v>
      </c>
    </row>
    <row r="230" spans="1:22" s="197" customFormat="1" x14ac:dyDescent="0.2">
      <c r="A230" s="197" t="s">
        <v>4201</v>
      </c>
      <c r="B230" s="197" t="s">
        <v>406</v>
      </c>
      <c r="C230" s="197" t="s">
        <v>1493</v>
      </c>
      <c r="D230" s="197" t="s">
        <v>56</v>
      </c>
      <c r="E230" s="197" t="s">
        <v>407</v>
      </c>
      <c r="F230" s="197" t="s">
        <v>99</v>
      </c>
      <c r="G230" s="260">
        <v>336.04300000000001</v>
      </c>
      <c r="H230" s="197">
        <v>4</v>
      </c>
      <c r="I230" s="197" t="s">
        <v>3987</v>
      </c>
      <c r="J230" s="197" t="s">
        <v>3988</v>
      </c>
      <c r="K230" s="197" t="s">
        <v>1283</v>
      </c>
      <c r="L230" s="261">
        <v>0.05</v>
      </c>
      <c r="M230" s="263">
        <v>132.033871</v>
      </c>
      <c r="N230" s="263">
        <f>L230*M230</f>
        <v>6.6016935500000002</v>
      </c>
      <c r="O230" s="199"/>
      <c r="P230" s="261"/>
      <c r="Q230" s="261"/>
      <c r="R230" s="198"/>
      <c r="S230" s="197" t="s">
        <v>4202</v>
      </c>
      <c r="T230" s="197" t="s">
        <v>4203</v>
      </c>
      <c r="U230" s="197" t="s">
        <v>3958</v>
      </c>
      <c r="V230" s="197" t="s">
        <v>3959</v>
      </c>
    </row>
    <row r="231" spans="1:22" s="197" customFormat="1" x14ac:dyDescent="0.2">
      <c r="A231" s="197" t="s">
        <v>4201</v>
      </c>
      <c r="B231" s="197" t="s">
        <v>406</v>
      </c>
      <c r="C231" s="197" t="s">
        <v>1493</v>
      </c>
      <c r="D231" s="197" t="s">
        <v>56</v>
      </c>
      <c r="E231" s="197" t="s">
        <v>407</v>
      </c>
      <c r="F231" s="197" t="s">
        <v>99</v>
      </c>
      <c r="G231" s="260">
        <v>336.04300000000001</v>
      </c>
      <c r="H231" s="197">
        <v>5</v>
      </c>
      <c r="I231" s="197" t="s">
        <v>3968</v>
      </c>
      <c r="J231" s="197" t="s">
        <v>3969</v>
      </c>
      <c r="K231" s="197" t="s">
        <v>99</v>
      </c>
      <c r="L231" s="261">
        <v>1</v>
      </c>
      <c r="M231" s="263"/>
      <c r="N231" s="263">
        <f>SUM(N227:N230)</f>
        <v>132.033871</v>
      </c>
      <c r="O231" s="199">
        <v>0.2223</v>
      </c>
      <c r="P231" s="261">
        <f>N231*O231</f>
        <v>29.351129523299999</v>
      </c>
      <c r="Q231" s="261">
        <f>N231+P231</f>
        <v>161.38500052329999</v>
      </c>
      <c r="R231" s="198">
        <f>Q231*G231</f>
        <v>54232.2997308513</v>
      </c>
      <c r="S231" s="197" t="s">
        <v>4202</v>
      </c>
      <c r="T231" s="197" t="s">
        <v>4203</v>
      </c>
      <c r="U231" s="197" t="str">
        <f>IF(ABS(Q231-161.385)&lt;=0.01,"FECHA COM PLANILHA","REVISAR")</f>
        <v>FECHA COM PLANILHA</v>
      </c>
      <c r="V231" s="197" t="s">
        <v>4204</v>
      </c>
    </row>
    <row r="232" spans="1:22" s="197" customFormat="1" x14ac:dyDescent="0.2">
      <c r="A232" s="197" t="s">
        <v>4205</v>
      </c>
      <c r="B232" s="197" t="s">
        <v>1410</v>
      </c>
      <c r="C232" s="197" t="s">
        <v>1411</v>
      </c>
      <c r="D232" s="197" t="s">
        <v>56</v>
      </c>
      <c r="E232" s="197" t="s">
        <v>233</v>
      </c>
      <c r="F232" s="197" t="s">
        <v>180</v>
      </c>
      <c r="G232" s="260">
        <v>4850.1769999999997</v>
      </c>
      <c r="H232" s="197">
        <v>1</v>
      </c>
      <c r="I232" s="197" t="s">
        <v>3954</v>
      </c>
      <c r="J232" s="197" t="s">
        <v>3982</v>
      </c>
      <c r="K232" s="197" t="s">
        <v>1283</v>
      </c>
      <c r="L232" s="261">
        <v>0.16</v>
      </c>
      <c r="M232" s="263">
        <v>9.0812399999999993</v>
      </c>
      <c r="N232" s="263">
        <f>L232*M232</f>
        <v>1.4529984</v>
      </c>
      <c r="O232" s="199"/>
      <c r="P232" s="261"/>
      <c r="Q232" s="261"/>
      <c r="R232" s="198"/>
      <c r="S232" s="197" t="s">
        <v>4206</v>
      </c>
      <c r="T232" s="197" t="s">
        <v>4207</v>
      </c>
      <c r="U232" s="197" t="s">
        <v>3958</v>
      </c>
      <c r="V232" s="197" t="s">
        <v>3959</v>
      </c>
    </row>
    <row r="233" spans="1:22" s="197" customFormat="1" x14ac:dyDescent="0.2">
      <c r="A233" s="197" t="s">
        <v>4205</v>
      </c>
      <c r="B233" s="197" t="s">
        <v>1410</v>
      </c>
      <c r="C233" s="197" t="s">
        <v>1411</v>
      </c>
      <c r="D233" s="197" t="s">
        <v>56</v>
      </c>
      <c r="E233" s="197" t="s">
        <v>233</v>
      </c>
      <c r="F233" s="197" t="s">
        <v>180</v>
      </c>
      <c r="G233" s="260">
        <v>4850.1769999999997</v>
      </c>
      <c r="H233" s="197">
        <v>2</v>
      </c>
      <c r="I233" s="197" t="s">
        <v>3960</v>
      </c>
      <c r="J233" s="197" t="s">
        <v>3985</v>
      </c>
      <c r="K233" s="197" t="s">
        <v>1283</v>
      </c>
      <c r="L233" s="261">
        <v>0.64</v>
      </c>
      <c r="M233" s="263">
        <v>9.0812399999999993</v>
      </c>
      <c r="N233" s="263">
        <f>L233*M233</f>
        <v>5.8119936000000001</v>
      </c>
      <c r="O233" s="199"/>
      <c r="P233" s="261"/>
      <c r="Q233" s="261"/>
      <c r="R233" s="198"/>
      <c r="S233" s="197" t="s">
        <v>4206</v>
      </c>
      <c r="T233" s="197" t="s">
        <v>4207</v>
      </c>
      <c r="U233" s="197" t="s">
        <v>3958</v>
      </c>
      <c r="V233" s="197" t="s">
        <v>3959</v>
      </c>
    </row>
    <row r="234" spans="1:22" s="197" customFormat="1" x14ac:dyDescent="0.2">
      <c r="A234" s="197" t="s">
        <v>4205</v>
      </c>
      <c r="B234" s="197" t="s">
        <v>1410</v>
      </c>
      <c r="C234" s="197" t="s">
        <v>1411</v>
      </c>
      <c r="D234" s="197" t="s">
        <v>56</v>
      </c>
      <c r="E234" s="197" t="s">
        <v>233</v>
      </c>
      <c r="F234" s="197" t="s">
        <v>180</v>
      </c>
      <c r="G234" s="260">
        <v>4850.1769999999997</v>
      </c>
      <c r="H234" s="197">
        <v>3</v>
      </c>
      <c r="I234" s="197" t="s">
        <v>3962</v>
      </c>
      <c r="J234" s="197" t="s">
        <v>3986</v>
      </c>
      <c r="K234" s="197" t="s">
        <v>1283</v>
      </c>
      <c r="L234" s="261">
        <v>0.15</v>
      </c>
      <c r="M234" s="263">
        <v>9.0812399999999993</v>
      </c>
      <c r="N234" s="263">
        <f>L234*M234</f>
        <v>1.3621859999999999</v>
      </c>
      <c r="O234" s="199"/>
      <c r="P234" s="261"/>
      <c r="Q234" s="261"/>
      <c r="R234" s="198"/>
      <c r="S234" s="197" t="s">
        <v>4206</v>
      </c>
      <c r="T234" s="197" t="s">
        <v>4207</v>
      </c>
      <c r="U234" s="197" t="s">
        <v>3958</v>
      </c>
      <c r="V234" s="197" t="s">
        <v>3959</v>
      </c>
    </row>
    <row r="235" spans="1:22" s="197" customFormat="1" x14ac:dyDescent="0.2">
      <c r="A235" s="197" t="s">
        <v>4205</v>
      </c>
      <c r="B235" s="197" t="s">
        <v>1410</v>
      </c>
      <c r="C235" s="197" t="s">
        <v>1411</v>
      </c>
      <c r="D235" s="197" t="s">
        <v>56</v>
      </c>
      <c r="E235" s="197" t="s">
        <v>233</v>
      </c>
      <c r="F235" s="197" t="s">
        <v>180</v>
      </c>
      <c r="G235" s="260">
        <v>4850.1769999999997</v>
      </c>
      <c r="H235" s="197">
        <v>4</v>
      </c>
      <c r="I235" s="197" t="s">
        <v>3987</v>
      </c>
      <c r="J235" s="197" t="s">
        <v>3988</v>
      </c>
      <c r="K235" s="197" t="s">
        <v>1283</v>
      </c>
      <c r="L235" s="261">
        <v>0.05</v>
      </c>
      <c r="M235" s="263">
        <v>9.0812399999999993</v>
      </c>
      <c r="N235" s="263">
        <f>L235*M235</f>
        <v>0.45406199999999997</v>
      </c>
      <c r="O235" s="199"/>
      <c r="P235" s="261"/>
      <c r="Q235" s="261"/>
      <c r="R235" s="198"/>
      <c r="S235" s="197" t="s">
        <v>4206</v>
      </c>
      <c r="T235" s="197" t="s">
        <v>4207</v>
      </c>
      <c r="U235" s="197" t="s">
        <v>3958</v>
      </c>
      <c r="V235" s="197" t="s">
        <v>3959</v>
      </c>
    </row>
    <row r="236" spans="1:22" s="197" customFormat="1" x14ac:dyDescent="0.2">
      <c r="A236" s="197" t="s">
        <v>4205</v>
      </c>
      <c r="B236" s="197" t="s">
        <v>1410</v>
      </c>
      <c r="C236" s="197" t="s">
        <v>1411</v>
      </c>
      <c r="D236" s="197" t="s">
        <v>56</v>
      </c>
      <c r="E236" s="197" t="s">
        <v>233</v>
      </c>
      <c r="F236" s="197" t="s">
        <v>180</v>
      </c>
      <c r="G236" s="260">
        <v>4850.1769999999997</v>
      </c>
      <c r="H236" s="197">
        <v>5</v>
      </c>
      <c r="I236" s="197" t="s">
        <v>3968</v>
      </c>
      <c r="J236" s="197" t="s">
        <v>3969</v>
      </c>
      <c r="K236" s="197" t="s">
        <v>180</v>
      </c>
      <c r="L236" s="261">
        <v>1</v>
      </c>
      <c r="M236" s="263"/>
      <c r="N236" s="263">
        <f>SUM(N232:N235)</f>
        <v>9.0812400000000011</v>
      </c>
      <c r="O236" s="199">
        <v>0.2223</v>
      </c>
      <c r="P236" s="261">
        <f>N236*O236</f>
        <v>2.0187596520000004</v>
      </c>
      <c r="Q236" s="261">
        <f>N236+P236</f>
        <v>11.099999652000001</v>
      </c>
      <c r="R236" s="198">
        <f>Q236*G236</f>
        <v>53836.963012138403</v>
      </c>
      <c r="S236" s="197" t="s">
        <v>4206</v>
      </c>
      <c r="T236" s="197" t="s">
        <v>4207</v>
      </c>
      <c r="U236" s="197" t="str">
        <f>IF(ABS(Q236-11.1)&lt;=0.01,"FECHA COM PLANILHA","REVISAR")</f>
        <v>FECHA COM PLANILHA</v>
      </c>
      <c r="V236" s="197" t="s">
        <v>4208</v>
      </c>
    </row>
    <row r="237" spans="1:22" s="197" customFormat="1" x14ac:dyDescent="0.2">
      <c r="A237" s="197" t="s">
        <v>4209</v>
      </c>
      <c r="B237" s="197" t="s">
        <v>1944</v>
      </c>
      <c r="C237" s="197" t="s">
        <v>1945</v>
      </c>
      <c r="D237" s="197" t="s">
        <v>24</v>
      </c>
      <c r="E237" s="197" t="s">
        <v>894</v>
      </c>
      <c r="F237" s="197" t="s">
        <v>84</v>
      </c>
      <c r="G237" s="260">
        <v>1</v>
      </c>
      <c r="H237" s="197">
        <v>1</v>
      </c>
      <c r="I237" s="197" t="s">
        <v>3954</v>
      </c>
      <c r="J237" s="197" t="s">
        <v>3972</v>
      </c>
      <c r="K237" s="197" t="s">
        <v>1283</v>
      </c>
      <c r="L237" s="261">
        <v>0.18</v>
      </c>
      <c r="M237" s="263">
        <v>42344.577845</v>
      </c>
      <c r="N237" s="263">
        <f>L237*M237</f>
        <v>7622.0240120999997</v>
      </c>
      <c r="O237" s="199"/>
      <c r="P237" s="261"/>
      <c r="Q237" s="261"/>
      <c r="R237" s="198"/>
      <c r="S237" s="197" t="s">
        <v>4210</v>
      </c>
      <c r="T237" s="197" t="s">
        <v>4211</v>
      </c>
      <c r="U237" s="197" t="s">
        <v>3958</v>
      </c>
      <c r="V237" s="197" t="s">
        <v>3959</v>
      </c>
    </row>
    <row r="238" spans="1:22" s="197" customFormat="1" x14ac:dyDescent="0.2">
      <c r="A238" s="197" t="s">
        <v>4209</v>
      </c>
      <c r="B238" s="197" t="s">
        <v>1944</v>
      </c>
      <c r="C238" s="197" t="s">
        <v>1945</v>
      </c>
      <c r="D238" s="197" t="s">
        <v>24</v>
      </c>
      <c r="E238" s="197" t="s">
        <v>894</v>
      </c>
      <c r="F238" s="197" t="s">
        <v>84</v>
      </c>
      <c r="G238" s="260">
        <v>1</v>
      </c>
      <c r="H238" s="197">
        <v>2</v>
      </c>
      <c r="I238" s="197" t="s">
        <v>3960</v>
      </c>
      <c r="J238" s="197" t="s">
        <v>3975</v>
      </c>
      <c r="K238" s="197" t="s">
        <v>1283</v>
      </c>
      <c r="L238" s="261">
        <v>0.75</v>
      </c>
      <c r="M238" s="263">
        <v>42344.577845</v>
      </c>
      <c r="N238" s="263">
        <f>L238*M238</f>
        <v>31758.433383750002</v>
      </c>
      <c r="O238" s="199"/>
      <c r="P238" s="261"/>
      <c r="Q238" s="261"/>
      <c r="R238" s="198"/>
      <c r="S238" s="197" t="s">
        <v>4210</v>
      </c>
      <c r="T238" s="197" t="s">
        <v>4211</v>
      </c>
      <c r="U238" s="197" t="s">
        <v>3958</v>
      </c>
      <c r="V238" s="197" t="s">
        <v>3959</v>
      </c>
    </row>
    <row r="239" spans="1:22" s="197" customFormat="1" x14ac:dyDescent="0.2">
      <c r="A239" s="197" t="s">
        <v>4209</v>
      </c>
      <c r="B239" s="197" t="s">
        <v>1944</v>
      </c>
      <c r="C239" s="197" t="s">
        <v>1945</v>
      </c>
      <c r="D239" s="197" t="s">
        <v>24</v>
      </c>
      <c r="E239" s="197" t="s">
        <v>894</v>
      </c>
      <c r="F239" s="197" t="s">
        <v>84</v>
      </c>
      <c r="G239" s="260">
        <v>1</v>
      </c>
      <c r="H239" s="197">
        <v>3</v>
      </c>
      <c r="I239" s="197" t="s">
        <v>3976</v>
      </c>
      <c r="J239" s="197" t="s">
        <v>3977</v>
      </c>
      <c r="K239" s="197" t="s">
        <v>1283</v>
      </c>
      <c r="L239" s="261">
        <v>0.04</v>
      </c>
      <c r="M239" s="263">
        <v>42344.577845</v>
      </c>
      <c r="N239" s="263">
        <f>L239*M239</f>
        <v>1693.7831138000001</v>
      </c>
      <c r="O239" s="199"/>
      <c r="P239" s="261"/>
      <c r="Q239" s="261"/>
      <c r="R239" s="198"/>
      <c r="S239" s="197" t="s">
        <v>4210</v>
      </c>
      <c r="T239" s="197" t="s">
        <v>4211</v>
      </c>
      <c r="U239" s="197" t="s">
        <v>3958</v>
      </c>
      <c r="V239" s="197" t="s">
        <v>3959</v>
      </c>
    </row>
    <row r="240" spans="1:22" s="197" customFormat="1" x14ac:dyDescent="0.2">
      <c r="A240" s="197" t="s">
        <v>4209</v>
      </c>
      <c r="B240" s="197" t="s">
        <v>1944</v>
      </c>
      <c r="C240" s="197" t="s">
        <v>1945</v>
      </c>
      <c r="D240" s="197" t="s">
        <v>24</v>
      </c>
      <c r="E240" s="197" t="s">
        <v>894</v>
      </c>
      <c r="F240" s="197" t="s">
        <v>84</v>
      </c>
      <c r="G240" s="260">
        <v>1</v>
      </c>
      <c r="H240" s="197">
        <v>4</v>
      </c>
      <c r="I240" s="197" t="s">
        <v>3978</v>
      </c>
      <c r="J240" s="197" t="s">
        <v>3979</v>
      </c>
      <c r="K240" s="197" t="s">
        <v>1283</v>
      </c>
      <c r="L240" s="261">
        <v>0.03</v>
      </c>
      <c r="M240" s="263">
        <v>42344.577845</v>
      </c>
      <c r="N240" s="263">
        <f>L240*M240</f>
        <v>1270.3373353499999</v>
      </c>
      <c r="O240" s="199"/>
      <c r="P240" s="261"/>
      <c r="Q240" s="261"/>
      <c r="R240" s="198"/>
      <c r="S240" s="197" t="s">
        <v>4210</v>
      </c>
      <c r="T240" s="197" t="s">
        <v>4211</v>
      </c>
      <c r="U240" s="197" t="s">
        <v>3958</v>
      </c>
      <c r="V240" s="197" t="s">
        <v>3959</v>
      </c>
    </row>
    <row r="241" spans="1:22" s="197" customFormat="1" x14ac:dyDescent="0.2">
      <c r="A241" s="197" t="s">
        <v>4209</v>
      </c>
      <c r="B241" s="197" t="s">
        <v>1944</v>
      </c>
      <c r="C241" s="197" t="s">
        <v>1945</v>
      </c>
      <c r="D241" s="197" t="s">
        <v>24</v>
      </c>
      <c r="E241" s="197" t="s">
        <v>894</v>
      </c>
      <c r="F241" s="197" t="s">
        <v>84</v>
      </c>
      <c r="G241" s="260">
        <v>1</v>
      </c>
      <c r="H241" s="197">
        <v>5</v>
      </c>
      <c r="I241" s="197" t="s">
        <v>3968</v>
      </c>
      <c r="J241" s="197" t="s">
        <v>3969</v>
      </c>
      <c r="K241" s="197" t="s">
        <v>84</v>
      </c>
      <c r="L241" s="261">
        <v>1</v>
      </c>
      <c r="M241" s="263"/>
      <c r="N241" s="263">
        <f>SUM(N237:N240)</f>
        <v>42344.577845</v>
      </c>
      <c r="O241" s="199">
        <v>0.2223</v>
      </c>
      <c r="P241" s="261">
        <f>N241*O241</f>
        <v>9413.1996549435007</v>
      </c>
      <c r="Q241" s="261">
        <f>N241+P241</f>
        <v>51757.777499943499</v>
      </c>
      <c r="R241" s="198">
        <f>Q241*G241</f>
        <v>51757.777499943499</v>
      </c>
      <c r="S241" s="197" t="s">
        <v>4210</v>
      </c>
      <c r="T241" s="197" t="s">
        <v>4211</v>
      </c>
      <c r="U241" s="197" t="str">
        <f>IF(ABS(Q241-51757.7775)&lt;=0.01,"FECHA COM PLANILHA","REVISAR")</f>
        <v>FECHA COM PLANILHA</v>
      </c>
      <c r="V241" s="197" t="s">
        <v>4212</v>
      </c>
    </row>
    <row r="242" spans="1:22" s="197" customFormat="1" x14ac:dyDescent="0.2">
      <c r="A242" s="197" t="s">
        <v>4213</v>
      </c>
      <c r="B242" s="197" t="s">
        <v>332</v>
      </c>
      <c r="C242" s="197" t="s">
        <v>1458</v>
      </c>
      <c r="D242" s="197" t="s">
        <v>56</v>
      </c>
      <c r="E242" s="197" t="s">
        <v>333</v>
      </c>
      <c r="F242" s="197" t="s">
        <v>26</v>
      </c>
      <c r="G242" s="260">
        <v>682.82500000000005</v>
      </c>
      <c r="H242" s="197">
        <v>1</v>
      </c>
      <c r="I242" s="197" t="s">
        <v>3954</v>
      </c>
      <c r="J242" s="197" t="s">
        <v>4049</v>
      </c>
      <c r="K242" s="197" t="s">
        <v>1283</v>
      </c>
      <c r="L242" s="261">
        <v>0.24</v>
      </c>
      <c r="M242" s="263">
        <v>60.114128999999998</v>
      </c>
      <c r="N242" s="263">
        <f>L242*M242</f>
        <v>14.427390959999999</v>
      </c>
      <c r="O242" s="199"/>
      <c r="P242" s="261"/>
      <c r="Q242" s="261"/>
      <c r="R242" s="198"/>
      <c r="S242" s="197" t="s">
        <v>4214</v>
      </c>
      <c r="T242" s="197" t="s">
        <v>4215</v>
      </c>
      <c r="U242" s="197" t="s">
        <v>3958</v>
      </c>
      <c r="V242" s="197" t="s">
        <v>3959</v>
      </c>
    </row>
    <row r="243" spans="1:22" s="197" customFormat="1" x14ac:dyDescent="0.2">
      <c r="A243" s="197" t="s">
        <v>4213</v>
      </c>
      <c r="B243" s="197" t="s">
        <v>332</v>
      </c>
      <c r="C243" s="197" t="s">
        <v>1458</v>
      </c>
      <c r="D243" s="197" t="s">
        <v>56</v>
      </c>
      <c r="E243" s="197" t="s">
        <v>333</v>
      </c>
      <c r="F243" s="197" t="s">
        <v>26</v>
      </c>
      <c r="G243" s="260">
        <v>682.82500000000005</v>
      </c>
      <c r="H243" s="197">
        <v>2</v>
      </c>
      <c r="I243" s="197" t="s">
        <v>3960</v>
      </c>
      <c r="J243" s="197" t="s">
        <v>4052</v>
      </c>
      <c r="K243" s="197" t="s">
        <v>1283</v>
      </c>
      <c r="L243" s="261">
        <v>0.68</v>
      </c>
      <c r="M243" s="263">
        <v>60.114128999999998</v>
      </c>
      <c r="N243" s="263">
        <f>L243*M243</f>
        <v>40.87760772</v>
      </c>
      <c r="O243" s="199"/>
      <c r="P243" s="261"/>
      <c r="Q243" s="261"/>
      <c r="R243" s="198"/>
      <c r="S243" s="197" t="s">
        <v>4214</v>
      </c>
      <c r="T243" s="197" t="s">
        <v>4215</v>
      </c>
      <c r="U243" s="197" t="s">
        <v>3958</v>
      </c>
      <c r="V243" s="197" t="s">
        <v>3959</v>
      </c>
    </row>
    <row r="244" spans="1:22" s="197" customFormat="1" x14ac:dyDescent="0.2">
      <c r="A244" s="197" t="s">
        <v>4213</v>
      </c>
      <c r="B244" s="197" t="s">
        <v>332</v>
      </c>
      <c r="C244" s="197" t="s">
        <v>1458</v>
      </c>
      <c r="D244" s="197" t="s">
        <v>56</v>
      </c>
      <c r="E244" s="197" t="s">
        <v>333</v>
      </c>
      <c r="F244" s="197" t="s">
        <v>26</v>
      </c>
      <c r="G244" s="260">
        <v>682.82500000000005</v>
      </c>
      <c r="H244" s="197">
        <v>3</v>
      </c>
      <c r="I244" s="197" t="s">
        <v>3976</v>
      </c>
      <c r="J244" s="197" t="s">
        <v>4053</v>
      </c>
      <c r="K244" s="197" t="s">
        <v>1283</v>
      </c>
      <c r="L244" s="261">
        <v>0.04</v>
      </c>
      <c r="M244" s="263">
        <v>60.114128999999998</v>
      </c>
      <c r="N244" s="263">
        <f>L244*M244</f>
        <v>2.4045651600000002</v>
      </c>
      <c r="O244" s="199"/>
      <c r="P244" s="261"/>
      <c r="Q244" s="261"/>
      <c r="R244" s="198"/>
      <c r="S244" s="197" t="s">
        <v>4214</v>
      </c>
      <c r="T244" s="197" t="s">
        <v>4215</v>
      </c>
      <c r="U244" s="197" t="s">
        <v>3958</v>
      </c>
      <c r="V244" s="197" t="s">
        <v>3959</v>
      </c>
    </row>
    <row r="245" spans="1:22" s="197" customFormat="1" x14ac:dyDescent="0.2">
      <c r="A245" s="197" t="s">
        <v>4213</v>
      </c>
      <c r="B245" s="197" t="s">
        <v>332</v>
      </c>
      <c r="C245" s="197" t="s">
        <v>1458</v>
      </c>
      <c r="D245" s="197" t="s">
        <v>56</v>
      </c>
      <c r="E245" s="197" t="s">
        <v>333</v>
      </c>
      <c r="F245" s="197" t="s">
        <v>26</v>
      </c>
      <c r="G245" s="260">
        <v>682.82500000000005</v>
      </c>
      <c r="H245" s="197">
        <v>4</v>
      </c>
      <c r="I245" s="197" t="s">
        <v>4054</v>
      </c>
      <c r="J245" s="197" t="s">
        <v>4055</v>
      </c>
      <c r="K245" s="197" t="s">
        <v>1283</v>
      </c>
      <c r="L245" s="261">
        <v>0.04</v>
      </c>
      <c r="M245" s="263">
        <v>60.114128999999998</v>
      </c>
      <c r="N245" s="263">
        <f>L245*M245</f>
        <v>2.4045651600000002</v>
      </c>
      <c r="O245" s="199"/>
      <c r="P245" s="261"/>
      <c r="Q245" s="261"/>
      <c r="R245" s="198"/>
      <c r="S245" s="197" t="s">
        <v>4214</v>
      </c>
      <c r="T245" s="197" t="s">
        <v>4215</v>
      </c>
      <c r="U245" s="197" t="s">
        <v>3958</v>
      </c>
      <c r="V245" s="197" t="s">
        <v>3959</v>
      </c>
    </row>
    <row r="246" spans="1:22" s="197" customFormat="1" x14ac:dyDescent="0.2">
      <c r="A246" s="197" t="s">
        <v>4213</v>
      </c>
      <c r="B246" s="197" t="s">
        <v>332</v>
      </c>
      <c r="C246" s="197" t="s">
        <v>1458</v>
      </c>
      <c r="D246" s="197" t="s">
        <v>56</v>
      </c>
      <c r="E246" s="197" t="s">
        <v>333</v>
      </c>
      <c r="F246" s="197" t="s">
        <v>26</v>
      </c>
      <c r="G246" s="260">
        <v>682.82500000000005</v>
      </c>
      <c r="H246" s="197">
        <v>5</v>
      </c>
      <c r="I246" s="197" t="s">
        <v>3968</v>
      </c>
      <c r="J246" s="197" t="s">
        <v>3969</v>
      </c>
      <c r="K246" s="197" t="s">
        <v>26</v>
      </c>
      <c r="L246" s="261">
        <v>1</v>
      </c>
      <c r="M246" s="263"/>
      <c r="N246" s="263">
        <f>SUM(N242:N245)</f>
        <v>60.114128999999991</v>
      </c>
      <c r="O246" s="199">
        <v>0.2223</v>
      </c>
      <c r="P246" s="261">
        <f>N246*O246</f>
        <v>13.363370876699998</v>
      </c>
      <c r="Q246" s="261">
        <f>N246+P246</f>
        <v>73.477499876699994</v>
      </c>
      <c r="R246" s="198">
        <f>Q246*G246</f>
        <v>50172.273853307677</v>
      </c>
      <c r="S246" s="197" t="s">
        <v>4214</v>
      </c>
      <c r="T246" s="197" t="s">
        <v>4215</v>
      </c>
      <c r="U246" s="197" t="str">
        <f>IF(ABS(Q246-73.4775)&lt;=0.01,"FECHA COM PLANILHA","REVISAR")</f>
        <v>FECHA COM PLANILHA</v>
      </c>
      <c r="V246" s="197" t="s">
        <v>4216</v>
      </c>
    </row>
    <row r="247" spans="1:22" s="197" customFormat="1" x14ac:dyDescent="0.2">
      <c r="A247" s="197" t="s">
        <v>4217</v>
      </c>
      <c r="B247" s="197" t="s">
        <v>418</v>
      </c>
      <c r="C247" s="197" t="s">
        <v>1498</v>
      </c>
      <c r="D247" s="197" t="s">
        <v>56</v>
      </c>
      <c r="E247" s="197" t="s">
        <v>419</v>
      </c>
      <c r="F247" s="197" t="s">
        <v>26</v>
      </c>
      <c r="G247" s="260">
        <v>2257.8420000000001</v>
      </c>
      <c r="H247" s="197">
        <v>1</v>
      </c>
      <c r="I247" s="197" t="s">
        <v>3954</v>
      </c>
      <c r="J247" s="197" t="s">
        <v>4122</v>
      </c>
      <c r="K247" s="197" t="s">
        <v>1283</v>
      </c>
      <c r="L247" s="261">
        <v>0.5</v>
      </c>
      <c r="M247" s="263">
        <v>18.033625000000001</v>
      </c>
      <c r="N247" s="263">
        <f>L247*M247</f>
        <v>9.0168125000000003</v>
      </c>
      <c r="O247" s="199"/>
      <c r="P247" s="261"/>
      <c r="Q247" s="261"/>
      <c r="R247" s="198"/>
      <c r="S247" s="197" t="s">
        <v>4218</v>
      </c>
      <c r="T247" s="197" t="s">
        <v>4219</v>
      </c>
      <c r="U247" s="197" t="s">
        <v>3958</v>
      </c>
      <c r="V247" s="197" t="s">
        <v>3959</v>
      </c>
    </row>
    <row r="248" spans="1:22" s="197" customFormat="1" x14ac:dyDescent="0.2">
      <c r="A248" s="197" t="s">
        <v>4217</v>
      </c>
      <c r="B248" s="197" t="s">
        <v>418</v>
      </c>
      <c r="C248" s="197" t="s">
        <v>1498</v>
      </c>
      <c r="D248" s="197" t="s">
        <v>56</v>
      </c>
      <c r="E248" s="197" t="s">
        <v>419</v>
      </c>
      <c r="F248" s="197" t="s">
        <v>26</v>
      </c>
      <c r="G248" s="260">
        <v>2257.8420000000001</v>
      </c>
      <c r="H248" s="197">
        <v>2</v>
      </c>
      <c r="I248" s="197" t="s">
        <v>3960</v>
      </c>
      <c r="J248" s="197" t="s">
        <v>4125</v>
      </c>
      <c r="K248" s="197" t="s">
        <v>1283</v>
      </c>
      <c r="L248" s="261">
        <v>0.43</v>
      </c>
      <c r="M248" s="263">
        <v>18.033625000000001</v>
      </c>
      <c r="N248" s="263">
        <f>L248*M248</f>
        <v>7.7544587500000004</v>
      </c>
      <c r="O248" s="199"/>
      <c r="P248" s="261"/>
      <c r="Q248" s="261"/>
      <c r="R248" s="198"/>
      <c r="S248" s="197" t="s">
        <v>4218</v>
      </c>
      <c r="T248" s="197" t="s">
        <v>4219</v>
      </c>
      <c r="U248" s="197" t="s">
        <v>3958</v>
      </c>
      <c r="V248" s="197" t="s">
        <v>3959</v>
      </c>
    </row>
    <row r="249" spans="1:22" s="197" customFormat="1" x14ac:dyDescent="0.2">
      <c r="A249" s="197" t="s">
        <v>4217</v>
      </c>
      <c r="B249" s="197" t="s">
        <v>418</v>
      </c>
      <c r="C249" s="197" t="s">
        <v>1498</v>
      </c>
      <c r="D249" s="197" t="s">
        <v>56</v>
      </c>
      <c r="E249" s="197" t="s">
        <v>419</v>
      </c>
      <c r="F249" s="197" t="s">
        <v>26</v>
      </c>
      <c r="G249" s="260">
        <v>2257.8420000000001</v>
      </c>
      <c r="H249" s="197">
        <v>3</v>
      </c>
      <c r="I249" s="197" t="s">
        <v>4126</v>
      </c>
      <c r="J249" s="197" t="s">
        <v>4127</v>
      </c>
      <c r="K249" s="197" t="s">
        <v>1283</v>
      </c>
      <c r="L249" s="261">
        <v>7.0000000000000007E-2</v>
      </c>
      <c r="M249" s="263">
        <v>18.033625000000001</v>
      </c>
      <c r="N249" s="263">
        <f>L249*M249</f>
        <v>1.2623537500000002</v>
      </c>
      <c r="O249" s="199"/>
      <c r="P249" s="261"/>
      <c r="Q249" s="261"/>
      <c r="R249" s="198"/>
      <c r="S249" s="197" t="s">
        <v>4218</v>
      </c>
      <c r="T249" s="197" t="s">
        <v>4219</v>
      </c>
      <c r="U249" s="197" t="s">
        <v>3958</v>
      </c>
      <c r="V249" s="197" t="s">
        <v>3959</v>
      </c>
    </row>
    <row r="250" spans="1:22" s="197" customFormat="1" x14ac:dyDescent="0.2">
      <c r="A250" s="197" t="s">
        <v>4217</v>
      </c>
      <c r="B250" s="197" t="s">
        <v>418</v>
      </c>
      <c r="C250" s="197" t="s">
        <v>1498</v>
      </c>
      <c r="D250" s="197" t="s">
        <v>56</v>
      </c>
      <c r="E250" s="197" t="s">
        <v>419</v>
      </c>
      <c r="F250" s="197" t="s">
        <v>26</v>
      </c>
      <c r="G250" s="260">
        <v>2257.8420000000001</v>
      </c>
      <c r="H250" s="197">
        <v>4</v>
      </c>
      <c r="I250" s="197" t="s">
        <v>3968</v>
      </c>
      <c r="J250" s="197" t="s">
        <v>3969</v>
      </c>
      <c r="K250" s="197" t="s">
        <v>26</v>
      </c>
      <c r="L250" s="261">
        <v>1</v>
      </c>
      <c r="M250" s="263"/>
      <c r="N250" s="263">
        <f>SUM(N247:N249)</f>
        <v>18.033625000000001</v>
      </c>
      <c r="O250" s="199">
        <v>0.2223</v>
      </c>
      <c r="P250" s="261">
        <f>N250*O250</f>
        <v>4.0088748375000005</v>
      </c>
      <c r="Q250" s="261">
        <f>N250+P250</f>
        <v>22.042499837500003</v>
      </c>
      <c r="R250" s="198">
        <f>Q250*G250</f>
        <v>49768.481918100682</v>
      </c>
      <c r="S250" s="197" t="s">
        <v>4218</v>
      </c>
      <c r="T250" s="197" t="s">
        <v>4219</v>
      </c>
      <c r="U250" s="197" t="str">
        <f>IF(ABS(Q250-22.0425)&lt;=0.01,"FECHA COM PLANILHA","REVISAR")</f>
        <v>FECHA COM PLANILHA</v>
      </c>
      <c r="V250" s="197" t="s">
        <v>4220</v>
      </c>
    </row>
    <row r="251" spans="1:22" s="197" customFormat="1" x14ac:dyDescent="0.2">
      <c r="A251" s="197" t="s">
        <v>4221</v>
      </c>
      <c r="B251" s="197" t="s">
        <v>319</v>
      </c>
      <c r="C251" s="197" t="s">
        <v>1453</v>
      </c>
      <c r="D251" s="197" t="s">
        <v>56</v>
      </c>
      <c r="E251" s="197" t="s">
        <v>320</v>
      </c>
      <c r="F251" s="197" t="s">
        <v>26</v>
      </c>
      <c r="G251" s="260">
        <v>48.411000000000001</v>
      </c>
      <c r="H251" s="197">
        <v>1</v>
      </c>
      <c r="I251" s="197" t="s">
        <v>3954</v>
      </c>
      <c r="J251" s="197" t="s">
        <v>3982</v>
      </c>
      <c r="K251" s="197" t="s">
        <v>1283</v>
      </c>
      <c r="L251" s="261">
        <v>0.16</v>
      </c>
      <c r="M251" s="263">
        <v>805.41397400000005</v>
      </c>
      <c r="N251" s="263">
        <f>L251*M251</f>
        <v>128.86623584</v>
      </c>
      <c r="O251" s="199"/>
      <c r="P251" s="261"/>
      <c r="Q251" s="261"/>
      <c r="R251" s="198"/>
      <c r="S251" s="197" t="s">
        <v>4222</v>
      </c>
      <c r="T251" s="197" t="s">
        <v>4223</v>
      </c>
      <c r="U251" s="197" t="s">
        <v>3958</v>
      </c>
      <c r="V251" s="197" t="s">
        <v>3959</v>
      </c>
    </row>
    <row r="252" spans="1:22" s="197" customFormat="1" x14ac:dyDescent="0.2">
      <c r="A252" s="197" t="s">
        <v>4221</v>
      </c>
      <c r="B252" s="197" t="s">
        <v>319</v>
      </c>
      <c r="C252" s="197" t="s">
        <v>1453</v>
      </c>
      <c r="D252" s="197" t="s">
        <v>56</v>
      </c>
      <c r="E252" s="197" t="s">
        <v>320</v>
      </c>
      <c r="F252" s="197" t="s">
        <v>26</v>
      </c>
      <c r="G252" s="260">
        <v>48.411000000000001</v>
      </c>
      <c r="H252" s="197">
        <v>2</v>
      </c>
      <c r="I252" s="197" t="s">
        <v>3960</v>
      </c>
      <c r="J252" s="197" t="s">
        <v>3985</v>
      </c>
      <c r="K252" s="197" t="s">
        <v>1283</v>
      </c>
      <c r="L252" s="261">
        <v>0.64</v>
      </c>
      <c r="M252" s="263">
        <v>805.41397400000005</v>
      </c>
      <c r="N252" s="263">
        <f>L252*M252</f>
        <v>515.46494336000001</v>
      </c>
      <c r="O252" s="199"/>
      <c r="P252" s="261"/>
      <c r="Q252" s="261"/>
      <c r="R252" s="198"/>
      <c r="S252" s="197" t="s">
        <v>4222</v>
      </c>
      <c r="T252" s="197" t="s">
        <v>4223</v>
      </c>
      <c r="U252" s="197" t="s">
        <v>3958</v>
      </c>
      <c r="V252" s="197" t="s">
        <v>3959</v>
      </c>
    </row>
    <row r="253" spans="1:22" s="197" customFormat="1" x14ac:dyDescent="0.2">
      <c r="A253" s="197" t="s">
        <v>4221</v>
      </c>
      <c r="B253" s="197" t="s">
        <v>319</v>
      </c>
      <c r="C253" s="197" t="s">
        <v>1453</v>
      </c>
      <c r="D253" s="197" t="s">
        <v>56</v>
      </c>
      <c r="E253" s="197" t="s">
        <v>320</v>
      </c>
      <c r="F253" s="197" t="s">
        <v>26</v>
      </c>
      <c r="G253" s="260">
        <v>48.411000000000001</v>
      </c>
      <c r="H253" s="197">
        <v>3</v>
      </c>
      <c r="I253" s="197" t="s">
        <v>3962</v>
      </c>
      <c r="J253" s="197" t="s">
        <v>3986</v>
      </c>
      <c r="K253" s="197" t="s">
        <v>1283</v>
      </c>
      <c r="L253" s="261">
        <v>0.15</v>
      </c>
      <c r="M253" s="263">
        <v>805.41397400000005</v>
      </c>
      <c r="N253" s="263">
        <f>L253*M253</f>
        <v>120.81209610000001</v>
      </c>
      <c r="O253" s="199"/>
      <c r="P253" s="261"/>
      <c r="Q253" s="261"/>
      <c r="R253" s="198"/>
      <c r="S253" s="197" t="s">
        <v>4222</v>
      </c>
      <c r="T253" s="197" t="s">
        <v>4223</v>
      </c>
      <c r="U253" s="197" t="s">
        <v>3958</v>
      </c>
      <c r="V253" s="197" t="s">
        <v>3959</v>
      </c>
    </row>
    <row r="254" spans="1:22" s="197" customFormat="1" x14ac:dyDescent="0.2">
      <c r="A254" s="197" t="s">
        <v>4221</v>
      </c>
      <c r="B254" s="197" t="s">
        <v>319</v>
      </c>
      <c r="C254" s="197" t="s">
        <v>1453</v>
      </c>
      <c r="D254" s="197" t="s">
        <v>56</v>
      </c>
      <c r="E254" s="197" t="s">
        <v>320</v>
      </c>
      <c r="F254" s="197" t="s">
        <v>26</v>
      </c>
      <c r="G254" s="260">
        <v>48.411000000000001</v>
      </c>
      <c r="H254" s="197">
        <v>4</v>
      </c>
      <c r="I254" s="197" t="s">
        <v>3987</v>
      </c>
      <c r="J254" s="197" t="s">
        <v>3988</v>
      </c>
      <c r="K254" s="197" t="s">
        <v>1283</v>
      </c>
      <c r="L254" s="261">
        <v>0.05</v>
      </c>
      <c r="M254" s="263">
        <v>805.41397400000005</v>
      </c>
      <c r="N254" s="263">
        <f>L254*M254</f>
        <v>40.270698700000004</v>
      </c>
      <c r="O254" s="199"/>
      <c r="P254" s="261"/>
      <c r="Q254" s="261"/>
      <c r="R254" s="198"/>
      <c r="S254" s="197" t="s">
        <v>4222</v>
      </c>
      <c r="T254" s="197" t="s">
        <v>4223</v>
      </c>
      <c r="U254" s="197" t="s">
        <v>3958</v>
      </c>
      <c r="V254" s="197" t="s">
        <v>3959</v>
      </c>
    </row>
    <row r="255" spans="1:22" s="197" customFormat="1" x14ac:dyDescent="0.2">
      <c r="A255" s="197" t="s">
        <v>4221</v>
      </c>
      <c r="B255" s="197" t="s">
        <v>319</v>
      </c>
      <c r="C255" s="197" t="s">
        <v>1453</v>
      </c>
      <c r="D255" s="197" t="s">
        <v>56</v>
      </c>
      <c r="E255" s="197" t="s">
        <v>320</v>
      </c>
      <c r="F255" s="197" t="s">
        <v>26</v>
      </c>
      <c r="G255" s="260">
        <v>48.411000000000001</v>
      </c>
      <c r="H255" s="197">
        <v>5</v>
      </c>
      <c r="I255" s="197" t="s">
        <v>3968</v>
      </c>
      <c r="J255" s="197" t="s">
        <v>3969</v>
      </c>
      <c r="K255" s="197" t="s">
        <v>26</v>
      </c>
      <c r="L255" s="261">
        <v>1</v>
      </c>
      <c r="M255" s="263"/>
      <c r="N255" s="263">
        <f>SUM(N251:N254)</f>
        <v>805.41397399999994</v>
      </c>
      <c r="O255" s="199">
        <v>0.2223</v>
      </c>
      <c r="P255" s="261">
        <f>N255*O255</f>
        <v>179.04352642019998</v>
      </c>
      <c r="Q255" s="261">
        <f>N255+P255</f>
        <v>984.45750042019995</v>
      </c>
      <c r="R255" s="198">
        <f>Q255*G255</f>
        <v>47658.572052842304</v>
      </c>
      <c r="S255" s="197" t="s">
        <v>4222</v>
      </c>
      <c r="T255" s="197" t="s">
        <v>4223</v>
      </c>
      <c r="U255" s="197" t="str">
        <f>IF(ABS(Q255-984.4575)&lt;=0.01,"FECHA COM PLANILHA","REVISAR")</f>
        <v>FECHA COM PLANILHA</v>
      </c>
      <c r="V255" s="197" t="s">
        <v>4224</v>
      </c>
    </row>
    <row r="256" spans="1:22" s="197" customFormat="1" x14ac:dyDescent="0.2">
      <c r="A256" s="197" t="s">
        <v>4225</v>
      </c>
      <c r="B256" s="197" t="s">
        <v>364</v>
      </c>
      <c r="C256" s="197" t="s">
        <v>1469</v>
      </c>
      <c r="D256" s="197" t="s">
        <v>56</v>
      </c>
      <c r="E256" s="197" t="s">
        <v>365</v>
      </c>
      <c r="F256" s="197" t="s">
        <v>26</v>
      </c>
      <c r="G256" s="260">
        <v>1131.93</v>
      </c>
      <c r="H256" s="197">
        <v>1</v>
      </c>
      <c r="I256" s="197" t="s">
        <v>3954</v>
      </c>
      <c r="J256" s="197" t="s">
        <v>3982</v>
      </c>
      <c r="K256" s="197" t="s">
        <v>1283</v>
      </c>
      <c r="L256" s="261">
        <v>0.16</v>
      </c>
      <c r="M256" s="263">
        <v>34.066923000000003</v>
      </c>
      <c r="N256" s="263">
        <f>L256*M256</f>
        <v>5.4507076800000007</v>
      </c>
      <c r="O256" s="199"/>
      <c r="P256" s="261"/>
      <c r="Q256" s="261"/>
      <c r="R256" s="198"/>
      <c r="S256" s="197" t="s">
        <v>4226</v>
      </c>
      <c r="T256" s="197" t="s">
        <v>4227</v>
      </c>
      <c r="U256" s="197" t="s">
        <v>3958</v>
      </c>
      <c r="V256" s="197" t="s">
        <v>3959</v>
      </c>
    </row>
    <row r="257" spans="1:22" s="197" customFormat="1" x14ac:dyDescent="0.2">
      <c r="A257" s="197" t="s">
        <v>4225</v>
      </c>
      <c r="B257" s="197" t="s">
        <v>364</v>
      </c>
      <c r="C257" s="197" t="s">
        <v>1469</v>
      </c>
      <c r="D257" s="197" t="s">
        <v>56</v>
      </c>
      <c r="E257" s="197" t="s">
        <v>365</v>
      </c>
      <c r="F257" s="197" t="s">
        <v>26</v>
      </c>
      <c r="G257" s="260">
        <v>1131.93</v>
      </c>
      <c r="H257" s="197">
        <v>2</v>
      </c>
      <c r="I257" s="197" t="s">
        <v>3960</v>
      </c>
      <c r="J257" s="197" t="s">
        <v>3985</v>
      </c>
      <c r="K257" s="197" t="s">
        <v>1283</v>
      </c>
      <c r="L257" s="261">
        <v>0.64</v>
      </c>
      <c r="M257" s="263">
        <v>34.066923000000003</v>
      </c>
      <c r="N257" s="263">
        <f>L257*M257</f>
        <v>21.802830720000003</v>
      </c>
      <c r="O257" s="199"/>
      <c r="P257" s="261"/>
      <c r="Q257" s="261"/>
      <c r="R257" s="198"/>
      <c r="S257" s="197" t="s">
        <v>4226</v>
      </c>
      <c r="T257" s="197" t="s">
        <v>4227</v>
      </c>
      <c r="U257" s="197" t="s">
        <v>3958</v>
      </c>
      <c r="V257" s="197" t="s">
        <v>3959</v>
      </c>
    </row>
    <row r="258" spans="1:22" s="197" customFormat="1" x14ac:dyDescent="0.2">
      <c r="A258" s="197" t="s">
        <v>4225</v>
      </c>
      <c r="B258" s="197" t="s">
        <v>364</v>
      </c>
      <c r="C258" s="197" t="s">
        <v>1469</v>
      </c>
      <c r="D258" s="197" t="s">
        <v>56</v>
      </c>
      <c r="E258" s="197" t="s">
        <v>365</v>
      </c>
      <c r="F258" s="197" t="s">
        <v>26</v>
      </c>
      <c r="G258" s="260">
        <v>1131.93</v>
      </c>
      <c r="H258" s="197">
        <v>3</v>
      </c>
      <c r="I258" s="197" t="s">
        <v>3962</v>
      </c>
      <c r="J258" s="197" t="s">
        <v>3986</v>
      </c>
      <c r="K258" s="197" t="s">
        <v>1283</v>
      </c>
      <c r="L258" s="261">
        <v>0.15</v>
      </c>
      <c r="M258" s="263">
        <v>34.066923000000003</v>
      </c>
      <c r="N258" s="263">
        <f>L258*M258</f>
        <v>5.1100384500000002</v>
      </c>
      <c r="O258" s="199"/>
      <c r="P258" s="261"/>
      <c r="Q258" s="261"/>
      <c r="R258" s="198"/>
      <c r="S258" s="197" t="s">
        <v>4226</v>
      </c>
      <c r="T258" s="197" t="s">
        <v>4227</v>
      </c>
      <c r="U258" s="197" t="s">
        <v>3958</v>
      </c>
      <c r="V258" s="197" t="s">
        <v>3959</v>
      </c>
    </row>
    <row r="259" spans="1:22" s="197" customFormat="1" x14ac:dyDescent="0.2">
      <c r="A259" s="197" t="s">
        <v>4225</v>
      </c>
      <c r="B259" s="197" t="s">
        <v>364</v>
      </c>
      <c r="C259" s="197" t="s">
        <v>1469</v>
      </c>
      <c r="D259" s="197" t="s">
        <v>56</v>
      </c>
      <c r="E259" s="197" t="s">
        <v>365</v>
      </c>
      <c r="F259" s="197" t="s">
        <v>26</v>
      </c>
      <c r="G259" s="260">
        <v>1131.93</v>
      </c>
      <c r="H259" s="197">
        <v>4</v>
      </c>
      <c r="I259" s="197" t="s">
        <v>3987</v>
      </c>
      <c r="J259" s="197" t="s">
        <v>3988</v>
      </c>
      <c r="K259" s="197" t="s">
        <v>1283</v>
      </c>
      <c r="L259" s="261">
        <v>0.05</v>
      </c>
      <c r="M259" s="263">
        <v>34.066923000000003</v>
      </c>
      <c r="N259" s="263">
        <f>L259*M259</f>
        <v>1.7033461500000002</v>
      </c>
      <c r="O259" s="199"/>
      <c r="P259" s="261"/>
      <c r="Q259" s="261"/>
      <c r="R259" s="198"/>
      <c r="S259" s="197" t="s">
        <v>4226</v>
      </c>
      <c r="T259" s="197" t="s">
        <v>4227</v>
      </c>
      <c r="U259" s="197" t="s">
        <v>3958</v>
      </c>
      <c r="V259" s="197" t="s">
        <v>3959</v>
      </c>
    </row>
    <row r="260" spans="1:22" s="197" customFormat="1" x14ac:dyDescent="0.2">
      <c r="A260" s="197" t="s">
        <v>4225</v>
      </c>
      <c r="B260" s="197" t="s">
        <v>364</v>
      </c>
      <c r="C260" s="197" t="s">
        <v>1469</v>
      </c>
      <c r="D260" s="197" t="s">
        <v>56</v>
      </c>
      <c r="E260" s="197" t="s">
        <v>365</v>
      </c>
      <c r="F260" s="197" t="s">
        <v>26</v>
      </c>
      <c r="G260" s="260">
        <v>1131.93</v>
      </c>
      <c r="H260" s="197">
        <v>5</v>
      </c>
      <c r="I260" s="197" t="s">
        <v>3968</v>
      </c>
      <c r="J260" s="197" t="s">
        <v>3969</v>
      </c>
      <c r="K260" s="197" t="s">
        <v>26</v>
      </c>
      <c r="L260" s="261">
        <v>1</v>
      </c>
      <c r="M260" s="263"/>
      <c r="N260" s="263">
        <f>SUM(N256:N259)</f>
        <v>34.066923000000003</v>
      </c>
      <c r="O260" s="199">
        <v>0.2223</v>
      </c>
      <c r="P260" s="261">
        <f>N260*O260</f>
        <v>7.5730769829000009</v>
      </c>
      <c r="Q260" s="261">
        <f>N260+P260</f>
        <v>41.639999982900001</v>
      </c>
      <c r="R260" s="198">
        <f>Q260*G260</f>
        <v>47133.565180644</v>
      </c>
      <c r="S260" s="197" t="s">
        <v>4226</v>
      </c>
      <c r="T260" s="197" t="s">
        <v>4227</v>
      </c>
      <c r="U260" s="197" t="str">
        <f>IF(ABS(Q260-41.64)&lt;=0.01,"FECHA COM PLANILHA","REVISAR")</f>
        <v>FECHA COM PLANILHA</v>
      </c>
      <c r="V260" s="197" t="s">
        <v>4228</v>
      </c>
    </row>
    <row r="261" spans="1:22" s="197" customFormat="1" x14ac:dyDescent="0.2">
      <c r="A261" s="197" t="s">
        <v>4229</v>
      </c>
      <c r="B261" s="197" t="s">
        <v>351</v>
      </c>
      <c r="C261" s="197" t="s">
        <v>1463</v>
      </c>
      <c r="D261" s="197" t="s">
        <v>209</v>
      </c>
      <c r="E261" s="197" t="s">
        <v>1464</v>
      </c>
      <c r="F261" s="197" t="s">
        <v>26</v>
      </c>
      <c r="G261" s="260">
        <v>136.19300000000001</v>
      </c>
      <c r="H261" s="197">
        <v>1</v>
      </c>
      <c r="I261" s="197" t="s">
        <v>3954</v>
      </c>
      <c r="J261" s="197" t="s">
        <v>3982</v>
      </c>
      <c r="K261" s="197" t="s">
        <v>1283</v>
      </c>
      <c r="L261" s="261">
        <v>0.16</v>
      </c>
      <c r="M261" s="263">
        <v>281.800704</v>
      </c>
      <c r="N261" s="263">
        <f>L261*M261</f>
        <v>45.088112639999999</v>
      </c>
      <c r="O261" s="199"/>
      <c r="P261" s="261"/>
      <c r="Q261" s="261"/>
      <c r="R261" s="198"/>
      <c r="S261" s="197" t="s">
        <v>4230</v>
      </c>
      <c r="T261" s="197" t="s">
        <v>4231</v>
      </c>
      <c r="U261" s="197" t="s">
        <v>3958</v>
      </c>
      <c r="V261" s="197" t="s">
        <v>3959</v>
      </c>
    </row>
    <row r="262" spans="1:22" s="197" customFormat="1" x14ac:dyDescent="0.2">
      <c r="A262" s="197" t="s">
        <v>4229</v>
      </c>
      <c r="B262" s="197" t="s">
        <v>351</v>
      </c>
      <c r="C262" s="197" t="s">
        <v>1463</v>
      </c>
      <c r="D262" s="197" t="s">
        <v>209</v>
      </c>
      <c r="E262" s="197" t="s">
        <v>1464</v>
      </c>
      <c r="F262" s="197" t="s">
        <v>26</v>
      </c>
      <c r="G262" s="260">
        <v>136.19300000000001</v>
      </c>
      <c r="H262" s="197">
        <v>2</v>
      </c>
      <c r="I262" s="197" t="s">
        <v>3960</v>
      </c>
      <c r="J262" s="197" t="s">
        <v>3985</v>
      </c>
      <c r="K262" s="197" t="s">
        <v>1283</v>
      </c>
      <c r="L262" s="261">
        <v>0.64</v>
      </c>
      <c r="M262" s="263">
        <v>281.800704</v>
      </c>
      <c r="N262" s="263">
        <f>L262*M262</f>
        <v>180.35245055999999</v>
      </c>
      <c r="O262" s="199"/>
      <c r="P262" s="261"/>
      <c r="Q262" s="261"/>
      <c r="R262" s="198"/>
      <c r="S262" s="197" t="s">
        <v>4230</v>
      </c>
      <c r="T262" s="197" t="s">
        <v>4231</v>
      </c>
      <c r="U262" s="197" t="s">
        <v>3958</v>
      </c>
      <c r="V262" s="197" t="s">
        <v>3959</v>
      </c>
    </row>
    <row r="263" spans="1:22" s="197" customFormat="1" x14ac:dyDescent="0.2">
      <c r="A263" s="197" t="s">
        <v>4229</v>
      </c>
      <c r="B263" s="197" t="s">
        <v>351</v>
      </c>
      <c r="C263" s="197" t="s">
        <v>1463</v>
      </c>
      <c r="D263" s="197" t="s">
        <v>209</v>
      </c>
      <c r="E263" s="197" t="s">
        <v>1464</v>
      </c>
      <c r="F263" s="197" t="s">
        <v>26</v>
      </c>
      <c r="G263" s="260">
        <v>136.19300000000001</v>
      </c>
      <c r="H263" s="197">
        <v>3</v>
      </c>
      <c r="I263" s="197" t="s">
        <v>3962</v>
      </c>
      <c r="J263" s="197" t="s">
        <v>3986</v>
      </c>
      <c r="K263" s="197" t="s">
        <v>1283</v>
      </c>
      <c r="L263" s="261">
        <v>0.15</v>
      </c>
      <c r="M263" s="263">
        <v>281.800704</v>
      </c>
      <c r="N263" s="263">
        <f>L263*M263</f>
        <v>42.270105600000001</v>
      </c>
      <c r="O263" s="199"/>
      <c r="P263" s="261"/>
      <c r="Q263" s="261"/>
      <c r="R263" s="198"/>
      <c r="S263" s="197" t="s">
        <v>4230</v>
      </c>
      <c r="T263" s="197" t="s">
        <v>4231</v>
      </c>
      <c r="U263" s="197" t="s">
        <v>3958</v>
      </c>
      <c r="V263" s="197" t="s">
        <v>3959</v>
      </c>
    </row>
    <row r="264" spans="1:22" s="197" customFormat="1" x14ac:dyDescent="0.2">
      <c r="A264" s="197" t="s">
        <v>4229</v>
      </c>
      <c r="B264" s="197" t="s">
        <v>351</v>
      </c>
      <c r="C264" s="197" t="s">
        <v>1463</v>
      </c>
      <c r="D264" s="197" t="s">
        <v>209</v>
      </c>
      <c r="E264" s="197" t="s">
        <v>1464</v>
      </c>
      <c r="F264" s="197" t="s">
        <v>26</v>
      </c>
      <c r="G264" s="260">
        <v>136.19300000000001</v>
      </c>
      <c r="H264" s="197">
        <v>4</v>
      </c>
      <c r="I264" s="197" t="s">
        <v>3987</v>
      </c>
      <c r="J264" s="197" t="s">
        <v>3988</v>
      </c>
      <c r="K264" s="197" t="s">
        <v>1283</v>
      </c>
      <c r="L264" s="261">
        <v>0.05</v>
      </c>
      <c r="M264" s="263">
        <v>281.800704</v>
      </c>
      <c r="N264" s="263">
        <f>L264*M264</f>
        <v>14.090035200000001</v>
      </c>
      <c r="O264" s="199"/>
      <c r="P264" s="261"/>
      <c r="Q264" s="261"/>
      <c r="R264" s="198"/>
      <c r="S264" s="197" t="s">
        <v>4230</v>
      </c>
      <c r="T264" s="197" t="s">
        <v>4231</v>
      </c>
      <c r="U264" s="197" t="s">
        <v>3958</v>
      </c>
      <c r="V264" s="197" t="s">
        <v>3959</v>
      </c>
    </row>
    <row r="265" spans="1:22" s="197" customFormat="1" x14ac:dyDescent="0.2">
      <c r="A265" s="197" t="s">
        <v>4229</v>
      </c>
      <c r="B265" s="197" t="s">
        <v>351</v>
      </c>
      <c r="C265" s="197" t="s">
        <v>1463</v>
      </c>
      <c r="D265" s="197" t="s">
        <v>209</v>
      </c>
      <c r="E265" s="197" t="s">
        <v>1464</v>
      </c>
      <c r="F265" s="197" t="s">
        <v>26</v>
      </c>
      <c r="G265" s="260">
        <v>136.19300000000001</v>
      </c>
      <c r="H265" s="197">
        <v>5</v>
      </c>
      <c r="I265" s="197" t="s">
        <v>3968</v>
      </c>
      <c r="J265" s="197" t="s">
        <v>3969</v>
      </c>
      <c r="K265" s="197" t="s">
        <v>26</v>
      </c>
      <c r="L265" s="261">
        <v>1</v>
      </c>
      <c r="M265" s="263"/>
      <c r="N265" s="263">
        <f>SUM(N261:N264)</f>
        <v>281.800704</v>
      </c>
      <c r="O265" s="199">
        <v>0.2223</v>
      </c>
      <c r="P265" s="261">
        <f>N265*O265</f>
        <v>62.644296499199996</v>
      </c>
      <c r="Q265" s="261">
        <f>N265+P265</f>
        <v>344.44500049919998</v>
      </c>
      <c r="R265" s="198">
        <f>Q265*G265</f>
        <v>46910.997952987549</v>
      </c>
      <c r="S265" s="197" t="s">
        <v>4230</v>
      </c>
      <c r="T265" s="197" t="s">
        <v>4231</v>
      </c>
      <c r="U265" s="197" t="str">
        <f>IF(ABS(Q265-344.445)&lt;=0.01,"FECHA COM PLANILHA","REVISAR")</f>
        <v>FECHA COM PLANILHA</v>
      </c>
      <c r="V265" s="197" t="s">
        <v>4232</v>
      </c>
    </row>
    <row r="266" spans="1:22" s="197" customFormat="1" x14ac:dyDescent="0.2">
      <c r="A266" s="197" t="s">
        <v>4233</v>
      </c>
      <c r="B266" s="197" t="s">
        <v>330</v>
      </c>
      <c r="C266" s="197" t="s">
        <v>1457</v>
      </c>
      <c r="D266" s="197" t="s">
        <v>56</v>
      </c>
      <c r="E266" s="197" t="s">
        <v>331</v>
      </c>
      <c r="F266" s="197" t="s">
        <v>26</v>
      </c>
      <c r="G266" s="260">
        <v>1175.704</v>
      </c>
      <c r="H266" s="197">
        <v>1</v>
      </c>
      <c r="I266" s="197" t="s">
        <v>3954</v>
      </c>
      <c r="J266" s="197" t="s">
        <v>3982</v>
      </c>
      <c r="K266" s="197" t="s">
        <v>1283</v>
      </c>
      <c r="L266" s="261">
        <v>0.16</v>
      </c>
      <c r="M266" s="263">
        <v>31.802748999999999</v>
      </c>
      <c r="N266" s="263">
        <f>L266*M266</f>
        <v>5.0884398399999995</v>
      </c>
      <c r="O266" s="199"/>
      <c r="P266" s="261"/>
      <c r="Q266" s="261"/>
      <c r="R266" s="198"/>
      <c r="S266" s="197" t="s">
        <v>4234</v>
      </c>
      <c r="T266" s="197" t="s">
        <v>4235</v>
      </c>
      <c r="U266" s="197" t="s">
        <v>3958</v>
      </c>
      <c r="V266" s="197" t="s">
        <v>3959</v>
      </c>
    </row>
    <row r="267" spans="1:22" s="197" customFormat="1" x14ac:dyDescent="0.2">
      <c r="A267" s="197" t="s">
        <v>4233</v>
      </c>
      <c r="B267" s="197" t="s">
        <v>330</v>
      </c>
      <c r="C267" s="197" t="s">
        <v>1457</v>
      </c>
      <c r="D267" s="197" t="s">
        <v>56</v>
      </c>
      <c r="E267" s="197" t="s">
        <v>331</v>
      </c>
      <c r="F267" s="197" t="s">
        <v>26</v>
      </c>
      <c r="G267" s="260">
        <v>1175.704</v>
      </c>
      <c r="H267" s="197">
        <v>2</v>
      </c>
      <c r="I267" s="197" t="s">
        <v>3960</v>
      </c>
      <c r="J267" s="197" t="s">
        <v>3985</v>
      </c>
      <c r="K267" s="197" t="s">
        <v>1283</v>
      </c>
      <c r="L267" s="261">
        <v>0.64</v>
      </c>
      <c r="M267" s="263">
        <v>31.802748999999999</v>
      </c>
      <c r="N267" s="263">
        <f>L267*M267</f>
        <v>20.353759359999998</v>
      </c>
      <c r="O267" s="199"/>
      <c r="P267" s="261"/>
      <c r="Q267" s="261"/>
      <c r="R267" s="198"/>
      <c r="S267" s="197" t="s">
        <v>4234</v>
      </c>
      <c r="T267" s="197" t="s">
        <v>4235</v>
      </c>
      <c r="U267" s="197" t="s">
        <v>3958</v>
      </c>
      <c r="V267" s="197" t="s">
        <v>3959</v>
      </c>
    </row>
    <row r="268" spans="1:22" s="197" customFormat="1" x14ac:dyDescent="0.2">
      <c r="A268" s="197" t="s">
        <v>4233</v>
      </c>
      <c r="B268" s="197" t="s">
        <v>330</v>
      </c>
      <c r="C268" s="197" t="s">
        <v>1457</v>
      </c>
      <c r="D268" s="197" t="s">
        <v>56</v>
      </c>
      <c r="E268" s="197" t="s">
        <v>331</v>
      </c>
      <c r="F268" s="197" t="s">
        <v>26</v>
      </c>
      <c r="G268" s="260">
        <v>1175.704</v>
      </c>
      <c r="H268" s="197">
        <v>3</v>
      </c>
      <c r="I268" s="197" t="s">
        <v>3962</v>
      </c>
      <c r="J268" s="197" t="s">
        <v>3986</v>
      </c>
      <c r="K268" s="197" t="s">
        <v>1283</v>
      </c>
      <c r="L268" s="261">
        <v>0.15</v>
      </c>
      <c r="M268" s="263">
        <v>31.802748999999999</v>
      </c>
      <c r="N268" s="263">
        <f>L268*M268</f>
        <v>4.77041235</v>
      </c>
      <c r="O268" s="199"/>
      <c r="P268" s="261"/>
      <c r="Q268" s="261"/>
      <c r="R268" s="198"/>
      <c r="S268" s="197" t="s">
        <v>4234</v>
      </c>
      <c r="T268" s="197" t="s">
        <v>4235</v>
      </c>
      <c r="U268" s="197" t="s">
        <v>3958</v>
      </c>
      <c r="V268" s="197" t="s">
        <v>3959</v>
      </c>
    </row>
    <row r="269" spans="1:22" s="197" customFormat="1" x14ac:dyDescent="0.2">
      <c r="A269" s="197" t="s">
        <v>4233</v>
      </c>
      <c r="B269" s="197" t="s">
        <v>330</v>
      </c>
      <c r="C269" s="197" t="s">
        <v>1457</v>
      </c>
      <c r="D269" s="197" t="s">
        <v>56</v>
      </c>
      <c r="E269" s="197" t="s">
        <v>331</v>
      </c>
      <c r="F269" s="197" t="s">
        <v>26</v>
      </c>
      <c r="G269" s="260">
        <v>1175.704</v>
      </c>
      <c r="H269" s="197">
        <v>4</v>
      </c>
      <c r="I269" s="197" t="s">
        <v>3987</v>
      </c>
      <c r="J269" s="197" t="s">
        <v>3988</v>
      </c>
      <c r="K269" s="197" t="s">
        <v>1283</v>
      </c>
      <c r="L269" s="261">
        <v>0.05</v>
      </c>
      <c r="M269" s="263">
        <v>31.802748999999999</v>
      </c>
      <c r="N269" s="263">
        <f>L269*M269</f>
        <v>1.5901374500000001</v>
      </c>
      <c r="O269" s="199"/>
      <c r="P269" s="261"/>
      <c r="Q269" s="261"/>
      <c r="R269" s="198"/>
      <c r="S269" s="197" t="s">
        <v>4234</v>
      </c>
      <c r="T269" s="197" t="s">
        <v>4235</v>
      </c>
      <c r="U269" s="197" t="s">
        <v>3958</v>
      </c>
      <c r="V269" s="197" t="s">
        <v>3959</v>
      </c>
    </row>
    <row r="270" spans="1:22" s="197" customFormat="1" x14ac:dyDescent="0.2">
      <c r="A270" s="197" t="s">
        <v>4233</v>
      </c>
      <c r="B270" s="197" t="s">
        <v>330</v>
      </c>
      <c r="C270" s="197" t="s">
        <v>1457</v>
      </c>
      <c r="D270" s="197" t="s">
        <v>56</v>
      </c>
      <c r="E270" s="197" t="s">
        <v>331</v>
      </c>
      <c r="F270" s="197" t="s">
        <v>26</v>
      </c>
      <c r="G270" s="260">
        <v>1175.704</v>
      </c>
      <c r="H270" s="197">
        <v>5</v>
      </c>
      <c r="I270" s="197" t="s">
        <v>3968</v>
      </c>
      <c r="J270" s="197" t="s">
        <v>3969</v>
      </c>
      <c r="K270" s="197" t="s">
        <v>26</v>
      </c>
      <c r="L270" s="261">
        <v>1</v>
      </c>
      <c r="M270" s="263"/>
      <c r="N270" s="263">
        <f>SUM(N266:N269)</f>
        <v>31.802748999999999</v>
      </c>
      <c r="O270" s="199">
        <v>0.2223</v>
      </c>
      <c r="P270" s="261">
        <f>N270*O270</f>
        <v>7.0697511026999997</v>
      </c>
      <c r="Q270" s="261">
        <f>N270+P270</f>
        <v>38.872500102700002</v>
      </c>
      <c r="R270" s="198">
        <f>Q270*G270</f>
        <v>45702.553860744803</v>
      </c>
      <c r="S270" s="197" t="s">
        <v>4234</v>
      </c>
      <c r="T270" s="197" t="s">
        <v>4235</v>
      </c>
      <c r="U270" s="197" t="str">
        <f>IF(ABS(Q270-38.8725)&lt;=0.01,"FECHA COM PLANILHA","REVISAR")</f>
        <v>FECHA COM PLANILHA</v>
      </c>
      <c r="V270" s="197" t="s">
        <v>4236</v>
      </c>
    </row>
    <row r="271" spans="1:22" s="197" customFormat="1" x14ac:dyDescent="0.2">
      <c r="A271" s="197" t="s">
        <v>4237</v>
      </c>
      <c r="B271" s="197" t="s">
        <v>279</v>
      </c>
      <c r="C271" s="197" t="s">
        <v>1399</v>
      </c>
      <c r="D271" s="197" t="s">
        <v>56</v>
      </c>
      <c r="E271" s="197" t="s">
        <v>214</v>
      </c>
      <c r="F271" s="197" t="s">
        <v>26</v>
      </c>
      <c r="G271" s="260">
        <v>326.78399999999999</v>
      </c>
      <c r="H271" s="197">
        <v>1</v>
      </c>
      <c r="I271" s="197" t="s">
        <v>3954</v>
      </c>
      <c r="J271" s="197" t="s">
        <v>3991</v>
      </c>
      <c r="K271" s="197" t="s">
        <v>1283</v>
      </c>
      <c r="L271" s="261">
        <v>0.34</v>
      </c>
      <c r="M271" s="263">
        <v>113.57072700000001</v>
      </c>
      <c r="N271" s="263">
        <f>L271*M271</f>
        <v>38.614047180000007</v>
      </c>
      <c r="O271" s="199"/>
      <c r="P271" s="261"/>
      <c r="Q271" s="261"/>
      <c r="R271" s="198"/>
      <c r="S271" s="197" t="s">
        <v>3992</v>
      </c>
      <c r="T271" s="197" t="s">
        <v>4238</v>
      </c>
      <c r="U271" s="197" t="s">
        <v>3958</v>
      </c>
      <c r="V271" s="197" t="s">
        <v>3959</v>
      </c>
    </row>
    <row r="272" spans="1:22" s="197" customFormat="1" x14ac:dyDescent="0.2">
      <c r="A272" s="197" t="s">
        <v>4237</v>
      </c>
      <c r="B272" s="197" t="s">
        <v>279</v>
      </c>
      <c r="C272" s="197" t="s">
        <v>1399</v>
      </c>
      <c r="D272" s="197" t="s">
        <v>56</v>
      </c>
      <c r="E272" s="197" t="s">
        <v>214</v>
      </c>
      <c r="F272" s="197" t="s">
        <v>26</v>
      </c>
      <c r="G272" s="260">
        <v>326.78399999999999</v>
      </c>
      <c r="H272" s="197">
        <v>2</v>
      </c>
      <c r="I272" s="197" t="s">
        <v>3960</v>
      </c>
      <c r="J272" s="197" t="s">
        <v>3994</v>
      </c>
      <c r="K272" s="197" t="s">
        <v>1283</v>
      </c>
      <c r="L272" s="261">
        <v>0.54</v>
      </c>
      <c r="M272" s="263">
        <v>113.57072700000001</v>
      </c>
      <c r="N272" s="263">
        <f>L272*M272</f>
        <v>61.328192580000007</v>
      </c>
      <c r="O272" s="199"/>
      <c r="P272" s="261"/>
      <c r="Q272" s="261"/>
      <c r="R272" s="198"/>
      <c r="S272" s="197" t="s">
        <v>3992</v>
      </c>
      <c r="T272" s="197" t="s">
        <v>4238</v>
      </c>
      <c r="U272" s="197" t="s">
        <v>3958</v>
      </c>
      <c r="V272" s="197" t="s">
        <v>3959</v>
      </c>
    </row>
    <row r="273" spans="1:22" s="197" customFormat="1" x14ac:dyDescent="0.2">
      <c r="A273" s="197" t="s">
        <v>4237</v>
      </c>
      <c r="B273" s="197" t="s">
        <v>279</v>
      </c>
      <c r="C273" s="197" t="s">
        <v>1399</v>
      </c>
      <c r="D273" s="197" t="s">
        <v>56</v>
      </c>
      <c r="E273" s="197" t="s">
        <v>214</v>
      </c>
      <c r="F273" s="197" t="s">
        <v>26</v>
      </c>
      <c r="G273" s="260">
        <v>326.78399999999999</v>
      </c>
      <c r="H273" s="197">
        <v>3</v>
      </c>
      <c r="I273" s="197" t="s">
        <v>3962</v>
      </c>
      <c r="J273" s="197" t="s">
        <v>3995</v>
      </c>
      <c r="K273" s="197" t="s">
        <v>1283</v>
      </c>
      <c r="L273" s="261">
        <v>0.08</v>
      </c>
      <c r="M273" s="263">
        <v>113.57072700000001</v>
      </c>
      <c r="N273" s="263">
        <f>L273*M273</f>
        <v>9.0856581600000013</v>
      </c>
      <c r="O273" s="199"/>
      <c r="P273" s="261"/>
      <c r="Q273" s="261"/>
      <c r="R273" s="198"/>
      <c r="S273" s="197" t="s">
        <v>3992</v>
      </c>
      <c r="T273" s="197" t="s">
        <v>4238</v>
      </c>
      <c r="U273" s="197" t="s">
        <v>3958</v>
      </c>
      <c r="V273" s="197" t="s">
        <v>3959</v>
      </c>
    </row>
    <row r="274" spans="1:22" s="197" customFormat="1" x14ac:dyDescent="0.2">
      <c r="A274" s="197" t="s">
        <v>4237</v>
      </c>
      <c r="B274" s="197" t="s">
        <v>279</v>
      </c>
      <c r="C274" s="197" t="s">
        <v>1399</v>
      </c>
      <c r="D274" s="197" t="s">
        <v>56</v>
      </c>
      <c r="E274" s="197" t="s">
        <v>214</v>
      </c>
      <c r="F274" s="197" t="s">
        <v>26</v>
      </c>
      <c r="G274" s="260">
        <v>326.78399999999999</v>
      </c>
      <c r="H274" s="197">
        <v>4</v>
      </c>
      <c r="I274" s="197" t="s">
        <v>3966</v>
      </c>
      <c r="J274" s="197" t="s">
        <v>3996</v>
      </c>
      <c r="K274" s="197" t="s">
        <v>1283</v>
      </c>
      <c r="L274" s="261">
        <v>0.04</v>
      </c>
      <c r="M274" s="263">
        <v>113.57072700000001</v>
      </c>
      <c r="N274" s="263">
        <f>L274*M274</f>
        <v>4.5428290800000006</v>
      </c>
      <c r="O274" s="199"/>
      <c r="P274" s="261"/>
      <c r="Q274" s="261"/>
      <c r="R274" s="198"/>
      <c r="S274" s="197" t="s">
        <v>3992</v>
      </c>
      <c r="T274" s="197" t="s">
        <v>4238</v>
      </c>
      <c r="U274" s="197" t="s">
        <v>3958</v>
      </c>
      <c r="V274" s="197" t="s">
        <v>3959</v>
      </c>
    </row>
    <row r="275" spans="1:22" s="197" customFormat="1" x14ac:dyDescent="0.2">
      <c r="A275" s="197" t="s">
        <v>4237</v>
      </c>
      <c r="B275" s="197" t="s">
        <v>279</v>
      </c>
      <c r="C275" s="197" t="s">
        <v>1399</v>
      </c>
      <c r="D275" s="197" t="s">
        <v>56</v>
      </c>
      <c r="E275" s="197" t="s">
        <v>214</v>
      </c>
      <c r="F275" s="197" t="s">
        <v>26</v>
      </c>
      <c r="G275" s="260">
        <v>326.78399999999999</v>
      </c>
      <c r="H275" s="197">
        <v>5</v>
      </c>
      <c r="I275" s="197" t="s">
        <v>3968</v>
      </c>
      <c r="J275" s="197" t="s">
        <v>3969</v>
      </c>
      <c r="K275" s="197" t="s">
        <v>26</v>
      </c>
      <c r="L275" s="261">
        <v>1</v>
      </c>
      <c r="M275" s="263"/>
      <c r="N275" s="263">
        <f>SUM(N271:N274)</f>
        <v>113.57072700000002</v>
      </c>
      <c r="O275" s="199">
        <v>0.2223</v>
      </c>
      <c r="P275" s="261">
        <f>N275*O275</f>
        <v>25.246772612100003</v>
      </c>
      <c r="Q275" s="261">
        <f>N275+P275</f>
        <v>138.81749961210002</v>
      </c>
      <c r="R275" s="198">
        <f>Q275*G275</f>
        <v>45363.337793240491</v>
      </c>
      <c r="S275" s="197" t="s">
        <v>3992</v>
      </c>
      <c r="T275" s="197" t="s">
        <v>4238</v>
      </c>
      <c r="U275" s="197" t="str">
        <f>IF(ABS(Q275-138.8175)&lt;=0.01,"FECHA COM PLANILHA","REVISAR")</f>
        <v>FECHA COM PLANILHA</v>
      </c>
      <c r="V275" s="197" t="s">
        <v>3997</v>
      </c>
    </row>
    <row r="276" spans="1:22" s="197" customFormat="1" x14ac:dyDescent="0.2">
      <c r="A276" s="197" t="s">
        <v>4239</v>
      </c>
      <c r="B276" s="197" t="s">
        <v>2063</v>
      </c>
      <c r="C276" s="197" t="s">
        <v>2064</v>
      </c>
      <c r="D276" s="197" t="s">
        <v>56</v>
      </c>
      <c r="E276" s="197" t="s">
        <v>977</v>
      </c>
      <c r="F276" s="197" t="s">
        <v>99</v>
      </c>
      <c r="G276" s="260">
        <v>243.8</v>
      </c>
      <c r="H276" s="197">
        <v>1</v>
      </c>
      <c r="I276" s="197" t="s">
        <v>3954</v>
      </c>
      <c r="J276" s="197" t="s">
        <v>3972</v>
      </c>
      <c r="K276" s="197" t="s">
        <v>1283</v>
      </c>
      <c r="L276" s="261">
        <v>0.18</v>
      </c>
      <c r="M276" s="263">
        <v>149.16550799999999</v>
      </c>
      <c r="N276" s="263">
        <f>L276*M276</f>
        <v>26.849791439999997</v>
      </c>
      <c r="O276" s="199"/>
      <c r="P276" s="261"/>
      <c r="Q276" s="261"/>
      <c r="R276" s="198"/>
      <c r="S276" s="197" t="s">
        <v>4240</v>
      </c>
      <c r="T276" s="197" t="s">
        <v>4241</v>
      </c>
      <c r="U276" s="197" t="s">
        <v>3958</v>
      </c>
      <c r="V276" s="197" t="s">
        <v>3959</v>
      </c>
    </row>
    <row r="277" spans="1:22" s="197" customFormat="1" x14ac:dyDescent="0.2">
      <c r="A277" s="197" t="s">
        <v>4239</v>
      </c>
      <c r="B277" s="197" t="s">
        <v>2063</v>
      </c>
      <c r="C277" s="197" t="s">
        <v>2064</v>
      </c>
      <c r="D277" s="197" t="s">
        <v>56</v>
      </c>
      <c r="E277" s="197" t="s">
        <v>977</v>
      </c>
      <c r="F277" s="197" t="s">
        <v>99</v>
      </c>
      <c r="G277" s="260">
        <v>243.8</v>
      </c>
      <c r="H277" s="197">
        <v>2</v>
      </c>
      <c r="I277" s="197" t="s">
        <v>3960</v>
      </c>
      <c r="J277" s="197" t="s">
        <v>3975</v>
      </c>
      <c r="K277" s="197" t="s">
        <v>1283</v>
      </c>
      <c r="L277" s="261">
        <v>0.75</v>
      </c>
      <c r="M277" s="263">
        <v>149.16550799999999</v>
      </c>
      <c r="N277" s="263">
        <f>L277*M277</f>
        <v>111.87413099999999</v>
      </c>
      <c r="O277" s="199"/>
      <c r="P277" s="261"/>
      <c r="Q277" s="261"/>
      <c r="R277" s="198"/>
      <c r="S277" s="197" t="s">
        <v>4240</v>
      </c>
      <c r="T277" s="197" t="s">
        <v>4241</v>
      </c>
      <c r="U277" s="197" t="s">
        <v>3958</v>
      </c>
      <c r="V277" s="197" t="s">
        <v>3959</v>
      </c>
    </row>
    <row r="278" spans="1:22" s="197" customFormat="1" x14ac:dyDescent="0.2">
      <c r="A278" s="197" t="s">
        <v>4239</v>
      </c>
      <c r="B278" s="197" t="s">
        <v>2063</v>
      </c>
      <c r="C278" s="197" t="s">
        <v>2064</v>
      </c>
      <c r="D278" s="197" t="s">
        <v>56</v>
      </c>
      <c r="E278" s="197" t="s">
        <v>977</v>
      </c>
      <c r="F278" s="197" t="s">
        <v>99</v>
      </c>
      <c r="G278" s="260">
        <v>243.8</v>
      </c>
      <c r="H278" s="197">
        <v>3</v>
      </c>
      <c r="I278" s="197" t="s">
        <v>3976</v>
      </c>
      <c r="J278" s="197" t="s">
        <v>3977</v>
      </c>
      <c r="K278" s="197" t="s">
        <v>1283</v>
      </c>
      <c r="L278" s="261">
        <v>0.04</v>
      </c>
      <c r="M278" s="263">
        <v>149.16550799999999</v>
      </c>
      <c r="N278" s="263">
        <f>L278*M278</f>
        <v>5.9666203199999996</v>
      </c>
      <c r="O278" s="199"/>
      <c r="P278" s="261"/>
      <c r="Q278" s="261"/>
      <c r="R278" s="198"/>
      <c r="S278" s="197" t="s">
        <v>4240</v>
      </c>
      <c r="T278" s="197" t="s">
        <v>4241</v>
      </c>
      <c r="U278" s="197" t="s">
        <v>3958</v>
      </c>
      <c r="V278" s="197" t="s">
        <v>3959</v>
      </c>
    </row>
    <row r="279" spans="1:22" s="197" customFormat="1" x14ac:dyDescent="0.2">
      <c r="A279" s="197" t="s">
        <v>4239</v>
      </c>
      <c r="B279" s="197" t="s">
        <v>2063</v>
      </c>
      <c r="C279" s="197" t="s">
        <v>2064</v>
      </c>
      <c r="D279" s="197" t="s">
        <v>56</v>
      </c>
      <c r="E279" s="197" t="s">
        <v>977</v>
      </c>
      <c r="F279" s="197" t="s">
        <v>99</v>
      </c>
      <c r="G279" s="260">
        <v>243.8</v>
      </c>
      <c r="H279" s="197">
        <v>4</v>
      </c>
      <c r="I279" s="197" t="s">
        <v>3978</v>
      </c>
      <c r="J279" s="197" t="s">
        <v>3979</v>
      </c>
      <c r="K279" s="197" t="s">
        <v>1283</v>
      </c>
      <c r="L279" s="261">
        <v>0.03</v>
      </c>
      <c r="M279" s="263">
        <v>149.16550799999999</v>
      </c>
      <c r="N279" s="263">
        <f>L279*M279</f>
        <v>4.4749652399999995</v>
      </c>
      <c r="O279" s="199"/>
      <c r="P279" s="261"/>
      <c r="Q279" s="261"/>
      <c r="R279" s="198"/>
      <c r="S279" s="197" t="s">
        <v>4240</v>
      </c>
      <c r="T279" s="197" t="s">
        <v>4241</v>
      </c>
      <c r="U279" s="197" t="s">
        <v>3958</v>
      </c>
      <c r="V279" s="197" t="s">
        <v>3959</v>
      </c>
    </row>
    <row r="280" spans="1:22" s="197" customFormat="1" x14ac:dyDescent="0.2">
      <c r="A280" s="197" t="s">
        <v>4239</v>
      </c>
      <c r="B280" s="197" t="s">
        <v>2063</v>
      </c>
      <c r="C280" s="197" t="s">
        <v>2064</v>
      </c>
      <c r="D280" s="197" t="s">
        <v>56</v>
      </c>
      <c r="E280" s="197" t="s">
        <v>977</v>
      </c>
      <c r="F280" s="197" t="s">
        <v>99</v>
      </c>
      <c r="G280" s="260">
        <v>243.8</v>
      </c>
      <c r="H280" s="197">
        <v>5</v>
      </c>
      <c r="I280" s="197" t="s">
        <v>3968</v>
      </c>
      <c r="J280" s="197" t="s">
        <v>3969</v>
      </c>
      <c r="K280" s="197" t="s">
        <v>99</v>
      </c>
      <c r="L280" s="261">
        <v>1</v>
      </c>
      <c r="M280" s="263"/>
      <c r="N280" s="263">
        <f>SUM(N276:N279)</f>
        <v>149.16550799999999</v>
      </c>
      <c r="O280" s="199">
        <v>0.2223</v>
      </c>
      <c r="P280" s="261">
        <f>N280*O280</f>
        <v>33.1594924284</v>
      </c>
      <c r="Q280" s="261">
        <f>N280+P280</f>
        <v>182.32500042839999</v>
      </c>
      <c r="R280" s="198">
        <f>Q280*G280</f>
        <v>44450.835104443919</v>
      </c>
      <c r="S280" s="197" t="s">
        <v>4240</v>
      </c>
      <c r="T280" s="197" t="s">
        <v>4241</v>
      </c>
      <c r="U280" s="197" t="str">
        <f>IF(ABS(Q280-182.325)&lt;=0.01,"FECHA COM PLANILHA","REVISAR")</f>
        <v>FECHA COM PLANILHA</v>
      </c>
      <c r="V280" s="197" t="s">
        <v>4242</v>
      </c>
    </row>
    <row r="281" spans="1:22" s="197" customFormat="1" x14ac:dyDescent="0.2">
      <c r="A281" s="197" t="s">
        <v>4243</v>
      </c>
      <c r="B281" s="197" t="s">
        <v>2065</v>
      </c>
      <c r="C281" s="197" t="s">
        <v>2066</v>
      </c>
      <c r="D281" s="197" t="s">
        <v>56</v>
      </c>
      <c r="E281" s="197" t="s">
        <v>978</v>
      </c>
      <c r="F281" s="197" t="s">
        <v>99</v>
      </c>
      <c r="G281" s="260">
        <v>178.4</v>
      </c>
      <c r="H281" s="197">
        <v>1</v>
      </c>
      <c r="I281" s="197" t="s">
        <v>3954</v>
      </c>
      <c r="J281" s="197" t="s">
        <v>3972</v>
      </c>
      <c r="K281" s="197" t="s">
        <v>1283</v>
      </c>
      <c r="L281" s="261">
        <v>0.18</v>
      </c>
      <c r="M281" s="263">
        <v>197.21017800000001</v>
      </c>
      <c r="N281" s="263">
        <f>L281*M281</f>
        <v>35.497832039999999</v>
      </c>
      <c r="O281" s="199"/>
      <c r="P281" s="261"/>
      <c r="Q281" s="261"/>
      <c r="R281" s="198"/>
      <c r="S281" s="197" t="s">
        <v>4244</v>
      </c>
      <c r="T281" s="197" t="s">
        <v>4245</v>
      </c>
      <c r="U281" s="197" t="s">
        <v>3958</v>
      </c>
      <c r="V281" s="197" t="s">
        <v>3959</v>
      </c>
    </row>
    <row r="282" spans="1:22" s="197" customFormat="1" x14ac:dyDescent="0.2">
      <c r="A282" s="197" t="s">
        <v>4243</v>
      </c>
      <c r="B282" s="197" t="s">
        <v>2065</v>
      </c>
      <c r="C282" s="197" t="s">
        <v>2066</v>
      </c>
      <c r="D282" s="197" t="s">
        <v>56</v>
      </c>
      <c r="E282" s="197" t="s">
        <v>978</v>
      </c>
      <c r="F282" s="197" t="s">
        <v>99</v>
      </c>
      <c r="G282" s="260">
        <v>178.4</v>
      </c>
      <c r="H282" s="197">
        <v>2</v>
      </c>
      <c r="I282" s="197" t="s">
        <v>3960</v>
      </c>
      <c r="J282" s="197" t="s">
        <v>3975</v>
      </c>
      <c r="K282" s="197" t="s">
        <v>1283</v>
      </c>
      <c r="L282" s="261">
        <v>0.75</v>
      </c>
      <c r="M282" s="263">
        <v>197.21017800000001</v>
      </c>
      <c r="N282" s="263">
        <f>L282*M282</f>
        <v>147.9076335</v>
      </c>
      <c r="O282" s="199"/>
      <c r="P282" s="261"/>
      <c r="Q282" s="261"/>
      <c r="R282" s="198"/>
      <c r="S282" s="197" t="s">
        <v>4244</v>
      </c>
      <c r="T282" s="197" t="s">
        <v>4245</v>
      </c>
      <c r="U282" s="197" t="s">
        <v>3958</v>
      </c>
      <c r="V282" s="197" t="s">
        <v>3959</v>
      </c>
    </row>
    <row r="283" spans="1:22" s="197" customFormat="1" x14ac:dyDescent="0.2">
      <c r="A283" s="197" t="s">
        <v>4243</v>
      </c>
      <c r="B283" s="197" t="s">
        <v>2065</v>
      </c>
      <c r="C283" s="197" t="s">
        <v>2066</v>
      </c>
      <c r="D283" s="197" t="s">
        <v>56</v>
      </c>
      <c r="E283" s="197" t="s">
        <v>978</v>
      </c>
      <c r="F283" s="197" t="s">
        <v>99</v>
      </c>
      <c r="G283" s="260">
        <v>178.4</v>
      </c>
      <c r="H283" s="197">
        <v>3</v>
      </c>
      <c r="I283" s="197" t="s">
        <v>3976</v>
      </c>
      <c r="J283" s="197" t="s">
        <v>3977</v>
      </c>
      <c r="K283" s="197" t="s">
        <v>1283</v>
      </c>
      <c r="L283" s="261">
        <v>0.04</v>
      </c>
      <c r="M283" s="263">
        <v>197.21017800000001</v>
      </c>
      <c r="N283" s="263">
        <f>L283*M283</f>
        <v>7.888407120000001</v>
      </c>
      <c r="O283" s="199"/>
      <c r="P283" s="261"/>
      <c r="Q283" s="261"/>
      <c r="R283" s="198"/>
      <c r="S283" s="197" t="s">
        <v>4244</v>
      </c>
      <c r="T283" s="197" t="s">
        <v>4245</v>
      </c>
      <c r="U283" s="197" t="s">
        <v>3958</v>
      </c>
      <c r="V283" s="197" t="s">
        <v>3959</v>
      </c>
    </row>
    <row r="284" spans="1:22" s="197" customFormat="1" x14ac:dyDescent="0.2">
      <c r="A284" s="197" t="s">
        <v>4243</v>
      </c>
      <c r="B284" s="197" t="s">
        <v>2065</v>
      </c>
      <c r="C284" s="197" t="s">
        <v>2066</v>
      </c>
      <c r="D284" s="197" t="s">
        <v>56</v>
      </c>
      <c r="E284" s="197" t="s">
        <v>978</v>
      </c>
      <c r="F284" s="197" t="s">
        <v>99</v>
      </c>
      <c r="G284" s="260">
        <v>178.4</v>
      </c>
      <c r="H284" s="197">
        <v>4</v>
      </c>
      <c r="I284" s="197" t="s">
        <v>3978</v>
      </c>
      <c r="J284" s="197" t="s">
        <v>3979</v>
      </c>
      <c r="K284" s="197" t="s">
        <v>1283</v>
      </c>
      <c r="L284" s="261">
        <v>0.03</v>
      </c>
      <c r="M284" s="263">
        <v>197.21017800000001</v>
      </c>
      <c r="N284" s="263">
        <f>L284*M284</f>
        <v>5.9163053400000001</v>
      </c>
      <c r="O284" s="199"/>
      <c r="P284" s="261"/>
      <c r="Q284" s="261"/>
      <c r="R284" s="198"/>
      <c r="S284" s="197" t="s">
        <v>4244</v>
      </c>
      <c r="T284" s="197" t="s">
        <v>4245</v>
      </c>
      <c r="U284" s="197" t="s">
        <v>3958</v>
      </c>
      <c r="V284" s="197" t="s">
        <v>3959</v>
      </c>
    </row>
    <row r="285" spans="1:22" s="197" customFormat="1" x14ac:dyDescent="0.2">
      <c r="A285" s="197" t="s">
        <v>4243</v>
      </c>
      <c r="B285" s="197" t="s">
        <v>2065</v>
      </c>
      <c r="C285" s="197" t="s">
        <v>2066</v>
      </c>
      <c r="D285" s="197" t="s">
        <v>56</v>
      </c>
      <c r="E285" s="197" t="s">
        <v>978</v>
      </c>
      <c r="F285" s="197" t="s">
        <v>99</v>
      </c>
      <c r="G285" s="260">
        <v>178.4</v>
      </c>
      <c r="H285" s="197">
        <v>5</v>
      </c>
      <c r="I285" s="197" t="s">
        <v>3968</v>
      </c>
      <c r="J285" s="197" t="s">
        <v>3969</v>
      </c>
      <c r="K285" s="197" t="s">
        <v>99</v>
      </c>
      <c r="L285" s="261">
        <v>1</v>
      </c>
      <c r="M285" s="263"/>
      <c r="N285" s="263">
        <f>SUM(N281:N284)</f>
        <v>197.21017800000001</v>
      </c>
      <c r="O285" s="199">
        <v>0.2223</v>
      </c>
      <c r="P285" s="261">
        <f>N285*O285</f>
        <v>43.839822569399999</v>
      </c>
      <c r="Q285" s="261">
        <f>N285+P285</f>
        <v>241.05000056940003</v>
      </c>
      <c r="R285" s="198">
        <f>Q285*G285</f>
        <v>43003.320101580968</v>
      </c>
      <c r="S285" s="197" t="s">
        <v>4244</v>
      </c>
      <c r="T285" s="197" t="s">
        <v>4245</v>
      </c>
      <c r="U285" s="197" t="str">
        <f>IF(ABS(Q285-241.05)&lt;=0.01,"FECHA COM PLANILHA","REVISAR")</f>
        <v>FECHA COM PLANILHA</v>
      </c>
      <c r="V285" s="197" t="s">
        <v>4246</v>
      </c>
    </row>
    <row r="286" spans="1:22" s="197" customFormat="1" x14ac:dyDescent="0.2">
      <c r="A286" s="197" t="s">
        <v>4247</v>
      </c>
      <c r="B286" s="197" t="s">
        <v>1388</v>
      </c>
      <c r="C286" s="197" t="s">
        <v>1389</v>
      </c>
      <c r="D286" s="197" t="s">
        <v>56</v>
      </c>
      <c r="E286" s="197" t="s">
        <v>191</v>
      </c>
      <c r="F286" s="197" t="s">
        <v>118</v>
      </c>
      <c r="G286" s="260">
        <v>63.536999999999999</v>
      </c>
      <c r="H286" s="197">
        <v>1</v>
      </c>
      <c r="I286" s="197" t="s">
        <v>3954</v>
      </c>
      <c r="J286" s="197" t="s">
        <v>3982</v>
      </c>
      <c r="K286" s="197" t="s">
        <v>1283</v>
      </c>
      <c r="L286" s="261">
        <v>0.16</v>
      </c>
      <c r="M286" s="263">
        <v>551.94919400000003</v>
      </c>
      <c r="N286" s="263">
        <f>L286*M286</f>
        <v>88.311871040000014</v>
      </c>
      <c r="O286" s="199"/>
      <c r="P286" s="261"/>
      <c r="Q286" s="261"/>
      <c r="R286" s="198"/>
      <c r="S286" s="197" t="s">
        <v>4248</v>
      </c>
      <c r="T286" s="197" t="s">
        <v>4249</v>
      </c>
      <c r="U286" s="197" t="s">
        <v>3958</v>
      </c>
      <c r="V286" s="197" t="s">
        <v>3959</v>
      </c>
    </row>
    <row r="287" spans="1:22" s="197" customFormat="1" x14ac:dyDescent="0.2">
      <c r="A287" s="197" t="s">
        <v>4247</v>
      </c>
      <c r="B287" s="197" t="s">
        <v>1388</v>
      </c>
      <c r="C287" s="197" t="s">
        <v>1389</v>
      </c>
      <c r="D287" s="197" t="s">
        <v>56</v>
      </c>
      <c r="E287" s="197" t="s">
        <v>191</v>
      </c>
      <c r="F287" s="197" t="s">
        <v>118</v>
      </c>
      <c r="G287" s="260">
        <v>63.536999999999999</v>
      </c>
      <c r="H287" s="197">
        <v>2</v>
      </c>
      <c r="I287" s="197" t="s">
        <v>3960</v>
      </c>
      <c r="J287" s="197" t="s">
        <v>3985</v>
      </c>
      <c r="K287" s="197" t="s">
        <v>1283</v>
      </c>
      <c r="L287" s="261">
        <v>0.64</v>
      </c>
      <c r="M287" s="263">
        <v>551.94919400000003</v>
      </c>
      <c r="N287" s="263">
        <f>L287*M287</f>
        <v>353.24748416000006</v>
      </c>
      <c r="O287" s="199"/>
      <c r="P287" s="261"/>
      <c r="Q287" s="261"/>
      <c r="R287" s="198"/>
      <c r="S287" s="197" t="s">
        <v>4248</v>
      </c>
      <c r="T287" s="197" t="s">
        <v>4249</v>
      </c>
      <c r="U287" s="197" t="s">
        <v>3958</v>
      </c>
      <c r="V287" s="197" t="s">
        <v>3959</v>
      </c>
    </row>
    <row r="288" spans="1:22" s="197" customFormat="1" x14ac:dyDescent="0.2">
      <c r="A288" s="197" t="s">
        <v>4247</v>
      </c>
      <c r="B288" s="197" t="s">
        <v>1388</v>
      </c>
      <c r="C288" s="197" t="s">
        <v>1389</v>
      </c>
      <c r="D288" s="197" t="s">
        <v>56</v>
      </c>
      <c r="E288" s="197" t="s">
        <v>191</v>
      </c>
      <c r="F288" s="197" t="s">
        <v>118</v>
      </c>
      <c r="G288" s="260">
        <v>63.536999999999999</v>
      </c>
      <c r="H288" s="197">
        <v>3</v>
      </c>
      <c r="I288" s="197" t="s">
        <v>3962</v>
      </c>
      <c r="J288" s="197" t="s">
        <v>3986</v>
      </c>
      <c r="K288" s="197" t="s">
        <v>1283</v>
      </c>
      <c r="L288" s="261">
        <v>0.15</v>
      </c>
      <c r="M288" s="263">
        <v>551.94919400000003</v>
      </c>
      <c r="N288" s="263">
        <f>L288*M288</f>
        <v>82.792379100000005</v>
      </c>
      <c r="O288" s="199"/>
      <c r="P288" s="261"/>
      <c r="Q288" s="261"/>
      <c r="R288" s="198"/>
      <c r="S288" s="197" t="s">
        <v>4248</v>
      </c>
      <c r="T288" s="197" t="s">
        <v>4249</v>
      </c>
      <c r="U288" s="197" t="s">
        <v>3958</v>
      </c>
      <c r="V288" s="197" t="s">
        <v>3959</v>
      </c>
    </row>
    <row r="289" spans="1:22" s="197" customFormat="1" x14ac:dyDescent="0.2">
      <c r="A289" s="197" t="s">
        <v>4247</v>
      </c>
      <c r="B289" s="197" t="s">
        <v>1388</v>
      </c>
      <c r="C289" s="197" t="s">
        <v>1389</v>
      </c>
      <c r="D289" s="197" t="s">
        <v>56</v>
      </c>
      <c r="E289" s="197" t="s">
        <v>191</v>
      </c>
      <c r="F289" s="197" t="s">
        <v>118</v>
      </c>
      <c r="G289" s="260">
        <v>63.536999999999999</v>
      </c>
      <c r="H289" s="197">
        <v>4</v>
      </c>
      <c r="I289" s="197" t="s">
        <v>3987</v>
      </c>
      <c r="J289" s="197" t="s">
        <v>3988</v>
      </c>
      <c r="K289" s="197" t="s">
        <v>1283</v>
      </c>
      <c r="L289" s="261">
        <v>0.05</v>
      </c>
      <c r="M289" s="263">
        <v>551.94919400000003</v>
      </c>
      <c r="N289" s="263">
        <f>L289*M289</f>
        <v>27.597459700000002</v>
      </c>
      <c r="O289" s="199"/>
      <c r="P289" s="261"/>
      <c r="Q289" s="261"/>
      <c r="R289" s="198"/>
      <c r="S289" s="197" t="s">
        <v>4248</v>
      </c>
      <c r="T289" s="197" t="s">
        <v>4249</v>
      </c>
      <c r="U289" s="197" t="s">
        <v>3958</v>
      </c>
      <c r="V289" s="197" t="s">
        <v>3959</v>
      </c>
    </row>
    <row r="290" spans="1:22" s="197" customFormat="1" x14ac:dyDescent="0.2">
      <c r="A290" s="197" t="s">
        <v>4247</v>
      </c>
      <c r="B290" s="197" t="s">
        <v>1388</v>
      </c>
      <c r="C290" s="197" t="s">
        <v>1389</v>
      </c>
      <c r="D290" s="197" t="s">
        <v>56</v>
      </c>
      <c r="E290" s="197" t="s">
        <v>191</v>
      </c>
      <c r="F290" s="197" t="s">
        <v>118</v>
      </c>
      <c r="G290" s="260">
        <v>63.536999999999999</v>
      </c>
      <c r="H290" s="197">
        <v>5</v>
      </c>
      <c r="I290" s="197" t="s">
        <v>3968</v>
      </c>
      <c r="J290" s="197" t="s">
        <v>3969</v>
      </c>
      <c r="K290" s="197" t="s">
        <v>118</v>
      </c>
      <c r="L290" s="261">
        <v>1</v>
      </c>
      <c r="M290" s="263"/>
      <c r="N290" s="263">
        <f>SUM(N286:N289)</f>
        <v>551.94919400000003</v>
      </c>
      <c r="O290" s="199">
        <v>0.2223</v>
      </c>
      <c r="P290" s="261">
        <f>N290*O290</f>
        <v>122.69830582620001</v>
      </c>
      <c r="Q290" s="261">
        <f>N290+P290</f>
        <v>674.64749982620003</v>
      </c>
      <c r="R290" s="198">
        <f>Q290*G290</f>
        <v>42865.078196457274</v>
      </c>
      <c r="S290" s="197" t="s">
        <v>4248</v>
      </c>
      <c r="T290" s="197" t="s">
        <v>4249</v>
      </c>
      <c r="U290" s="197" t="str">
        <f>IF(ABS(Q290-674.6475)&lt;=0.01,"FECHA COM PLANILHA","REVISAR")</f>
        <v>FECHA COM PLANILHA</v>
      </c>
      <c r="V290" s="197" t="s">
        <v>4250</v>
      </c>
    </row>
    <row r="291" spans="1:22" s="197" customFormat="1" x14ac:dyDescent="0.2">
      <c r="A291" s="197" t="s">
        <v>4251</v>
      </c>
      <c r="B291" s="197" t="s">
        <v>95</v>
      </c>
      <c r="C291" s="197" t="s">
        <v>1347</v>
      </c>
      <c r="D291" s="197" t="s">
        <v>56</v>
      </c>
      <c r="E291" s="197" t="s">
        <v>96</v>
      </c>
      <c r="F291" s="197" t="s">
        <v>26</v>
      </c>
      <c r="G291" s="260">
        <v>1456</v>
      </c>
      <c r="H291" s="197">
        <v>1</v>
      </c>
      <c r="I291" s="197" t="s">
        <v>3954</v>
      </c>
      <c r="J291" s="197" t="s">
        <v>3991</v>
      </c>
      <c r="K291" s="197" t="s">
        <v>1283</v>
      </c>
      <c r="L291" s="261">
        <v>0.34</v>
      </c>
      <c r="M291" s="263">
        <v>23.236930000000001</v>
      </c>
      <c r="N291" s="263">
        <f>L291*M291</f>
        <v>7.9005562000000005</v>
      </c>
      <c r="O291" s="199"/>
      <c r="P291" s="261"/>
      <c r="Q291" s="261"/>
      <c r="R291" s="198"/>
      <c r="S291" s="197" t="s">
        <v>4252</v>
      </c>
      <c r="T291" s="197" t="s">
        <v>4253</v>
      </c>
      <c r="U291" s="197" t="s">
        <v>3958</v>
      </c>
      <c r="V291" s="197" t="s">
        <v>3959</v>
      </c>
    </row>
    <row r="292" spans="1:22" s="197" customFormat="1" x14ac:dyDescent="0.2">
      <c r="A292" s="197" t="s">
        <v>4251</v>
      </c>
      <c r="B292" s="197" t="s">
        <v>95</v>
      </c>
      <c r="C292" s="197" t="s">
        <v>1347</v>
      </c>
      <c r="D292" s="197" t="s">
        <v>56</v>
      </c>
      <c r="E292" s="197" t="s">
        <v>96</v>
      </c>
      <c r="F292" s="197" t="s">
        <v>26</v>
      </c>
      <c r="G292" s="260">
        <v>1456</v>
      </c>
      <c r="H292" s="197">
        <v>2</v>
      </c>
      <c r="I292" s="197" t="s">
        <v>3960</v>
      </c>
      <c r="J292" s="197" t="s">
        <v>3994</v>
      </c>
      <c r="K292" s="197" t="s">
        <v>1283</v>
      </c>
      <c r="L292" s="261">
        <v>0.54</v>
      </c>
      <c r="M292" s="263">
        <v>23.236930000000001</v>
      </c>
      <c r="N292" s="263">
        <f>L292*M292</f>
        <v>12.547942200000001</v>
      </c>
      <c r="O292" s="199"/>
      <c r="P292" s="261"/>
      <c r="Q292" s="261"/>
      <c r="R292" s="198"/>
      <c r="S292" s="197" t="s">
        <v>4252</v>
      </c>
      <c r="T292" s="197" t="s">
        <v>4253</v>
      </c>
      <c r="U292" s="197" t="s">
        <v>3958</v>
      </c>
      <c r="V292" s="197" t="s">
        <v>3959</v>
      </c>
    </row>
    <row r="293" spans="1:22" s="197" customFormat="1" x14ac:dyDescent="0.2">
      <c r="A293" s="197" t="s">
        <v>4251</v>
      </c>
      <c r="B293" s="197" t="s">
        <v>95</v>
      </c>
      <c r="C293" s="197" t="s">
        <v>1347</v>
      </c>
      <c r="D293" s="197" t="s">
        <v>56</v>
      </c>
      <c r="E293" s="197" t="s">
        <v>96</v>
      </c>
      <c r="F293" s="197" t="s">
        <v>26</v>
      </c>
      <c r="G293" s="260">
        <v>1456</v>
      </c>
      <c r="H293" s="197">
        <v>3</v>
      </c>
      <c r="I293" s="197" t="s">
        <v>3962</v>
      </c>
      <c r="J293" s="197" t="s">
        <v>3995</v>
      </c>
      <c r="K293" s="197" t="s">
        <v>1283</v>
      </c>
      <c r="L293" s="261">
        <v>0.08</v>
      </c>
      <c r="M293" s="263">
        <v>23.236930000000001</v>
      </c>
      <c r="N293" s="263">
        <f>L293*M293</f>
        <v>1.8589544</v>
      </c>
      <c r="O293" s="199"/>
      <c r="P293" s="261"/>
      <c r="Q293" s="261"/>
      <c r="R293" s="198"/>
      <c r="S293" s="197" t="s">
        <v>4252</v>
      </c>
      <c r="T293" s="197" t="s">
        <v>4253</v>
      </c>
      <c r="U293" s="197" t="s">
        <v>3958</v>
      </c>
      <c r="V293" s="197" t="s">
        <v>3959</v>
      </c>
    </row>
    <row r="294" spans="1:22" s="197" customFormat="1" x14ac:dyDescent="0.2">
      <c r="A294" s="197" t="s">
        <v>4251</v>
      </c>
      <c r="B294" s="197" t="s">
        <v>95</v>
      </c>
      <c r="C294" s="197" t="s">
        <v>1347</v>
      </c>
      <c r="D294" s="197" t="s">
        <v>56</v>
      </c>
      <c r="E294" s="197" t="s">
        <v>96</v>
      </c>
      <c r="F294" s="197" t="s">
        <v>26</v>
      </c>
      <c r="G294" s="260">
        <v>1456</v>
      </c>
      <c r="H294" s="197">
        <v>4</v>
      </c>
      <c r="I294" s="197" t="s">
        <v>3966</v>
      </c>
      <c r="J294" s="197" t="s">
        <v>3996</v>
      </c>
      <c r="K294" s="197" t="s">
        <v>1283</v>
      </c>
      <c r="L294" s="261">
        <v>0.04</v>
      </c>
      <c r="M294" s="263">
        <v>23.236930000000001</v>
      </c>
      <c r="N294" s="263">
        <f>L294*M294</f>
        <v>0.9294772</v>
      </c>
      <c r="O294" s="199"/>
      <c r="P294" s="261"/>
      <c r="Q294" s="261"/>
      <c r="R294" s="198"/>
      <c r="S294" s="197" t="s">
        <v>4252</v>
      </c>
      <c r="T294" s="197" t="s">
        <v>4253</v>
      </c>
      <c r="U294" s="197" t="s">
        <v>3958</v>
      </c>
      <c r="V294" s="197" t="s">
        <v>3959</v>
      </c>
    </row>
    <row r="295" spans="1:22" s="197" customFormat="1" x14ac:dyDescent="0.2">
      <c r="A295" s="197" t="s">
        <v>4251</v>
      </c>
      <c r="B295" s="197" t="s">
        <v>95</v>
      </c>
      <c r="C295" s="197" t="s">
        <v>1347</v>
      </c>
      <c r="D295" s="197" t="s">
        <v>56</v>
      </c>
      <c r="E295" s="197" t="s">
        <v>96</v>
      </c>
      <c r="F295" s="197" t="s">
        <v>26</v>
      </c>
      <c r="G295" s="260">
        <v>1456</v>
      </c>
      <c r="H295" s="197">
        <v>5</v>
      </c>
      <c r="I295" s="197" t="s">
        <v>3968</v>
      </c>
      <c r="J295" s="197" t="s">
        <v>3969</v>
      </c>
      <c r="K295" s="197" t="s">
        <v>26</v>
      </c>
      <c r="L295" s="261">
        <v>1</v>
      </c>
      <c r="M295" s="263"/>
      <c r="N295" s="263">
        <f>SUM(N291:N294)</f>
        <v>23.236930000000001</v>
      </c>
      <c r="O295" s="199">
        <v>0.2223</v>
      </c>
      <c r="P295" s="261">
        <f>N295*O295</f>
        <v>5.1655695389999998</v>
      </c>
      <c r="Q295" s="261">
        <f>N295+P295</f>
        <v>28.402499539000001</v>
      </c>
      <c r="R295" s="198">
        <f>Q295*G295</f>
        <v>41354.039328783998</v>
      </c>
      <c r="S295" s="197" t="s">
        <v>4252</v>
      </c>
      <c r="T295" s="197" t="s">
        <v>4253</v>
      </c>
      <c r="U295" s="197" t="str">
        <f>IF(ABS(Q295-28.4025)&lt;=0.01,"FECHA COM PLANILHA","REVISAR")</f>
        <v>FECHA COM PLANILHA</v>
      </c>
      <c r="V295" s="197" t="s">
        <v>4254</v>
      </c>
    </row>
    <row r="296" spans="1:22" s="197" customFormat="1" x14ac:dyDescent="0.2">
      <c r="A296" s="197" t="s">
        <v>4255</v>
      </c>
      <c r="B296" s="197" t="s">
        <v>396</v>
      </c>
      <c r="C296" s="197" t="s">
        <v>1489</v>
      </c>
      <c r="D296" s="197" t="s">
        <v>56</v>
      </c>
      <c r="E296" s="197" t="s">
        <v>397</v>
      </c>
      <c r="F296" s="197" t="s">
        <v>26</v>
      </c>
      <c r="G296" s="260">
        <v>548.673</v>
      </c>
      <c r="H296" s="197">
        <v>1</v>
      </c>
      <c r="I296" s="197" t="s">
        <v>3954</v>
      </c>
      <c r="J296" s="197" t="s">
        <v>3982</v>
      </c>
      <c r="K296" s="197" t="s">
        <v>1283</v>
      </c>
      <c r="L296" s="261">
        <v>0.16</v>
      </c>
      <c r="M296" s="263">
        <v>60.377975999999997</v>
      </c>
      <c r="N296" s="263">
        <f>L296*M296</f>
        <v>9.66047616</v>
      </c>
      <c r="O296" s="199"/>
      <c r="P296" s="261"/>
      <c r="Q296" s="261"/>
      <c r="R296" s="198"/>
      <c r="S296" s="197" t="s">
        <v>4256</v>
      </c>
      <c r="T296" s="197" t="s">
        <v>4257</v>
      </c>
      <c r="U296" s="197" t="s">
        <v>3958</v>
      </c>
      <c r="V296" s="197" t="s">
        <v>3959</v>
      </c>
    </row>
    <row r="297" spans="1:22" s="197" customFormat="1" x14ac:dyDescent="0.2">
      <c r="A297" s="197" t="s">
        <v>4255</v>
      </c>
      <c r="B297" s="197" t="s">
        <v>396</v>
      </c>
      <c r="C297" s="197" t="s">
        <v>1489</v>
      </c>
      <c r="D297" s="197" t="s">
        <v>56</v>
      </c>
      <c r="E297" s="197" t="s">
        <v>397</v>
      </c>
      <c r="F297" s="197" t="s">
        <v>26</v>
      </c>
      <c r="G297" s="260">
        <v>548.673</v>
      </c>
      <c r="H297" s="197">
        <v>2</v>
      </c>
      <c r="I297" s="197" t="s">
        <v>3960</v>
      </c>
      <c r="J297" s="197" t="s">
        <v>3985</v>
      </c>
      <c r="K297" s="197" t="s">
        <v>1283</v>
      </c>
      <c r="L297" s="261">
        <v>0.64</v>
      </c>
      <c r="M297" s="263">
        <v>60.377975999999997</v>
      </c>
      <c r="N297" s="263">
        <f>L297*M297</f>
        <v>38.64190464</v>
      </c>
      <c r="O297" s="199"/>
      <c r="P297" s="261"/>
      <c r="Q297" s="261"/>
      <c r="R297" s="198"/>
      <c r="S297" s="197" t="s">
        <v>4256</v>
      </c>
      <c r="T297" s="197" t="s">
        <v>4257</v>
      </c>
      <c r="U297" s="197" t="s">
        <v>3958</v>
      </c>
      <c r="V297" s="197" t="s">
        <v>3959</v>
      </c>
    </row>
    <row r="298" spans="1:22" s="197" customFormat="1" x14ac:dyDescent="0.2">
      <c r="A298" s="197" t="s">
        <v>4255</v>
      </c>
      <c r="B298" s="197" t="s">
        <v>396</v>
      </c>
      <c r="C298" s="197" t="s">
        <v>1489</v>
      </c>
      <c r="D298" s="197" t="s">
        <v>56</v>
      </c>
      <c r="E298" s="197" t="s">
        <v>397</v>
      </c>
      <c r="F298" s="197" t="s">
        <v>26</v>
      </c>
      <c r="G298" s="260">
        <v>548.673</v>
      </c>
      <c r="H298" s="197">
        <v>3</v>
      </c>
      <c r="I298" s="197" t="s">
        <v>3962</v>
      </c>
      <c r="J298" s="197" t="s">
        <v>3986</v>
      </c>
      <c r="K298" s="197" t="s">
        <v>1283</v>
      </c>
      <c r="L298" s="261">
        <v>0.15</v>
      </c>
      <c r="M298" s="263">
        <v>60.377975999999997</v>
      </c>
      <c r="N298" s="263">
        <f>L298*M298</f>
        <v>9.0566963999999999</v>
      </c>
      <c r="O298" s="199"/>
      <c r="P298" s="261"/>
      <c r="Q298" s="261"/>
      <c r="R298" s="198"/>
      <c r="S298" s="197" t="s">
        <v>4256</v>
      </c>
      <c r="T298" s="197" t="s">
        <v>4257</v>
      </c>
      <c r="U298" s="197" t="s">
        <v>3958</v>
      </c>
      <c r="V298" s="197" t="s">
        <v>3959</v>
      </c>
    </row>
    <row r="299" spans="1:22" s="197" customFormat="1" x14ac:dyDescent="0.2">
      <c r="A299" s="197" t="s">
        <v>4255</v>
      </c>
      <c r="B299" s="197" t="s">
        <v>396</v>
      </c>
      <c r="C299" s="197" t="s">
        <v>1489</v>
      </c>
      <c r="D299" s="197" t="s">
        <v>56</v>
      </c>
      <c r="E299" s="197" t="s">
        <v>397</v>
      </c>
      <c r="F299" s="197" t="s">
        <v>26</v>
      </c>
      <c r="G299" s="260">
        <v>548.673</v>
      </c>
      <c r="H299" s="197">
        <v>4</v>
      </c>
      <c r="I299" s="197" t="s">
        <v>3987</v>
      </c>
      <c r="J299" s="197" t="s">
        <v>3988</v>
      </c>
      <c r="K299" s="197" t="s">
        <v>1283</v>
      </c>
      <c r="L299" s="261">
        <v>0.05</v>
      </c>
      <c r="M299" s="263">
        <v>60.377975999999997</v>
      </c>
      <c r="N299" s="263">
        <f>L299*M299</f>
        <v>3.0188988000000001</v>
      </c>
      <c r="O299" s="199"/>
      <c r="P299" s="261"/>
      <c r="Q299" s="261"/>
      <c r="R299" s="198"/>
      <c r="S299" s="197" t="s">
        <v>4256</v>
      </c>
      <c r="T299" s="197" t="s">
        <v>4257</v>
      </c>
      <c r="U299" s="197" t="s">
        <v>3958</v>
      </c>
      <c r="V299" s="197" t="s">
        <v>3959</v>
      </c>
    </row>
    <row r="300" spans="1:22" s="197" customFormat="1" x14ac:dyDescent="0.2">
      <c r="A300" s="197" t="s">
        <v>4255</v>
      </c>
      <c r="B300" s="197" t="s">
        <v>396</v>
      </c>
      <c r="C300" s="197" t="s">
        <v>1489</v>
      </c>
      <c r="D300" s="197" t="s">
        <v>56</v>
      </c>
      <c r="E300" s="197" t="s">
        <v>397</v>
      </c>
      <c r="F300" s="197" t="s">
        <v>26</v>
      </c>
      <c r="G300" s="260">
        <v>548.673</v>
      </c>
      <c r="H300" s="197">
        <v>5</v>
      </c>
      <c r="I300" s="197" t="s">
        <v>3968</v>
      </c>
      <c r="J300" s="197" t="s">
        <v>3969</v>
      </c>
      <c r="K300" s="197" t="s">
        <v>26</v>
      </c>
      <c r="L300" s="261">
        <v>1</v>
      </c>
      <c r="M300" s="263"/>
      <c r="N300" s="263">
        <f>SUM(N296:N299)</f>
        <v>60.377976000000004</v>
      </c>
      <c r="O300" s="199">
        <v>0.2223</v>
      </c>
      <c r="P300" s="261">
        <f>N300*O300</f>
        <v>13.4220240648</v>
      </c>
      <c r="Q300" s="261">
        <f>N300+P300</f>
        <v>73.800000064800003</v>
      </c>
      <c r="R300" s="198">
        <f>Q300*G300</f>
        <v>40492.06743555401</v>
      </c>
      <c r="S300" s="197" t="s">
        <v>4256</v>
      </c>
      <c r="T300" s="197" t="s">
        <v>4257</v>
      </c>
      <c r="U300" s="197" t="str">
        <f>IF(ABS(Q300-73.8)&lt;=0.01,"FECHA COM PLANILHA","REVISAR")</f>
        <v>FECHA COM PLANILHA</v>
      </c>
      <c r="V300" s="197" t="s">
        <v>4258</v>
      </c>
    </row>
    <row r="301" spans="1:22" s="197" customFormat="1" x14ac:dyDescent="0.2">
      <c r="A301" s="197" t="s">
        <v>4259</v>
      </c>
      <c r="B301" s="197" t="s">
        <v>2044</v>
      </c>
      <c r="C301" s="197" t="s">
        <v>2045</v>
      </c>
      <c r="D301" s="197" t="s">
        <v>56</v>
      </c>
      <c r="E301" s="197" t="s">
        <v>2046</v>
      </c>
      <c r="F301" s="197" t="s">
        <v>99</v>
      </c>
      <c r="G301" s="260">
        <v>2322.1999999999998</v>
      </c>
      <c r="H301" s="197">
        <v>1</v>
      </c>
      <c r="I301" s="197" t="s">
        <v>3954</v>
      </c>
      <c r="J301" s="197" t="s">
        <v>3972</v>
      </c>
      <c r="K301" s="197" t="s">
        <v>1283</v>
      </c>
      <c r="L301" s="261">
        <v>0.18</v>
      </c>
      <c r="M301" s="263">
        <v>13.990019</v>
      </c>
      <c r="N301" s="263">
        <f>L301*M301</f>
        <v>2.5182034199999999</v>
      </c>
      <c r="O301" s="199"/>
      <c r="P301" s="261"/>
      <c r="Q301" s="261"/>
      <c r="R301" s="198"/>
      <c r="S301" s="197" t="s">
        <v>4260</v>
      </c>
      <c r="T301" s="197" t="s">
        <v>4261</v>
      </c>
      <c r="U301" s="197" t="s">
        <v>3958</v>
      </c>
      <c r="V301" s="197" t="s">
        <v>3959</v>
      </c>
    </row>
    <row r="302" spans="1:22" s="197" customFormat="1" x14ac:dyDescent="0.2">
      <c r="A302" s="197" t="s">
        <v>4259</v>
      </c>
      <c r="B302" s="197" t="s">
        <v>2044</v>
      </c>
      <c r="C302" s="197" t="s">
        <v>2045</v>
      </c>
      <c r="D302" s="197" t="s">
        <v>56</v>
      </c>
      <c r="E302" s="197" t="s">
        <v>2046</v>
      </c>
      <c r="F302" s="197" t="s">
        <v>99</v>
      </c>
      <c r="G302" s="260">
        <v>2322.1999999999998</v>
      </c>
      <c r="H302" s="197">
        <v>2</v>
      </c>
      <c r="I302" s="197" t="s">
        <v>3960</v>
      </c>
      <c r="J302" s="197" t="s">
        <v>3975</v>
      </c>
      <c r="K302" s="197" t="s">
        <v>1283</v>
      </c>
      <c r="L302" s="261">
        <v>0.75</v>
      </c>
      <c r="M302" s="263">
        <v>13.990019</v>
      </c>
      <c r="N302" s="263">
        <f>L302*M302</f>
        <v>10.492514249999999</v>
      </c>
      <c r="O302" s="199"/>
      <c r="P302" s="261"/>
      <c r="Q302" s="261"/>
      <c r="R302" s="198"/>
      <c r="S302" s="197" t="s">
        <v>4260</v>
      </c>
      <c r="T302" s="197" t="s">
        <v>4261</v>
      </c>
      <c r="U302" s="197" t="s">
        <v>3958</v>
      </c>
      <c r="V302" s="197" t="s">
        <v>3959</v>
      </c>
    </row>
    <row r="303" spans="1:22" s="197" customFormat="1" x14ac:dyDescent="0.2">
      <c r="A303" s="197" t="s">
        <v>4259</v>
      </c>
      <c r="B303" s="197" t="s">
        <v>2044</v>
      </c>
      <c r="C303" s="197" t="s">
        <v>2045</v>
      </c>
      <c r="D303" s="197" t="s">
        <v>56</v>
      </c>
      <c r="E303" s="197" t="s">
        <v>2046</v>
      </c>
      <c r="F303" s="197" t="s">
        <v>99</v>
      </c>
      <c r="G303" s="260">
        <v>2322.1999999999998</v>
      </c>
      <c r="H303" s="197">
        <v>3</v>
      </c>
      <c r="I303" s="197" t="s">
        <v>3976</v>
      </c>
      <c r="J303" s="197" t="s">
        <v>3977</v>
      </c>
      <c r="K303" s="197" t="s">
        <v>1283</v>
      </c>
      <c r="L303" s="261">
        <v>0.04</v>
      </c>
      <c r="M303" s="263">
        <v>13.990019</v>
      </c>
      <c r="N303" s="263">
        <f>L303*M303</f>
        <v>0.55960076000000003</v>
      </c>
      <c r="O303" s="199"/>
      <c r="P303" s="261"/>
      <c r="Q303" s="261"/>
      <c r="R303" s="198"/>
      <c r="S303" s="197" t="s">
        <v>4260</v>
      </c>
      <c r="T303" s="197" t="s">
        <v>4261</v>
      </c>
      <c r="U303" s="197" t="s">
        <v>3958</v>
      </c>
      <c r="V303" s="197" t="s">
        <v>3959</v>
      </c>
    </row>
    <row r="304" spans="1:22" s="197" customFormat="1" x14ac:dyDescent="0.2">
      <c r="A304" s="197" t="s">
        <v>4259</v>
      </c>
      <c r="B304" s="197" t="s">
        <v>2044</v>
      </c>
      <c r="C304" s="197" t="s">
        <v>2045</v>
      </c>
      <c r="D304" s="197" t="s">
        <v>56</v>
      </c>
      <c r="E304" s="197" t="s">
        <v>2046</v>
      </c>
      <c r="F304" s="197" t="s">
        <v>99</v>
      </c>
      <c r="G304" s="260">
        <v>2322.1999999999998</v>
      </c>
      <c r="H304" s="197">
        <v>4</v>
      </c>
      <c r="I304" s="197" t="s">
        <v>3978</v>
      </c>
      <c r="J304" s="197" t="s">
        <v>3979</v>
      </c>
      <c r="K304" s="197" t="s">
        <v>1283</v>
      </c>
      <c r="L304" s="261">
        <v>0.03</v>
      </c>
      <c r="M304" s="263">
        <v>13.990019</v>
      </c>
      <c r="N304" s="263">
        <f>L304*M304</f>
        <v>0.41970057</v>
      </c>
      <c r="O304" s="199"/>
      <c r="P304" s="261"/>
      <c r="Q304" s="261"/>
      <c r="R304" s="198"/>
      <c r="S304" s="197" t="s">
        <v>4260</v>
      </c>
      <c r="T304" s="197" t="s">
        <v>4261</v>
      </c>
      <c r="U304" s="197" t="s">
        <v>3958</v>
      </c>
      <c r="V304" s="197" t="s">
        <v>3959</v>
      </c>
    </row>
    <row r="305" spans="1:22" s="197" customFormat="1" x14ac:dyDescent="0.2">
      <c r="A305" s="197" t="s">
        <v>4259</v>
      </c>
      <c r="B305" s="197" t="s">
        <v>2044</v>
      </c>
      <c r="C305" s="197" t="s">
        <v>2045</v>
      </c>
      <c r="D305" s="197" t="s">
        <v>56</v>
      </c>
      <c r="E305" s="197" t="s">
        <v>2046</v>
      </c>
      <c r="F305" s="197" t="s">
        <v>99</v>
      </c>
      <c r="G305" s="260">
        <v>2322.1999999999998</v>
      </c>
      <c r="H305" s="197">
        <v>5</v>
      </c>
      <c r="I305" s="197" t="s">
        <v>3968</v>
      </c>
      <c r="J305" s="197" t="s">
        <v>3969</v>
      </c>
      <c r="K305" s="197" t="s">
        <v>99</v>
      </c>
      <c r="L305" s="261">
        <v>1</v>
      </c>
      <c r="M305" s="263"/>
      <c r="N305" s="263">
        <f>SUM(N301:N304)</f>
        <v>13.990018999999998</v>
      </c>
      <c r="O305" s="199">
        <v>0.2223</v>
      </c>
      <c r="P305" s="261">
        <f>N305*O305</f>
        <v>3.1099812236999997</v>
      </c>
      <c r="Q305" s="261">
        <f>N305+P305</f>
        <v>17.100000223699997</v>
      </c>
      <c r="R305" s="198">
        <f>Q305*G305</f>
        <v>39709.620519476128</v>
      </c>
      <c r="S305" s="197" t="s">
        <v>4260</v>
      </c>
      <c r="T305" s="197" t="s">
        <v>4261</v>
      </c>
      <c r="U305" s="197" t="str">
        <f>IF(ABS(Q305-17.1)&lt;=0.01,"FECHA COM PLANILHA","REVISAR")</f>
        <v>FECHA COM PLANILHA</v>
      </c>
      <c r="V305" s="197" t="s">
        <v>4262</v>
      </c>
    </row>
    <row r="306" spans="1:22" s="197" customFormat="1" x14ac:dyDescent="0.2">
      <c r="A306" s="197" t="s">
        <v>4263</v>
      </c>
      <c r="B306" s="197" t="s">
        <v>2019</v>
      </c>
      <c r="C306" s="197" t="s">
        <v>2020</v>
      </c>
      <c r="D306" s="197" t="s">
        <v>24</v>
      </c>
      <c r="E306" s="197" t="s">
        <v>954</v>
      </c>
      <c r="F306" s="197" t="s">
        <v>99</v>
      </c>
      <c r="G306" s="260">
        <v>372.5</v>
      </c>
      <c r="H306" s="197">
        <v>1</v>
      </c>
      <c r="I306" s="197" t="s">
        <v>3954</v>
      </c>
      <c r="J306" s="197" t="s">
        <v>4012</v>
      </c>
      <c r="K306" s="197" t="s">
        <v>1283</v>
      </c>
      <c r="L306" s="261">
        <v>0.22</v>
      </c>
      <c r="M306" s="263">
        <v>83.694674000000006</v>
      </c>
      <c r="N306" s="263">
        <f>L306*M306</f>
        <v>18.412828280000003</v>
      </c>
      <c r="O306" s="199"/>
      <c r="P306" s="261"/>
      <c r="Q306" s="261"/>
      <c r="R306" s="198"/>
      <c r="S306" s="197" t="s">
        <v>4264</v>
      </c>
      <c r="T306" s="197" t="s">
        <v>4265</v>
      </c>
      <c r="U306" s="197" t="s">
        <v>3958</v>
      </c>
      <c r="V306" s="197" t="s">
        <v>3959</v>
      </c>
    </row>
    <row r="307" spans="1:22" s="197" customFormat="1" x14ac:dyDescent="0.2">
      <c r="A307" s="197" t="s">
        <v>4263</v>
      </c>
      <c r="B307" s="197" t="s">
        <v>2019</v>
      </c>
      <c r="C307" s="197" t="s">
        <v>2020</v>
      </c>
      <c r="D307" s="197" t="s">
        <v>24</v>
      </c>
      <c r="E307" s="197" t="s">
        <v>954</v>
      </c>
      <c r="F307" s="197" t="s">
        <v>99</v>
      </c>
      <c r="G307" s="260">
        <v>372.5</v>
      </c>
      <c r="H307" s="197">
        <v>2</v>
      </c>
      <c r="I307" s="197" t="s">
        <v>3960</v>
      </c>
      <c r="J307" s="197" t="s">
        <v>4015</v>
      </c>
      <c r="K307" s="197" t="s">
        <v>1283</v>
      </c>
      <c r="L307" s="261">
        <v>0.7</v>
      </c>
      <c r="M307" s="263">
        <v>83.694674000000006</v>
      </c>
      <c r="N307" s="263">
        <f>L307*M307</f>
        <v>58.586271799999999</v>
      </c>
      <c r="O307" s="199"/>
      <c r="P307" s="261"/>
      <c r="Q307" s="261"/>
      <c r="R307" s="198"/>
      <c r="S307" s="197" t="s">
        <v>4264</v>
      </c>
      <c r="T307" s="197" t="s">
        <v>4265</v>
      </c>
      <c r="U307" s="197" t="s">
        <v>3958</v>
      </c>
      <c r="V307" s="197" t="s">
        <v>3959</v>
      </c>
    </row>
    <row r="308" spans="1:22" s="197" customFormat="1" x14ac:dyDescent="0.2">
      <c r="A308" s="197" t="s">
        <v>4263</v>
      </c>
      <c r="B308" s="197" t="s">
        <v>2019</v>
      </c>
      <c r="C308" s="197" t="s">
        <v>2020</v>
      </c>
      <c r="D308" s="197" t="s">
        <v>24</v>
      </c>
      <c r="E308" s="197" t="s">
        <v>954</v>
      </c>
      <c r="F308" s="197" t="s">
        <v>99</v>
      </c>
      <c r="G308" s="260">
        <v>372.5</v>
      </c>
      <c r="H308" s="197">
        <v>3</v>
      </c>
      <c r="I308" s="197" t="s">
        <v>3976</v>
      </c>
      <c r="J308" s="197" t="s">
        <v>4016</v>
      </c>
      <c r="K308" s="197" t="s">
        <v>1283</v>
      </c>
      <c r="L308" s="261">
        <v>0.05</v>
      </c>
      <c r="M308" s="263">
        <v>83.694674000000006</v>
      </c>
      <c r="N308" s="263">
        <f>L308*M308</f>
        <v>4.1847337000000007</v>
      </c>
      <c r="O308" s="199"/>
      <c r="P308" s="261"/>
      <c r="Q308" s="261"/>
      <c r="R308" s="198"/>
      <c r="S308" s="197" t="s">
        <v>4264</v>
      </c>
      <c r="T308" s="197" t="s">
        <v>4265</v>
      </c>
      <c r="U308" s="197" t="s">
        <v>3958</v>
      </c>
      <c r="V308" s="197" t="s">
        <v>3959</v>
      </c>
    </row>
    <row r="309" spans="1:22" s="197" customFormat="1" x14ac:dyDescent="0.2">
      <c r="A309" s="197" t="s">
        <v>4263</v>
      </c>
      <c r="B309" s="197" t="s">
        <v>2019</v>
      </c>
      <c r="C309" s="197" t="s">
        <v>2020</v>
      </c>
      <c r="D309" s="197" t="s">
        <v>24</v>
      </c>
      <c r="E309" s="197" t="s">
        <v>954</v>
      </c>
      <c r="F309" s="197" t="s">
        <v>99</v>
      </c>
      <c r="G309" s="260">
        <v>372.5</v>
      </c>
      <c r="H309" s="197">
        <v>4</v>
      </c>
      <c r="I309" s="197" t="s">
        <v>4017</v>
      </c>
      <c r="J309" s="197" t="s">
        <v>4018</v>
      </c>
      <c r="K309" s="197" t="s">
        <v>1283</v>
      </c>
      <c r="L309" s="261">
        <v>0.03</v>
      </c>
      <c r="M309" s="263">
        <v>83.694674000000006</v>
      </c>
      <c r="N309" s="263">
        <f>L309*M309</f>
        <v>2.51084022</v>
      </c>
      <c r="O309" s="199"/>
      <c r="P309" s="261"/>
      <c r="Q309" s="261"/>
      <c r="R309" s="198"/>
      <c r="S309" s="197" t="s">
        <v>4264</v>
      </c>
      <c r="T309" s="197" t="s">
        <v>4265</v>
      </c>
      <c r="U309" s="197" t="s">
        <v>3958</v>
      </c>
      <c r="V309" s="197" t="s">
        <v>3959</v>
      </c>
    </row>
    <row r="310" spans="1:22" s="197" customFormat="1" x14ac:dyDescent="0.2">
      <c r="A310" s="197" t="s">
        <v>4263</v>
      </c>
      <c r="B310" s="197" t="s">
        <v>2019</v>
      </c>
      <c r="C310" s="197" t="s">
        <v>2020</v>
      </c>
      <c r="D310" s="197" t="s">
        <v>24</v>
      </c>
      <c r="E310" s="197" t="s">
        <v>954</v>
      </c>
      <c r="F310" s="197" t="s">
        <v>99</v>
      </c>
      <c r="G310" s="260">
        <v>372.5</v>
      </c>
      <c r="H310" s="197">
        <v>5</v>
      </c>
      <c r="I310" s="197" t="s">
        <v>3968</v>
      </c>
      <c r="J310" s="197" t="s">
        <v>3969</v>
      </c>
      <c r="K310" s="197" t="s">
        <v>99</v>
      </c>
      <c r="L310" s="261">
        <v>1</v>
      </c>
      <c r="M310" s="263"/>
      <c r="N310" s="263">
        <f>SUM(N306:N309)</f>
        <v>83.694674000000006</v>
      </c>
      <c r="O310" s="199">
        <v>0.2223</v>
      </c>
      <c r="P310" s="261">
        <f>N310*O310</f>
        <v>18.605326030200001</v>
      </c>
      <c r="Q310" s="261">
        <f>N310+P310</f>
        <v>102.30000003020001</v>
      </c>
      <c r="R310" s="198">
        <f>Q310*G310</f>
        <v>38106.750011249504</v>
      </c>
      <c r="S310" s="197" t="s">
        <v>4264</v>
      </c>
      <c r="T310" s="197" t="s">
        <v>4265</v>
      </c>
      <c r="U310" s="197" t="str">
        <f>IF(ABS(Q310-102.3)&lt;=0.01,"FECHA COM PLANILHA","REVISAR")</f>
        <v>FECHA COM PLANILHA</v>
      </c>
      <c r="V310" s="197" t="s">
        <v>4266</v>
      </c>
    </row>
    <row r="311" spans="1:22" s="197" customFormat="1" x14ac:dyDescent="0.2">
      <c r="A311" s="197" t="s">
        <v>4267</v>
      </c>
      <c r="B311" s="197" t="s">
        <v>2189</v>
      </c>
      <c r="C311" s="197" t="s">
        <v>2190</v>
      </c>
      <c r="D311" s="197" t="s">
        <v>56</v>
      </c>
      <c r="E311" s="197" t="s">
        <v>1075</v>
      </c>
      <c r="F311" s="197" t="s">
        <v>26</v>
      </c>
      <c r="G311" s="260">
        <v>1131.723</v>
      </c>
      <c r="H311" s="197">
        <v>1</v>
      </c>
      <c r="I311" s="197" t="s">
        <v>3954</v>
      </c>
      <c r="J311" s="197" t="s">
        <v>4012</v>
      </c>
      <c r="K311" s="197" t="s">
        <v>1283</v>
      </c>
      <c r="L311" s="261">
        <v>0.22</v>
      </c>
      <c r="M311" s="263">
        <v>27.280536999999999</v>
      </c>
      <c r="N311" s="263">
        <f>L311*M311</f>
        <v>6.0017181399999995</v>
      </c>
      <c r="O311" s="199"/>
      <c r="P311" s="261"/>
      <c r="Q311" s="261"/>
      <c r="R311" s="198"/>
      <c r="S311" s="197" t="s">
        <v>4268</v>
      </c>
      <c r="T311" s="197" t="s">
        <v>4269</v>
      </c>
      <c r="U311" s="197" t="s">
        <v>3958</v>
      </c>
      <c r="V311" s="197" t="s">
        <v>3959</v>
      </c>
    </row>
    <row r="312" spans="1:22" s="197" customFormat="1" x14ac:dyDescent="0.2">
      <c r="A312" s="197" t="s">
        <v>4267</v>
      </c>
      <c r="B312" s="197" t="s">
        <v>2189</v>
      </c>
      <c r="C312" s="197" t="s">
        <v>2190</v>
      </c>
      <c r="D312" s="197" t="s">
        <v>56</v>
      </c>
      <c r="E312" s="197" t="s">
        <v>1075</v>
      </c>
      <c r="F312" s="197" t="s">
        <v>26</v>
      </c>
      <c r="G312" s="260">
        <v>1131.723</v>
      </c>
      <c r="H312" s="197">
        <v>2</v>
      </c>
      <c r="I312" s="197" t="s">
        <v>3960</v>
      </c>
      <c r="J312" s="197" t="s">
        <v>4015</v>
      </c>
      <c r="K312" s="197" t="s">
        <v>1283</v>
      </c>
      <c r="L312" s="261">
        <v>0.7</v>
      </c>
      <c r="M312" s="263">
        <v>27.280536999999999</v>
      </c>
      <c r="N312" s="263">
        <f>L312*M312</f>
        <v>19.096375899999998</v>
      </c>
      <c r="O312" s="199"/>
      <c r="P312" s="261"/>
      <c r="Q312" s="261"/>
      <c r="R312" s="198"/>
      <c r="S312" s="197" t="s">
        <v>4268</v>
      </c>
      <c r="T312" s="197" t="s">
        <v>4269</v>
      </c>
      <c r="U312" s="197" t="s">
        <v>3958</v>
      </c>
      <c r="V312" s="197" t="s">
        <v>3959</v>
      </c>
    </row>
    <row r="313" spans="1:22" s="197" customFormat="1" x14ac:dyDescent="0.2">
      <c r="A313" s="197" t="s">
        <v>4267</v>
      </c>
      <c r="B313" s="197" t="s">
        <v>2189</v>
      </c>
      <c r="C313" s="197" t="s">
        <v>2190</v>
      </c>
      <c r="D313" s="197" t="s">
        <v>56</v>
      </c>
      <c r="E313" s="197" t="s">
        <v>1075</v>
      </c>
      <c r="F313" s="197" t="s">
        <v>26</v>
      </c>
      <c r="G313" s="260">
        <v>1131.723</v>
      </c>
      <c r="H313" s="197">
        <v>3</v>
      </c>
      <c r="I313" s="197" t="s">
        <v>3976</v>
      </c>
      <c r="J313" s="197" t="s">
        <v>4016</v>
      </c>
      <c r="K313" s="197" t="s">
        <v>1283</v>
      </c>
      <c r="L313" s="261">
        <v>0.05</v>
      </c>
      <c r="M313" s="263">
        <v>27.280536999999999</v>
      </c>
      <c r="N313" s="263">
        <f>L313*M313</f>
        <v>1.3640268500000001</v>
      </c>
      <c r="O313" s="199"/>
      <c r="P313" s="261"/>
      <c r="Q313" s="261"/>
      <c r="R313" s="198"/>
      <c r="S313" s="197" t="s">
        <v>4268</v>
      </c>
      <c r="T313" s="197" t="s">
        <v>4269</v>
      </c>
      <c r="U313" s="197" t="s">
        <v>3958</v>
      </c>
      <c r="V313" s="197" t="s">
        <v>3959</v>
      </c>
    </row>
    <row r="314" spans="1:22" s="197" customFormat="1" x14ac:dyDescent="0.2">
      <c r="A314" s="197" t="s">
        <v>4267</v>
      </c>
      <c r="B314" s="197" t="s">
        <v>2189</v>
      </c>
      <c r="C314" s="197" t="s">
        <v>2190</v>
      </c>
      <c r="D314" s="197" t="s">
        <v>56</v>
      </c>
      <c r="E314" s="197" t="s">
        <v>1075</v>
      </c>
      <c r="F314" s="197" t="s">
        <v>26</v>
      </c>
      <c r="G314" s="260">
        <v>1131.723</v>
      </c>
      <c r="H314" s="197">
        <v>4</v>
      </c>
      <c r="I314" s="197" t="s">
        <v>4017</v>
      </c>
      <c r="J314" s="197" t="s">
        <v>4018</v>
      </c>
      <c r="K314" s="197" t="s">
        <v>1283</v>
      </c>
      <c r="L314" s="261">
        <v>0.03</v>
      </c>
      <c r="M314" s="263">
        <v>27.280536999999999</v>
      </c>
      <c r="N314" s="263">
        <f>L314*M314</f>
        <v>0.81841610999999992</v>
      </c>
      <c r="O314" s="199"/>
      <c r="P314" s="261"/>
      <c r="Q314" s="261"/>
      <c r="R314" s="198"/>
      <c r="S314" s="197" t="s">
        <v>4268</v>
      </c>
      <c r="T314" s="197" t="s">
        <v>4269</v>
      </c>
      <c r="U314" s="197" t="s">
        <v>3958</v>
      </c>
      <c r="V314" s="197" t="s">
        <v>3959</v>
      </c>
    </row>
    <row r="315" spans="1:22" s="197" customFormat="1" x14ac:dyDescent="0.2">
      <c r="A315" s="197" t="s">
        <v>4267</v>
      </c>
      <c r="B315" s="197" t="s">
        <v>2189</v>
      </c>
      <c r="C315" s="197" t="s">
        <v>2190</v>
      </c>
      <c r="D315" s="197" t="s">
        <v>56</v>
      </c>
      <c r="E315" s="197" t="s">
        <v>1075</v>
      </c>
      <c r="F315" s="197" t="s">
        <v>26</v>
      </c>
      <c r="G315" s="260">
        <v>1131.723</v>
      </c>
      <c r="H315" s="197">
        <v>5</v>
      </c>
      <c r="I315" s="197" t="s">
        <v>3968</v>
      </c>
      <c r="J315" s="197" t="s">
        <v>3969</v>
      </c>
      <c r="K315" s="197" t="s">
        <v>26</v>
      </c>
      <c r="L315" s="261">
        <v>1</v>
      </c>
      <c r="M315" s="263"/>
      <c r="N315" s="263">
        <f>SUM(N311:N314)</f>
        <v>27.280537000000002</v>
      </c>
      <c r="O315" s="199">
        <v>0.2223</v>
      </c>
      <c r="P315" s="261">
        <f>N315*O315</f>
        <v>6.0644633751000008</v>
      </c>
      <c r="Q315" s="261">
        <f>N315+P315</f>
        <v>33.3450003751</v>
      </c>
      <c r="R315" s="198">
        <f>Q315*G315</f>
        <v>37737.303859509295</v>
      </c>
      <c r="S315" s="197" t="s">
        <v>4268</v>
      </c>
      <c r="T315" s="197" t="s">
        <v>4269</v>
      </c>
      <c r="U315" s="197" t="str">
        <f>IF(ABS(Q315-33.345)&lt;=0.01,"FECHA COM PLANILHA","REVISAR")</f>
        <v>FECHA COM PLANILHA</v>
      </c>
      <c r="V315" s="197" t="s">
        <v>4270</v>
      </c>
    </row>
    <row r="316" spans="1:22" s="197" customFormat="1" x14ac:dyDescent="0.2">
      <c r="A316" s="197" t="s">
        <v>4271</v>
      </c>
      <c r="B316" s="197" t="s">
        <v>1392</v>
      </c>
      <c r="C316" s="197" t="s">
        <v>1393</v>
      </c>
      <c r="D316" s="197" t="s">
        <v>24</v>
      </c>
      <c r="E316" s="197" t="s">
        <v>194</v>
      </c>
      <c r="F316" s="197" t="s">
        <v>180</v>
      </c>
      <c r="G316" s="260">
        <v>1270.74</v>
      </c>
      <c r="H316" s="197">
        <v>1</v>
      </c>
      <c r="I316" s="197" t="s">
        <v>3954</v>
      </c>
      <c r="J316" s="197" t="s">
        <v>3982</v>
      </c>
      <c r="K316" s="197" t="s">
        <v>1283</v>
      </c>
      <c r="L316" s="261">
        <v>0.16</v>
      </c>
      <c r="M316" s="263">
        <v>23.126483</v>
      </c>
      <c r="N316" s="263">
        <f>L316*M316</f>
        <v>3.7002372800000001</v>
      </c>
      <c r="O316" s="199"/>
      <c r="P316" s="261"/>
      <c r="Q316" s="261"/>
      <c r="R316" s="198"/>
      <c r="S316" s="197" t="s">
        <v>4272</v>
      </c>
      <c r="T316" s="197" t="s">
        <v>4273</v>
      </c>
      <c r="U316" s="197" t="s">
        <v>3958</v>
      </c>
      <c r="V316" s="197" t="s">
        <v>3959</v>
      </c>
    </row>
    <row r="317" spans="1:22" s="197" customFormat="1" x14ac:dyDescent="0.2">
      <c r="A317" s="197" t="s">
        <v>4271</v>
      </c>
      <c r="B317" s="197" t="s">
        <v>1392</v>
      </c>
      <c r="C317" s="197" t="s">
        <v>1393</v>
      </c>
      <c r="D317" s="197" t="s">
        <v>24</v>
      </c>
      <c r="E317" s="197" t="s">
        <v>194</v>
      </c>
      <c r="F317" s="197" t="s">
        <v>180</v>
      </c>
      <c r="G317" s="260">
        <v>1270.74</v>
      </c>
      <c r="H317" s="197">
        <v>2</v>
      </c>
      <c r="I317" s="197" t="s">
        <v>3960</v>
      </c>
      <c r="J317" s="197" t="s">
        <v>3985</v>
      </c>
      <c r="K317" s="197" t="s">
        <v>1283</v>
      </c>
      <c r="L317" s="261">
        <v>0.64</v>
      </c>
      <c r="M317" s="263">
        <v>23.126483</v>
      </c>
      <c r="N317" s="263">
        <f>L317*M317</f>
        <v>14.80094912</v>
      </c>
      <c r="O317" s="199"/>
      <c r="P317" s="261"/>
      <c r="Q317" s="261"/>
      <c r="R317" s="198"/>
      <c r="S317" s="197" t="s">
        <v>4272</v>
      </c>
      <c r="T317" s="197" t="s">
        <v>4273</v>
      </c>
      <c r="U317" s="197" t="s">
        <v>3958</v>
      </c>
      <c r="V317" s="197" t="s">
        <v>3959</v>
      </c>
    </row>
    <row r="318" spans="1:22" s="197" customFormat="1" x14ac:dyDescent="0.2">
      <c r="A318" s="197" t="s">
        <v>4271</v>
      </c>
      <c r="B318" s="197" t="s">
        <v>1392</v>
      </c>
      <c r="C318" s="197" t="s">
        <v>1393</v>
      </c>
      <c r="D318" s="197" t="s">
        <v>24</v>
      </c>
      <c r="E318" s="197" t="s">
        <v>194</v>
      </c>
      <c r="F318" s="197" t="s">
        <v>180</v>
      </c>
      <c r="G318" s="260">
        <v>1270.74</v>
      </c>
      <c r="H318" s="197">
        <v>3</v>
      </c>
      <c r="I318" s="197" t="s">
        <v>3962</v>
      </c>
      <c r="J318" s="197" t="s">
        <v>3986</v>
      </c>
      <c r="K318" s="197" t="s">
        <v>1283</v>
      </c>
      <c r="L318" s="261">
        <v>0.15</v>
      </c>
      <c r="M318" s="263">
        <v>23.126483</v>
      </c>
      <c r="N318" s="263">
        <f>L318*M318</f>
        <v>3.4689724499999999</v>
      </c>
      <c r="O318" s="199"/>
      <c r="P318" s="261"/>
      <c r="Q318" s="261"/>
      <c r="R318" s="198"/>
      <c r="S318" s="197" t="s">
        <v>4272</v>
      </c>
      <c r="T318" s="197" t="s">
        <v>4273</v>
      </c>
      <c r="U318" s="197" t="s">
        <v>3958</v>
      </c>
      <c r="V318" s="197" t="s">
        <v>3959</v>
      </c>
    </row>
    <row r="319" spans="1:22" s="197" customFormat="1" x14ac:dyDescent="0.2">
      <c r="A319" s="197" t="s">
        <v>4271</v>
      </c>
      <c r="B319" s="197" t="s">
        <v>1392</v>
      </c>
      <c r="C319" s="197" t="s">
        <v>1393</v>
      </c>
      <c r="D319" s="197" t="s">
        <v>24</v>
      </c>
      <c r="E319" s="197" t="s">
        <v>194</v>
      </c>
      <c r="F319" s="197" t="s">
        <v>180</v>
      </c>
      <c r="G319" s="260">
        <v>1270.74</v>
      </c>
      <c r="H319" s="197">
        <v>4</v>
      </c>
      <c r="I319" s="197" t="s">
        <v>3987</v>
      </c>
      <c r="J319" s="197" t="s">
        <v>3988</v>
      </c>
      <c r="K319" s="197" t="s">
        <v>1283</v>
      </c>
      <c r="L319" s="261">
        <v>0.05</v>
      </c>
      <c r="M319" s="263">
        <v>23.126483</v>
      </c>
      <c r="N319" s="263">
        <f>L319*M319</f>
        <v>1.1563241500000001</v>
      </c>
      <c r="O319" s="199"/>
      <c r="P319" s="261"/>
      <c r="Q319" s="261"/>
      <c r="R319" s="198"/>
      <c r="S319" s="197" t="s">
        <v>4272</v>
      </c>
      <c r="T319" s="197" t="s">
        <v>4273</v>
      </c>
      <c r="U319" s="197" t="s">
        <v>3958</v>
      </c>
      <c r="V319" s="197" t="s">
        <v>3959</v>
      </c>
    </row>
    <row r="320" spans="1:22" s="197" customFormat="1" x14ac:dyDescent="0.2">
      <c r="A320" s="197" t="s">
        <v>4271</v>
      </c>
      <c r="B320" s="197" t="s">
        <v>1392</v>
      </c>
      <c r="C320" s="197" t="s">
        <v>1393</v>
      </c>
      <c r="D320" s="197" t="s">
        <v>24</v>
      </c>
      <c r="E320" s="197" t="s">
        <v>194</v>
      </c>
      <c r="F320" s="197" t="s">
        <v>180</v>
      </c>
      <c r="G320" s="260">
        <v>1270.74</v>
      </c>
      <c r="H320" s="197">
        <v>5</v>
      </c>
      <c r="I320" s="197" t="s">
        <v>3968</v>
      </c>
      <c r="J320" s="197" t="s">
        <v>3969</v>
      </c>
      <c r="K320" s="197" t="s">
        <v>180</v>
      </c>
      <c r="L320" s="261">
        <v>1</v>
      </c>
      <c r="M320" s="263"/>
      <c r="N320" s="263">
        <f>SUM(N316:N319)</f>
        <v>23.126483</v>
      </c>
      <c r="O320" s="199">
        <v>0.2223</v>
      </c>
      <c r="P320" s="261">
        <f>N320*O320</f>
        <v>5.1410171708999997</v>
      </c>
      <c r="Q320" s="261">
        <f>N320+P320</f>
        <v>28.2675001709</v>
      </c>
      <c r="R320" s="198">
        <f>Q320*G320</f>
        <v>35920.643167169466</v>
      </c>
      <c r="S320" s="197" t="s">
        <v>4272</v>
      </c>
      <c r="T320" s="197" t="s">
        <v>4273</v>
      </c>
      <c r="U320" s="197" t="str">
        <f>IF(ABS(Q320-28.2675)&lt;=0.01,"FECHA COM PLANILHA","REVISAR")</f>
        <v>FECHA COM PLANILHA</v>
      </c>
      <c r="V320" s="197" t="s">
        <v>4274</v>
      </c>
    </row>
    <row r="321" spans="1:22" s="197" customFormat="1" x14ac:dyDescent="0.2">
      <c r="A321" s="197" t="s">
        <v>4275</v>
      </c>
      <c r="B321" s="197" t="s">
        <v>337</v>
      </c>
      <c r="C321" s="197" t="s">
        <v>1460</v>
      </c>
      <c r="D321" s="197" t="s">
        <v>56</v>
      </c>
      <c r="E321" s="197" t="s">
        <v>338</v>
      </c>
      <c r="F321" s="197" t="s">
        <v>26</v>
      </c>
      <c r="G321" s="260">
        <v>1233.3820000000001</v>
      </c>
      <c r="H321" s="197">
        <v>1</v>
      </c>
      <c r="I321" s="197" t="s">
        <v>3954</v>
      </c>
      <c r="J321" s="197" t="s">
        <v>4122</v>
      </c>
      <c r="K321" s="197" t="s">
        <v>1283</v>
      </c>
      <c r="L321" s="261">
        <v>0.5</v>
      </c>
      <c r="M321" s="263">
        <v>23.562137</v>
      </c>
      <c r="N321" s="263">
        <f>L321*M321</f>
        <v>11.7810685</v>
      </c>
      <c r="O321" s="199"/>
      <c r="P321" s="261"/>
      <c r="Q321" s="261"/>
      <c r="R321" s="198"/>
      <c r="S321" s="197" t="s">
        <v>4276</v>
      </c>
      <c r="T321" s="197" t="s">
        <v>4277</v>
      </c>
      <c r="U321" s="197" t="s">
        <v>3958</v>
      </c>
      <c r="V321" s="197" t="s">
        <v>3959</v>
      </c>
    </row>
    <row r="322" spans="1:22" s="197" customFormat="1" x14ac:dyDescent="0.2">
      <c r="A322" s="197" t="s">
        <v>4275</v>
      </c>
      <c r="B322" s="197" t="s">
        <v>337</v>
      </c>
      <c r="C322" s="197" t="s">
        <v>1460</v>
      </c>
      <c r="D322" s="197" t="s">
        <v>56</v>
      </c>
      <c r="E322" s="197" t="s">
        <v>338</v>
      </c>
      <c r="F322" s="197" t="s">
        <v>26</v>
      </c>
      <c r="G322" s="260">
        <v>1233.3820000000001</v>
      </c>
      <c r="H322" s="197">
        <v>2</v>
      </c>
      <c r="I322" s="197" t="s">
        <v>3960</v>
      </c>
      <c r="J322" s="197" t="s">
        <v>4125</v>
      </c>
      <c r="K322" s="197" t="s">
        <v>1283</v>
      </c>
      <c r="L322" s="261">
        <v>0.43</v>
      </c>
      <c r="M322" s="263">
        <v>23.562137</v>
      </c>
      <c r="N322" s="263">
        <f>L322*M322</f>
        <v>10.13171891</v>
      </c>
      <c r="O322" s="199"/>
      <c r="P322" s="261"/>
      <c r="Q322" s="261"/>
      <c r="R322" s="198"/>
      <c r="S322" s="197" t="s">
        <v>4276</v>
      </c>
      <c r="T322" s="197" t="s">
        <v>4277</v>
      </c>
      <c r="U322" s="197" t="s">
        <v>3958</v>
      </c>
      <c r="V322" s="197" t="s">
        <v>3959</v>
      </c>
    </row>
    <row r="323" spans="1:22" s="197" customFormat="1" x14ac:dyDescent="0.2">
      <c r="A323" s="197" t="s">
        <v>4275</v>
      </c>
      <c r="B323" s="197" t="s">
        <v>337</v>
      </c>
      <c r="C323" s="197" t="s">
        <v>1460</v>
      </c>
      <c r="D323" s="197" t="s">
        <v>56</v>
      </c>
      <c r="E323" s="197" t="s">
        <v>338</v>
      </c>
      <c r="F323" s="197" t="s">
        <v>26</v>
      </c>
      <c r="G323" s="260">
        <v>1233.3820000000001</v>
      </c>
      <c r="H323" s="197">
        <v>3</v>
      </c>
      <c r="I323" s="197" t="s">
        <v>4126</v>
      </c>
      <c r="J323" s="197" t="s">
        <v>4127</v>
      </c>
      <c r="K323" s="197" t="s">
        <v>1283</v>
      </c>
      <c r="L323" s="261">
        <v>7.0000000000000007E-2</v>
      </c>
      <c r="M323" s="263">
        <v>23.562137</v>
      </c>
      <c r="N323" s="263">
        <f>L323*M323</f>
        <v>1.6493495900000001</v>
      </c>
      <c r="O323" s="199"/>
      <c r="P323" s="261"/>
      <c r="Q323" s="261"/>
      <c r="R323" s="198"/>
      <c r="S323" s="197" t="s">
        <v>4276</v>
      </c>
      <c r="T323" s="197" t="s">
        <v>4277</v>
      </c>
      <c r="U323" s="197" t="s">
        <v>3958</v>
      </c>
      <c r="V323" s="197" t="s">
        <v>3959</v>
      </c>
    </row>
    <row r="324" spans="1:22" s="197" customFormat="1" x14ac:dyDescent="0.2">
      <c r="A324" s="197" t="s">
        <v>4275</v>
      </c>
      <c r="B324" s="197" t="s">
        <v>337</v>
      </c>
      <c r="C324" s="197" t="s">
        <v>1460</v>
      </c>
      <c r="D324" s="197" t="s">
        <v>56</v>
      </c>
      <c r="E324" s="197" t="s">
        <v>338</v>
      </c>
      <c r="F324" s="197" t="s">
        <v>26</v>
      </c>
      <c r="G324" s="260">
        <v>1233.3820000000001</v>
      </c>
      <c r="H324" s="197">
        <v>4</v>
      </c>
      <c r="I324" s="197" t="s">
        <v>3968</v>
      </c>
      <c r="J324" s="197" t="s">
        <v>3969</v>
      </c>
      <c r="K324" s="197" t="s">
        <v>26</v>
      </c>
      <c r="L324" s="261">
        <v>1</v>
      </c>
      <c r="M324" s="263"/>
      <c r="N324" s="263">
        <f>SUM(N321:N323)</f>
        <v>23.562137</v>
      </c>
      <c r="O324" s="199">
        <v>0.2223</v>
      </c>
      <c r="P324" s="261">
        <f>N324*O324</f>
        <v>5.2378630551000001</v>
      </c>
      <c r="Q324" s="261">
        <f>N324+P324</f>
        <v>28.8000000551</v>
      </c>
      <c r="R324" s="198">
        <f>Q324*G324</f>
        <v>35521.401667959348</v>
      </c>
      <c r="S324" s="197" t="s">
        <v>4276</v>
      </c>
      <c r="T324" s="197" t="s">
        <v>4277</v>
      </c>
      <c r="U324" s="197" t="str">
        <f>IF(ABS(Q324-28.8)&lt;=0.01,"FECHA COM PLANILHA","REVISAR")</f>
        <v>FECHA COM PLANILHA</v>
      </c>
      <c r="V324" s="197" t="s">
        <v>4278</v>
      </c>
    </row>
    <row r="325" spans="1:22" s="197" customFormat="1" x14ac:dyDescent="0.2">
      <c r="A325" s="197" t="s">
        <v>4279</v>
      </c>
      <c r="B325" s="197" t="s">
        <v>326</v>
      </c>
      <c r="C325" s="197" t="s">
        <v>1454</v>
      </c>
      <c r="D325" s="197" t="s">
        <v>56</v>
      </c>
      <c r="E325" s="197" t="s">
        <v>1455</v>
      </c>
      <c r="F325" s="197" t="s">
        <v>26</v>
      </c>
      <c r="G325" s="260">
        <v>3488.8989999999999</v>
      </c>
      <c r="H325" s="197">
        <v>1</v>
      </c>
      <c r="I325" s="197" t="s">
        <v>3954</v>
      </c>
      <c r="J325" s="197" t="s">
        <v>3982</v>
      </c>
      <c r="K325" s="197" t="s">
        <v>1283</v>
      </c>
      <c r="L325" s="261">
        <v>0.16</v>
      </c>
      <c r="M325" s="263">
        <v>8.1731160000000003</v>
      </c>
      <c r="N325" s="263">
        <f>L325*M325</f>
        <v>1.3076985600000002</v>
      </c>
      <c r="O325" s="199"/>
      <c r="P325" s="261"/>
      <c r="Q325" s="261"/>
      <c r="R325" s="198"/>
      <c r="S325" s="197" t="s">
        <v>4280</v>
      </c>
      <c r="T325" s="197" t="s">
        <v>4281</v>
      </c>
      <c r="U325" s="197" t="s">
        <v>3958</v>
      </c>
      <c r="V325" s="197" t="s">
        <v>3959</v>
      </c>
    </row>
    <row r="326" spans="1:22" s="197" customFormat="1" x14ac:dyDescent="0.2">
      <c r="A326" s="197" t="s">
        <v>4279</v>
      </c>
      <c r="B326" s="197" t="s">
        <v>326</v>
      </c>
      <c r="C326" s="197" t="s">
        <v>1454</v>
      </c>
      <c r="D326" s="197" t="s">
        <v>56</v>
      </c>
      <c r="E326" s="197" t="s">
        <v>1455</v>
      </c>
      <c r="F326" s="197" t="s">
        <v>26</v>
      </c>
      <c r="G326" s="260">
        <v>3488.8989999999999</v>
      </c>
      <c r="H326" s="197">
        <v>2</v>
      </c>
      <c r="I326" s="197" t="s">
        <v>3960</v>
      </c>
      <c r="J326" s="197" t="s">
        <v>3985</v>
      </c>
      <c r="K326" s="197" t="s">
        <v>1283</v>
      </c>
      <c r="L326" s="261">
        <v>0.64</v>
      </c>
      <c r="M326" s="263">
        <v>8.1731160000000003</v>
      </c>
      <c r="N326" s="263">
        <f>L326*M326</f>
        <v>5.2307942400000007</v>
      </c>
      <c r="O326" s="199"/>
      <c r="P326" s="261"/>
      <c r="Q326" s="261"/>
      <c r="R326" s="198"/>
      <c r="S326" s="197" t="s">
        <v>4280</v>
      </c>
      <c r="T326" s="197" t="s">
        <v>4281</v>
      </c>
      <c r="U326" s="197" t="s">
        <v>3958</v>
      </c>
      <c r="V326" s="197" t="s">
        <v>3959</v>
      </c>
    </row>
    <row r="327" spans="1:22" s="197" customFormat="1" x14ac:dyDescent="0.2">
      <c r="A327" s="197" t="s">
        <v>4279</v>
      </c>
      <c r="B327" s="197" t="s">
        <v>326</v>
      </c>
      <c r="C327" s="197" t="s">
        <v>1454</v>
      </c>
      <c r="D327" s="197" t="s">
        <v>56</v>
      </c>
      <c r="E327" s="197" t="s">
        <v>1455</v>
      </c>
      <c r="F327" s="197" t="s">
        <v>26</v>
      </c>
      <c r="G327" s="260">
        <v>3488.8989999999999</v>
      </c>
      <c r="H327" s="197">
        <v>3</v>
      </c>
      <c r="I327" s="197" t="s">
        <v>3962</v>
      </c>
      <c r="J327" s="197" t="s">
        <v>3986</v>
      </c>
      <c r="K327" s="197" t="s">
        <v>1283</v>
      </c>
      <c r="L327" s="261">
        <v>0.15</v>
      </c>
      <c r="M327" s="263">
        <v>8.1731160000000003</v>
      </c>
      <c r="N327" s="263">
        <f>L327*M327</f>
        <v>1.2259674</v>
      </c>
      <c r="O327" s="199"/>
      <c r="P327" s="261"/>
      <c r="Q327" s="261"/>
      <c r="R327" s="198"/>
      <c r="S327" s="197" t="s">
        <v>4280</v>
      </c>
      <c r="T327" s="197" t="s">
        <v>4281</v>
      </c>
      <c r="U327" s="197" t="s">
        <v>3958</v>
      </c>
      <c r="V327" s="197" t="s">
        <v>3959</v>
      </c>
    </row>
    <row r="328" spans="1:22" s="197" customFormat="1" x14ac:dyDescent="0.2">
      <c r="A328" s="197" t="s">
        <v>4279</v>
      </c>
      <c r="B328" s="197" t="s">
        <v>326</v>
      </c>
      <c r="C328" s="197" t="s">
        <v>1454</v>
      </c>
      <c r="D328" s="197" t="s">
        <v>56</v>
      </c>
      <c r="E328" s="197" t="s">
        <v>1455</v>
      </c>
      <c r="F328" s="197" t="s">
        <v>26</v>
      </c>
      <c r="G328" s="260">
        <v>3488.8989999999999</v>
      </c>
      <c r="H328" s="197">
        <v>4</v>
      </c>
      <c r="I328" s="197" t="s">
        <v>3987</v>
      </c>
      <c r="J328" s="197" t="s">
        <v>3988</v>
      </c>
      <c r="K328" s="197" t="s">
        <v>1283</v>
      </c>
      <c r="L328" s="261">
        <v>0.05</v>
      </c>
      <c r="M328" s="263">
        <v>8.1731160000000003</v>
      </c>
      <c r="N328" s="263">
        <f>L328*M328</f>
        <v>0.40865580000000001</v>
      </c>
      <c r="O328" s="199"/>
      <c r="P328" s="261"/>
      <c r="Q328" s="261"/>
      <c r="R328" s="198"/>
      <c r="S328" s="197" t="s">
        <v>4280</v>
      </c>
      <c r="T328" s="197" t="s">
        <v>4281</v>
      </c>
      <c r="U328" s="197" t="s">
        <v>3958</v>
      </c>
      <c r="V328" s="197" t="s">
        <v>3959</v>
      </c>
    </row>
    <row r="329" spans="1:22" s="197" customFormat="1" x14ac:dyDescent="0.2">
      <c r="A329" s="197" t="s">
        <v>4279</v>
      </c>
      <c r="B329" s="197" t="s">
        <v>326</v>
      </c>
      <c r="C329" s="197" t="s">
        <v>1454</v>
      </c>
      <c r="D329" s="197" t="s">
        <v>56</v>
      </c>
      <c r="E329" s="197" t="s">
        <v>1455</v>
      </c>
      <c r="F329" s="197" t="s">
        <v>26</v>
      </c>
      <c r="G329" s="260">
        <v>3488.8989999999999</v>
      </c>
      <c r="H329" s="197">
        <v>5</v>
      </c>
      <c r="I329" s="197" t="s">
        <v>3968</v>
      </c>
      <c r="J329" s="197" t="s">
        <v>3969</v>
      </c>
      <c r="K329" s="197" t="s">
        <v>26</v>
      </c>
      <c r="L329" s="261">
        <v>1</v>
      </c>
      <c r="M329" s="263"/>
      <c r="N329" s="263">
        <f>SUM(N325:N328)</f>
        <v>8.1731160000000003</v>
      </c>
      <c r="O329" s="199">
        <v>0.2223</v>
      </c>
      <c r="P329" s="261">
        <f>N329*O329</f>
        <v>1.8168836868</v>
      </c>
      <c r="Q329" s="261">
        <f>N329+P329</f>
        <v>9.9899996868000009</v>
      </c>
      <c r="R329" s="198">
        <f>Q329*G329</f>
        <v>34854.099917276835</v>
      </c>
      <c r="S329" s="197" t="s">
        <v>4280</v>
      </c>
      <c r="T329" s="197" t="s">
        <v>4281</v>
      </c>
      <c r="U329" s="197" t="str">
        <f>IF(ABS(Q329-9.99)&lt;=0.01,"FECHA COM PLANILHA","REVISAR")</f>
        <v>FECHA COM PLANILHA</v>
      </c>
      <c r="V329" s="197" t="s">
        <v>4282</v>
      </c>
    </row>
    <row r="330" spans="1:22" s="197" customFormat="1" x14ac:dyDescent="0.2">
      <c r="A330" s="197" t="s">
        <v>4283</v>
      </c>
      <c r="B330" s="197" t="s">
        <v>2187</v>
      </c>
      <c r="C330" s="197" t="s">
        <v>2188</v>
      </c>
      <c r="D330" s="197" t="s">
        <v>56</v>
      </c>
      <c r="E330" s="197" t="s">
        <v>1074</v>
      </c>
      <c r="F330" s="197" t="s">
        <v>26</v>
      </c>
      <c r="G330" s="260">
        <v>1131.723</v>
      </c>
      <c r="H330" s="197">
        <v>1</v>
      </c>
      <c r="I330" s="197" t="s">
        <v>3954</v>
      </c>
      <c r="J330" s="197" t="s">
        <v>4012</v>
      </c>
      <c r="K330" s="197" t="s">
        <v>1283</v>
      </c>
      <c r="L330" s="261">
        <v>0.22</v>
      </c>
      <c r="M330" s="263">
        <v>25.102266</v>
      </c>
      <c r="N330" s="263">
        <f>L330*M330</f>
        <v>5.5224985200000001</v>
      </c>
      <c r="O330" s="199"/>
      <c r="P330" s="261"/>
      <c r="Q330" s="261"/>
      <c r="R330" s="198"/>
      <c r="S330" s="197" t="s">
        <v>4284</v>
      </c>
      <c r="T330" s="197" t="s">
        <v>4285</v>
      </c>
      <c r="U330" s="197" t="s">
        <v>3958</v>
      </c>
      <c r="V330" s="197" t="s">
        <v>3959</v>
      </c>
    </row>
    <row r="331" spans="1:22" s="197" customFormat="1" x14ac:dyDescent="0.2">
      <c r="A331" s="197" t="s">
        <v>4283</v>
      </c>
      <c r="B331" s="197" t="s">
        <v>2187</v>
      </c>
      <c r="C331" s="197" t="s">
        <v>2188</v>
      </c>
      <c r="D331" s="197" t="s">
        <v>56</v>
      </c>
      <c r="E331" s="197" t="s">
        <v>1074</v>
      </c>
      <c r="F331" s="197" t="s">
        <v>26</v>
      </c>
      <c r="G331" s="260">
        <v>1131.723</v>
      </c>
      <c r="H331" s="197">
        <v>2</v>
      </c>
      <c r="I331" s="197" t="s">
        <v>3960</v>
      </c>
      <c r="J331" s="197" t="s">
        <v>4015</v>
      </c>
      <c r="K331" s="197" t="s">
        <v>1283</v>
      </c>
      <c r="L331" s="261">
        <v>0.7</v>
      </c>
      <c r="M331" s="263">
        <v>25.102266</v>
      </c>
      <c r="N331" s="263">
        <f>L331*M331</f>
        <v>17.571586199999999</v>
      </c>
      <c r="O331" s="199"/>
      <c r="P331" s="261"/>
      <c r="Q331" s="261"/>
      <c r="R331" s="198"/>
      <c r="S331" s="197" t="s">
        <v>4284</v>
      </c>
      <c r="T331" s="197" t="s">
        <v>4285</v>
      </c>
      <c r="U331" s="197" t="s">
        <v>3958</v>
      </c>
      <c r="V331" s="197" t="s">
        <v>3959</v>
      </c>
    </row>
    <row r="332" spans="1:22" s="197" customFormat="1" x14ac:dyDescent="0.2">
      <c r="A332" s="197" t="s">
        <v>4283</v>
      </c>
      <c r="B332" s="197" t="s">
        <v>2187</v>
      </c>
      <c r="C332" s="197" t="s">
        <v>2188</v>
      </c>
      <c r="D332" s="197" t="s">
        <v>56</v>
      </c>
      <c r="E332" s="197" t="s">
        <v>1074</v>
      </c>
      <c r="F332" s="197" t="s">
        <v>26</v>
      </c>
      <c r="G332" s="260">
        <v>1131.723</v>
      </c>
      <c r="H332" s="197">
        <v>3</v>
      </c>
      <c r="I332" s="197" t="s">
        <v>3976</v>
      </c>
      <c r="J332" s="197" t="s">
        <v>4016</v>
      </c>
      <c r="K332" s="197" t="s">
        <v>1283</v>
      </c>
      <c r="L332" s="261">
        <v>0.05</v>
      </c>
      <c r="M332" s="263">
        <v>25.102266</v>
      </c>
      <c r="N332" s="263">
        <f>L332*M332</f>
        <v>1.2551133000000001</v>
      </c>
      <c r="O332" s="199"/>
      <c r="P332" s="261"/>
      <c r="Q332" s="261"/>
      <c r="R332" s="198"/>
      <c r="S332" s="197" t="s">
        <v>4284</v>
      </c>
      <c r="T332" s="197" t="s">
        <v>4285</v>
      </c>
      <c r="U332" s="197" t="s">
        <v>3958</v>
      </c>
      <c r="V332" s="197" t="s">
        <v>3959</v>
      </c>
    </row>
    <row r="333" spans="1:22" s="197" customFormat="1" x14ac:dyDescent="0.2">
      <c r="A333" s="197" t="s">
        <v>4283</v>
      </c>
      <c r="B333" s="197" t="s">
        <v>2187</v>
      </c>
      <c r="C333" s="197" t="s">
        <v>2188</v>
      </c>
      <c r="D333" s="197" t="s">
        <v>56</v>
      </c>
      <c r="E333" s="197" t="s">
        <v>1074</v>
      </c>
      <c r="F333" s="197" t="s">
        <v>26</v>
      </c>
      <c r="G333" s="260">
        <v>1131.723</v>
      </c>
      <c r="H333" s="197">
        <v>4</v>
      </c>
      <c r="I333" s="197" t="s">
        <v>4017</v>
      </c>
      <c r="J333" s="197" t="s">
        <v>4018</v>
      </c>
      <c r="K333" s="197" t="s">
        <v>1283</v>
      </c>
      <c r="L333" s="261">
        <v>0.03</v>
      </c>
      <c r="M333" s="263">
        <v>25.102266</v>
      </c>
      <c r="N333" s="263">
        <f>L333*M333</f>
        <v>0.75306797999999997</v>
      </c>
      <c r="O333" s="199"/>
      <c r="P333" s="261"/>
      <c r="Q333" s="261"/>
      <c r="R333" s="198"/>
      <c r="S333" s="197" t="s">
        <v>4284</v>
      </c>
      <c r="T333" s="197" t="s">
        <v>4285</v>
      </c>
      <c r="U333" s="197" t="s">
        <v>3958</v>
      </c>
      <c r="V333" s="197" t="s">
        <v>3959</v>
      </c>
    </row>
    <row r="334" spans="1:22" s="197" customFormat="1" x14ac:dyDescent="0.2">
      <c r="A334" s="197" t="s">
        <v>4283</v>
      </c>
      <c r="B334" s="197" t="s">
        <v>2187</v>
      </c>
      <c r="C334" s="197" t="s">
        <v>2188</v>
      </c>
      <c r="D334" s="197" t="s">
        <v>56</v>
      </c>
      <c r="E334" s="197" t="s">
        <v>1074</v>
      </c>
      <c r="F334" s="197" t="s">
        <v>26</v>
      </c>
      <c r="G334" s="260">
        <v>1131.723</v>
      </c>
      <c r="H334" s="197">
        <v>5</v>
      </c>
      <c r="I334" s="197" t="s">
        <v>3968</v>
      </c>
      <c r="J334" s="197" t="s">
        <v>3969</v>
      </c>
      <c r="K334" s="197" t="s">
        <v>26</v>
      </c>
      <c r="L334" s="261">
        <v>1</v>
      </c>
      <c r="M334" s="263"/>
      <c r="N334" s="263">
        <f>SUM(N330:N333)</f>
        <v>25.102266</v>
      </c>
      <c r="O334" s="199">
        <v>0.2223</v>
      </c>
      <c r="P334" s="261">
        <f>N334*O334</f>
        <v>5.5802337317999999</v>
      </c>
      <c r="Q334" s="261">
        <f>N334+P334</f>
        <v>30.6824997318</v>
      </c>
      <c r="R334" s="198">
        <f>Q334*G334</f>
        <v>34724.090643971889</v>
      </c>
      <c r="S334" s="197" t="s">
        <v>4284</v>
      </c>
      <c r="T334" s="197" t="s">
        <v>4285</v>
      </c>
      <c r="U334" s="197" t="str">
        <f>IF(ABS(Q334-30.6825)&lt;=0.01,"FECHA COM PLANILHA","REVISAR")</f>
        <v>FECHA COM PLANILHA</v>
      </c>
      <c r="V334" s="197" t="s">
        <v>4286</v>
      </c>
    </row>
    <row r="335" spans="1:22" s="197" customFormat="1" x14ac:dyDescent="0.2">
      <c r="A335" s="197" t="s">
        <v>4287</v>
      </c>
      <c r="B335" s="197" t="s">
        <v>225</v>
      </c>
      <c r="C335" s="197" t="s">
        <v>1397</v>
      </c>
      <c r="D335" s="197" t="s">
        <v>56</v>
      </c>
      <c r="E335" s="197" t="s">
        <v>204</v>
      </c>
      <c r="F335" s="197" t="s">
        <v>180</v>
      </c>
      <c r="G335" s="260">
        <v>3357.0189999999998</v>
      </c>
      <c r="H335" s="197">
        <v>1</v>
      </c>
      <c r="I335" s="197" t="s">
        <v>3954</v>
      </c>
      <c r="J335" s="197" t="s">
        <v>3982</v>
      </c>
      <c r="K335" s="197" t="s">
        <v>1283</v>
      </c>
      <c r="L335" s="261">
        <v>0.16</v>
      </c>
      <c r="M335" s="263">
        <v>8.3878749999999993</v>
      </c>
      <c r="N335" s="263">
        <f>L335*M335</f>
        <v>1.3420599999999998</v>
      </c>
      <c r="O335" s="199"/>
      <c r="P335" s="261"/>
      <c r="Q335" s="261"/>
      <c r="R335" s="198"/>
      <c r="S335" s="197" t="s">
        <v>4288</v>
      </c>
      <c r="T335" s="197" t="s">
        <v>4289</v>
      </c>
      <c r="U335" s="197" t="s">
        <v>3958</v>
      </c>
      <c r="V335" s="197" t="s">
        <v>3959</v>
      </c>
    </row>
    <row r="336" spans="1:22" s="197" customFormat="1" x14ac:dyDescent="0.2">
      <c r="A336" s="197" t="s">
        <v>4287</v>
      </c>
      <c r="B336" s="197" t="s">
        <v>225</v>
      </c>
      <c r="C336" s="197" t="s">
        <v>1397</v>
      </c>
      <c r="D336" s="197" t="s">
        <v>56</v>
      </c>
      <c r="E336" s="197" t="s">
        <v>204</v>
      </c>
      <c r="F336" s="197" t="s">
        <v>180</v>
      </c>
      <c r="G336" s="260">
        <v>3357.0189999999998</v>
      </c>
      <c r="H336" s="197">
        <v>2</v>
      </c>
      <c r="I336" s="197" t="s">
        <v>3960</v>
      </c>
      <c r="J336" s="197" t="s">
        <v>3985</v>
      </c>
      <c r="K336" s="197" t="s">
        <v>1283</v>
      </c>
      <c r="L336" s="261">
        <v>0.64</v>
      </c>
      <c r="M336" s="263">
        <v>8.3878749999999993</v>
      </c>
      <c r="N336" s="263">
        <f>L336*M336</f>
        <v>5.3682399999999992</v>
      </c>
      <c r="O336" s="199"/>
      <c r="P336" s="261"/>
      <c r="Q336" s="261"/>
      <c r="R336" s="198"/>
      <c r="S336" s="197" t="s">
        <v>4288</v>
      </c>
      <c r="T336" s="197" t="s">
        <v>4289</v>
      </c>
      <c r="U336" s="197" t="s">
        <v>3958</v>
      </c>
      <c r="V336" s="197" t="s">
        <v>3959</v>
      </c>
    </row>
    <row r="337" spans="1:22" s="197" customFormat="1" x14ac:dyDescent="0.2">
      <c r="A337" s="197" t="s">
        <v>4287</v>
      </c>
      <c r="B337" s="197" t="s">
        <v>225</v>
      </c>
      <c r="C337" s="197" t="s">
        <v>1397</v>
      </c>
      <c r="D337" s="197" t="s">
        <v>56</v>
      </c>
      <c r="E337" s="197" t="s">
        <v>204</v>
      </c>
      <c r="F337" s="197" t="s">
        <v>180</v>
      </c>
      <c r="G337" s="260">
        <v>3357.0189999999998</v>
      </c>
      <c r="H337" s="197">
        <v>3</v>
      </c>
      <c r="I337" s="197" t="s">
        <v>3962</v>
      </c>
      <c r="J337" s="197" t="s">
        <v>3986</v>
      </c>
      <c r="K337" s="197" t="s">
        <v>1283</v>
      </c>
      <c r="L337" s="261">
        <v>0.15</v>
      </c>
      <c r="M337" s="263">
        <v>8.3878749999999993</v>
      </c>
      <c r="N337" s="263">
        <f>L337*M337</f>
        <v>1.2581812499999998</v>
      </c>
      <c r="O337" s="199"/>
      <c r="P337" s="261"/>
      <c r="Q337" s="261"/>
      <c r="R337" s="198"/>
      <c r="S337" s="197" t="s">
        <v>4288</v>
      </c>
      <c r="T337" s="197" t="s">
        <v>4289</v>
      </c>
      <c r="U337" s="197" t="s">
        <v>3958</v>
      </c>
      <c r="V337" s="197" t="s">
        <v>3959</v>
      </c>
    </row>
    <row r="338" spans="1:22" s="197" customFormat="1" x14ac:dyDescent="0.2">
      <c r="A338" s="197" t="s">
        <v>4287</v>
      </c>
      <c r="B338" s="197" t="s">
        <v>225</v>
      </c>
      <c r="C338" s="197" t="s">
        <v>1397</v>
      </c>
      <c r="D338" s="197" t="s">
        <v>56</v>
      </c>
      <c r="E338" s="197" t="s">
        <v>204</v>
      </c>
      <c r="F338" s="197" t="s">
        <v>180</v>
      </c>
      <c r="G338" s="260">
        <v>3357.0189999999998</v>
      </c>
      <c r="H338" s="197">
        <v>4</v>
      </c>
      <c r="I338" s="197" t="s">
        <v>3987</v>
      </c>
      <c r="J338" s="197" t="s">
        <v>3988</v>
      </c>
      <c r="K338" s="197" t="s">
        <v>1283</v>
      </c>
      <c r="L338" s="261">
        <v>0.05</v>
      </c>
      <c r="M338" s="263">
        <v>8.3878749999999993</v>
      </c>
      <c r="N338" s="263">
        <f>L338*M338</f>
        <v>0.41939375000000001</v>
      </c>
      <c r="O338" s="199"/>
      <c r="P338" s="261"/>
      <c r="Q338" s="261"/>
      <c r="R338" s="198"/>
      <c r="S338" s="197" t="s">
        <v>4288</v>
      </c>
      <c r="T338" s="197" t="s">
        <v>4289</v>
      </c>
      <c r="U338" s="197" t="s">
        <v>3958</v>
      </c>
      <c r="V338" s="197" t="s">
        <v>3959</v>
      </c>
    </row>
    <row r="339" spans="1:22" s="197" customFormat="1" x14ac:dyDescent="0.2">
      <c r="A339" s="197" t="s">
        <v>4287</v>
      </c>
      <c r="B339" s="197" t="s">
        <v>225</v>
      </c>
      <c r="C339" s="197" t="s">
        <v>1397</v>
      </c>
      <c r="D339" s="197" t="s">
        <v>56</v>
      </c>
      <c r="E339" s="197" t="s">
        <v>204</v>
      </c>
      <c r="F339" s="197" t="s">
        <v>180</v>
      </c>
      <c r="G339" s="260">
        <v>3357.0189999999998</v>
      </c>
      <c r="H339" s="197">
        <v>5</v>
      </c>
      <c r="I339" s="197" t="s">
        <v>3968</v>
      </c>
      <c r="J339" s="197" t="s">
        <v>3969</v>
      </c>
      <c r="K339" s="197" t="s">
        <v>180</v>
      </c>
      <c r="L339" s="261">
        <v>1</v>
      </c>
      <c r="M339" s="263"/>
      <c r="N339" s="263">
        <f>SUM(N335:N338)</f>
        <v>8.3878749999999993</v>
      </c>
      <c r="O339" s="199">
        <v>0.2223</v>
      </c>
      <c r="P339" s="261">
        <f>N339*O339</f>
        <v>1.8646246124999999</v>
      </c>
      <c r="Q339" s="261">
        <f>N339+P339</f>
        <v>10.252499612499999</v>
      </c>
      <c r="R339" s="198">
        <f>Q339*G339</f>
        <v>34417.835996655136</v>
      </c>
      <c r="S339" s="197" t="s">
        <v>4288</v>
      </c>
      <c r="T339" s="197" t="s">
        <v>4289</v>
      </c>
      <c r="U339" s="197" t="str">
        <f>IF(ABS(Q339-10.2525)&lt;=0.01,"FECHA COM PLANILHA","REVISAR")</f>
        <v>FECHA COM PLANILHA</v>
      </c>
      <c r="V339" s="197" t="s">
        <v>4290</v>
      </c>
    </row>
    <row r="340" spans="1:22" s="197" customFormat="1" x14ac:dyDescent="0.2">
      <c r="A340" s="197" t="s">
        <v>4291</v>
      </c>
      <c r="B340" s="197" t="s">
        <v>420</v>
      </c>
      <c r="C340" s="197" t="s">
        <v>1499</v>
      </c>
      <c r="D340" s="197" t="s">
        <v>56</v>
      </c>
      <c r="E340" s="197" t="s">
        <v>1500</v>
      </c>
      <c r="F340" s="197" t="s">
        <v>26</v>
      </c>
      <c r="G340" s="260">
        <v>2257.8420000000001</v>
      </c>
      <c r="H340" s="197">
        <v>1</v>
      </c>
      <c r="I340" s="197" t="s">
        <v>3954</v>
      </c>
      <c r="J340" s="197" t="s">
        <v>4122</v>
      </c>
      <c r="K340" s="197" t="s">
        <v>1283</v>
      </c>
      <c r="L340" s="261">
        <v>0.5</v>
      </c>
      <c r="M340" s="263">
        <v>12.370122</v>
      </c>
      <c r="N340" s="263">
        <f>L340*M340</f>
        <v>6.1850610000000001</v>
      </c>
      <c r="O340" s="199"/>
      <c r="P340" s="261"/>
      <c r="Q340" s="261"/>
      <c r="R340" s="198"/>
      <c r="S340" s="197" t="s">
        <v>4292</v>
      </c>
      <c r="T340" s="197" t="s">
        <v>4293</v>
      </c>
      <c r="U340" s="197" t="s">
        <v>3958</v>
      </c>
      <c r="V340" s="197" t="s">
        <v>3959</v>
      </c>
    </row>
    <row r="341" spans="1:22" s="197" customFormat="1" x14ac:dyDescent="0.2">
      <c r="A341" s="197" t="s">
        <v>4291</v>
      </c>
      <c r="B341" s="197" t="s">
        <v>420</v>
      </c>
      <c r="C341" s="197" t="s">
        <v>1499</v>
      </c>
      <c r="D341" s="197" t="s">
        <v>56</v>
      </c>
      <c r="E341" s="197" t="s">
        <v>1500</v>
      </c>
      <c r="F341" s="197" t="s">
        <v>26</v>
      </c>
      <c r="G341" s="260">
        <v>2257.8420000000001</v>
      </c>
      <c r="H341" s="197">
        <v>2</v>
      </c>
      <c r="I341" s="197" t="s">
        <v>3960</v>
      </c>
      <c r="J341" s="197" t="s">
        <v>4125</v>
      </c>
      <c r="K341" s="197" t="s">
        <v>1283</v>
      </c>
      <c r="L341" s="261">
        <v>0.43</v>
      </c>
      <c r="M341" s="263">
        <v>12.370122</v>
      </c>
      <c r="N341" s="263">
        <f>L341*M341</f>
        <v>5.3191524599999997</v>
      </c>
      <c r="O341" s="199"/>
      <c r="P341" s="261"/>
      <c r="Q341" s="261"/>
      <c r="R341" s="198"/>
      <c r="S341" s="197" t="s">
        <v>4292</v>
      </c>
      <c r="T341" s="197" t="s">
        <v>4293</v>
      </c>
      <c r="U341" s="197" t="s">
        <v>3958</v>
      </c>
      <c r="V341" s="197" t="s">
        <v>3959</v>
      </c>
    </row>
    <row r="342" spans="1:22" s="197" customFormat="1" x14ac:dyDescent="0.2">
      <c r="A342" s="197" t="s">
        <v>4291</v>
      </c>
      <c r="B342" s="197" t="s">
        <v>420</v>
      </c>
      <c r="C342" s="197" t="s">
        <v>1499</v>
      </c>
      <c r="D342" s="197" t="s">
        <v>56</v>
      </c>
      <c r="E342" s="197" t="s">
        <v>1500</v>
      </c>
      <c r="F342" s="197" t="s">
        <v>26</v>
      </c>
      <c r="G342" s="260">
        <v>2257.8420000000001</v>
      </c>
      <c r="H342" s="197">
        <v>3</v>
      </c>
      <c r="I342" s="197" t="s">
        <v>4126</v>
      </c>
      <c r="J342" s="197" t="s">
        <v>4127</v>
      </c>
      <c r="K342" s="197" t="s">
        <v>1283</v>
      </c>
      <c r="L342" s="261">
        <v>7.0000000000000007E-2</v>
      </c>
      <c r="M342" s="263">
        <v>12.370122</v>
      </c>
      <c r="N342" s="263">
        <f>L342*M342</f>
        <v>0.86590854000000006</v>
      </c>
      <c r="O342" s="199"/>
      <c r="P342" s="261"/>
      <c r="Q342" s="261"/>
      <c r="R342" s="198"/>
      <c r="S342" s="197" t="s">
        <v>4292</v>
      </c>
      <c r="T342" s="197" t="s">
        <v>4293</v>
      </c>
      <c r="U342" s="197" t="s">
        <v>3958</v>
      </c>
      <c r="V342" s="197" t="s">
        <v>3959</v>
      </c>
    </row>
    <row r="343" spans="1:22" s="197" customFormat="1" x14ac:dyDescent="0.2">
      <c r="A343" s="197" t="s">
        <v>4291</v>
      </c>
      <c r="B343" s="197" t="s">
        <v>420</v>
      </c>
      <c r="C343" s="197" t="s">
        <v>1499</v>
      </c>
      <c r="D343" s="197" t="s">
        <v>56</v>
      </c>
      <c r="E343" s="197" t="s">
        <v>1500</v>
      </c>
      <c r="F343" s="197" t="s">
        <v>26</v>
      </c>
      <c r="G343" s="260">
        <v>2257.8420000000001</v>
      </c>
      <c r="H343" s="197">
        <v>4</v>
      </c>
      <c r="I343" s="197" t="s">
        <v>3968</v>
      </c>
      <c r="J343" s="197" t="s">
        <v>3969</v>
      </c>
      <c r="K343" s="197" t="s">
        <v>26</v>
      </c>
      <c r="L343" s="261">
        <v>1</v>
      </c>
      <c r="M343" s="263"/>
      <c r="N343" s="263">
        <f>SUM(N340:N342)</f>
        <v>12.370121999999999</v>
      </c>
      <c r="O343" s="199">
        <v>0.2223</v>
      </c>
      <c r="P343" s="261">
        <f>N343*O343</f>
        <v>2.7498781205999996</v>
      </c>
      <c r="Q343" s="261">
        <f>N343+P343</f>
        <v>15.120000120599999</v>
      </c>
      <c r="R343" s="198">
        <f>Q343*G343</f>
        <v>34138.571312295746</v>
      </c>
      <c r="S343" s="197" t="s">
        <v>4292</v>
      </c>
      <c r="T343" s="197" t="s">
        <v>4293</v>
      </c>
      <c r="U343" s="197" t="str">
        <f>IF(ABS(Q343-15.12)&lt;=0.01,"FECHA COM PLANILHA","REVISAR")</f>
        <v>FECHA COM PLANILHA</v>
      </c>
      <c r="V343" s="197" t="s">
        <v>4294</v>
      </c>
    </row>
    <row r="344" spans="1:22" s="197" customFormat="1" x14ac:dyDescent="0.2">
      <c r="A344" s="197" t="s">
        <v>4295</v>
      </c>
      <c r="B344" s="197" t="s">
        <v>207</v>
      </c>
      <c r="C344" s="197" t="s">
        <v>208</v>
      </c>
      <c r="D344" s="197" t="s">
        <v>209</v>
      </c>
      <c r="E344" s="197" t="s">
        <v>210</v>
      </c>
      <c r="F344" s="197" t="s">
        <v>118</v>
      </c>
      <c r="G344" s="260">
        <v>52.64</v>
      </c>
      <c r="H344" s="197">
        <v>1</v>
      </c>
      <c r="I344" s="197" t="s">
        <v>3954</v>
      </c>
      <c r="J344" s="197" t="s">
        <v>3982</v>
      </c>
      <c r="K344" s="197" t="s">
        <v>1283</v>
      </c>
      <c r="L344" s="261">
        <v>0.16</v>
      </c>
      <c r="M344" s="263">
        <v>520.93185000000005</v>
      </c>
      <c r="N344" s="263">
        <f>L344*M344</f>
        <v>83.349096000000017</v>
      </c>
      <c r="O344" s="199"/>
      <c r="P344" s="261"/>
      <c r="Q344" s="261"/>
      <c r="R344" s="198"/>
      <c r="S344" s="197" t="s">
        <v>4296</v>
      </c>
      <c r="T344" s="197" t="s">
        <v>4297</v>
      </c>
      <c r="U344" s="197" t="s">
        <v>3958</v>
      </c>
      <c r="V344" s="197" t="s">
        <v>3959</v>
      </c>
    </row>
    <row r="345" spans="1:22" s="197" customFormat="1" x14ac:dyDescent="0.2">
      <c r="A345" s="197" t="s">
        <v>4295</v>
      </c>
      <c r="B345" s="197" t="s">
        <v>207</v>
      </c>
      <c r="C345" s="197" t="s">
        <v>208</v>
      </c>
      <c r="D345" s="197" t="s">
        <v>209</v>
      </c>
      <c r="E345" s="197" t="s">
        <v>210</v>
      </c>
      <c r="F345" s="197" t="s">
        <v>118</v>
      </c>
      <c r="G345" s="260">
        <v>52.64</v>
      </c>
      <c r="H345" s="197">
        <v>2</v>
      </c>
      <c r="I345" s="197" t="s">
        <v>3960</v>
      </c>
      <c r="J345" s="197" t="s">
        <v>3985</v>
      </c>
      <c r="K345" s="197" t="s">
        <v>1283</v>
      </c>
      <c r="L345" s="261">
        <v>0.64</v>
      </c>
      <c r="M345" s="263">
        <v>520.93185000000005</v>
      </c>
      <c r="N345" s="263">
        <f>L345*M345</f>
        <v>333.39638400000007</v>
      </c>
      <c r="O345" s="199"/>
      <c r="P345" s="261"/>
      <c r="Q345" s="261"/>
      <c r="R345" s="198"/>
      <c r="S345" s="197" t="s">
        <v>4296</v>
      </c>
      <c r="T345" s="197" t="s">
        <v>4297</v>
      </c>
      <c r="U345" s="197" t="s">
        <v>3958</v>
      </c>
      <c r="V345" s="197" t="s">
        <v>3959</v>
      </c>
    </row>
    <row r="346" spans="1:22" s="197" customFormat="1" x14ac:dyDescent="0.2">
      <c r="A346" s="197" t="s">
        <v>4295</v>
      </c>
      <c r="B346" s="197" t="s">
        <v>207</v>
      </c>
      <c r="C346" s="197" t="s">
        <v>208</v>
      </c>
      <c r="D346" s="197" t="s">
        <v>209</v>
      </c>
      <c r="E346" s="197" t="s">
        <v>210</v>
      </c>
      <c r="F346" s="197" t="s">
        <v>118</v>
      </c>
      <c r="G346" s="260">
        <v>52.64</v>
      </c>
      <c r="H346" s="197">
        <v>3</v>
      </c>
      <c r="I346" s="197" t="s">
        <v>3962</v>
      </c>
      <c r="J346" s="197" t="s">
        <v>3986</v>
      </c>
      <c r="K346" s="197" t="s">
        <v>1283</v>
      </c>
      <c r="L346" s="261">
        <v>0.15</v>
      </c>
      <c r="M346" s="263">
        <v>520.93185000000005</v>
      </c>
      <c r="N346" s="263">
        <f>L346*M346</f>
        <v>78.139777500000008</v>
      </c>
      <c r="O346" s="199"/>
      <c r="P346" s="261"/>
      <c r="Q346" s="261"/>
      <c r="R346" s="198"/>
      <c r="S346" s="197" t="s">
        <v>4296</v>
      </c>
      <c r="T346" s="197" t="s">
        <v>4297</v>
      </c>
      <c r="U346" s="197" t="s">
        <v>3958</v>
      </c>
      <c r="V346" s="197" t="s">
        <v>3959</v>
      </c>
    </row>
    <row r="347" spans="1:22" s="197" customFormat="1" x14ac:dyDescent="0.2">
      <c r="A347" s="197" t="s">
        <v>4295</v>
      </c>
      <c r="B347" s="197" t="s">
        <v>207</v>
      </c>
      <c r="C347" s="197" t="s">
        <v>208</v>
      </c>
      <c r="D347" s="197" t="s">
        <v>209</v>
      </c>
      <c r="E347" s="197" t="s">
        <v>210</v>
      </c>
      <c r="F347" s="197" t="s">
        <v>118</v>
      </c>
      <c r="G347" s="260">
        <v>52.64</v>
      </c>
      <c r="H347" s="197">
        <v>4</v>
      </c>
      <c r="I347" s="197" t="s">
        <v>3987</v>
      </c>
      <c r="J347" s="197" t="s">
        <v>3988</v>
      </c>
      <c r="K347" s="197" t="s">
        <v>1283</v>
      </c>
      <c r="L347" s="261">
        <v>0.05</v>
      </c>
      <c r="M347" s="263">
        <v>520.93185000000005</v>
      </c>
      <c r="N347" s="263">
        <f>L347*M347</f>
        <v>26.046592500000003</v>
      </c>
      <c r="O347" s="199"/>
      <c r="P347" s="261"/>
      <c r="Q347" s="261"/>
      <c r="R347" s="198"/>
      <c r="S347" s="197" t="s">
        <v>4296</v>
      </c>
      <c r="T347" s="197" t="s">
        <v>4297</v>
      </c>
      <c r="U347" s="197" t="s">
        <v>3958</v>
      </c>
      <c r="V347" s="197" t="s">
        <v>3959</v>
      </c>
    </row>
    <row r="348" spans="1:22" s="197" customFormat="1" x14ac:dyDescent="0.2">
      <c r="A348" s="197" t="s">
        <v>4295</v>
      </c>
      <c r="B348" s="197" t="s">
        <v>207</v>
      </c>
      <c r="C348" s="197" t="s">
        <v>208</v>
      </c>
      <c r="D348" s="197" t="s">
        <v>209</v>
      </c>
      <c r="E348" s="197" t="s">
        <v>210</v>
      </c>
      <c r="F348" s="197" t="s">
        <v>118</v>
      </c>
      <c r="G348" s="260">
        <v>52.64</v>
      </c>
      <c r="H348" s="197">
        <v>5</v>
      </c>
      <c r="I348" s="197" t="s">
        <v>3968</v>
      </c>
      <c r="J348" s="197" t="s">
        <v>3969</v>
      </c>
      <c r="K348" s="197" t="s">
        <v>118</v>
      </c>
      <c r="L348" s="261">
        <v>1</v>
      </c>
      <c r="M348" s="263"/>
      <c r="N348" s="263">
        <f>SUM(N344:N347)</f>
        <v>520.93185000000005</v>
      </c>
      <c r="O348" s="199">
        <v>0.2223</v>
      </c>
      <c r="P348" s="261">
        <f>N348*O348</f>
        <v>115.80315025500001</v>
      </c>
      <c r="Q348" s="261">
        <f>N348+P348</f>
        <v>636.73500025500005</v>
      </c>
      <c r="R348" s="198">
        <f>Q348*G348</f>
        <v>33517.730413423204</v>
      </c>
      <c r="S348" s="197" t="s">
        <v>4296</v>
      </c>
      <c r="T348" s="197" t="s">
        <v>4297</v>
      </c>
      <c r="U348" s="197" t="str">
        <f>IF(ABS(Q348-636.735)&lt;=0.01,"FECHA COM PLANILHA","REVISAR")</f>
        <v>FECHA COM PLANILHA</v>
      </c>
      <c r="V348" s="197" t="s">
        <v>4298</v>
      </c>
    </row>
    <row r="349" spans="1:22" s="197" customFormat="1" x14ac:dyDescent="0.2">
      <c r="A349" s="197" t="s">
        <v>4299</v>
      </c>
      <c r="B349" s="197" t="s">
        <v>174</v>
      </c>
      <c r="C349" s="197" t="s">
        <v>1378</v>
      </c>
      <c r="D349" s="197" t="s">
        <v>56</v>
      </c>
      <c r="E349" s="197" t="s">
        <v>175</v>
      </c>
      <c r="F349" s="197" t="s">
        <v>26</v>
      </c>
      <c r="G349" s="260">
        <v>204.94</v>
      </c>
      <c r="H349" s="197">
        <v>1</v>
      </c>
      <c r="I349" s="197" t="s">
        <v>3954</v>
      </c>
      <c r="J349" s="197" t="s">
        <v>3991</v>
      </c>
      <c r="K349" s="197" t="s">
        <v>1283</v>
      </c>
      <c r="L349" s="261">
        <v>0.34</v>
      </c>
      <c r="M349" s="263">
        <v>124.46208</v>
      </c>
      <c r="N349" s="263">
        <f>L349*M349</f>
        <v>42.317107200000002</v>
      </c>
      <c r="O349" s="199"/>
      <c r="P349" s="261"/>
      <c r="Q349" s="261"/>
      <c r="R349" s="198"/>
      <c r="S349" s="197" t="s">
        <v>4300</v>
      </c>
      <c r="T349" s="197" t="s">
        <v>4301</v>
      </c>
      <c r="U349" s="197" t="s">
        <v>3958</v>
      </c>
      <c r="V349" s="197" t="s">
        <v>3959</v>
      </c>
    </row>
    <row r="350" spans="1:22" s="197" customFormat="1" x14ac:dyDescent="0.2">
      <c r="A350" s="197" t="s">
        <v>4299</v>
      </c>
      <c r="B350" s="197" t="s">
        <v>174</v>
      </c>
      <c r="C350" s="197" t="s">
        <v>1378</v>
      </c>
      <c r="D350" s="197" t="s">
        <v>56</v>
      </c>
      <c r="E350" s="197" t="s">
        <v>175</v>
      </c>
      <c r="F350" s="197" t="s">
        <v>26</v>
      </c>
      <c r="G350" s="260">
        <v>204.94</v>
      </c>
      <c r="H350" s="197">
        <v>2</v>
      </c>
      <c r="I350" s="197" t="s">
        <v>3960</v>
      </c>
      <c r="J350" s="197" t="s">
        <v>3994</v>
      </c>
      <c r="K350" s="197" t="s">
        <v>1283</v>
      </c>
      <c r="L350" s="261">
        <v>0.54</v>
      </c>
      <c r="M350" s="263">
        <v>124.46208</v>
      </c>
      <c r="N350" s="263">
        <f>L350*M350</f>
        <v>67.209523200000007</v>
      </c>
      <c r="O350" s="199"/>
      <c r="P350" s="261"/>
      <c r="Q350" s="261"/>
      <c r="R350" s="198"/>
      <c r="S350" s="197" t="s">
        <v>4300</v>
      </c>
      <c r="T350" s="197" t="s">
        <v>4301</v>
      </c>
      <c r="U350" s="197" t="s">
        <v>3958</v>
      </c>
      <c r="V350" s="197" t="s">
        <v>3959</v>
      </c>
    </row>
    <row r="351" spans="1:22" s="197" customFormat="1" x14ac:dyDescent="0.2">
      <c r="A351" s="197" t="s">
        <v>4299</v>
      </c>
      <c r="B351" s="197" t="s">
        <v>174</v>
      </c>
      <c r="C351" s="197" t="s">
        <v>1378</v>
      </c>
      <c r="D351" s="197" t="s">
        <v>56</v>
      </c>
      <c r="E351" s="197" t="s">
        <v>175</v>
      </c>
      <c r="F351" s="197" t="s">
        <v>26</v>
      </c>
      <c r="G351" s="260">
        <v>204.94</v>
      </c>
      <c r="H351" s="197">
        <v>3</v>
      </c>
      <c r="I351" s="197" t="s">
        <v>3962</v>
      </c>
      <c r="J351" s="197" t="s">
        <v>3995</v>
      </c>
      <c r="K351" s="197" t="s">
        <v>1283</v>
      </c>
      <c r="L351" s="261">
        <v>0.08</v>
      </c>
      <c r="M351" s="263">
        <v>124.46208</v>
      </c>
      <c r="N351" s="263">
        <f>L351*M351</f>
        <v>9.9569664000000007</v>
      </c>
      <c r="O351" s="199"/>
      <c r="P351" s="261"/>
      <c r="Q351" s="261"/>
      <c r="R351" s="198"/>
      <c r="S351" s="197" t="s">
        <v>4300</v>
      </c>
      <c r="T351" s="197" t="s">
        <v>4301</v>
      </c>
      <c r="U351" s="197" t="s">
        <v>3958</v>
      </c>
      <c r="V351" s="197" t="s">
        <v>3959</v>
      </c>
    </row>
    <row r="352" spans="1:22" s="197" customFormat="1" x14ac:dyDescent="0.2">
      <c r="A352" s="197" t="s">
        <v>4299</v>
      </c>
      <c r="B352" s="197" t="s">
        <v>174</v>
      </c>
      <c r="C352" s="197" t="s">
        <v>1378</v>
      </c>
      <c r="D352" s="197" t="s">
        <v>56</v>
      </c>
      <c r="E352" s="197" t="s">
        <v>175</v>
      </c>
      <c r="F352" s="197" t="s">
        <v>26</v>
      </c>
      <c r="G352" s="260">
        <v>204.94</v>
      </c>
      <c r="H352" s="197">
        <v>4</v>
      </c>
      <c r="I352" s="197" t="s">
        <v>3966</v>
      </c>
      <c r="J352" s="197" t="s">
        <v>3996</v>
      </c>
      <c r="K352" s="197" t="s">
        <v>1283</v>
      </c>
      <c r="L352" s="261">
        <v>0.04</v>
      </c>
      <c r="M352" s="263">
        <v>124.46208</v>
      </c>
      <c r="N352" s="263">
        <f>L352*M352</f>
        <v>4.9784832000000003</v>
      </c>
      <c r="O352" s="199"/>
      <c r="P352" s="261"/>
      <c r="Q352" s="261"/>
      <c r="R352" s="198"/>
      <c r="S352" s="197" t="s">
        <v>4300</v>
      </c>
      <c r="T352" s="197" t="s">
        <v>4301</v>
      </c>
      <c r="U352" s="197" t="s">
        <v>3958</v>
      </c>
      <c r="V352" s="197" t="s">
        <v>3959</v>
      </c>
    </row>
    <row r="353" spans="1:22" s="197" customFormat="1" x14ac:dyDescent="0.2">
      <c r="A353" s="197" t="s">
        <v>4299</v>
      </c>
      <c r="B353" s="197" t="s">
        <v>174</v>
      </c>
      <c r="C353" s="197" t="s">
        <v>1378</v>
      </c>
      <c r="D353" s="197" t="s">
        <v>56</v>
      </c>
      <c r="E353" s="197" t="s">
        <v>175</v>
      </c>
      <c r="F353" s="197" t="s">
        <v>26</v>
      </c>
      <c r="G353" s="260">
        <v>204.94</v>
      </c>
      <c r="H353" s="197">
        <v>5</v>
      </c>
      <c r="I353" s="197" t="s">
        <v>3968</v>
      </c>
      <c r="J353" s="197" t="s">
        <v>3969</v>
      </c>
      <c r="K353" s="197" t="s">
        <v>26</v>
      </c>
      <c r="L353" s="261">
        <v>1</v>
      </c>
      <c r="M353" s="263"/>
      <c r="N353" s="263">
        <f>SUM(N349:N352)</f>
        <v>124.46208000000001</v>
      </c>
      <c r="O353" s="199">
        <v>0.2223</v>
      </c>
      <c r="P353" s="261">
        <f>N353*O353</f>
        <v>27.667920384000002</v>
      </c>
      <c r="Q353" s="261">
        <f>N353+P353</f>
        <v>152.13000038400003</v>
      </c>
      <c r="R353" s="198">
        <f>Q353*G353</f>
        <v>31177.522278696964</v>
      </c>
      <c r="S353" s="197" t="s">
        <v>4300</v>
      </c>
      <c r="T353" s="197" t="s">
        <v>4301</v>
      </c>
      <c r="U353" s="197" t="str">
        <f>IF(ABS(Q353-152.13)&lt;=0.01,"FECHA COM PLANILHA","REVISAR")</f>
        <v>FECHA COM PLANILHA</v>
      </c>
      <c r="V353" s="197" t="s">
        <v>4302</v>
      </c>
    </row>
    <row r="354" spans="1:22" s="197" customFormat="1" x14ac:dyDescent="0.2">
      <c r="A354" s="197" t="s">
        <v>4303</v>
      </c>
      <c r="B354" s="197" t="s">
        <v>64</v>
      </c>
      <c r="C354" s="197" t="s">
        <v>1335</v>
      </c>
      <c r="D354" s="197" t="s">
        <v>56</v>
      </c>
      <c r="E354" s="197" t="s">
        <v>1336</v>
      </c>
      <c r="F354" s="197" t="s">
        <v>61</v>
      </c>
      <c r="G354" s="260">
        <v>600</v>
      </c>
      <c r="H354" s="197">
        <v>1</v>
      </c>
      <c r="I354" s="197" t="s">
        <v>3954</v>
      </c>
      <c r="J354" s="197" t="s">
        <v>3999</v>
      </c>
      <c r="K354" s="197" t="s">
        <v>1283</v>
      </c>
      <c r="L354" s="261">
        <v>0.74</v>
      </c>
      <c r="M354" s="263">
        <v>42.411847000000002</v>
      </c>
      <c r="N354" s="263">
        <f>L354*M354</f>
        <v>31.38476678</v>
      </c>
      <c r="O354" s="199"/>
      <c r="P354" s="261"/>
      <c r="Q354" s="261"/>
      <c r="R354" s="198"/>
      <c r="S354" s="197" t="s">
        <v>4304</v>
      </c>
      <c r="T354" s="197" t="s">
        <v>4305</v>
      </c>
      <c r="U354" s="197" t="s">
        <v>3958</v>
      </c>
      <c r="V354" s="197" t="s">
        <v>3959</v>
      </c>
    </row>
    <row r="355" spans="1:22" s="197" customFormat="1" x14ac:dyDescent="0.2">
      <c r="A355" s="197" t="s">
        <v>4303</v>
      </c>
      <c r="B355" s="197" t="s">
        <v>64</v>
      </c>
      <c r="C355" s="197" t="s">
        <v>1335</v>
      </c>
      <c r="D355" s="197" t="s">
        <v>56</v>
      </c>
      <c r="E355" s="197" t="s">
        <v>1336</v>
      </c>
      <c r="F355" s="197" t="s">
        <v>61</v>
      </c>
      <c r="G355" s="260">
        <v>600</v>
      </c>
      <c r="H355" s="197">
        <v>2</v>
      </c>
      <c r="I355" s="197" t="s">
        <v>4002</v>
      </c>
      <c r="J355" s="197" t="s">
        <v>4003</v>
      </c>
      <c r="K355" s="197" t="s">
        <v>1283</v>
      </c>
      <c r="L355" s="261">
        <v>0.22</v>
      </c>
      <c r="M355" s="263">
        <v>42.411847000000002</v>
      </c>
      <c r="N355" s="263">
        <f>L355*M355</f>
        <v>9.330606340000001</v>
      </c>
      <c r="O355" s="199"/>
      <c r="P355" s="261"/>
      <c r="Q355" s="261"/>
      <c r="R355" s="198"/>
      <c r="S355" s="197" t="s">
        <v>4304</v>
      </c>
      <c r="T355" s="197" t="s">
        <v>4305</v>
      </c>
      <c r="U355" s="197" t="s">
        <v>3958</v>
      </c>
      <c r="V355" s="197" t="s">
        <v>3959</v>
      </c>
    </row>
    <row r="356" spans="1:22" s="197" customFormat="1" x14ac:dyDescent="0.2">
      <c r="A356" s="197" t="s">
        <v>4303</v>
      </c>
      <c r="B356" s="197" t="s">
        <v>64</v>
      </c>
      <c r="C356" s="197" t="s">
        <v>1335</v>
      </c>
      <c r="D356" s="197" t="s">
        <v>56</v>
      </c>
      <c r="E356" s="197" t="s">
        <v>1336</v>
      </c>
      <c r="F356" s="197" t="s">
        <v>61</v>
      </c>
      <c r="G356" s="260">
        <v>600</v>
      </c>
      <c r="H356" s="197">
        <v>3</v>
      </c>
      <c r="I356" s="197" t="s">
        <v>4004</v>
      </c>
      <c r="J356" s="197" t="s">
        <v>4005</v>
      </c>
      <c r="K356" s="197" t="s">
        <v>1283</v>
      </c>
      <c r="L356" s="261">
        <v>0.04</v>
      </c>
      <c r="M356" s="263">
        <v>42.411847000000002</v>
      </c>
      <c r="N356" s="263">
        <f>L356*M356</f>
        <v>1.6964738800000001</v>
      </c>
      <c r="O356" s="199"/>
      <c r="P356" s="261"/>
      <c r="Q356" s="261"/>
      <c r="R356" s="198"/>
      <c r="S356" s="197" t="s">
        <v>4304</v>
      </c>
      <c r="T356" s="197" t="s">
        <v>4305</v>
      </c>
      <c r="U356" s="197" t="s">
        <v>3958</v>
      </c>
      <c r="V356" s="197" t="s">
        <v>3959</v>
      </c>
    </row>
    <row r="357" spans="1:22" s="197" customFormat="1" x14ac:dyDescent="0.2">
      <c r="A357" s="197" t="s">
        <v>4303</v>
      </c>
      <c r="B357" s="197" t="s">
        <v>64</v>
      </c>
      <c r="C357" s="197" t="s">
        <v>1335</v>
      </c>
      <c r="D357" s="197" t="s">
        <v>56</v>
      </c>
      <c r="E357" s="197" t="s">
        <v>1336</v>
      </c>
      <c r="F357" s="197" t="s">
        <v>61</v>
      </c>
      <c r="G357" s="260">
        <v>600</v>
      </c>
      <c r="H357" s="197">
        <v>4</v>
      </c>
      <c r="I357" s="197" t="s">
        <v>3968</v>
      </c>
      <c r="J357" s="197" t="s">
        <v>3969</v>
      </c>
      <c r="K357" s="197" t="s">
        <v>61</v>
      </c>
      <c r="L357" s="261">
        <v>1</v>
      </c>
      <c r="M357" s="263"/>
      <c r="N357" s="263">
        <f>SUM(N354:N356)</f>
        <v>42.411847000000002</v>
      </c>
      <c r="O357" s="199">
        <v>0.2223</v>
      </c>
      <c r="P357" s="261">
        <f>N357*O357</f>
        <v>9.4281535881000007</v>
      </c>
      <c r="Q357" s="261">
        <f>N357+P357</f>
        <v>51.840000588100004</v>
      </c>
      <c r="R357" s="198">
        <f>Q357*G357</f>
        <v>31104.000352860003</v>
      </c>
      <c r="S357" s="197" t="s">
        <v>4304</v>
      </c>
      <c r="T357" s="197" t="s">
        <v>4305</v>
      </c>
      <c r="U357" s="197" t="str">
        <f>IF(ABS(Q357-51.84)&lt;=0.01,"FECHA COM PLANILHA","REVISAR")</f>
        <v>FECHA COM PLANILHA</v>
      </c>
      <c r="V357" s="197" t="s">
        <v>4306</v>
      </c>
    </row>
    <row r="358" spans="1:22" s="197" customFormat="1" x14ac:dyDescent="0.2">
      <c r="A358" s="197" t="s">
        <v>4307</v>
      </c>
      <c r="B358" s="197" t="s">
        <v>142</v>
      </c>
      <c r="C358" s="197" t="s">
        <v>1364</v>
      </c>
      <c r="D358" s="197" t="s">
        <v>56</v>
      </c>
      <c r="E358" s="197" t="s">
        <v>143</v>
      </c>
      <c r="F358" s="197" t="s">
        <v>118</v>
      </c>
      <c r="G358" s="260">
        <v>260.41899999999998</v>
      </c>
      <c r="H358" s="197">
        <v>1</v>
      </c>
      <c r="I358" s="197" t="s">
        <v>3954</v>
      </c>
      <c r="J358" s="197" t="s">
        <v>4308</v>
      </c>
      <c r="K358" s="197" t="s">
        <v>1283</v>
      </c>
      <c r="L358" s="261">
        <v>0.24</v>
      </c>
      <c r="M358" s="263">
        <v>94.604433999999998</v>
      </c>
      <c r="N358" s="263">
        <f>L358*M358</f>
        <v>22.705064159999999</v>
      </c>
      <c r="O358" s="199"/>
      <c r="P358" s="261"/>
      <c r="Q358" s="261"/>
      <c r="R358" s="198"/>
      <c r="S358" s="197" t="s">
        <v>4309</v>
      </c>
      <c r="T358" s="197" t="s">
        <v>4310</v>
      </c>
      <c r="U358" s="197" t="s">
        <v>3958</v>
      </c>
      <c r="V358" s="197" t="s">
        <v>3959</v>
      </c>
    </row>
    <row r="359" spans="1:22" s="197" customFormat="1" x14ac:dyDescent="0.2">
      <c r="A359" s="197" t="s">
        <v>4307</v>
      </c>
      <c r="B359" s="197" t="s">
        <v>142</v>
      </c>
      <c r="C359" s="197" t="s">
        <v>1364</v>
      </c>
      <c r="D359" s="197" t="s">
        <v>56</v>
      </c>
      <c r="E359" s="197" t="s">
        <v>143</v>
      </c>
      <c r="F359" s="197" t="s">
        <v>118</v>
      </c>
      <c r="G359" s="260">
        <v>260.41899999999998</v>
      </c>
      <c r="H359" s="197">
        <v>2</v>
      </c>
      <c r="I359" s="197" t="s">
        <v>3960</v>
      </c>
      <c r="J359" s="197" t="s">
        <v>4311</v>
      </c>
      <c r="K359" s="197" t="s">
        <v>1283</v>
      </c>
      <c r="L359" s="261">
        <v>0.38</v>
      </c>
      <c r="M359" s="263">
        <v>94.604433999999998</v>
      </c>
      <c r="N359" s="263">
        <f>L359*M359</f>
        <v>35.949684920000003</v>
      </c>
      <c r="O359" s="199"/>
      <c r="P359" s="261"/>
      <c r="Q359" s="261"/>
      <c r="R359" s="198"/>
      <c r="S359" s="197" t="s">
        <v>4309</v>
      </c>
      <c r="T359" s="197" t="s">
        <v>4310</v>
      </c>
      <c r="U359" s="197" t="s">
        <v>3958</v>
      </c>
      <c r="V359" s="197" t="s">
        <v>3959</v>
      </c>
    </row>
    <row r="360" spans="1:22" s="197" customFormat="1" x14ac:dyDescent="0.2">
      <c r="A360" s="197" t="s">
        <v>4307</v>
      </c>
      <c r="B360" s="197" t="s">
        <v>142</v>
      </c>
      <c r="C360" s="197" t="s">
        <v>1364</v>
      </c>
      <c r="D360" s="197" t="s">
        <v>56</v>
      </c>
      <c r="E360" s="197" t="s">
        <v>143</v>
      </c>
      <c r="F360" s="197" t="s">
        <v>118</v>
      </c>
      <c r="G360" s="260">
        <v>260.41899999999998</v>
      </c>
      <c r="H360" s="197">
        <v>3</v>
      </c>
      <c r="I360" s="197" t="s">
        <v>3962</v>
      </c>
      <c r="J360" s="197" t="s">
        <v>4312</v>
      </c>
      <c r="K360" s="197" t="s">
        <v>1283</v>
      </c>
      <c r="L360" s="261">
        <v>0.3</v>
      </c>
      <c r="M360" s="263">
        <v>94.604433999999998</v>
      </c>
      <c r="N360" s="263">
        <f>L360*M360</f>
        <v>28.381330199999997</v>
      </c>
      <c r="O360" s="199"/>
      <c r="P360" s="261"/>
      <c r="Q360" s="261"/>
      <c r="R360" s="198"/>
      <c r="S360" s="197" t="s">
        <v>4309</v>
      </c>
      <c r="T360" s="197" t="s">
        <v>4310</v>
      </c>
      <c r="U360" s="197" t="s">
        <v>3958</v>
      </c>
      <c r="V360" s="197" t="s">
        <v>3959</v>
      </c>
    </row>
    <row r="361" spans="1:22" s="197" customFormat="1" x14ac:dyDescent="0.2">
      <c r="A361" s="197" t="s">
        <v>4307</v>
      </c>
      <c r="B361" s="197" t="s">
        <v>142</v>
      </c>
      <c r="C361" s="197" t="s">
        <v>1364</v>
      </c>
      <c r="D361" s="197" t="s">
        <v>56</v>
      </c>
      <c r="E361" s="197" t="s">
        <v>143</v>
      </c>
      <c r="F361" s="197" t="s">
        <v>118</v>
      </c>
      <c r="G361" s="260">
        <v>260.41899999999998</v>
      </c>
      <c r="H361" s="197">
        <v>4</v>
      </c>
      <c r="I361" s="197" t="s">
        <v>4017</v>
      </c>
      <c r="J361" s="197" t="s">
        <v>4313</v>
      </c>
      <c r="K361" s="197" t="s">
        <v>1283</v>
      </c>
      <c r="L361" s="261">
        <v>0.08</v>
      </c>
      <c r="M361" s="263">
        <v>94.604433999999998</v>
      </c>
      <c r="N361" s="263">
        <f>L361*M361</f>
        <v>7.5683547200000003</v>
      </c>
      <c r="O361" s="199"/>
      <c r="P361" s="261"/>
      <c r="Q361" s="261"/>
      <c r="R361" s="198"/>
      <c r="S361" s="197" t="s">
        <v>4309</v>
      </c>
      <c r="T361" s="197" t="s">
        <v>4310</v>
      </c>
      <c r="U361" s="197" t="s">
        <v>3958</v>
      </c>
      <c r="V361" s="197" t="s">
        <v>3959</v>
      </c>
    </row>
    <row r="362" spans="1:22" s="197" customFormat="1" x14ac:dyDescent="0.2">
      <c r="A362" s="197" t="s">
        <v>4307</v>
      </c>
      <c r="B362" s="197" t="s">
        <v>142</v>
      </c>
      <c r="C362" s="197" t="s">
        <v>1364</v>
      </c>
      <c r="D362" s="197" t="s">
        <v>56</v>
      </c>
      <c r="E362" s="197" t="s">
        <v>143</v>
      </c>
      <c r="F362" s="197" t="s">
        <v>118</v>
      </c>
      <c r="G362" s="260">
        <v>260.41899999999998</v>
      </c>
      <c r="H362" s="197">
        <v>5</v>
      </c>
      <c r="I362" s="197" t="s">
        <v>3968</v>
      </c>
      <c r="J362" s="197" t="s">
        <v>3969</v>
      </c>
      <c r="K362" s="197" t="s">
        <v>118</v>
      </c>
      <c r="L362" s="261">
        <v>1</v>
      </c>
      <c r="M362" s="263"/>
      <c r="N362" s="263">
        <f>SUM(N358:N361)</f>
        <v>94.604433999999998</v>
      </c>
      <c r="O362" s="199">
        <v>0.2223</v>
      </c>
      <c r="P362" s="261">
        <f>N362*O362</f>
        <v>21.030565678199999</v>
      </c>
      <c r="Q362" s="261">
        <f>N362+P362</f>
        <v>115.63499967819999</v>
      </c>
      <c r="R362" s="198">
        <f>Q362*G362</f>
        <v>30113.550981197161</v>
      </c>
      <c r="S362" s="197" t="s">
        <v>4309</v>
      </c>
      <c r="T362" s="197" t="s">
        <v>4310</v>
      </c>
      <c r="U362" s="197" t="str">
        <f>IF(ABS(Q362-115.635)&lt;=0.01,"FECHA COM PLANILHA","REVISAR")</f>
        <v>FECHA COM PLANILHA</v>
      </c>
      <c r="V362" s="197" t="s">
        <v>4314</v>
      </c>
    </row>
    <row r="363" spans="1:22" s="197" customFormat="1" x14ac:dyDescent="0.2">
      <c r="A363" s="197" t="s">
        <v>4315</v>
      </c>
      <c r="B363" s="197" t="s">
        <v>109</v>
      </c>
      <c r="C363" s="197" t="s">
        <v>1352</v>
      </c>
      <c r="D363" s="197" t="s">
        <v>24</v>
      </c>
      <c r="E363" s="197" t="s">
        <v>111</v>
      </c>
      <c r="F363" s="197" t="s">
        <v>99</v>
      </c>
      <c r="G363" s="260">
        <v>210</v>
      </c>
      <c r="H363" s="197">
        <v>1</v>
      </c>
      <c r="I363" s="197" t="s">
        <v>3954</v>
      </c>
      <c r="J363" s="197" t="s">
        <v>3955</v>
      </c>
      <c r="K363" s="197" t="s">
        <v>1283</v>
      </c>
      <c r="L363" s="261">
        <v>0.14000000000000001</v>
      </c>
      <c r="M363" s="263">
        <v>114.42976400000001</v>
      </c>
      <c r="N363" s="263">
        <f>L363*M363</f>
        <v>16.020166960000001</v>
      </c>
      <c r="O363" s="199"/>
      <c r="P363" s="261"/>
      <c r="Q363" s="261"/>
      <c r="R363" s="198"/>
      <c r="S363" s="197" t="s">
        <v>4316</v>
      </c>
      <c r="T363" s="197" t="s">
        <v>4317</v>
      </c>
      <c r="U363" s="197" t="s">
        <v>3958</v>
      </c>
      <c r="V363" s="197" t="s">
        <v>3959</v>
      </c>
    </row>
    <row r="364" spans="1:22" s="197" customFormat="1" x14ac:dyDescent="0.2">
      <c r="A364" s="197" t="s">
        <v>4315</v>
      </c>
      <c r="B364" s="197" t="s">
        <v>109</v>
      </c>
      <c r="C364" s="197" t="s">
        <v>1352</v>
      </c>
      <c r="D364" s="197" t="s">
        <v>24</v>
      </c>
      <c r="E364" s="197" t="s">
        <v>111</v>
      </c>
      <c r="F364" s="197" t="s">
        <v>99</v>
      </c>
      <c r="G364" s="260">
        <v>210</v>
      </c>
      <c r="H364" s="197">
        <v>2</v>
      </c>
      <c r="I364" s="197" t="s">
        <v>3960</v>
      </c>
      <c r="J364" s="197" t="s">
        <v>3961</v>
      </c>
      <c r="K364" s="197" t="s">
        <v>1283</v>
      </c>
      <c r="L364" s="261">
        <v>0.5</v>
      </c>
      <c r="M364" s="263">
        <v>114.42976400000001</v>
      </c>
      <c r="N364" s="263">
        <f>L364*M364</f>
        <v>57.214882000000003</v>
      </c>
      <c r="O364" s="199"/>
      <c r="P364" s="261"/>
      <c r="Q364" s="261"/>
      <c r="R364" s="198"/>
      <c r="S364" s="197" t="s">
        <v>4316</v>
      </c>
      <c r="T364" s="197" t="s">
        <v>4317</v>
      </c>
      <c r="U364" s="197" t="s">
        <v>3958</v>
      </c>
      <c r="V364" s="197" t="s">
        <v>3959</v>
      </c>
    </row>
    <row r="365" spans="1:22" s="197" customFormat="1" x14ac:dyDescent="0.2">
      <c r="A365" s="197" t="s">
        <v>4315</v>
      </c>
      <c r="B365" s="197" t="s">
        <v>109</v>
      </c>
      <c r="C365" s="197" t="s">
        <v>1352</v>
      </c>
      <c r="D365" s="197" t="s">
        <v>24</v>
      </c>
      <c r="E365" s="197" t="s">
        <v>111</v>
      </c>
      <c r="F365" s="197" t="s">
        <v>99</v>
      </c>
      <c r="G365" s="260">
        <v>210</v>
      </c>
      <c r="H365" s="197">
        <v>3</v>
      </c>
      <c r="I365" s="197" t="s">
        <v>3962</v>
      </c>
      <c r="J365" s="197" t="s">
        <v>3963</v>
      </c>
      <c r="K365" s="197" t="s">
        <v>1283</v>
      </c>
      <c r="L365" s="261">
        <v>0.26</v>
      </c>
      <c r="M365" s="263">
        <v>114.42976400000001</v>
      </c>
      <c r="N365" s="263">
        <f>L365*M365</f>
        <v>29.751738640000003</v>
      </c>
      <c r="O365" s="199"/>
      <c r="P365" s="261"/>
      <c r="Q365" s="261"/>
      <c r="R365" s="198"/>
      <c r="S365" s="197" t="s">
        <v>4316</v>
      </c>
      <c r="T365" s="197" t="s">
        <v>4317</v>
      </c>
      <c r="U365" s="197" t="s">
        <v>3958</v>
      </c>
      <c r="V365" s="197" t="s">
        <v>3959</v>
      </c>
    </row>
    <row r="366" spans="1:22" s="197" customFormat="1" x14ac:dyDescent="0.2">
      <c r="A366" s="197" t="s">
        <v>4315</v>
      </c>
      <c r="B366" s="197" t="s">
        <v>109</v>
      </c>
      <c r="C366" s="197" t="s">
        <v>1352</v>
      </c>
      <c r="D366" s="197" t="s">
        <v>24</v>
      </c>
      <c r="E366" s="197" t="s">
        <v>111</v>
      </c>
      <c r="F366" s="197" t="s">
        <v>99</v>
      </c>
      <c r="G366" s="260">
        <v>210</v>
      </c>
      <c r="H366" s="197">
        <v>4</v>
      </c>
      <c r="I366" s="197" t="s">
        <v>3964</v>
      </c>
      <c r="J366" s="197" t="s">
        <v>3965</v>
      </c>
      <c r="K366" s="197" t="s">
        <v>1283</v>
      </c>
      <c r="L366" s="261">
        <v>7.0000000000000007E-2</v>
      </c>
      <c r="M366" s="263">
        <v>114.42976400000001</v>
      </c>
      <c r="N366" s="263">
        <f>L366*M366</f>
        <v>8.0100834800000005</v>
      </c>
      <c r="O366" s="199"/>
      <c r="P366" s="261"/>
      <c r="Q366" s="261"/>
      <c r="R366" s="198"/>
      <c r="S366" s="197" t="s">
        <v>4316</v>
      </c>
      <c r="T366" s="197" t="s">
        <v>4317</v>
      </c>
      <c r="U366" s="197" t="s">
        <v>3958</v>
      </c>
      <c r="V366" s="197" t="s">
        <v>3959</v>
      </c>
    </row>
    <row r="367" spans="1:22" s="197" customFormat="1" x14ac:dyDescent="0.2">
      <c r="A367" s="197" t="s">
        <v>4315</v>
      </c>
      <c r="B367" s="197" t="s">
        <v>109</v>
      </c>
      <c r="C367" s="197" t="s">
        <v>1352</v>
      </c>
      <c r="D367" s="197" t="s">
        <v>24</v>
      </c>
      <c r="E367" s="197" t="s">
        <v>111</v>
      </c>
      <c r="F367" s="197" t="s">
        <v>99</v>
      </c>
      <c r="G367" s="260">
        <v>210</v>
      </c>
      <c r="H367" s="197">
        <v>5</v>
      </c>
      <c r="I367" s="197" t="s">
        <v>3966</v>
      </c>
      <c r="J367" s="197" t="s">
        <v>3967</v>
      </c>
      <c r="K367" s="197" t="s">
        <v>1283</v>
      </c>
      <c r="L367" s="261">
        <v>0.03</v>
      </c>
      <c r="M367" s="263">
        <v>114.42976400000001</v>
      </c>
      <c r="N367" s="263">
        <f>L367*M367</f>
        <v>3.43289292</v>
      </c>
      <c r="O367" s="199"/>
      <c r="P367" s="261"/>
      <c r="Q367" s="261"/>
      <c r="R367" s="198"/>
      <c r="S367" s="197" t="s">
        <v>4316</v>
      </c>
      <c r="T367" s="197" t="s">
        <v>4317</v>
      </c>
      <c r="U367" s="197" t="s">
        <v>3958</v>
      </c>
      <c r="V367" s="197" t="s">
        <v>3959</v>
      </c>
    </row>
    <row r="368" spans="1:22" s="197" customFormat="1" x14ac:dyDescent="0.2">
      <c r="A368" s="197" t="s">
        <v>4315</v>
      </c>
      <c r="B368" s="197" t="s">
        <v>109</v>
      </c>
      <c r="C368" s="197" t="s">
        <v>1352</v>
      </c>
      <c r="D368" s="197" t="s">
        <v>24</v>
      </c>
      <c r="E368" s="197" t="s">
        <v>111</v>
      </c>
      <c r="F368" s="197" t="s">
        <v>99</v>
      </c>
      <c r="G368" s="260">
        <v>210</v>
      </c>
      <c r="H368" s="197">
        <v>6</v>
      </c>
      <c r="I368" s="197" t="s">
        <v>3968</v>
      </c>
      <c r="J368" s="197" t="s">
        <v>3969</v>
      </c>
      <c r="K368" s="197" t="s">
        <v>99</v>
      </c>
      <c r="L368" s="261">
        <v>1</v>
      </c>
      <c r="M368" s="263"/>
      <c r="N368" s="263">
        <f>SUM(N363:N367)</f>
        <v>114.42976400000001</v>
      </c>
      <c r="O368" s="199">
        <v>0.2223</v>
      </c>
      <c r="P368" s="261">
        <f>N368*O368</f>
        <v>25.437736537199999</v>
      </c>
      <c r="Q368" s="261">
        <f>N368+P368</f>
        <v>139.86750053720002</v>
      </c>
      <c r="R368" s="198">
        <f>Q368*G368</f>
        <v>29372.175112812005</v>
      </c>
      <c r="S368" s="197" t="s">
        <v>4316</v>
      </c>
      <c r="T368" s="197" t="s">
        <v>4317</v>
      </c>
      <c r="U368" s="197" t="str">
        <f>IF(ABS(Q368-139.8675)&lt;=0.01,"FECHA COM PLANILHA","REVISAR")</f>
        <v>FECHA COM PLANILHA</v>
      </c>
      <c r="V368" s="197" t="s">
        <v>4318</v>
      </c>
    </row>
    <row r="369" spans="1:22" s="197" customFormat="1" x14ac:dyDescent="0.2">
      <c r="A369" s="197" t="s">
        <v>4319</v>
      </c>
      <c r="B369" s="197" t="s">
        <v>219</v>
      </c>
      <c r="C369" s="197" t="s">
        <v>1395</v>
      </c>
      <c r="D369" s="197" t="s">
        <v>56</v>
      </c>
      <c r="E369" s="197" t="s">
        <v>200</v>
      </c>
      <c r="F369" s="197" t="s">
        <v>180</v>
      </c>
      <c r="G369" s="260">
        <v>1954.125</v>
      </c>
      <c r="H369" s="197">
        <v>1</v>
      </c>
      <c r="I369" s="197" t="s">
        <v>3954</v>
      </c>
      <c r="J369" s="197" t="s">
        <v>3982</v>
      </c>
      <c r="K369" s="197" t="s">
        <v>1283</v>
      </c>
      <c r="L369" s="261">
        <v>0.16</v>
      </c>
      <c r="M369" s="263">
        <v>11.922196</v>
      </c>
      <c r="N369" s="263">
        <f>L369*M369</f>
        <v>1.90755136</v>
      </c>
      <c r="O369" s="199"/>
      <c r="P369" s="261"/>
      <c r="Q369" s="261"/>
      <c r="R369" s="198"/>
      <c r="S369" s="197" t="s">
        <v>4320</v>
      </c>
      <c r="T369" s="197" t="s">
        <v>4321</v>
      </c>
      <c r="U369" s="197" t="s">
        <v>3958</v>
      </c>
      <c r="V369" s="197" t="s">
        <v>3959</v>
      </c>
    </row>
    <row r="370" spans="1:22" s="197" customFormat="1" x14ac:dyDescent="0.2">
      <c r="A370" s="197" t="s">
        <v>4319</v>
      </c>
      <c r="B370" s="197" t="s">
        <v>219</v>
      </c>
      <c r="C370" s="197" t="s">
        <v>1395</v>
      </c>
      <c r="D370" s="197" t="s">
        <v>56</v>
      </c>
      <c r="E370" s="197" t="s">
        <v>200</v>
      </c>
      <c r="F370" s="197" t="s">
        <v>180</v>
      </c>
      <c r="G370" s="260">
        <v>1954.125</v>
      </c>
      <c r="H370" s="197">
        <v>2</v>
      </c>
      <c r="I370" s="197" t="s">
        <v>3960</v>
      </c>
      <c r="J370" s="197" t="s">
        <v>3985</v>
      </c>
      <c r="K370" s="197" t="s">
        <v>1283</v>
      </c>
      <c r="L370" s="261">
        <v>0.64</v>
      </c>
      <c r="M370" s="263">
        <v>11.922196</v>
      </c>
      <c r="N370" s="263">
        <f>L370*M370</f>
        <v>7.6302054400000001</v>
      </c>
      <c r="O370" s="199"/>
      <c r="P370" s="261"/>
      <c r="Q370" s="261"/>
      <c r="R370" s="198"/>
      <c r="S370" s="197" t="s">
        <v>4320</v>
      </c>
      <c r="T370" s="197" t="s">
        <v>4321</v>
      </c>
      <c r="U370" s="197" t="s">
        <v>3958</v>
      </c>
      <c r="V370" s="197" t="s">
        <v>3959</v>
      </c>
    </row>
    <row r="371" spans="1:22" s="197" customFormat="1" x14ac:dyDescent="0.2">
      <c r="A371" s="197" t="s">
        <v>4319</v>
      </c>
      <c r="B371" s="197" t="s">
        <v>219</v>
      </c>
      <c r="C371" s="197" t="s">
        <v>1395</v>
      </c>
      <c r="D371" s="197" t="s">
        <v>56</v>
      </c>
      <c r="E371" s="197" t="s">
        <v>200</v>
      </c>
      <c r="F371" s="197" t="s">
        <v>180</v>
      </c>
      <c r="G371" s="260">
        <v>1954.125</v>
      </c>
      <c r="H371" s="197">
        <v>3</v>
      </c>
      <c r="I371" s="197" t="s">
        <v>3962</v>
      </c>
      <c r="J371" s="197" t="s">
        <v>3986</v>
      </c>
      <c r="K371" s="197" t="s">
        <v>1283</v>
      </c>
      <c r="L371" s="261">
        <v>0.15</v>
      </c>
      <c r="M371" s="263">
        <v>11.922196</v>
      </c>
      <c r="N371" s="263">
        <f>L371*M371</f>
        <v>1.7883293999999998</v>
      </c>
      <c r="O371" s="199"/>
      <c r="P371" s="261"/>
      <c r="Q371" s="261"/>
      <c r="R371" s="198"/>
      <c r="S371" s="197" t="s">
        <v>4320</v>
      </c>
      <c r="T371" s="197" t="s">
        <v>4321</v>
      </c>
      <c r="U371" s="197" t="s">
        <v>3958</v>
      </c>
      <c r="V371" s="197" t="s">
        <v>3959</v>
      </c>
    </row>
    <row r="372" spans="1:22" s="197" customFormat="1" x14ac:dyDescent="0.2">
      <c r="A372" s="197" t="s">
        <v>4319</v>
      </c>
      <c r="B372" s="197" t="s">
        <v>219</v>
      </c>
      <c r="C372" s="197" t="s">
        <v>1395</v>
      </c>
      <c r="D372" s="197" t="s">
        <v>56</v>
      </c>
      <c r="E372" s="197" t="s">
        <v>200</v>
      </c>
      <c r="F372" s="197" t="s">
        <v>180</v>
      </c>
      <c r="G372" s="260">
        <v>1954.125</v>
      </c>
      <c r="H372" s="197">
        <v>4</v>
      </c>
      <c r="I372" s="197" t="s">
        <v>3987</v>
      </c>
      <c r="J372" s="197" t="s">
        <v>3988</v>
      </c>
      <c r="K372" s="197" t="s">
        <v>1283</v>
      </c>
      <c r="L372" s="261">
        <v>0.05</v>
      </c>
      <c r="M372" s="263">
        <v>11.922196</v>
      </c>
      <c r="N372" s="263">
        <f>L372*M372</f>
        <v>0.59610980000000002</v>
      </c>
      <c r="O372" s="199"/>
      <c r="P372" s="261"/>
      <c r="Q372" s="261"/>
      <c r="R372" s="198"/>
      <c r="S372" s="197" t="s">
        <v>4320</v>
      </c>
      <c r="T372" s="197" t="s">
        <v>4321</v>
      </c>
      <c r="U372" s="197" t="s">
        <v>3958</v>
      </c>
      <c r="V372" s="197" t="s">
        <v>3959</v>
      </c>
    </row>
    <row r="373" spans="1:22" s="197" customFormat="1" x14ac:dyDescent="0.2">
      <c r="A373" s="197" t="s">
        <v>4319</v>
      </c>
      <c r="B373" s="197" t="s">
        <v>219</v>
      </c>
      <c r="C373" s="197" t="s">
        <v>1395</v>
      </c>
      <c r="D373" s="197" t="s">
        <v>56</v>
      </c>
      <c r="E373" s="197" t="s">
        <v>200</v>
      </c>
      <c r="F373" s="197" t="s">
        <v>180</v>
      </c>
      <c r="G373" s="260">
        <v>1954.125</v>
      </c>
      <c r="H373" s="197">
        <v>5</v>
      </c>
      <c r="I373" s="197" t="s">
        <v>3968</v>
      </c>
      <c r="J373" s="197" t="s">
        <v>3969</v>
      </c>
      <c r="K373" s="197" t="s">
        <v>180</v>
      </c>
      <c r="L373" s="261">
        <v>1</v>
      </c>
      <c r="M373" s="263"/>
      <c r="N373" s="263">
        <f>SUM(N369:N372)</f>
        <v>11.922196000000001</v>
      </c>
      <c r="O373" s="199">
        <v>0.2223</v>
      </c>
      <c r="P373" s="261">
        <f>N373*O373</f>
        <v>2.6503041708000001</v>
      </c>
      <c r="Q373" s="261">
        <f>N373+P373</f>
        <v>14.572500170800001</v>
      </c>
      <c r="R373" s="198">
        <f>Q373*G373</f>
        <v>28476.486896264552</v>
      </c>
      <c r="S373" s="197" t="s">
        <v>4320</v>
      </c>
      <c r="T373" s="197" t="s">
        <v>4321</v>
      </c>
      <c r="U373" s="197" t="str">
        <f>IF(ABS(Q373-14.5725)&lt;=0.01,"FECHA COM PLANILHA","REVISAR")</f>
        <v>FECHA COM PLANILHA</v>
      </c>
      <c r="V373" s="197" t="s">
        <v>4322</v>
      </c>
    </row>
    <row r="374" spans="1:22" s="197" customFormat="1" x14ac:dyDescent="0.2">
      <c r="A374" s="197" t="s">
        <v>4323</v>
      </c>
      <c r="B374" s="197" t="s">
        <v>454</v>
      </c>
      <c r="C374" s="197" t="s">
        <v>1513</v>
      </c>
      <c r="D374" s="197" t="s">
        <v>335</v>
      </c>
      <c r="E374" s="197" t="s">
        <v>455</v>
      </c>
      <c r="F374" s="197" t="s">
        <v>84</v>
      </c>
      <c r="G374" s="260">
        <v>11</v>
      </c>
      <c r="H374" s="197">
        <v>1</v>
      </c>
      <c r="I374" s="197" t="s">
        <v>3954</v>
      </c>
      <c r="J374" s="197" t="s">
        <v>4049</v>
      </c>
      <c r="K374" s="197" t="s">
        <v>1283</v>
      </c>
      <c r="L374" s="261">
        <v>0.24</v>
      </c>
      <c r="M374" s="263">
        <v>2082.5002049999998</v>
      </c>
      <c r="N374" s="263">
        <f>L374*M374</f>
        <v>499.80004919999993</v>
      </c>
      <c r="O374" s="199"/>
      <c r="P374" s="261"/>
      <c r="Q374" s="261"/>
      <c r="R374" s="198"/>
      <c r="S374" s="197" t="s">
        <v>4324</v>
      </c>
      <c r="T374" s="197" t="s">
        <v>4325</v>
      </c>
      <c r="U374" s="197" t="s">
        <v>3958</v>
      </c>
      <c r="V374" s="197" t="s">
        <v>3959</v>
      </c>
    </row>
    <row r="375" spans="1:22" s="197" customFormat="1" x14ac:dyDescent="0.2">
      <c r="A375" s="197" t="s">
        <v>4323</v>
      </c>
      <c r="B375" s="197" t="s">
        <v>454</v>
      </c>
      <c r="C375" s="197" t="s">
        <v>1513</v>
      </c>
      <c r="D375" s="197" t="s">
        <v>335</v>
      </c>
      <c r="E375" s="197" t="s">
        <v>455</v>
      </c>
      <c r="F375" s="197" t="s">
        <v>84</v>
      </c>
      <c r="G375" s="260">
        <v>11</v>
      </c>
      <c r="H375" s="197">
        <v>2</v>
      </c>
      <c r="I375" s="197" t="s">
        <v>3960</v>
      </c>
      <c r="J375" s="197" t="s">
        <v>4052</v>
      </c>
      <c r="K375" s="197" t="s">
        <v>1283</v>
      </c>
      <c r="L375" s="261">
        <v>0.68</v>
      </c>
      <c r="M375" s="263">
        <v>2082.5002049999998</v>
      </c>
      <c r="N375" s="263">
        <f>L375*M375</f>
        <v>1416.1001394</v>
      </c>
      <c r="O375" s="199"/>
      <c r="P375" s="261"/>
      <c r="Q375" s="261"/>
      <c r="R375" s="198"/>
      <c r="S375" s="197" t="s">
        <v>4324</v>
      </c>
      <c r="T375" s="197" t="s">
        <v>4325</v>
      </c>
      <c r="U375" s="197" t="s">
        <v>3958</v>
      </c>
      <c r="V375" s="197" t="s">
        <v>3959</v>
      </c>
    </row>
    <row r="376" spans="1:22" s="197" customFormat="1" x14ac:dyDescent="0.2">
      <c r="A376" s="197" t="s">
        <v>4323</v>
      </c>
      <c r="B376" s="197" t="s">
        <v>454</v>
      </c>
      <c r="C376" s="197" t="s">
        <v>1513</v>
      </c>
      <c r="D376" s="197" t="s">
        <v>335</v>
      </c>
      <c r="E376" s="197" t="s">
        <v>455</v>
      </c>
      <c r="F376" s="197" t="s">
        <v>84</v>
      </c>
      <c r="G376" s="260">
        <v>11</v>
      </c>
      <c r="H376" s="197">
        <v>3</v>
      </c>
      <c r="I376" s="197" t="s">
        <v>3976</v>
      </c>
      <c r="J376" s="197" t="s">
        <v>4053</v>
      </c>
      <c r="K376" s="197" t="s">
        <v>1283</v>
      </c>
      <c r="L376" s="261">
        <v>0.04</v>
      </c>
      <c r="M376" s="263">
        <v>2082.5002049999998</v>
      </c>
      <c r="N376" s="263">
        <f>L376*M376</f>
        <v>83.300008199999994</v>
      </c>
      <c r="O376" s="199"/>
      <c r="P376" s="261"/>
      <c r="Q376" s="261"/>
      <c r="R376" s="198"/>
      <c r="S376" s="197" t="s">
        <v>4324</v>
      </c>
      <c r="T376" s="197" t="s">
        <v>4325</v>
      </c>
      <c r="U376" s="197" t="s">
        <v>3958</v>
      </c>
      <c r="V376" s="197" t="s">
        <v>3959</v>
      </c>
    </row>
    <row r="377" spans="1:22" s="197" customFormat="1" x14ac:dyDescent="0.2">
      <c r="A377" s="197" t="s">
        <v>4323</v>
      </c>
      <c r="B377" s="197" t="s">
        <v>454</v>
      </c>
      <c r="C377" s="197" t="s">
        <v>1513</v>
      </c>
      <c r="D377" s="197" t="s">
        <v>335</v>
      </c>
      <c r="E377" s="197" t="s">
        <v>455</v>
      </c>
      <c r="F377" s="197" t="s">
        <v>84</v>
      </c>
      <c r="G377" s="260">
        <v>11</v>
      </c>
      <c r="H377" s="197">
        <v>4</v>
      </c>
      <c r="I377" s="197" t="s">
        <v>4054</v>
      </c>
      <c r="J377" s="197" t="s">
        <v>4055</v>
      </c>
      <c r="K377" s="197" t="s">
        <v>1283</v>
      </c>
      <c r="L377" s="261">
        <v>0.04</v>
      </c>
      <c r="M377" s="263">
        <v>2082.5002049999998</v>
      </c>
      <c r="N377" s="263">
        <f>L377*M377</f>
        <v>83.300008199999994</v>
      </c>
      <c r="O377" s="199"/>
      <c r="P377" s="261"/>
      <c r="Q377" s="261"/>
      <c r="R377" s="198"/>
      <c r="S377" s="197" t="s">
        <v>4324</v>
      </c>
      <c r="T377" s="197" t="s">
        <v>4325</v>
      </c>
      <c r="U377" s="197" t="s">
        <v>3958</v>
      </c>
      <c r="V377" s="197" t="s">
        <v>3959</v>
      </c>
    </row>
    <row r="378" spans="1:22" s="197" customFormat="1" x14ac:dyDescent="0.2">
      <c r="A378" s="197" t="s">
        <v>4323</v>
      </c>
      <c r="B378" s="197" t="s">
        <v>454</v>
      </c>
      <c r="C378" s="197" t="s">
        <v>1513</v>
      </c>
      <c r="D378" s="197" t="s">
        <v>335</v>
      </c>
      <c r="E378" s="197" t="s">
        <v>455</v>
      </c>
      <c r="F378" s="197" t="s">
        <v>84</v>
      </c>
      <c r="G378" s="260">
        <v>11</v>
      </c>
      <c r="H378" s="197">
        <v>5</v>
      </c>
      <c r="I378" s="197" t="s">
        <v>3968</v>
      </c>
      <c r="J378" s="197" t="s">
        <v>3969</v>
      </c>
      <c r="K378" s="197" t="s">
        <v>84</v>
      </c>
      <c r="L378" s="261">
        <v>1</v>
      </c>
      <c r="M378" s="263"/>
      <c r="N378" s="263">
        <f>SUM(N374:N377)</f>
        <v>2082.5002049999998</v>
      </c>
      <c r="O378" s="199">
        <v>0.2223</v>
      </c>
      <c r="P378" s="261">
        <f>N378*O378</f>
        <v>462.93979557149993</v>
      </c>
      <c r="Q378" s="261">
        <f>N378+P378</f>
        <v>2545.4400005714997</v>
      </c>
      <c r="R378" s="198">
        <f>Q378*G378</f>
        <v>27999.840006286497</v>
      </c>
      <c r="S378" s="197" t="s">
        <v>4324</v>
      </c>
      <c r="T378" s="197" t="s">
        <v>4325</v>
      </c>
      <c r="U378" s="197" t="str">
        <f>IF(ABS(Q378-2545.44)&lt;=0.01,"FECHA COM PLANILHA","REVISAR")</f>
        <v>FECHA COM PLANILHA</v>
      </c>
      <c r="V378" s="197" t="s">
        <v>4326</v>
      </c>
    </row>
    <row r="379" spans="1:22" s="197" customFormat="1" x14ac:dyDescent="0.2">
      <c r="A379" s="197" t="s">
        <v>4327</v>
      </c>
      <c r="B379" s="197" t="s">
        <v>1390</v>
      </c>
      <c r="C379" s="197" t="s">
        <v>1391</v>
      </c>
      <c r="D379" s="197" t="s">
        <v>56</v>
      </c>
      <c r="E379" s="197" t="s">
        <v>192</v>
      </c>
      <c r="F379" s="197" t="s">
        <v>26</v>
      </c>
      <c r="G379" s="260">
        <v>517.53800000000001</v>
      </c>
      <c r="H379" s="197">
        <v>1</v>
      </c>
      <c r="I379" s="197" t="s">
        <v>3954</v>
      </c>
      <c r="J379" s="197" t="s">
        <v>4110</v>
      </c>
      <c r="K379" s="197" t="s">
        <v>1283</v>
      </c>
      <c r="L379" s="261">
        <v>0.3</v>
      </c>
      <c r="M379" s="263">
        <v>43.847664000000002</v>
      </c>
      <c r="N379" s="263">
        <f>L379*M379</f>
        <v>13.154299200000001</v>
      </c>
      <c r="O379" s="199"/>
      <c r="P379" s="261"/>
      <c r="Q379" s="261"/>
      <c r="R379" s="198"/>
      <c r="S379" s="197" t="s">
        <v>4328</v>
      </c>
      <c r="T379" s="197" t="s">
        <v>4329</v>
      </c>
      <c r="U379" s="197" t="s">
        <v>3958</v>
      </c>
      <c r="V379" s="197" t="s">
        <v>3959</v>
      </c>
    </row>
    <row r="380" spans="1:22" s="197" customFormat="1" x14ac:dyDescent="0.2">
      <c r="A380" s="197" t="s">
        <v>4327</v>
      </c>
      <c r="B380" s="197" t="s">
        <v>1390</v>
      </c>
      <c r="C380" s="197" t="s">
        <v>1391</v>
      </c>
      <c r="D380" s="197" t="s">
        <v>56</v>
      </c>
      <c r="E380" s="197" t="s">
        <v>192</v>
      </c>
      <c r="F380" s="197" t="s">
        <v>26</v>
      </c>
      <c r="G380" s="260">
        <v>517.53800000000001</v>
      </c>
      <c r="H380" s="197">
        <v>2</v>
      </c>
      <c r="I380" s="197" t="s">
        <v>3960</v>
      </c>
      <c r="J380" s="197" t="s">
        <v>4113</v>
      </c>
      <c r="K380" s="197" t="s">
        <v>1283</v>
      </c>
      <c r="L380" s="261">
        <v>0.55000000000000004</v>
      </c>
      <c r="M380" s="263">
        <v>43.847664000000002</v>
      </c>
      <c r="N380" s="263">
        <f>L380*M380</f>
        <v>24.116215200000003</v>
      </c>
      <c r="O380" s="199"/>
      <c r="P380" s="261"/>
      <c r="Q380" s="261"/>
      <c r="R380" s="198"/>
      <c r="S380" s="197" t="s">
        <v>4328</v>
      </c>
      <c r="T380" s="197" t="s">
        <v>4329</v>
      </c>
      <c r="U380" s="197" t="s">
        <v>3958</v>
      </c>
      <c r="V380" s="197" t="s">
        <v>3959</v>
      </c>
    </row>
    <row r="381" spans="1:22" s="197" customFormat="1" x14ac:dyDescent="0.2">
      <c r="A381" s="197" t="s">
        <v>4327</v>
      </c>
      <c r="B381" s="197" t="s">
        <v>1390</v>
      </c>
      <c r="C381" s="197" t="s">
        <v>1391</v>
      </c>
      <c r="D381" s="197" t="s">
        <v>56</v>
      </c>
      <c r="E381" s="197" t="s">
        <v>192</v>
      </c>
      <c r="F381" s="197" t="s">
        <v>26</v>
      </c>
      <c r="G381" s="260">
        <v>517.53800000000001</v>
      </c>
      <c r="H381" s="197">
        <v>3</v>
      </c>
      <c r="I381" s="197" t="s">
        <v>3976</v>
      </c>
      <c r="J381" s="197" t="s">
        <v>4114</v>
      </c>
      <c r="K381" s="197" t="s">
        <v>1283</v>
      </c>
      <c r="L381" s="261">
        <v>0.1</v>
      </c>
      <c r="M381" s="263">
        <v>43.847664000000002</v>
      </c>
      <c r="N381" s="263">
        <f>L381*M381</f>
        <v>4.3847664000000002</v>
      </c>
      <c r="O381" s="199"/>
      <c r="P381" s="261"/>
      <c r="Q381" s="261"/>
      <c r="R381" s="198"/>
      <c r="S381" s="197" t="s">
        <v>4328</v>
      </c>
      <c r="T381" s="197" t="s">
        <v>4329</v>
      </c>
      <c r="U381" s="197" t="s">
        <v>3958</v>
      </c>
      <c r="V381" s="197" t="s">
        <v>3959</v>
      </c>
    </row>
    <row r="382" spans="1:22" s="197" customFormat="1" x14ac:dyDescent="0.2">
      <c r="A382" s="197" t="s">
        <v>4327</v>
      </c>
      <c r="B382" s="197" t="s">
        <v>1390</v>
      </c>
      <c r="C382" s="197" t="s">
        <v>1391</v>
      </c>
      <c r="D382" s="197" t="s">
        <v>56</v>
      </c>
      <c r="E382" s="197" t="s">
        <v>192</v>
      </c>
      <c r="F382" s="197" t="s">
        <v>26</v>
      </c>
      <c r="G382" s="260">
        <v>517.53800000000001</v>
      </c>
      <c r="H382" s="197">
        <v>4</v>
      </c>
      <c r="I382" s="197" t="s">
        <v>4017</v>
      </c>
      <c r="J382" s="197" t="s">
        <v>4115</v>
      </c>
      <c r="K382" s="197" t="s">
        <v>1283</v>
      </c>
      <c r="L382" s="261">
        <v>0.05</v>
      </c>
      <c r="M382" s="263">
        <v>43.847664000000002</v>
      </c>
      <c r="N382" s="263">
        <f>L382*M382</f>
        <v>2.1923832000000001</v>
      </c>
      <c r="O382" s="199"/>
      <c r="P382" s="261"/>
      <c r="Q382" s="261"/>
      <c r="R382" s="198"/>
      <c r="S382" s="197" t="s">
        <v>4328</v>
      </c>
      <c r="T382" s="197" t="s">
        <v>4329</v>
      </c>
      <c r="U382" s="197" t="s">
        <v>3958</v>
      </c>
      <c r="V382" s="197" t="s">
        <v>3959</v>
      </c>
    </row>
    <row r="383" spans="1:22" s="197" customFormat="1" x14ac:dyDescent="0.2">
      <c r="A383" s="197" t="s">
        <v>4327</v>
      </c>
      <c r="B383" s="197" t="s">
        <v>1390</v>
      </c>
      <c r="C383" s="197" t="s">
        <v>1391</v>
      </c>
      <c r="D383" s="197" t="s">
        <v>56</v>
      </c>
      <c r="E383" s="197" t="s">
        <v>192</v>
      </c>
      <c r="F383" s="197" t="s">
        <v>26</v>
      </c>
      <c r="G383" s="260">
        <v>517.53800000000001</v>
      </c>
      <c r="H383" s="197">
        <v>5</v>
      </c>
      <c r="I383" s="197" t="s">
        <v>3968</v>
      </c>
      <c r="J383" s="197" t="s">
        <v>3969</v>
      </c>
      <c r="K383" s="197" t="s">
        <v>26</v>
      </c>
      <c r="L383" s="261">
        <v>1</v>
      </c>
      <c r="M383" s="263"/>
      <c r="N383" s="263">
        <f>SUM(N379:N382)</f>
        <v>43.847664000000002</v>
      </c>
      <c r="O383" s="199">
        <v>0.2223</v>
      </c>
      <c r="P383" s="261">
        <f>N383*O383</f>
        <v>9.7473357071999995</v>
      </c>
      <c r="Q383" s="261">
        <f>N383+P383</f>
        <v>53.594999707200003</v>
      </c>
      <c r="R383" s="198">
        <f>Q383*G383</f>
        <v>27737.448958464876</v>
      </c>
      <c r="S383" s="197" t="s">
        <v>4328</v>
      </c>
      <c r="T383" s="197" t="s">
        <v>4329</v>
      </c>
      <c r="U383" s="197" t="str">
        <f>IF(ABS(Q383-53.595)&lt;=0.01,"FECHA COM PLANILHA","REVISAR")</f>
        <v>FECHA COM PLANILHA</v>
      </c>
      <c r="V383" s="197" t="s">
        <v>4330</v>
      </c>
    </row>
    <row r="384" spans="1:22" s="197" customFormat="1" x14ac:dyDescent="0.2">
      <c r="A384" s="197" t="s">
        <v>4331</v>
      </c>
      <c r="B384" s="197" t="s">
        <v>456</v>
      </c>
      <c r="C384" s="197" t="s">
        <v>457</v>
      </c>
      <c r="D384" s="197" t="s">
        <v>209</v>
      </c>
      <c r="E384" s="197" t="s">
        <v>458</v>
      </c>
      <c r="F384" s="197" t="s">
        <v>84</v>
      </c>
      <c r="G384" s="260">
        <v>11</v>
      </c>
      <c r="H384" s="197">
        <v>1</v>
      </c>
      <c r="I384" s="197" t="s">
        <v>4066</v>
      </c>
      <c r="J384" s="197" t="s">
        <v>4067</v>
      </c>
      <c r="K384" s="197" t="s">
        <v>1283</v>
      </c>
      <c r="L384" s="261">
        <v>0.7</v>
      </c>
      <c r="M384" s="263">
        <v>2009.7275629999999</v>
      </c>
      <c r="N384" s="263">
        <f>L384*M384</f>
        <v>1406.8092940999998</v>
      </c>
      <c r="O384" s="199"/>
      <c r="P384" s="261"/>
      <c r="Q384" s="261"/>
      <c r="R384" s="198"/>
      <c r="S384" s="197" t="s">
        <v>4332</v>
      </c>
      <c r="T384" s="197" t="s">
        <v>4333</v>
      </c>
      <c r="U384" s="197" t="s">
        <v>3958</v>
      </c>
      <c r="V384" s="197" t="s">
        <v>3959</v>
      </c>
    </row>
    <row r="385" spans="1:22" s="197" customFormat="1" x14ac:dyDescent="0.2">
      <c r="A385" s="197" t="s">
        <v>4331</v>
      </c>
      <c r="B385" s="197" t="s">
        <v>456</v>
      </c>
      <c r="C385" s="197" t="s">
        <v>457</v>
      </c>
      <c r="D385" s="197" t="s">
        <v>209</v>
      </c>
      <c r="E385" s="197" t="s">
        <v>458</v>
      </c>
      <c r="F385" s="197" t="s">
        <v>84</v>
      </c>
      <c r="G385" s="260">
        <v>11</v>
      </c>
      <c r="H385" s="197">
        <v>2</v>
      </c>
      <c r="I385" s="197" t="s">
        <v>4070</v>
      </c>
      <c r="J385" s="197" t="s">
        <v>4071</v>
      </c>
      <c r="K385" s="197" t="s">
        <v>1283</v>
      </c>
      <c r="L385" s="261">
        <v>0.15</v>
      </c>
      <c r="M385" s="263">
        <v>2009.7275629999999</v>
      </c>
      <c r="N385" s="263">
        <f>L385*M385</f>
        <v>301.45913444999996</v>
      </c>
      <c r="O385" s="199"/>
      <c r="P385" s="261"/>
      <c r="Q385" s="261"/>
      <c r="R385" s="198"/>
      <c r="S385" s="197" t="s">
        <v>4332</v>
      </c>
      <c r="T385" s="197" t="s">
        <v>4333</v>
      </c>
      <c r="U385" s="197" t="s">
        <v>3958</v>
      </c>
      <c r="V385" s="197" t="s">
        <v>3959</v>
      </c>
    </row>
    <row r="386" spans="1:22" s="197" customFormat="1" x14ac:dyDescent="0.2">
      <c r="A386" s="197" t="s">
        <v>4331</v>
      </c>
      <c r="B386" s="197" t="s">
        <v>456</v>
      </c>
      <c r="C386" s="197" t="s">
        <v>457</v>
      </c>
      <c r="D386" s="197" t="s">
        <v>209</v>
      </c>
      <c r="E386" s="197" t="s">
        <v>458</v>
      </c>
      <c r="F386" s="197" t="s">
        <v>84</v>
      </c>
      <c r="G386" s="260">
        <v>11</v>
      </c>
      <c r="H386" s="197">
        <v>3</v>
      </c>
      <c r="I386" s="197" t="s">
        <v>4072</v>
      </c>
      <c r="J386" s="197" t="s">
        <v>4073</v>
      </c>
      <c r="K386" s="197" t="s">
        <v>1283</v>
      </c>
      <c r="L386" s="261">
        <v>0.15</v>
      </c>
      <c r="M386" s="263">
        <v>2009.7275629999999</v>
      </c>
      <c r="N386" s="263">
        <f>L386*M386</f>
        <v>301.45913444999996</v>
      </c>
      <c r="O386" s="199"/>
      <c r="P386" s="261"/>
      <c r="Q386" s="261"/>
      <c r="R386" s="198"/>
      <c r="S386" s="197" t="s">
        <v>4332</v>
      </c>
      <c r="T386" s="197" t="s">
        <v>4333</v>
      </c>
      <c r="U386" s="197" t="s">
        <v>3958</v>
      </c>
      <c r="V386" s="197" t="s">
        <v>3959</v>
      </c>
    </row>
    <row r="387" spans="1:22" s="197" customFormat="1" x14ac:dyDescent="0.2">
      <c r="A387" s="197" t="s">
        <v>4331</v>
      </c>
      <c r="B387" s="197" t="s">
        <v>456</v>
      </c>
      <c r="C387" s="197" t="s">
        <v>457</v>
      </c>
      <c r="D387" s="197" t="s">
        <v>209</v>
      </c>
      <c r="E387" s="197" t="s">
        <v>458</v>
      </c>
      <c r="F387" s="197" t="s">
        <v>84</v>
      </c>
      <c r="G387" s="260">
        <v>11</v>
      </c>
      <c r="H387" s="197">
        <v>4</v>
      </c>
      <c r="I387" s="197" t="s">
        <v>3968</v>
      </c>
      <c r="J387" s="197" t="s">
        <v>3969</v>
      </c>
      <c r="K387" s="197" t="s">
        <v>84</v>
      </c>
      <c r="L387" s="261">
        <v>1</v>
      </c>
      <c r="M387" s="263"/>
      <c r="N387" s="263">
        <f>SUM(N384:N386)</f>
        <v>2009.7275629999997</v>
      </c>
      <c r="O387" s="199">
        <v>0.2223</v>
      </c>
      <c r="P387" s="261">
        <f>N387*O387</f>
        <v>446.76243725489991</v>
      </c>
      <c r="Q387" s="261">
        <f>N387+P387</f>
        <v>2456.4900002548998</v>
      </c>
      <c r="R387" s="198">
        <f>Q387*G387</f>
        <v>27021.390002803899</v>
      </c>
      <c r="S387" s="197" t="s">
        <v>4332</v>
      </c>
      <c r="T387" s="197" t="s">
        <v>4333</v>
      </c>
      <c r="U387" s="197" t="str">
        <f>IF(ABS(Q387-2456.49)&lt;=0.01,"FECHA COM PLANILHA","REVISAR")</f>
        <v>FECHA COM PLANILHA</v>
      </c>
      <c r="V387" s="197" t="s">
        <v>4334</v>
      </c>
    </row>
    <row r="388" spans="1:22" s="197" customFormat="1" x14ac:dyDescent="0.2">
      <c r="A388" s="197" t="s">
        <v>4335</v>
      </c>
      <c r="B388" s="197" t="s">
        <v>181</v>
      </c>
      <c r="C388" s="197" t="s">
        <v>1381</v>
      </c>
      <c r="D388" s="197" t="s">
        <v>56</v>
      </c>
      <c r="E388" s="197" t="s">
        <v>1382</v>
      </c>
      <c r="F388" s="197" t="s">
        <v>180</v>
      </c>
      <c r="G388" s="260">
        <v>1839.22</v>
      </c>
      <c r="H388" s="197">
        <v>1</v>
      </c>
      <c r="I388" s="197" t="s">
        <v>3954</v>
      </c>
      <c r="J388" s="197" t="s">
        <v>3972</v>
      </c>
      <c r="K388" s="197" t="s">
        <v>1283</v>
      </c>
      <c r="L388" s="261">
        <v>0.18</v>
      </c>
      <c r="M388" s="263">
        <v>11.596989000000001</v>
      </c>
      <c r="N388" s="263">
        <f>L388*M388</f>
        <v>2.0874580200000001</v>
      </c>
      <c r="O388" s="199"/>
      <c r="P388" s="261"/>
      <c r="Q388" s="261"/>
      <c r="R388" s="198"/>
      <c r="S388" s="197" t="s">
        <v>4336</v>
      </c>
      <c r="T388" s="197" t="s">
        <v>4337</v>
      </c>
      <c r="U388" s="197" t="s">
        <v>3958</v>
      </c>
      <c r="V388" s="197" t="s">
        <v>3959</v>
      </c>
    </row>
    <row r="389" spans="1:22" s="197" customFormat="1" x14ac:dyDescent="0.2">
      <c r="A389" s="197" t="s">
        <v>4335</v>
      </c>
      <c r="B389" s="197" t="s">
        <v>181</v>
      </c>
      <c r="C389" s="197" t="s">
        <v>1381</v>
      </c>
      <c r="D389" s="197" t="s">
        <v>56</v>
      </c>
      <c r="E389" s="197" t="s">
        <v>1382</v>
      </c>
      <c r="F389" s="197" t="s">
        <v>180</v>
      </c>
      <c r="G389" s="260">
        <v>1839.22</v>
      </c>
      <c r="H389" s="197">
        <v>2</v>
      </c>
      <c r="I389" s="197" t="s">
        <v>3960</v>
      </c>
      <c r="J389" s="197" t="s">
        <v>3975</v>
      </c>
      <c r="K389" s="197" t="s">
        <v>1283</v>
      </c>
      <c r="L389" s="261">
        <v>0.75</v>
      </c>
      <c r="M389" s="263">
        <v>11.596989000000001</v>
      </c>
      <c r="N389" s="263">
        <f>L389*M389</f>
        <v>8.6977417500000005</v>
      </c>
      <c r="O389" s="199"/>
      <c r="P389" s="261"/>
      <c r="Q389" s="261"/>
      <c r="R389" s="198"/>
      <c r="S389" s="197" t="s">
        <v>4336</v>
      </c>
      <c r="T389" s="197" t="s">
        <v>4337</v>
      </c>
      <c r="U389" s="197" t="s">
        <v>3958</v>
      </c>
      <c r="V389" s="197" t="s">
        <v>3959</v>
      </c>
    </row>
    <row r="390" spans="1:22" s="197" customFormat="1" x14ac:dyDescent="0.2">
      <c r="A390" s="197" t="s">
        <v>4335</v>
      </c>
      <c r="B390" s="197" t="s">
        <v>181</v>
      </c>
      <c r="C390" s="197" t="s">
        <v>1381</v>
      </c>
      <c r="D390" s="197" t="s">
        <v>56</v>
      </c>
      <c r="E390" s="197" t="s">
        <v>1382</v>
      </c>
      <c r="F390" s="197" t="s">
        <v>180</v>
      </c>
      <c r="G390" s="260">
        <v>1839.22</v>
      </c>
      <c r="H390" s="197">
        <v>3</v>
      </c>
      <c r="I390" s="197" t="s">
        <v>3976</v>
      </c>
      <c r="J390" s="197" t="s">
        <v>3977</v>
      </c>
      <c r="K390" s="197" t="s">
        <v>1283</v>
      </c>
      <c r="L390" s="261">
        <v>0.04</v>
      </c>
      <c r="M390" s="263">
        <v>11.596989000000001</v>
      </c>
      <c r="N390" s="263">
        <f>L390*M390</f>
        <v>0.46387956000000002</v>
      </c>
      <c r="O390" s="199"/>
      <c r="P390" s="261"/>
      <c r="Q390" s="261"/>
      <c r="R390" s="198"/>
      <c r="S390" s="197" t="s">
        <v>4336</v>
      </c>
      <c r="T390" s="197" t="s">
        <v>4337</v>
      </c>
      <c r="U390" s="197" t="s">
        <v>3958</v>
      </c>
      <c r="V390" s="197" t="s">
        <v>3959</v>
      </c>
    </row>
    <row r="391" spans="1:22" s="197" customFormat="1" x14ac:dyDescent="0.2">
      <c r="A391" s="197" t="s">
        <v>4335</v>
      </c>
      <c r="B391" s="197" t="s">
        <v>181</v>
      </c>
      <c r="C391" s="197" t="s">
        <v>1381</v>
      </c>
      <c r="D391" s="197" t="s">
        <v>56</v>
      </c>
      <c r="E391" s="197" t="s">
        <v>1382</v>
      </c>
      <c r="F391" s="197" t="s">
        <v>180</v>
      </c>
      <c r="G391" s="260">
        <v>1839.22</v>
      </c>
      <c r="H391" s="197">
        <v>4</v>
      </c>
      <c r="I391" s="197" t="s">
        <v>3978</v>
      </c>
      <c r="J391" s="197" t="s">
        <v>3979</v>
      </c>
      <c r="K391" s="197" t="s">
        <v>1283</v>
      </c>
      <c r="L391" s="261">
        <v>0.03</v>
      </c>
      <c r="M391" s="263">
        <v>11.596989000000001</v>
      </c>
      <c r="N391" s="263">
        <f>L391*M391</f>
        <v>0.34790967</v>
      </c>
      <c r="O391" s="199"/>
      <c r="P391" s="261"/>
      <c r="Q391" s="261"/>
      <c r="R391" s="198"/>
      <c r="S391" s="197" t="s">
        <v>4336</v>
      </c>
      <c r="T391" s="197" t="s">
        <v>4337</v>
      </c>
      <c r="U391" s="197" t="s">
        <v>3958</v>
      </c>
      <c r="V391" s="197" t="s">
        <v>3959</v>
      </c>
    </row>
    <row r="392" spans="1:22" s="197" customFormat="1" x14ac:dyDescent="0.2">
      <c r="A392" s="197" t="s">
        <v>4335</v>
      </c>
      <c r="B392" s="197" t="s">
        <v>181</v>
      </c>
      <c r="C392" s="197" t="s">
        <v>1381</v>
      </c>
      <c r="D392" s="197" t="s">
        <v>56</v>
      </c>
      <c r="E392" s="197" t="s">
        <v>1382</v>
      </c>
      <c r="F392" s="197" t="s">
        <v>180</v>
      </c>
      <c r="G392" s="260">
        <v>1839.22</v>
      </c>
      <c r="H392" s="197">
        <v>5</v>
      </c>
      <c r="I392" s="197" t="s">
        <v>3968</v>
      </c>
      <c r="J392" s="197" t="s">
        <v>3969</v>
      </c>
      <c r="K392" s="197" t="s">
        <v>180</v>
      </c>
      <c r="L392" s="261">
        <v>1</v>
      </c>
      <c r="M392" s="263"/>
      <c r="N392" s="263">
        <f>SUM(N388:N391)</f>
        <v>11.596989000000001</v>
      </c>
      <c r="O392" s="199">
        <v>0.2223</v>
      </c>
      <c r="P392" s="261">
        <f>N392*O392</f>
        <v>2.5780106546999999</v>
      </c>
      <c r="Q392" s="261">
        <f>N392+P392</f>
        <v>14.174999654700001</v>
      </c>
      <c r="R392" s="198">
        <f>Q392*G392</f>
        <v>26070.942864917335</v>
      </c>
      <c r="S392" s="197" t="s">
        <v>4336</v>
      </c>
      <c r="T392" s="197" t="s">
        <v>4337</v>
      </c>
      <c r="U392" s="197" t="str">
        <f>IF(ABS(Q392-14.175)&lt;=0.01,"FECHA COM PLANILHA","REVISAR")</f>
        <v>FECHA COM PLANILHA</v>
      </c>
      <c r="V392" s="197" t="s">
        <v>4338</v>
      </c>
    </row>
    <row r="393" spans="1:22" s="197" customFormat="1" x14ac:dyDescent="0.2">
      <c r="A393" s="197" t="s">
        <v>4339</v>
      </c>
      <c r="B393" s="197" t="s">
        <v>176</v>
      </c>
      <c r="C393" s="197" t="s">
        <v>1379</v>
      </c>
      <c r="D393" s="197" t="s">
        <v>56</v>
      </c>
      <c r="E393" s="197" t="s">
        <v>177</v>
      </c>
      <c r="F393" s="197" t="s">
        <v>26</v>
      </c>
      <c r="G393" s="260">
        <v>312.59800000000001</v>
      </c>
      <c r="H393" s="197">
        <v>1</v>
      </c>
      <c r="I393" s="197" t="s">
        <v>3954</v>
      </c>
      <c r="J393" s="197" t="s">
        <v>3991</v>
      </c>
      <c r="K393" s="197" t="s">
        <v>1283</v>
      </c>
      <c r="L393" s="261">
        <v>0.34</v>
      </c>
      <c r="M393" s="263">
        <v>65.759224000000003</v>
      </c>
      <c r="N393" s="263">
        <f>L393*M393</f>
        <v>22.358136160000004</v>
      </c>
      <c r="O393" s="199"/>
      <c r="P393" s="261"/>
      <c r="Q393" s="261"/>
      <c r="R393" s="198"/>
      <c r="S393" s="197" t="s">
        <v>4340</v>
      </c>
      <c r="T393" s="197" t="s">
        <v>4341</v>
      </c>
      <c r="U393" s="197" t="s">
        <v>3958</v>
      </c>
      <c r="V393" s="197" t="s">
        <v>3959</v>
      </c>
    </row>
    <row r="394" spans="1:22" s="197" customFormat="1" x14ac:dyDescent="0.2">
      <c r="A394" s="197" t="s">
        <v>4339</v>
      </c>
      <c r="B394" s="197" t="s">
        <v>176</v>
      </c>
      <c r="C394" s="197" t="s">
        <v>1379</v>
      </c>
      <c r="D394" s="197" t="s">
        <v>56</v>
      </c>
      <c r="E394" s="197" t="s">
        <v>177</v>
      </c>
      <c r="F394" s="197" t="s">
        <v>26</v>
      </c>
      <c r="G394" s="260">
        <v>312.59800000000001</v>
      </c>
      <c r="H394" s="197">
        <v>2</v>
      </c>
      <c r="I394" s="197" t="s">
        <v>3960</v>
      </c>
      <c r="J394" s="197" t="s">
        <v>3994</v>
      </c>
      <c r="K394" s="197" t="s">
        <v>1283</v>
      </c>
      <c r="L394" s="261">
        <v>0.54</v>
      </c>
      <c r="M394" s="263">
        <v>65.759224000000003</v>
      </c>
      <c r="N394" s="263">
        <f>L394*M394</f>
        <v>35.509980960000007</v>
      </c>
      <c r="O394" s="199"/>
      <c r="P394" s="261"/>
      <c r="Q394" s="261"/>
      <c r="R394" s="198"/>
      <c r="S394" s="197" t="s">
        <v>4340</v>
      </c>
      <c r="T394" s="197" t="s">
        <v>4341</v>
      </c>
      <c r="U394" s="197" t="s">
        <v>3958</v>
      </c>
      <c r="V394" s="197" t="s">
        <v>3959</v>
      </c>
    </row>
    <row r="395" spans="1:22" s="197" customFormat="1" x14ac:dyDescent="0.2">
      <c r="A395" s="197" t="s">
        <v>4339</v>
      </c>
      <c r="B395" s="197" t="s">
        <v>176</v>
      </c>
      <c r="C395" s="197" t="s">
        <v>1379</v>
      </c>
      <c r="D395" s="197" t="s">
        <v>56</v>
      </c>
      <c r="E395" s="197" t="s">
        <v>177</v>
      </c>
      <c r="F395" s="197" t="s">
        <v>26</v>
      </c>
      <c r="G395" s="260">
        <v>312.59800000000001</v>
      </c>
      <c r="H395" s="197">
        <v>3</v>
      </c>
      <c r="I395" s="197" t="s">
        <v>3962</v>
      </c>
      <c r="J395" s="197" t="s">
        <v>3995</v>
      </c>
      <c r="K395" s="197" t="s">
        <v>1283</v>
      </c>
      <c r="L395" s="261">
        <v>0.08</v>
      </c>
      <c r="M395" s="263">
        <v>65.759224000000003</v>
      </c>
      <c r="N395" s="263">
        <f>L395*M395</f>
        <v>5.2607379200000004</v>
      </c>
      <c r="O395" s="199"/>
      <c r="P395" s="261"/>
      <c r="Q395" s="261"/>
      <c r="R395" s="198"/>
      <c r="S395" s="197" t="s">
        <v>4340</v>
      </c>
      <c r="T395" s="197" t="s">
        <v>4341</v>
      </c>
      <c r="U395" s="197" t="s">
        <v>3958</v>
      </c>
      <c r="V395" s="197" t="s">
        <v>3959</v>
      </c>
    </row>
    <row r="396" spans="1:22" s="197" customFormat="1" x14ac:dyDescent="0.2">
      <c r="A396" s="197" t="s">
        <v>4339</v>
      </c>
      <c r="B396" s="197" t="s">
        <v>176</v>
      </c>
      <c r="C396" s="197" t="s">
        <v>1379</v>
      </c>
      <c r="D396" s="197" t="s">
        <v>56</v>
      </c>
      <c r="E396" s="197" t="s">
        <v>177</v>
      </c>
      <c r="F396" s="197" t="s">
        <v>26</v>
      </c>
      <c r="G396" s="260">
        <v>312.59800000000001</v>
      </c>
      <c r="H396" s="197">
        <v>4</v>
      </c>
      <c r="I396" s="197" t="s">
        <v>3966</v>
      </c>
      <c r="J396" s="197" t="s">
        <v>3996</v>
      </c>
      <c r="K396" s="197" t="s">
        <v>1283</v>
      </c>
      <c r="L396" s="261">
        <v>0.04</v>
      </c>
      <c r="M396" s="263">
        <v>65.759224000000003</v>
      </c>
      <c r="N396" s="263">
        <f>L396*M396</f>
        <v>2.6303689600000002</v>
      </c>
      <c r="O396" s="199"/>
      <c r="P396" s="261"/>
      <c r="Q396" s="261"/>
      <c r="R396" s="198"/>
      <c r="S396" s="197" t="s">
        <v>4340</v>
      </c>
      <c r="T396" s="197" t="s">
        <v>4341</v>
      </c>
      <c r="U396" s="197" t="s">
        <v>3958</v>
      </c>
      <c r="V396" s="197" t="s">
        <v>3959</v>
      </c>
    </row>
    <row r="397" spans="1:22" s="197" customFormat="1" x14ac:dyDescent="0.2">
      <c r="A397" s="197" t="s">
        <v>4339</v>
      </c>
      <c r="B397" s="197" t="s">
        <v>176</v>
      </c>
      <c r="C397" s="197" t="s">
        <v>1379</v>
      </c>
      <c r="D397" s="197" t="s">
        <v>56</v>
      </c>
      <c r="E397" s="197" t="s">
        <v>177</v>
      </c>
      <c r="F397" s="197" t="s">
        <v>26</v>
      </c>
      <c r="G397" s="260">
        <v>312.59800000000001</v>
      </c>
      <c r="H397" s="197">
        <v>5</v>
      </c>
      <c r="I397" s="197" t="s">
        <v>3968</v>
      </c>
      <c r="J397" s="197" t="s">
        <v>3969</v>
      </c>
      <c r="K397" s="197" t="s">
        <v>26</v>
      </c>
      <c r="L397" s="261">
        <v>1</v>
      </c>
      <c r="M397" s="263"/>
      <c r="N397" s="263">
        <f>SUM(N393:N396)</f>
        <v>65.759224000000003</v>
      </c>
      <c r="O397" s="199">
        <v>0.2223</v>
      </c>
      <c r="P397" s="261">
        <f>N397*O397</f>
        <v>14.618275495200001</v>
      </c>
      <c r="Q397" s="261">
        <f>N397+P397</f>
        <v>80.377499495199999</v>
      </c>
      <c r="R397" s="198">
        <f>Q397*G397</f>
        <v>25125.845587200529</v>
      </c>
      <c r="S397" s="197" t="s">
        <v>4340</v>
      </c>
      <c r="T397" s="197" t="s">
        <v>4341</v>
      </c>
      <c r="U397" s="197" t="str">
        <f>IF(ABS(Q397-80.3775)&lt;=0.01,"FECHA COM PLANILHA","REVISAR")</f>
        <v>FECHA COM PLANILHA</v>
      </c>
      <c r="V397" s="197" t="s">
        <v>4342</v>
      </c>
    </row>
    <row r="398" spans="1:22" s="197" customFormat="1" x14ac:dyDescent="0.2">
      <c r="A398" s="197" t="s">
        <v>4343</v>
      </c>
      <c r="B398" s="197" t="s">
        <v>823</v>
      </c>
      <c r="C398" s="197" t="s">
        <v>824</v>
      </c>
      <c r="D398" s="197" t="s">
        <v>209</v>
      </c>
      <c r="E398" s="197" t="s">
        <v>825</v>
      </c>
      <c r="F398" s="197" t="s">
        <v>84</v>
      </c>
      <c r="G398" s="260">
        <v>27</v>
      </c>
      <c r="H398" s="197">
        <v>1</v>
      </c>
      <c r="I398" s="197" t="s">
        <v>3954</v>
      </c>
      <c r="J398" s="197" t="s">
        <v>4049</v>
      </c>
      <c r="K398" s="197" t="s">
        <v>1283</v>
      </c>
      <c r="L398" s="261">
        <v>0.24</v>
      </c>
      <c r="M398" s="263">
        <v>745.43483600000002</v>
      </c>
      <c r="N398" s="263">
        <f>L398*M398</f>
        <v>178.90436063999999</v>
      </c>
      <c r="O398" s="199"/>
      <c r="P398" s="261"/>
      <c r="Q398" s="261"/>
      <c r="R398" s="198"/>
      <c r="S398" s="197" t="s">
        <v>4344</v>
      </c>
      <c r="T398" s="197" t="s">
        <v>4345</v>
      </c>
      <c r="U398" s="197" t="s">
        <v>3958</v>
      </c>
      <c r="V398" s="197" t="s">
        <v>3959</v>
      </c>
    </row>
    <row r="399" spans="1:22" s="197" customFormat="1" x14ac:dyDescent="0.2">
      <c r="A399" s="197" t="s">
        <v>4343</v>
      </c>
      <c r="B399" s="197" t="s">
        <v>823</v>
      </c>
      <c r="C399" s="197" t="s">
        <v>824</v>
      </c>
      <c r="D399" s="197" t="s">
        <v>209</v>
      </c>
      <c r="E399" s="197" t="s">
        <v>825</v>
      </c>
      <c r="F399" s="197" t="s">
        <v>84</v>
      </c>
      <c r="G399" s="260">
        <v>27</v>
      </c>
      <c r="H399" s="197">
        <v>2</v>
      </c>
      <c r="I399" s="197" t="s">
        <v>3960</v>
      </c>
      <c r="J399" s="197" t="s">
        <v>4052</v>
      </c>
      <c r="K399" s="197" t="s">
        <v>1283</v>
      </c>
      <c r="L399" s="261">
        <v>0.68</v>
      </c>
      <c r="M399" s="263">
        <v>745.43483600000002</v>
      </c>
      <c r="N399" s="263">
        <f>L399*M399</f>
        <v>506.89568848000005</v>
      </c>
      <c r="O399" s="199"/>
      <c r="P399" s="261"/>
      <c r="Q399" s="261"/>
      <c r="R399" s="198"/>
      <c r="S399" s="197" t="s">
        <v>4344</v>
      </c>
      <c r="T399" s="197" t="s">
        <v>4345</v>
      </c>
      <c r="U399" s="197" t="s">
        <v>3958</v>
      </c>
      <c r="V399" s="197" t="s">
        <v>3959</v>
      </c>
    </row>
    <row r="400" spans="1:22" s="197" customFormat="1" x14ac:dyDescent="0.2">
      <c r="A400" s="197" t="s">
        <v>4343</v>
      </c>
      <c r="B400" s="197" t="s">
        <v>823</v>
      </c>
      <c r="C400" s="197" t="s">
        <v>824</v>
      </c>
      <c r="D400" s="197" t="s">
        <v>209</v>
      </c>
      <c r="E400" s="197" t="s">
        <v>825</v>
      </c>
      <c r="F400" s="197" t="s">
        <v>84</v>
      </c>
      <c r="G400" s="260">
        <v>27</v>
      </c>
      <c r="H400" s="197">
        <v>3</v>
      </c>
      <c r="I400" s="197" t="s">
        <v>3976</v>
      </c>
      <c r="J400" s="197" t="s">
        <v>4053</v>
      </c>
      <c r="K400" s="197" t="s">
        <v>1283</v>
      </c>
      <c r="L400" s="261">
        <v>0.04</v>
      </c>
      <c r="M400" s="263">
        <v>745.43483600000002</v>
      </c>
      <c r="N400" s="263">
        <f>L400*M400</f>
        <v>29.81739344</v>
      </c>
      <c r="O400" s="199"/>
      <c r="P400" s="261"/>
      <c r="Q400" s="261"/>
      <c r="R400" s="198"/>
      <c r="S400" s="197" t="s">
        <v>4344</v>
      </c>
      <c r="T400" s="197" t="s">
        <v>4345</v>
      </c>
      <c r="U400" s="197" t="s">
        <v>3958</v>
      </c>
      <c r="V400" s="197" t="s">
        <v>3959</v>
      </c>
    </row>
    <row r="401" spans="1:22" s="197" customFormat="1" x14ac:dyDescent="0.2">
      <c r="A401" s="197" t="s">
        <v>4343</v>
      </c>
      <c r="B401" s="197" t="s">
        <v>823</v>
      </c>
      <c r="C401" s="197" t="s">
        <v>824</v>
      </c>
      <c r="D401" s="197" t="s">
        <v>209</v>
      </c>
      <c r="E401" s="197" t="s">
        <v>825</v>
      </c>
      <c r="F401" s="197" t="s">
        <v>84</v>
      </c>
      <c r="G401" s="260">
        <v>27</v>
      </c>
      <c r="H401" s="197">
        <v>4</v>
      </c>
      <c r="I401" s="197" t="s">
        <v>4054</v>
      </c>
      <c r="J401" s="197" t="s">
        <v>4055</v>
      </c>
      <c r="K401" s="197" t="s">
        <v>1283</v>
      </c>
      <c r="L401" s="261">
        <v>0.04</v>
      </c>
      <c r="M401" s="263">
        <v>745.43483600000002</v>
      </c>
      <c r="N401" s="263">
        <f>L401*M401</f>
        <v>29.81739344</v>
      </c>
      <c r="O401" s="199"/>
      <c r="P401" s="261"/>
      <c r="Q401" s="261"/>
      <c r="R401" s="198"/>
      <c r="S401" s="197" t="s">
        <v>4344</v>
      </c>
      <c r="T401" s="197" t="s">
        <v>4345</v>
      </c>
      <c r="U401" s="197" t="s">
        <v>3958</v>
      </c>
      <c r="V401" s="197" t="s">
        <v>3959</v>
      </c>
    </row>
    <row r="402" spans="1:22" s="197" customFormat="1" x14ac:dyDescent="0.2">
      <c r="A402" s="197" t="s">
        <v>4343</v>
      </c>
      <c r="B402" s="197" t="s">
        <v>823</v>
      </c>
      <c r="C402" s="197" t="s">
        <v>824</v>
      </c>
      <c r="D402" s="197" t="s">
        <v>209</v>
      </c>
      <c r="E402" s="197" t="s">
        <v>825</v>
      </c>
      <c r="F402" s="197" t="s">
        <v>84</v>
      </c>
      <c r="G402" s="260">
        <v>27</v>
      </c>
      <c r="H402" s="197">
        <v>5</v>
      </c>
      <c r="I402" s="197" t="s">
        <v>3968</v>
      </c>
      <c r="J402" s="197" t="s">
        <v>3969</v>
      </c>
      <c r="K402" s="197" t="s">
        <v>84</v>
      </c>
      <c r="L402" s="261">
        <v>1</v>
      </c>
      <c r="M402" s="263"/>
      <c r="N402" s="263">
        <f>SUM(N398:N401)</f>
        <v>745.43483600000013</v>
      </c>
      <c r="O402" s="199">
        <v>0.2223</v>
      </c>
      <c r="P402" s="261">
        <f>N402*O402</f>
        <v>165.71016404280002</v>
      </c>
      <c r="Q402" s="261">
        <f>N402+P402</f>
        <v>911.14500004280012</v>
      </c>
      <c r="R402" s="198">
        <f>Q402*G402</f>
        <v>24600.915001155605</v>
      </c>
      <c r="S402" s="197" t="s">
        <v>4344</v>
      </c>
      <c r="T402" s="197" t="s">
        <v>4345</v>
      </c>
      <c r="U402" s="197" t="str">
        <f>IF(ABS(Q402-911.145)&lt;=0.01,"FECHA COM PLANILHA","REVISAR")</f>
        <v>FECHA COM PLANILHA</v>
      </c>
      <c r="V402" s="197" t="s">
        <v>4346</v>
      </c>
    </row>
    <row r="403" spans="1:22" s="197" customFormat="1" x14ac:dyDescent="0.2">
      <c r="A403" s="197" t="s">
        <v>4347</v>
      </c>
      <c r="B403" s="197" t="s">
        <v>450</v>
      </c>
      <c r="C403" s="197" t="s">
        <v>1511</v>
      </c>
      <c r="D403" s="197" t="s">
        <v>56</v>
      </c>
      <c r="E403" s="197" t="s">
        <v>451</v>
      </c>
      <c r="F403" s="197" t="s">
        <v>84</v>
      </c>
      <c r="G403" s="260">
        <v>26</v>
      </c>
      <c r="H403" s="197">
        <v>1</v>
      </c>
      <c r="I403" s="197" t="s">
        <v>3954</v>
      </c>
      <c r="J403" s="197" t="s">
        <v>4049</v>
      </c>
      <c r="K403" s="197" t="s">
        <v>1283</v>
      </c>
      <c r="L403" s="261">
        <v>0.24</v>
      </c>
      <c r="M403" s="263">
        <v>740.50765000000001</v>
      </c>
      <c r="N403" s="263">
        <f>L403*M403</f>
        <v>177.721836</v>
      </c>
      <c r="O403" s="199"/>
      <c r="P403" s="261"/>
      <c r="Q403" s="261"/>
      <c r="R403" s="198"/>
      <c r="S403" s="197" t="s">
        <v>4348</v>
      </c>
      <c r="T403" s="197" t="s">
        <v>4349</v>
      </c>
      <c r="U403" s="197" t="s">
        <v>3958</v>
      </c>
      <c r="V403" s="197" t="s">
        <v>3959</v>
      </c>
    </row>
    <row r="404" spans="1:22" s="197" customFormat="1" x14ac:dyDescent="0.2">
      <c r="A404" s="197" t="s">
        <v>4347</v>
      </c>
      <c r="B404" s="197" t="s">
        <v>450</v>
      </c>
      <c r="C404" s="197" t="s">
        <v>1511</v>
      </c>
      <c r="D404" s="197" t="s">
        <v>56</v>
      </c>
      <c r="E404" s="197" t="s">
        <v>451</v>
      </c>
      <c r="F404" s="197" t="s">
        <v>84</v>
      </c>
      <c r="G404" s="260">
        <v>26</v>
      </c>
      <c r="H404" s="197">
        <v>2</v>
      </c>
      <c r="I404" s="197" t="s">
        <v>3960</v>
      </c>
      <c r="J404" s="197" t="s">
        <v>4052</v>
      </c>
      <c r="K404" s="197" t="s">
        <v>1283</v>
      </c>
      <c r="L404" s="261">
        <v>0.68</v>
      </c>
      <c r="M404" s="263">
        <v>740.50765000000001</v>
      </c>
      <c r="N404" s="263">
        <f>L404*M404</f>
        <v>503.54520200000002</v>
      </c>
      <c r="O404" s="199"/>
      <c r="P404" s="261"/>
      <c r="Q404" s="261"/>
      <c r="R404" s="198"/>
      <c r="S404" s="197" t="s">
        <v>4348</v>
      </c>
      <c r="T404" s="197" t="s">
        <v>4349</v>
      </c>
      <c r="U404" s="197" t="s">
        <v>3958</v>
      </c>
      <c r="V404" s="197" t="s">
        <v>3959</v>
      </c>
    </row>
    <row r="405" spans="1:22" s="197" customFormat="1" x14ac:dyDescent="0.2">
      <c r="A405" s="197" t="s">
        <v>4347</v>
      </c>
      <c r="B405" s="197" t="s">
        <v>450</v>
      </c>
      <c r="C405" s="197" t="s">
        <v>1511</v>
      </c>
      <c r="D405" s="197" t="s">
        <v>56</v>
      </c>
      <c r="E405" s="197" t="s">
        <v>451</v>
      </c>
      <c r="F405" s="197" t="s">
        <v>84</v>
      </c>
      <c r="G405" s="260">
        <v>26</v>
      </c>
      <c r="H405" s="197">
        <v>3</v>
      </c>
      <c r="I405" s="197" t="s">
        <v>3976</v>
      </c>
      <c r="J405" s="197" t="s">
        <v>4053</v>
      </c>
      <c r="K405" s="197" t="s">
        <v>1283</v>
      </c>
      <c r="L405" s="261">
        <v>0.04</v>
      </c>
      <c r="M405" s="263">
        <v>740.50765000000001</v>
      </c>
      <c r="N405" s="263">
        <f>L405*M405</f>
        <v>29.620305999999999</v>
      </c>
      <c r="O405" s="199"/>
      <c r="P405" s="261"/>
      <c r="Q405" s="261"/>
      <c r="R405" s="198"/>
      <c r="S405" s="197" t="s">
        <v>4348</v>
      </c>
      <c r="T405" s="197" t="s">
        <v>4349</v>
      </c>
      <c r="U405" s="197" t="s">
        <v>3958</v>
      </c>
      <c r="V405" s="197" t="s">
        <v>3959</v>
      </c>
    </row>
    <row r="406" spans="1:22" s="197" customFormat="1" x14ac:dyDescent="0.2">
      <c r="A406" s="197" t="s">
        <v>4347</v>
      </c>
      <c r="B406" s="197" t="s">
        <v>450</v>
      </c>
      <c r="C406" s="197" t="s">
        <v>1511</v>
      </c>
      <c r="D406" s="197" t="s">
        <v>56</v>
      </c>
      <c r="E406" s="197" t="s">
        <v>451</v>
      </c>
      <c r="F406" s="197" t="s">
        <v>84</v>
      </c>
      <c r="G406" s="260">
        <v>26</v>
      </c>
      <c r="H406" s="197">
        <v>4</v>
      </c>
      <c r="I406" s="197" t="s">
        <v>4054</v>
      </c>
      <c r="J406" s="197" t="s">
        <v>4055</v>
      </c>
      <c r="K406" s="197" t="s">
        <v>1283</v>
      </c>
      <c r="L406" s="261">
        <v>0.04</v>
      </c>
      <c r="M406" s="263">
        <v>740.50765000000001</v>
      </c>
      <c r="N406" s="263">
        <f>L406*M406</f>
        <v>29.620305999999999</v>
      </c>
      <c r="O406" s="199"/>
      <c r="P406" s="261"/>
      <c r="Q406" s="261"/>
      <c r="R406" s="198"/>
      <c r="S406" s="197" t="s">
        <v>4348</v>
      </c>
      <c r="T406" s="197" t="s">
        <v>4349</v>
      </c>
      <c r="U406" s="197" t="s">
        <v>3958</v>
      </c>
      <c r="V406" s="197" t="s">
        <v>3959</v>
      </c>
    </row>
    <row r="407" spans="1:22" s="197" customFormat="1" x14ac:dyDescent="0.2">
      <c r="A407" s="197" t="s">
        <v>4347</v>
      </c>
      <c r="B407" s="197" t="s">
        <v>450</v>
      </c>
      <c r="C407" s="197" t="s">
        <v>1511</v>
      </c>
      <c r="D407" s="197" t="s">
        <v>56</v>
      </c>
      <c r="E407" s="197" t="s">
        <v>451</v>
      </c>
      <c r="F407" s="197" t="s">
        <v>84</v>
      </c>
      <c r="G407" s="260">
        <v>26</v>
      </c>
      <c r="H407" s="197">
        <v>5</v>
      </c>
      <c r="I407" s="197" t="s">
        <v>3968</v>
      </c>
      <c r="J407" s="197" t="s">
        <v>3969</v>
      </c>
      <c r="K407" s="197" t="s">
        <v>84</v>
      </c>
      <c r="L407" s="261">
        <v>1</v>
      </c>
      <c r="M407" s="263"/>
      <c r="N407" s="263">
        <f>SUM(N403:N406)</f>
        <v>740.50765000000001</v>
      </c>
      <c r="O407" s="199">
        <v>0.2223</v>
      </c>
      <c r="P407" s="261">
        <f>N407*O407</f>
        <v>164.61485059500001</v>
      </c>
      <c r="Q407" s="261">
        <f>N407+P407</f>
        <v>905.12250059500002</v>
      </c>
      <c r="R407" s="198">
        <f>Q407*G407</f>
        <v>23533.185015470001</v>
      </c>
      <c r="S407" s="197" t="s">
        <v>4348</v>
      </c>
      <c r="T407" s="197" t="s">
        <v>4349</v>
      </c>
      <c r="U407" s="197" t="str">
        <f>IF(ABS(Q407-905.1225)&lt;=0.01,"FECHA COM PLANILHA","REVISAR")</f>
        <v>FECHA COM PLANILHA</v>
      </c>
      <c r="V407" s="197" t="s">
        <v>4350</v>
      </c>
    </row>
    <row r="408" spans="1:22" s="197" customFormat="1" x14ac:dyDescent="0.2">
      <c r="A408" s="197" t="s">
        <v>4351</v>
      </c>
      <c r="B408" s="197" t="s">
        <v>2211</v>
      </c>
      <c r="C408" s="197" t="s">
        <v>2212</v>
      </c>
      <c r="D408" s="197" t="s">
        <v>56</v>
      </c>
      <c r="E408" s="197" t="s">
        <v>1090</v>
      </c>
      <c r="F408" s="197" t="s">
        <v>26</v>
      </c>
      <c r="G408" s="260">
        <v>292.67899999999997</v>
      </c>
      <c r="H408" s="197">
        <v>1</v>
      </c>
      <c r="I408" s="197" t="s">
        <v>3954</v>
      </c>
      <c r="J408" s="197" t="s">
        <v>3982</v>
      </c>
      <c r="K408" s="197" t="s">
        <v>1283</v>
      </c>
      <c r="L408" s="261">
        <v>0.16</v>
      </c>
      <c r="M408" s="263">
        <v>64.752925000000005</v>
      </c>
      <c r="N408" s="263">
        <f>L408*M408</f>
        <v>10.360468000000001</v>
      </c>
      <c r="O408" s="199"/>
      <c r="P408" s="261"/>
      <c r="Q408" s="261"/>
      <c r="R408" s="198"/>
      <c r="S408" s="197" t="s">
        <v>4352</v>
      </c>
      <c r="T408" s="197" t="s">
        <v>4353</v>
      </c>
      <c r="U408" s="197" t="s">
        <v>3958</v>
      </c>
      <c r="V408" s="197" t="s">
        <v>3959</v>
      </c>
    </row>
    <row r="409" spans="1:22" s="197" customFormat="1" x14ac:dyDescent="0.2">
      <c r="A409" s="197" t="s">
        <v>4351</v>
      </c>
      <c r="B409" s="197" t="s">
        <v>2211</v>
      </c>
      <c r="C409" s="197" t="s">
        <v>2212</v>
      </c>
      <c r="D409" s="197" t="s">
        <v>56</v>
      </c>
      <c r="E409" s="197" t="s">
        <v>1090</v>
      </c>
      <c r="F409" s="197" t="s">
        <v>26</v>
      </c>
      <c r="G409" s="260">
        <v>292.67899999999997</v>
      </c>
      <c r="H409" s="197">
        <v>2</v>
      </c>
      <c r="I409" s="197" t="s">
        <v>3960</v>
      </c>
      <c r="J409" s="197" t="s">
        <v>3985</v>
      </c>
      <c r="K409" s="197" t="s">
        <v>1283</v>
      </c>
      <c r="L409" s="261">
        <v>0.64</v>
      </c>
      <c r="M409" s="263">
        <v>64.752925000000005</v>
      </c>
      <c r="N409" s="263">
        <f>L409*M409</f>
        <v>41.441872000000004</v>
      </c>
      <c r="O409" s="199"/>
      <c r="P409" s="261"/>
      <c r="Q409" s="261"/>
      <c r="R409" s="198"/>
      <c r="S409" s="197" t="s">
        <v>4352</v>
      </c>
      <c r="T409" s="197" t="s">
        <v>4353</v>
      </c>
      <c r="U409" s="197" t="s">
        <v>3958</v>
      </c>
      <c r="V409" s="197" t="s">
        <v>3959</v>
      </c>
    </row>
    <row r="410" spans="1:22" s="197" customFormat="1" x14ac:dyDescent="0.2">
      <c r="A410" s="197" t="s">
        <v>4351</v>
      </c>
      <c r="B410" s="197" t="s">
        <v>2211</v>
      </c>
      <c r="C410" s="197" t="s">
        <v>2212</v>
      </c>
      <c r="D410" s="197" t="s">
        <v>56</v>
      </c>
      <c r="E410" s="197" t="s">
        <v>1090</v>
      </c>
      <c r="F410" s="197" t="s">
        <v>26</v>
      </c>
      <c r="G410" s="260">
        <v>292.67899999999997</v>
      </c>
      <c r="H410" s="197">
        <v>3</v>
      </c>
      <c r="I410" s="197" t="s">
        <v>3962</v>
      </c>
      <c r="J410" s="197" t="s">
        <v>3986</v>
      </c>
      <c r="K410" s="197" t="s">
        <v>1283</v>
      </c>
      <c r="L410" s="261">
        <v>0.15</v>
      </c>
      <c r="M410" s="263">
        <v>64.752925000000005</v>
      </c>
      <c r="N410" s="263">
        <f>L410*M410</f>
        <v>9.7129387500000011</v>
      </c>
      <c r="O410" s="199"/>
      <c r="P410" s="261"/>
      <c r="Q410" s="261"/>
      <c r="R410" s="198"/>
      <c r="S410" s="197" t="s">
        <v>4352</v>
      </c>
      <c r="T410" s="197" t="s">
        <v>4353</v>
      </c>
      <c r="U410" s="197" t="s">
        <v>3958</v>
      </c>
      <c r="V410" s="197" t="s">
        <v>3959</v>
      </c>
    </row>
    <row r="411" spans="1:22" s="197" customFormat="1" x14ac:dyDescent="0.2">
      <c r="A411" s="197" t="s">
        <v>4351</v>
      </c>
      <c r="B411" s="197" t="s">
        <v>2211</v>
      </c>
      <c r="C411" s="197" t="s">
        <v>2212</v>
      </c>
      <c r="D411" s="197" t="s">
        <v>56</v>
      </c>
      <c r="E411" s="197" t="s">
        <v>1090</v>
      </c>
      <c r="F411" s="197" t="s">
        <v>26</v>
      </c>
      <c r="G411" s="260">
        <v>292.67899999999997</v>
      </c>
      <c r="H411" s="197">
        <v>4</v>
      </c>
      <c r="I411" s="197" t="s">
        <v>3987</v>
      </c>
      <c r="J411" s="197" t="s">
        <v>3988</v>
      </c>
      <c r="K411" s="197" t="s">
        <v>1283</v>
      </c>
      <c r="L411" s="261">
        <v>0.05</v>
      </c>
      <c r="M411" s="263">
        <v>64.752925000000005</v>
      </c>
      <c r="N411" s="263">
        <f>L411*M411</f>
        <v>3.2376462500000005</v>
      </c>
      <c r="O411" s="199"/>
      <c r="P411" s="261"/>
      <c r="Q411" s="261"/>
      <c r="R411" s="198"/>
      <c r="S411" s="197" t="s">
        <v>4352</v>
      </c>
      <c r="T411" s="197" t="s">
        <v>4353</v>
      </c>
      <c r="U411" s="197" t="s">
        <v>3958</v>
      </c>
      <c r="V411" s="197" t="s">
        <v>3959</v>
      </c>
    </row>
    <row r="412" spans="1:22" s="197" customFormat="1" x14ac:dyDescent="0.2">
      <c r="A412" s="197" t="s">
        <v>4351</v>
      </c>
      <c r="B412" s="197" t="s">
        <v>2211</v>
      </c>
      <c r="C412" s="197" t="s">
        <v>2212</v>
      </c>
      <c r="D412" s="197" t="s">
        <v>56</v>
      </c>
      <c r="E412" s="197" t="s">
        <v>1090</v>
      </c>
      <c r="F412" s="197" t="s">
        <v>26</v>
      </c>
      <c r="G412" s="260">
        <v>292.67899999999997</v>
      </c>
      <c r="H412" s="197">
        <v>5</v>
      </c>
      <c r="I412" s="197" t="s">
        <v>3968</v>
      </c>
      <c r="J412" s="197" t="s">
        <v>3969</v>
      </c>
      <c r="K412" s="197" t="s">
        <v>26</v>
      </c>
      <c r="L412" s="261">
        <v>1</v>
      </c>
      <c r="M412" s="263"/>
      <c r="N412" s="263">
        <f>SUM(N408:N411)</f>
        <v>64.752925000000005</v>
      </c>
      <c r="O412" s="199">
        <v>0.2223</v>
      </c>
      <c r="P412" s="261">
        <f>N412*O412</f>
        <v>14.394575227500001</v>
      </c>
      <c r="Q412" s="261">
        <f>N412+P412</f>
        <v>79.147500227500004</v>
      </c>
      <c r="R412" s="198">
        <f>Q412*G412</f>
        <v>23164.811219084473</v>
      </c>
      <c r="S412" s="197" t="s">
        <v>4352</v>
      </c>
      <c r="T412" s="197" t="s">
        <v>4353</v>
      </c>
      <c r="U412" s="197" t="str">
        <f>IF(ABS(Q412-79.1475)&lt;=0.01,"FECHA COM PLANILHA","REVISAR")</f>
        <v>FECHA COM PLANILHA</v>
      </c>
      <c r="V412" s="197" t="s">
        <v>4354</v>
      </c>
    </row>
    <row r="413" spans="1:22" s="197" customFormat="1" x14ac:dyDescent="0.2">
      <c r="A413" s="197" t="s">
        <v>4355</v>
      </c>
      <c r="B413" s="197" t="s">
        <v>1942</v>
      </c>
      <c r="C413" s="197" t="s">
        <v>1943</v>
      </c>
      <c r="D413" s="197" t="s">
        <v>56</v>
      </c>
      <c r="E413" s="197" t="s">
        <v>891</v>
      </c>
      <c r="F413" s="197" t="s">
        <v>84</v>
      </c>
      <c r="G413" s="260">
        <v>2</v>
      </c>
      <c r="H413" s="197">
        <v>1</v>
      </c>
      <c r="I413" s="197" t="s">
        <v>3954</v>
      </c>
      <c r="J413" s="197" t="s">
        <v>4088</v>
      </c>
      <c r="K413" s="197" t="s">
        <v>1283</v>
      </c>
      <c r="L413" s="261">
        <v>0.1</v>
      </c>
      <c r="M413" s="263">
        <v>9173.0098990000006</v>
      </c>
      <c r="N413" s="263">
        <f>L413*M413</f>
        <v>917.3009899000001</v>
      </c>
      <c r="O413" s="199"/>
      <c r="P413" s="261"/>
      <c r="Q413" s="261"/>
      <c r="R413" s="198"/>
      <c r="S413" s="197" t="s">
        <v>4356</v>
      </c>
      <c r="T413" s="197" t="s">
        <v>4357</v>
      </c>
      <c r="U413" s="197" t="s">
        <v>3958</v>
      </c>
      <c r="V413" s="197" t="s">
        <v>3959</v>
      </c>
    </row>
    <row r="414" spans="1:22" s="197" customFormat="1" x14ac:dyDescent="0.2">
      <c r="A414" s="197" t="s">
        <v>4355</v>
      </c>
      <c r="B414" s="197" t="s">
        <v>1942</v>
      </c>
      <c r="C414" s="197" t="s">
        <v>1943</v>
      </c>
      <c r="D414" s="197" t="s">
        <v>56</v>
      </c>
      <c r="E414" s="197" t="s">
        <v>891</v>
      </c>
      <c r="F414" s="197" t="s">
        <v>84</v>
      </c>
      <c r="G414" s="260">
        <v>2</v>
      </c>
      <c r="H414" s="197">
        <v>2</v>
      </c>
      <c r="I414" s="197" t="s">
        <v>4091</v>
      </c>
      <c r="J414" s="197" t="s">
        <v>4092</v>
      </c>
      <c r="K414" s="197" t="s">
        <v>1283</v>
      </c>
      <c r="L414" s="261">
        <v>0.84</v>
      </c>
      <c r="M414" s="263">
        <v>9173.0098990000006</v>
      </c>
      <c r="N414" s="263">
        <f>L414*M414</f>
        <v>7705.3283151599999</v>
      </c>
      <c r="O414" s="199"/>
      <c r="P414" s="261"/>
      <c r="Q414" s="261"/>
      <c r="R414" s="198"/>
      <c r="S414" s="197" t="s">
        <v>4356</v>
      </c>
      <c r="T414" s="197" t="s">
        <v>4357</v>
      </c>
      <c r="U414" s="197" t="s">
        <v>3958</v>
      </c>
      <c r="V414" s="197" t="s">
        <v>3959</v>
      </c>
    </row>
    <row r="415" spans="1:22" s="197" customFormat="1" x14ac:dyDescent="0.2">
      <c r="A415" s="197" t="s">
        <v>4355</v>
      </c>
      <c r="B415" s="197" t="s">
        <v>1942</v>
      </c>
      <c r="C415" s="197" t="s">
        <v>1943</v>
      </c>
      <c r="D415" s="197" t="s">
        <v>56</v>
      </c>
      <c r="E415" s="197" t="s">
        <v>891</v>
      </c>
      <c r="F415" s="197" t="s">
        <v>84</v>
      </c>
      <c r="G415" s="260">
        <v>2</v>
      </c>
      <c r="H415" s="197">
        <v>3</v>
      </c>
      <c r="I415" s="197" t="s">
        <v>4093</v>
      </c>
      <c r="J415" s="197" t="s">
        <v>4094</v>
      </c>
      <c r="K415" s="197" t="s">
        <v>1283</v>
      </c>
      <c r="L415" s="261">
        <v>0.03</v>
      </c>
      <c r="M415" s="263">
        <v>9173.0098990000006</v>
      </c>
      <c r="N415" s="263">
        <f>L415*M415</f>
        <v>275.19029697000002</v>
      </c>
      <c r="O415" s="199"/>
      <c r="P415" s="261"/>
      <c r="Q415" s="261"/>
      <c r="R415" s="198"/>
      <c r="S415" s="197" t="s">
        <v>4356</v>
      </c>
      <c r="T415" s="197" t="s">
        <v>4357</v>
      </c>
      <c r="U415" s="197" t="s">
        <v>3958</v>
      </c>
      <c r="V415" s="197" t="s">
        <v>3959</v>
      </c>
    </row>
    <row r="416" spans="1:22" s="197" customFormat="1" x14ac:dyDescent="0.2">
      <c r="A416" s="197" t="s">
        <v>4355</v>
      </c>
      <c r="B416" s="197" t="s">
        <v>1942</v>
      </c>
      <c r="C416" s="197" t="s">
        <v>1943</v>
      </c>
      <c r="D416" s="197" t="s">
        <v>56</v>
      </c>
      <c r="E416" s="197" t="s">
        <v>891</v>
      </c>
      <c r="F416" s="197" t="s">
        <v>84</v>
      </c>
      <c r="G416" s="260">
        <v>2</v>
      </c>
      <c r="H416" s="197">
        <v>4</v>
      </c>
      <c r="I416" s="197" t="s">
        <v>4017</v>
      </c>
      <c r="J416" s="197" t="s">
        <v>4095</v>
      </c>
      <c r="K416" s="197" t="s">
        <v>1283</v>
      </c>
      <c r="L416" s="261">
        <v>0.03</v>
      </c>
      <c r="M416" s="263">
        <v>9173.0098990000006</v>
      </c>
      <c r="N416" s="263">
        <f>L416*M416</f>
        <v>275.19029697000002</v>
      </c>
      <c r="O416" s="199"/>
      <c r="P416" s="261"/>
      <c r="Q416" s="261"/>
      <c r="R416" s="198"/>
      <c r="S416" s="197" t="s">
        <v>4356</v>
      </c>
      <c r="T416" s="197" t="s">
        <v>4357</v>
      </c>
      <c r="U416" s="197" t="s">
        <v>3958</v>
      </c>
      <c r="V416" s="197" t="s">
        <v>3959</v>
      </c>
    </row>
    <row r="417" spans="1:22" s="197" customFormat="1" x14ac:dyDescent="0.2">
      <c r="A417" s="197" t="s">
        <v>4355</v>
      </c>
      <c r="B417" s="197" t="s">
        <v>1942</v>
      </c>
      <c r="C417" s="197" t="s">
        <v>1943</v>
      </c>
      <c r="D417" s="197" t="s">
        <v>56</v>
      </c>
      <c r="E417" s="197" t="s">
        <v>891</v>
      </c>
      <c r="F417" s="197" t="s">
        <v>84</v>
      </c>
      <c r="G417" s="260">
        <v>2</v>
      </c>
      <c r="H417" s="197">
        <v>5</v>
      </c>
      <c r="I417" s="197" t="s">
        <v>3968</v>
      </c>
      <c r="J417" s="197" t="s">
        <v>3969</v>
      </c>
      <c r="K417" s="197" t="s">
        <v>84</v>
      </c>
      <c r="L417" s="261">
        <v>1</v>
      </c>
      <c r="M417" s="263"/>
      <c r="N417" s="263">
        <f>SUM(N413:N416)</f>
        <v>9173.0098990000006</v>
      </c>
      <c r="O417" s="199">
        <v>0.2223</v>
      </c>
      <c r="P417" s="261">
        <f>N417*O417</f>
        <v>2039.1601005477</v>
      </c>
      <c r="Q417" s="261">
        <f>N417+P417</f>
        <v>11212.169999547701</v>
      </c>
      <c r="R417" s="198">
        <f>Q417*G417</f>
        <v>22424.339999095402</v>
      </c>
      <c r="S417" s="197" t="s">
        <v>4356</v>
      </c>
      <c r="T417" s="197" t="s">
        <v>4357</v>
      </c>
      <c r="U417" s="197" t="str">
        <f>IF(ABS(Q417-11212.17)&lt;=0.01,"FECHA COM PLANILHA","REVISAR")</f>
        <v>FECHA COM PLANILHA</v>
      </c>
      <c r="V417" s="197" t="s">
        <v>4358</v>
      </c>
    </row>
    <row r="418" spans="1:22" s="197" customFormat="1" x14ac:dyDescent="0.2">
      <c r="A418" s="197" t="s">
        <v>4359</v>
      </c>
      <c r="B418" s="197" t="s">
        <v>78</v>
      </c>
      <c r="C418" s="197" t="s">
        <v>1341</v>
      </c>
      <c r="D418" s="197" t="s">
        <v>24</v>
      </c>
      <c r="E418" s="197" t="s">
        <v>80</v>
      </c>
      <c r="F418" s="197" t="s">
        <v>26</v>
      </c>
      <c r="G418" s="260">
        <v>42.530999999999999</v>
      </c>
      <c r="H418" s="197">
        <v>1</v>
      </c>
      <c r="I418" s="197" t="s">
        <v>3954</v>
      </c>
      <c r="J418" s="197" t="s">
        <v>3991</v>
      </c>
      <c r="K418" s="197" t="s">
        <v>1283</v>
      </c>
      <c r="L418" s="261">
        <v>0.34</v>
      </c>
      <c r="M418" s="263">
        <v>428.05775999999997</v>
      </c>
      <c r="N418" s="263">
        <f>L418*M418</f>
        <v>145.5396384</v>
      </c>
      <c r="O418" s="199"/>
      <c r="P418" s="261"/>
      <c r="Q418" s="261"/>
      <c r="R418" s="198"/>
      <c r="S418" s="197" t="s">
        <v>4360</v>
      </c>
      <c r="T418" s="197" t="s">
        <v>4361</v>
      </c>
      <c r="U418" s="197" t="s">
        <v>3958</v>
      </c>
      <c r="V418" s="197" t="s">
        <v>3959</v>
      </c>
    </row>
    <row r="419" spans="1:22" s="197" customFormat="1" x14ac:dyDescent="0.2">
      <c r="A419" s="197" t="s">
        <v>4359</v>
      </c>
      <c r="B419" s="197" t="s">
        <v>78</v>
      </c>
      <c r="C419" s="197" t="s">
        <v>1341</v>
      </c>
      <c r="D419" s="197" t="s">
        <v>24</v>
      </c>
      <c r="E419" s="197" t="s">
        <v>80</v>
      </c>
      <c r="F419" s="197" t="s">
        <v>26</v>
      </c>
      <c r="G419" s="260">
        <v>42.530999999999999</v>
      </c>
      <c r="H419" s="197">
        <v>2</v>
      </c>
      <c r="I419" s="197" t="s">
        <v>3960</v>
      </c>
      <c r="J419" s="197" t="s">
        <v>3994</v>
      </c>
      <c r="K419" s="197" t="s">
        <v>1283</v>
      </c>
      <c r="L419" s="261">
        <v>0.54</v>
      </c>
      <c r="M419" s="263">
        <v>428.05775999999997</v>
      </c>
      <c r="N419" s="263">
        <f>L419*M419</f>
        <v>231.15119039999999</v>
      </c>
      <c r="O419" s="199"/>
      <c r="P419" s="261"/>
      <c r="Q419" s="261"/>
      <c r="R419" s="198"/>
      <c r="S419" s="197" t="s">
        <v>4360</v>
      </c>
      <c r="T419" s="197" t="s">
        <v>4361</v>
      </c>
      <c r="U419" s="197" t="s">
        <v>3958</v>
      </c>
      <c r="V419" s="197" t="s">
        <v>3959</v>
      </c>
    </row>
    <row r="420" spans="1:22" s="197" customFormat="1" x14ac:dyDescent="0.2">
      <c r="A420" s="197" t="s">
        <v>4359</v>
      </c>
      <c r="B420" s="197" t="s">
        <v>78</v>
      </c>
      <c r="C420" s="197" t="s">
        <v>1341</v>
      </c>
      <c r="D420" s="197" t="s">
        <v>24</v>
      </c>
      <c r="E420" s="197" t="s">
        <v>80</v>
      </c>
      <c r="F420" s="197" t="s">
        <v>26</v>
      </c>
      <c r="G420" s="260">
        <v>42.530999999999999</v>
      </c>
      <c r="H420" s="197">
        <v>3</v>
      </c>
      <c r="I420" s="197" t="s">
        <v>3962</v>
      </c>
      <c r="J420" s="197" t="s">
        <v>3995</v>
      </c>
      <c r="K420" s="197" t="s">
        <v>1283</v>
      </c>
      <c r="L420" s="261">
        <v>0.08</v>
      </c>
      <c r="M420" s="263">
        <v>428.05775999999997</v>
      </c>
      <c r="N420" s="263">
        <f>L420*M420</f>
        <v>34.2446208</v>
      </c>
      <c r="O420" s="199"/>
      <c r="P420" s="261"/>
      <c r="Q420" s="261"/>
      <c r="R420" s="198"/>
      <c r="S420" s="197" t="s">
        <v>4360</v>
      </c>
      <c r="T420" s="197" t="s">
        <v>4361</v>
      </c>
      <c r="U420" s="197" t="s">
        <v>3958</v>
      </c>
      <c r="V420" s="197" t="s">
        <v>3959</v>
      </c>
    </row>
    <row r="421" spans="1:22" s="197" customFormat="1" x14ac:dyDescent="0.2">
      <c r="A421" s="197" t="s">
        <v>4359</v>
      </c>
      <c r="B421" s="197" t="s">
        <v>78</v>
      </c>
      <c r="C421" s="197" t="s">
        <v>1341</v>
      </c>
      <c r="D421" s="197" t="s">
        <v>24</v>
      </c>
      <c r="E421" s="197" t="s">
        <v>80</v>
      </c>
      <c r="F421" s="197" t="s">
        <v>26</v>
      </c>
      <c r="G421" s="260">
        <v>42.530999999999999</v>
      </c>
      <c r="H421" s="197">
        <v>4</v>
      </c>
      <c r="I421" s="197" t="s">
        <v>3966</v>
      </c>
      <c r="J421" s="197" t="s">
        <v>3996</v>
      </c>
      <c r="K421" s="197" t="s">
        <v>1283</v>
      </c>
      <c r="L421" s="261">
        <v>0.04</v>
      </c>
      <c r="M421" s="263">
        <v>428.05775999999997</v>
      </c>
      <c r="N421" s="263">
        <f>L421*M421</f>
        <v>17.1223104</v>
      </c>
      <c r="O421" s="199"/>
      <c r="P421" s="261"/>
      <c r="Q421" s="261"/>
      <c r="R421" s="198"/>
      <c r="S421" s="197" t="s">
        <v>4360</v>
      </c>
      <c r="T421" s="197" t="s">
        <v>4361</v>
      </c>
      <c r="U421" s="197" t="s">
        <v>3958</v>
      </c>
      <c r="V421" s="197" t="s">
        <v>3959</v>
      </c>
    </row>
    <row r="422" spans="1:22" s="197" customFormat="1" x14ac:dyDescent="0.2">
      <c r="A422" s="197" t="s">
        <v>4359</v>
      </c>
      <c r="B422" s="197" t="s">
        <v>78</v>
      </c>
      <c r="C422" s="197" t="s">
        <v>1341</v>
      </c>
      <c r="D422" s="197" t="s">
        <v>24</v>
      </c>
      <c r="E422" s="197" t="s">
        <v>80</v>
      </c>
      <c r="F422" s="197" t="s">
        <v>26</v>
      </c>
      <c r="G422" s="260">
        <v>42.530999999999999</v>
      </c>
      <c r="H422" s="197">
        <v>5</v>
      </c>
      <c r="I422" s="197" t="s">
        <v>3968</v>
      </c>
      <c r="J422" s="197" t="s">
        <v>3969</v>
      </c>
      <c r="K422" s="197" t="s">
        <v>26</v>
      </c>
      <c r="L422" s="261">
        <v>1</v>
      </c>
      <c r="M422" s="263"/>
      <c r="N422" s="263">
        <f>SUM(N418:N421)</f>
        <v>428.05775999999997</v>
      </c>
      <c r="O422" s="199">
        <v>0.2223</v>
      </c>
      <c r="P422" s="261">
        <f>N422*O422</f>
        <v>95.157240047999991</v>
      </c>
      <c r="Q422" s="261">
        <f>N422+P422</f>
        <v>523.21500004799998</v>
      </c>
      <c r="R422" s="198">
        <f>Q422*G422</f>
        <v>22252.857167041486</v>
      </c>
      <c r="S422" s="197" t="s">
        <v>4360</v>
      </c>
      <c r="T422" s="197" t="s">
        <v>4361</v>
      </c>
      <c r="U422" s="197" t="str">
        <f>IF(ABS(Q422-523.215)&lt;=0.01,"FECHA COM PLANILHA","REVISAR")</f>
        <v>FECHA COM PLANILHA</v>
      </c>
      <c r="V422" s="197" t="s">
        <v>4362</v>
      </c>
    </row>
    <row r="423" spans="1:22" s="197" customFormat="1" x14ac:dyDescent="0.2">
      <c r="A423" s="197" t="s">
        <v>4363</v>
      </c>
      <c r="B423" s="197" t="s">
        <v>103</v>
      </c>
      <c r="C423" s="197" t="s">
        <v>1350</v>
      </c>
      <c r="D423" s="197" t="s">
        <v>56</v>
      </c>
      <c r="E423" s="197" t="s">
        <v>1351</v>
      </c>
      <c r="F423" s="197" t="s">
        <v>105</v>
      </c>
      <c r="G423" s="260">
        <v>728</v>
      </c>
      <c r="H423" s="197">
        <v>1</v>
      </c>
      <c r="I423" s="197" t="s">
        <v>3954</v>
      </c>
      <c r="J423" s="197" t="s">
        <v>3991</v>
      </c>
      <c r="K423" s="197" t="s">
        <v>1283</v>
      </c>
      <c r="L423" s="261">
        <v>0.34</v>
      </c>
      <c r="M423" s="263">
        <v>23.997790999999999</v>
      </c>
      <c r="N423" s="263">
        <f>L423*M423</f>
        <v>8.1592489400000012</v>
      </c>
      <c r="O423" s="199"/>
      <c r="P423" s="261"/>
      <c r="Q423" s="261"/>
      <c r="R423" s="198"/>
      <c r="S423" s="197" t="s">
        <v>4364</v>
      </c>
      <c r="T423" s="197" t="s">
        <v>4365</v>
      </c>
      <c r="U423" s="197" t="s">
        <v>3958</v>
      </c>
      <c r="V423" s="197" t="s">
        <v>3959</v>
      </c>
    </row>
    <row r="424" spans="1:22" s="197" customFormat="1" x14ac:dyDescent="0.2">
      <c r="A424" s="197" t="s">
        <v>4363</v>
      </c>
      <c r="B424" s="197" t="s">
        <v>103</v>
      </c>
      <c r="C424" s="197" t="s">
        <v>1350</v>
      </c>
      <c r="D424" s="197" t="s">
        <v>56</v>
      </c>
      <c r="E424" s="197" t="s">
        <v>1351</v>
      </c>
      <c r="F424" s="197" t="s">
        <v>105</v>
      </c>
      <c r="G424" s="260">
        <v>728</v>
      </c>
      <c r="H424" s="197">
        <v>2</v>
      </c>
      <c r="I424" s="197" t="s">
        <v>3960</v>
      </c>
      <c r="J424" s="197" t="s">
        <v>3994</v>
      </c>
      <c r="K424" s="197" t="s">
        <v>1283</v>
      </c>
      <c r="L424" s="261">
        <v>0.54</v>
      </c>
      <c r="M424" s="263">
        <v>23.997790999999999</v>
      </c>
      <c r="N424" s="263">
        <f>L424*M424</f>
        <v>12.958807140000001</v>
      </c>
      <c r="O424" s="199"/>
      <c r="P424" s="261"/>
      <c r="Q424" s="261"/>
      <c r="R424" s="198"/>
      <c r="S424" s="197" t="s">
        <v>4364</v>
      </c>
      <c r="T424" s="197" t="s">
        <v>4365</v>
      </c>
      <c r="U424" s="197" t="s">
        <v>3958</v>
      </c>
      <c r="V424" s="197" t="s">
        <v>3959</v>
      </c>
    </row>
    <row r="425" spans="1:22" s="197" customFormat="1" x14ac:dyDescent="0.2">
      <c r="A425" s="197" t="s">
        <v>4363</v>
      </c>
      <c r="B425" s="197" t="s">
        <v>103</v>
      </c>
      <c r="C425" s="197" t="s">
        <v>1350</v>
      </c>
      <c r="D425" s="197" t="s">
        <v>56</v>
      </c>
      <c r="E425" s="197" t="s">
        <v>1351</v>
      </c>
      <c r="F425" s="197" t="s">
        <v>105</v>
      </c>
      <c r="G425" s="260">
        <v>728</v>
      </c>
      <c r="H425" s="197">
        <v>3</v>
      </c>
      <c r="I425" s="197" t="s">
        <v>3962</v>
      </c>
      <c r="J425" s="197" t="s">
        <v>3995</v>
      </c>
      <c r="K425" s="197" t="s">
        <v>1283</v>
      </c>
      <c r="L425" s="261">
        <v>0.08</v>
      </c>
      <c r="M425" s="263">
        <v>23.997790999999999</v>
      </c>
      <c r="N425" s="263">
        <f>L425*M425</f>
        <v>1.9198232799999999</v>
      </c>
      <c r="O425" s="199"/>
      <c r="P425" s="261"/>
      <c r="Q425" s="261"/>
      <c r="R425" s="198"/>
      <c r="S425" s="197" t="s">
        <v>4364</v>
      </c>
      <c r="T425" s="197" t="s">
        <v>4365</v>
      </c>
      <c r="U425" s="197" t="s">
        <v>3958</v>
      </c>
      <c r="V425" s="197" t="s">
        <v>3959</v>
      </c>
    </row>
    <row r="426" spans="1:22" s="197" customFormat="1" x14ac:dyDescent="0.2">
      <c r="A426" s="197" t="s">
        <v>4363</v>
      </c>
      <c r="B426" s="197" t="s">
        <v>103</v>
      </c>
      <c r="C426" s="197" t="s">
        <v>1350</v>
      </c>
      <c r="D426" s="197" t="s">
        <v>56</v>
      </c>
      <c r="E426" s="197" t="s">
        <v>1351</v>
      </c>
      <c r="F426" s="197" t="s">
        <v>105</v>
      </c>
      <c r="G426" s="260">
        <v>728</v>
      </c>
      <c r="H426" s="197">
        <v>4</v>
      </c>
      <c r="I426" s="197" t="s">
        <v>3966</v>
      </c>
      <c r="J426" s="197" t="s">
        <v>3996</v>
      </c>
      <c r="K426" s="197" t="s">
        <v>1283</v>
      </c>
      <c r="L426" s="261">
        <v>0.04</v>
      </c>
      <c r="M426" s="263">
        <v>23.997790999999999</v>
      </c>
      <c r="N426" s="263">
        <f>L426*M426</f>
        <v>0.95991163999999995</v>
      </c>
      <c r="O426" s="199"/>
      <c r="P426" s="261"/>
      <c r="Q426" s="261"/>
      <c r="R426" s="198"/>
      <c r="S426" s="197" t="s">
        <v>4364</v>
      </c>
      <c r="T426" s="197" t="s">
        <v>4365</v>
      </c>
      <c r="U426" s="197" t="s">
        <v>3958</v>
      </c>
      <c r="V426" s="197" t="s">
        <v>3959</v>
      </c>
    </row>
    <row r="427" spans="1:22" s="197" customFormat="1" x14ac:dyDescent="0.2">
      <c r="A427" s="197" t="s">
        <v>4363</v>
      </c>
      <c r="B427" s="197" t="s">
        <v>103</v>
      </c>
      <c r="C427" s="197" t="s">
        <v>1350</v>
      </c>
      <c r="D427" s="197" t="s">
        <v>56</v>
      </c>
      <c r="E427" s="197" t="s">
        <v>1351</v>
      </c>
      <c r="F427" s="197" t="s">
        <v>105</v>
      </c>
      <c r="G427" s="260">
        <v>728</v>
      </c>
      <c r="H427" s="197">
        <v>5</v>
      </c>
      <c r="I427" s="197" t="s">
        <v>3968</v>
      </c>
      <c r="J427" s="197" t="s">
        <v>3969</v>
      </c>
      <c r="K427" s="197" t="s">
        <v>105</v>
      </c>
      <c r="L427" s="261">
        <v>1</v>
      </c>
      <c r="M427" s="263"/>
      <c r="N427" s="263">
        <f>SUM(N423:N426)</f>
        <v>23.997791000000003</v>
      </c>
      <c r="O427" s="199">
        <v>0.2223</v>
      </c>
      <c r="P427" s="261">
        <f>N427*O427</f>
        <v>5.3347089393000005</v>
      </c>
      <c r="Q427" s="261">
        <f>N427+P427</f>
        <v>29.332499939300003</v>
      </c>
      <c r="R427" s="198">
        <f>Q427*G427</f>
        <v>21354.059955810404</v>
      </c>
      <c r="S427" s="197" t="s">
        <v>4364</v>
      </c>
      <c r="T427" s="197" t="s">
        <v>4365</v>
      </c>
      <c r="U427" s="197" t="str">
        <f>IF(ABS(Q427-29.3325)&lt;=0.01,"FECHA COM PLANILHA","REVISAR")</f>
        <v>FECHA COM PLANILHA</v>
      </c>
      <c r="V427" s="197" t="s">
        <v>4366</v>
      </c>
    </row>
    <row r="428" spans="1:22" s="197" customFormat="1" x14ac:dyDescent="0.2">
      <c r="A428" s="197" t="s">
        <v>4367</v>
      </c>
      <c r="B428" s="197" t="s">
        <v>256</v>
      </c>
      <c r="C428" s="197" t="s">
        <v>1426</v>
      </c>
      <c r="D428" s="197" t="s">
        <v>24</v>
      </c>
      <c r="E428" s="197" t="s">
        <v>1427</v>
      </c>
      <c r="F428" s="197" t="s">
        <v>26</v>
      </c>
      <c r="G428" s="260">
        <v>290.88900000000001</v>
      </c>
      <c r="H428" s="197">
        <v>1</v>
      </c>
      <c r="I428" s="197" t="s">
        <v>3954</v>
      </c>
      <c r="J428" s="197" t="s">
        <v>3982</v>
      </c>
      <c r="K428" s="197" t="s">
        <v>1283</v>
      </c>
      <c r="L428" s="261">
        <v>0.16</v>
      </c>
      <c r="M428" s="263">
        <v>59.868690000000001</v>
      </c>
      <c r="N428" s="263">
        <f>L428*M428</f>
        <v>9.5789904000000003</v>
      </c>
      <c r="O428" s="199"/>
      <c r="P428" s="261"/>
      <c r="Q428" s="261"/>
      <c r="R428" s="198"/>
      <c r="S428" s="197" t="s">
        <v>4368</v>
      </c>
      <c r="T428" s="197" t="s">
        <v>4369</v>
      </c>
      <c r="U428" s="197" t="s">
        <v>3958</v>
      </c>
      <c r="V428" s="197" t="s">
        <v>3959</v>
      </c>
    </row>
    <row r="429" spans="1:22" s="197" customFormat="1" x14ac:dyDescent="0.2">
      <c r="A429" s="197" t="s">
        <v>4367</v>
      </c>
      <c r="B429" s="197" t="s">
        <v>256</v>
      </c>
      <c r="C429" s="197" t="s">
        <v>1426</v>
      </c>
      <c r="D429" s="197" t="s">
        <v>24</v>
      </c>
      <c r="E429" s="197" t="s">
        <v>1427</v>
      </c>
      <c r="F429" s="197" t="s">
        <v>26</v>
      </c>
      <c r="G429" s="260">
        <v>290.88900000000001</v>
      </c>
      <c r="H429" s="197">
        <v>2</v>
      </c>
      <c r="I429" s="197" t="s">
        <v>3960</v>
      </c>
      <c r="J429" s="197" t="s">
        <v>3985</v>
      </c>
      <c r="K429" s="197" t="s">
        <v>1283</v>
      </c>
      <c r="L429" s="261">
        <v>0.64</v>
      </c>
      <c r="M429" s="263">
        <v>59.868690000000001</v>
      </c>
      <c r="N429" s="263">
        <f>L429*M429</f>
        <v>38.315961600000001</v>
      </c>
      <c r="O429" s="199"/>
      <c r="P429" s="261"/>
      <c r="Q429" s="261"/>
      <c r="R429" s="198"/>
      <c r="S429" s="197" t="s">
        <v>4368</v>
      </c>
      <c r="T429" s="197" t="s">
        <v>4369</v>
      </c>
      <c r="U429" s="197" t="s">
        <v>3958</v>
      </c>
      <c r="V429" s="197" t="s">
        <v>3959</v>
      </c>
    </row>
    <row r="430" spans="1:22" s="197" customFormat="1" x14ac:dyDescent="0.2">
      <c r="A430" s="197" t="s">
        <v>4367</v>
      </c>
      <c r="B430" s="197" t="s">
        <v>256</v>
      </c>
      <c r="C430" s="197" t="s">
        <v>1426</v>
      </c>
      <c r="D430" s="197" t="s">
        <v>24</v>
      </c>
      <c r="E430" s="197" t="s">
        <v>1427</v>
      </c>
      <c r="F430" s="197" t="s">
        <v>26</v>
      </c>
      <c r="G430" s="260">
        <v>290.88900000000001</v>
      </c>
      <c r="H430" s="197">
        <v>3</v>
      </c>
      <c r="I430" s="197" t="s">
        <v>3962</v>
      </c>
      <c r="J430" s="197" t="s">
        <v>3986</v>
      </c>
      <c r="K430" s="197" t="s">
        <v>1283</v>
      </c>
      <c r="L430" s="261">
        <v>0.15</v>
      </c>
      <c r="M430" s="263">
        <v>59.868690000000001</v>
      </c>
      <c r="N430" s="263">
        <f>L430*M430</f>
        <v>8.9803034999999998</v>
      </c>
      <c r="O430" s="199"/>
      <c r="P430" s="261"/>
      <c r="Q430" s="261"/>
      <c r="R430" s="198"/>
      <c r="S430" s="197" t="s">
        <v>4368</v>
      </c>
      <c r="T430" s="197" t="s">
        <v>4369</v>
      </c>
      <c r="U430" s="197" t="s">
        <v>3958</v>
      </c>
      <c r="V430" s="197" t="s">
        <v>3959</v>
      </c>
    </row>
    <row r="431" spans="1:22" s="197" customFormat="1" x14ac:dyDescent="0.2">
      <c r="A431" s="197" t="s">
        <v>4367</v>
      </c>
      <c r="B431" s="197" t="s">
        <v>256</v>
      </c>
      <c r="C431" s="197" t="s">
        <v>1426</v>
      </c>
      <c r="D431" s="197" t="s">
        <v>24</v>
      </c>
      <c r="E431" s="197" t="s">
        <v>1427</v>
      </c>
      <c r="F431" s="197" t="s">
        <v>26</v>
      </c>
      <c r="G431" s="260">
        <v>290.88900000000001</v>
      </c>
      <c r="H431" s="197">
        <v>4</v>
      </c>
      <c r="I431" s="197" t="s">
        <v>3987</v>
      </c>
      <c r="J431" s="197" t="s">
        <v>3988</v>
      </c>
      <c r="K431" s="197" t="s">
        <v>1283</v>
      </c>
      <c r="L431" s="261">
        <v>0.05</v>
      </c>
      <c r="M431" s="263">
        <v>59.868690000000001</v>
      </c>
      <c r="N431" s="263">
        <f>L431*M431</f>
        <v>2.9934345000000002</v>
      </c>
      <c r="O431" s="199"/>
      <c r="P431" s="261"/>
      <c r="Q431" s="261"/>
      <c r="R431" s="198"/>
      <c r="S431" s="197" t="s">
        <v>4368</v>
      </c>
      <c r="T431" s="197" t="s">
        <v>4369</v>
      </c>
      <c r="U431" s="197" t="s">
        <v>3958</v>
      </c>
      <c r="V431" s="197" t="s">
        <v>3959</v>
      </c>
    </row>
    <row r="432" spans="1:22" s="197" customFormat="1" x14ac:dyDescent="0.2">
      <c r="A432" s="197" t="s">
        <v>4367</v>
      </c>
      <c r="B432" s="197" t="s">
        <v>256</v>
      </c>
      <c r="C432" s="197" t="s">
        <v>1426</v>
      </c>
      <c r="D432" s="197" t="s">
        <v>24</v>
      </c>
      <c r="E432" s="197" t="s">
        <v>1427</v>
      </c>
      <c r="F432" s="197" t="s">
        <v>26</v>
      </c>
      <c r="G432" s="260">
        <v>290.88900000000001</v>
      </c>
      <c r="H432" s="197">
        <v>5</v>
      </c>
      <c r="I432" s="197" t="s">
        <v>3968</v>
      </c>
      <c r="J432" s="197" t="s">
        <v>3969</v>
      </c>
      <c r="K432" s="197" t="s">
        <v>26</v>
      </c>
      <c r="L432" s="261">
        <v>1</v>
      </c>
      <c r="M432" s="263"/>
      <c r="N432" s="263">
        <f>SUM(N428:N431)</f>
        <v>59.868690000000001</v>
      </c>
      <c r="O432" s="199">
        <v>0.2223</v>
      </c>
      <c r="P432" s="261">
        <f>N432*O432</f>
        <v>13.308809787</v>
      </c>
      <c r="Q432" s="261">
        <f>N432+P432</f>
        <v>73.177499787000002</v>
      </c>
      <c r="R432" s="198">
        <f>Q432*G432</f>
        <v>21286.529735540644</v>
      </c>
      <c r="S432" s="197" t="s">
        <v>4368</v>
      </c>
      <c r="T432" s="197" t="s">
        <v>4369</v>
      </c>
      <c r="U432" s="197" t="str">
        <f>IF(ABS(Q432-73.1775)&lt;=0.01,"FECHA COM PLANILHA","REVISAR")</f>
        <v>FECHA COM PLANILHA</v>
      </c>
      <c r="V432" s="197" t="s">
        <v>4370</v>
      </c>
    </row>
    <row r="433" spans="1:22" s="197" customFormat="1" x14ac:dyDescent="0.2">
      <c r="A433" s="197" t="s">
        <v>4371</v>
      </c>
      <c r="B433" s="197" t="s">
        <v>1940</v>
      </c>
      <c r="C433" s="197" t="s">
        <v>1941</v>
      </c>
      <c r="D433" s="197" t="s">
        <v>56</v>
      </c>
      <c r="E433" s="197" t="s">
        <v>889</v>
      </c>
      <c r="F433" s="197" t="s">
        <v>84</v>
      </c>
      <c r="G433" s="260">
        <v>2</v>
      </c>
      <c r="H433" s="197">
        <v>1</v>
      </c>
      <c r="I433" s="197" t="s">
        <v>3954</v>
      </c>
      <c r="J433" s="197" t="s">
        <v>4088</v>
      </c>
      <c r="K433" s="197" t="s">
        <v>1283</v>
      </c>
      <c r="L433" s="261">
        <v>0.1</v>
      </c>
      <c r="M433" s="263">
        <v>8626.8162479999992</v>
      </c>
      <c r="N433" s="263">
        <f>L433*M433</f>
        <v>862.68162480000001</v>
      </c>
      <c r="O433" s="199"/>
      <c r="P433" s="261"/>
      <c r="Q433" s="261"/>
      <c r="R433" s="198"/>
      <c r="S433" s="197" t="s">
        <v>4372</v>
      </c>
      <c r="T433" s="197" t="s">
        <v>4373</v>
      </c>
      <c r="U433" s="197" t="s">
        <v>3958</v>
      </c>
      <c r="V433" s="197" t="s">
        <v>3959</v>
      </c>
    </row>
    <row r="434" spans="1:22" s="197" customFormat="1" x14ac:dyDescent="0.2">
      <c r="A434" s="197" t="s">
        <v>4371</v>
      </c>
      <c r="B434" s="197" t="s">
        <v>1940</v>
      </c>
      <c r="C434" s="197" t="s">
        <v>1941</v>
      </c>
      <c r="D434" s="197" t="s">
        <v>56</v>
      </c>
      <c r="E434" s="197" t="s">
        <v>889</v>
      </c>
      <c r="F434" s="197" t="s">
        <v>84</v>
      </c>
      <c r="G434" s="260">
        <v>2</v>
      </c>
      <c r="H434" s="197">
        <v>2</v>
      </c>
      <c r="I434" s="197" t="s">
        <v>4091</v>
      </c>
      <c r="J434" s="197" t="s">
        <v>4092</v>
      </c>
      <c r="K434" s="197" t="s">
        <v>1283</v>
      </c>
      <c r="L434" s="261">
        <v>0.84</v>
      </c>
      <c r="M434" s="263">
        <v>8626.8162479999992</v>
      </c>
      <c r="N434" s="263">
        <f>L434*M434</f>
        <v>7246.5256483199992</v>
      </c>
      <c r="O434" s="199"/>
      <c r="P434" s="261"/>
      <c r="Q434" s="261"/>
      <c r="R434" s="198"/>
      <c r="S434" s="197" t="s">
        <v>4372</v>
      </c>
      <c r="T434" s="197" t="s">
        <v>4373</v>
      </c>
      <c r="U434" s="197" t="s">
        <v>3958</v>
      </c>
      <c r="V434" s="197" t="s">
        <v>3959</v>
      </c>
    </row>
    <row r="435" spans="1:22" s="197" customFormat="1" x14ac:dyDescent="0.2">
      <c r="A435" s="197" t="s">
        <v>4371</v>
      </c>
      <c r="B435" s="197" t="s">
        <v>1940</v>
      </c>
      <c r="C435" s="197" t="s">
        <v>1941</v>
      </c>
      <c r="D435" s="197" t="s">
        <v>56</v>
      </c>
      <c r="E435" s="197" t="s">
        <v>889</v>
      </c>
      <c r="F435" s="197" t="s">
        <v>84</v>
      </c>
      <c r="G435" s="260">
        <v>2</v>
      </c>
      <c r="H435" s="197">
        <v>3</v>
      </c>
      <c r="I435" s="197" t="s">
        <v>4093</v>
      </c>
      <c r="J435" s="197" t="s">
        <v>4094</v>
      </c>
      <c r="K435" s="197" t="s">
        <v>1283</v>
      </c>
      <c r="L435" s="261">
        <v>0.03</v>
      </c>
      <c r="M435" s="263">
        <v>8626.8162479999992</v>
      </c>
      <c r="N435" s="263">
        <f>L435*M435</f>
        <v>258.80448743999995</v>
      </c>
      <c r="O435" s="199"/>
      <c r="P435" s="261"/>
      <c r="Q435" s="261"/>
      <c r="R435" s="198"/>
      <c r="S435" s="197" t="s">
        <v>4372</v>
      </c>
      <c r="T435" s="197" t="s">
        <v>4373</v>
      </c>
      <c r="U435" s="197" t="s">
        <v>3958</v>
      </c>
      <c r="V435" s="197" t="s">
        <v>3959</v>
      </c>
    </row>
    <row r="436" spans="1:22" s="197" customFormat="1" x14ac:dyDescent="0.2">
      <c r="A436" s="197" t="s">
        <v>4371</v>
      </c>
      <c r="B436" s="197" t="s">
        <v>1940</v>
      </c>
      <c r="C436" s="197" t="s">
        <v>1941</v>
      </c>
      <c r="D436" s="197" t="s">
        <v>56</v>
      </c>
      <c r="E436" s="197" t="s">
        <v>889</v>
      </c>
      <c r="F436" s="197" t="s">
        <v>84</v>
      </c>
      <c r="G436" s="260">
        <v>2</v>
      </c>
      <c r="H436" s="197">
        <v>4</v>
      </c>
      <c r="I436" s="197" t="s">
        <v>4017</v>
      </c>
      <c r="J436" s="197" t="s">
        <v>4095</v>
      </c>
      <c r="K436" s="197" t="s">
        <v>1283</v>
      </c>
      <c r="L436" s="261">
        <v>0.03</v>
      </c>
      <c r="M436" s="263">
        <v>8626.8162479999992</v>
      </c>
      <c r="N436" s="263">
        <f>L436*M436</f>
        <v>258.80448743999995</v>
      </c>
      <c r="O436" s="199"/>
      <c r="P436" s="261"/>
      <c r="Q436" s="261"/>
      <c r="R436" s="198"/>
      <c r="S436" s="197" t="s">
        <v>4372</v>
      </c>
      <c r="T436" s="197" t="s">
        <v>4373</v>
      </c>
      <c r="U436" s="197" t="s">
        <v>3958</v>
      </c>
      <c r="V436" s="197" t="s">
        <v>3959</v>
      </c>
    </row>
    <row r="437" spans="1:22" s="197" customFormat="1" x14ac:dyDescent="0.2">
      <c r="A437" s="197" t="s">
        <v>4371</v>
      </c>
      <c r="B437" s="197" t="s">
        <v>1940</v>
      </c>
      <c r="C437" s="197" t="s">
        <v>1941</v>
      </c>
      <c r="D437" s="197" t="s">
        <v>56</v>
      </c>
      <c r="E437" s="197" t="s">
        <v>889</v>
      </c>
      <c r="F437" s="197" t="s">
        <v>84</v>
      </c>
      <c r="G437" s="260">
        <v>2</v>
      </c>
      <c r="H437" s="197">
        <v>5</v>
      </c>
      <c r="I437" s="197" t="s">
        <v>3968</v>
      </c>
      <c r="J437" s="197" t="s">
        <v>3969</v>
      </c>
      <c r="K437" s="197" t="s">
        <v>84</v>
      </c>
      <c r="L437" s="261">
        <v>1</v>
      </c>
      <c r="M437" s="263"/>
      <c r="N437" s="263">
        <f>SUM(N433:N436)</f>
        <v>8626.8162479999992</v>
      </c>
      <c r="O437" s="199">
        <v>0.2223</v>
      </c>
      <c r="P437" s="261">
        <f>N437*O437</f>
        <v>1917.7412519303998</v>
      </c>
      <c r="Q437" s="261">
        <f>N437+P437</f>
        <v>10544.557499930399</v>
      </c>
      <c r="R437" s="198">
        <f>Q437*G437</f>
        <v>21089.114999860798</v>
      </c>
      <c r="S437" s="197" t="s">
        <v>4372</v>
      </c>
      <c r="T437" s="197" t="s">
        <v>4373</v>
      </c>
      <c r="U437" s="197" t="str">
        <f>IF(ABS(Q437-10544.5575)&lt;=0.01,"FECHA COM PLANILHA","REVISAR")</f>
        <v>FECHA COM PLANILHA</v>
      </c>
      <c r="V437" s="197" t="s">
        <v>4374</v>
      </c>
    </row>
    <row r="438" spans="1:22" s="197" customFormat="1" x14ac:dyDescent="0.2">
      <c r="A438" s="197" t="s">
        <v>4375</v>
      </c>
      <c r="B438" s="197" t="s">
        <v>203</v>
      </c>
      <c r="C438" s="197" t="s">
        <v>1397</v>
      </c>
      <c r="D438" s="197" t="s">
        <v>56</v>
      </c>
      <c r="E438" s="197" t="s">
        <v>204</v>
      </c>
      <c r="F438" s="197" t="s">
        <v>180</v>
      </c>
      <c r="G438" s="260">
        <v>2033.6669999999999</v>
      </c>
      <c r="H438" s="197">
        <v>1</v>
      </c>
      <c r="I438" s="197" t="s">
        <v>3954</v>
      </c>
      <c r="J438" s="197" t="s">
        <v>3982</v>
      </c>
      <c r="K438" s="197" t="s">
        <v>1283</v>
      </c>
      <c r="L438" s="261">
        <v>0.16</v>
      </c>
      <c r="M438" s="263">
        <v>8.3878749999999993</v>
      </c>
      <c r="N438" s="263">
        <f>L438*M438</f>
        <v>1.3420599999999998</v>
      </c>
      <c r="O438" s="199"/>
      <c r="P438" s="261"/>
      <c r="Q438" s="261"/>
      <c r="R438" s="198"/>
      <c r="S438" s="197" t="s">
        <v>4288</v>
      </c>
      <c r="T438" s="197" t="s">
        <v>4376</v>
      </c>
      <c r="U438" s="197" t="s">
        <v>3958</v>
      </c>
      <c r="V438" s="197" t="s">
        <v>3959</v>
      </c>
    </row>
    <row r="439" spans="1:22" s="197" customFormat="1" x14ac:dyDescent="0.2">
      <c r="A439" s="197" t="s">
        <v>4375</v>
      </c>
      <c r="B439" s="197" t="s">
        <v>203</v>
      </c>
      <c r="C439" s="197" t="s">
        <v>1397</v>
      </c>
      <c r="D439" s="197" t="s">
        <v>56</v>
      </c>
      <c r="E439" s="197" t="s">
        <v>204</v>
      </c>
      <c r="F439" s="197" t="s">
        <v>180</v>
      </c>
      <c r="G439" s="260">
        <v>2033.6669999999999</v>
      </c>
      <c r="H439" s="197">
        <v>2</v>
      </c>
      <c r="I439" s="197" t="s">
        <v>3960</v>
      </c>
      <c r="J439" s="197" t="s">
        <v>3985</v>
      </c>
      <c r="K439" s="197" t="s">
        <v>1283</v>
      </c>
      <c r="L439" s="261">
        <v>0.64</v>
      </c>
      <c r="M439" s="263">
        <v>8.3878749999999993</v>
      </c>
      <c r="N439" s="263">
        <f>L439*M439</f>
        <v>5.3682399999999992</v>
      </c>
      <c r="O439" s="199"/>
      <c r="P439" s="261"/>
      <c r="Q439" s="261"/>
      <c r="R439" s="198"/>
      <c r="S439" s="197" t="s">
        <v>4288</v>
      </c>
      <c r="T439" s="197" t="s">
        <v>4376</v>
      </c>
      <c r="U439" s="197" t="s">
        <v>3958</v>
      </c>
      <c r="V439" s="197" t="s">
        <v>3959</v>
      </c>
    </row>
    <row r="440" spans="1:22" s="197" customFormat="1" x14ac:dyDescent="0.2">
      <c r="A440" s="197" t="s">
        <v>4375</v>
      </c>
      <c r="B440" s="197" t="s">
        <v>203</v>
      </c>
      <c r="C440" s="197" t="s">
        <v>1397</v>
      </c>
      <c r="D440" s="197" t="s">
        <v>56</v>
      </c>
      <c r="E440" s="197" t="s">
        <v>204</v>
      </c>
      <c r="F440" s="197" t="s">
        <v>180</v>
      </c>
      <c r="G440" s="260">
        <v>2033.6669999999999</v>
      </c>
      <c r="H440" s="197">
        <v>3</v>
      </c>
      <c r="I440" s="197" t="s">
        <v>3962</v>
      </c>
      <c r="J440" s="197" t="s">
        <v>3986</v>
      </c>
      <c r="K440" s="197" t="s">
        <v>1283</v>
      </c>
      <c r="L440" s="261">
        <v>0.15</v>
      </c>
      <c r="M440" s="263">
        <v>8.3878749999999993</v>
      </c>
      <c r="N440" s="263">
        <f>L440*M440</f>
        <v>1.2581812499999998</v>
      </c>
      <c r="O440" s="199"/>
      <c r="P440" s="261"/>
      <c r="Q440" s="261"/>
      <c r="R440" s="198"/>
      <c r="S440" s="197" t="s">
        <v>4288</v>
      </c>
      <c r="T440" s="197" t="s">
        <v>4376</v>
      </c>
      <c r="U440" s="197" t="s">
        <v>3958</v>
      </c>
      <c r="V440" s="197" t="s">
        <v>3959</v>
      </c>
    </row>
    <row r="441" spans="1:22" s="197" customFormat="1" x14ac:dyDescent="0.2">
      <c r="A441" s="197" t="s">
        <v>4375</v>
      </c>
      <c r="B441" s="197" t="s">
        <v>203</v>
      </c>
      <c r="C441" s="197" t="s">
        <v>1397</v>
      </c>
      <c r="D441" s="197" t="s">
        <v>56</v>
      </c>
      <c r="E441" s="197" t="s">
        <v>204</v>
      </c>
      <c r="F441" s="197" t="s">
        <v>180</v>
      </c>
      <c r="G441" s="260">
        <v>2033.6669999999999</v>
      </c>
      <c r="H441" s="197">
        <v>4</v>
      </c>
      <c r="I441" s="197" t="s">
        <v>3987</v>
      </c>
      <c r="J441" s="197" t="s">
        <v>3988</v>
      </c>
      <c r="K441" s="197" t="s">
        <v>1283</v>
      </c>
      <c r="L441" s="261">
        <v>0.05</v>
      </c>
      <c r="M441" s="263">
        <v>8.3878749999999993</v>
      </c>
      <c r="N441" s="263">
        <f>L441*M441</f>
        <v>0.41939375000000001</v>
      </c>
      <c r="O441" s="199"/>
      <c r="P441" s="261"/>
      <c r="Q441" s="261"/>
      <c r="R441" s="198"/>
      <c r="S441" s="197" t="s">
        <v>4288</v>
      </c>
      <c r="T441" s="197" t="s">
        <v>4376</v>
      </c>
      <c r="U441" s="197" t="s">
        <v>3958</v>
      </c>
      <c r="V441" s="197" t="s">
        <v>3959</v>
      </c>
    </row>
    <row r="442" spans="1:22" s="197" customFormat="1" x14ac:dyDescent="0.2">
      <c r="A442" s="197" t="s">
        <v>4375</v>
      </c>
      <c r="B442" s="197" t="s">
        <v>203</v>
      </c>
      <c r="C442" s="197" t="s">
        <v>1397</v>
      </c>
      <c r="D442" s="197" t="s">
        <v>56</v>
      </c>
      <c r="E442" s="197" t="s">
        <v>204</v>
      </c>
      <c r="F442" s="197" t="s">
        <v>180</v>
      </c>
      <c r="G442" s="260">
        <v>2033.6669999999999</v>
      </c>
      <c r="H442" s="197">
        <v>5</v>
      </c>
      <c r="I442" s="197" t="s">
        <v>3968</v>
      </c>
      <c r="J442" s="197" t="s">
        <v>3969</v>
      </c>
      <c r="K442" s="197" t="s">
        <v>180</v>
      </c>
      <c r="L442" s="261">
        <v>1</v>
      </c>
      <c r="M442" s="263"/>
      <c r="N442" s="263">
        <f>SUM(N438:N441)</f>
        <v>8.3878749999999993</v>
      </c>
      <c r="O442" s="199">
        <v>0.2223</v>
      </c>
      <c r="P442" s="261">
        <f>N442*O442</f>
        <v>1.8646246124999999</v>
      </c>
      <c r="Q442" s="261">
        <f>N442+P442</f>
        <v>10.252499612499999</v>
      </c>
      <c r="R442" s="198">
        <f>Q442*G442</f>
        <v>20850.170129454036</v>
      </c>
      <c r="S442" s="197" t="s">
        <v>4288</v>
      </c>
      <c r="T442" s="197" t="s">
        <v>4376</v>
      </c>
      <c r="U442" s="197" t="str">
        <f>IF(ABS(Q442-10.2525)&lt;=0.01,"FECHA COM PLANILHA","REVISAR")</f>
        <v>FECHA COM PLANILHA</v>
      </c>
      <c r="V442" s="197" t="s">
        <v>4290</v>
      </c>
    </row>
    <row r="443" spans="1:22" s="197" customFormat="1" x14ac:dyDescent="0.2">
      <c r="A443" s="197" t="s">
        <v>4377</v>
      </c>
      <c r="B443" s="197" t="s">
        <v>2021</v>
      </c>
      <c r="C443" s="197" t="s">
        <v>2022</v>
      </c>
      <c r="D443" s="197" t="s">
        <v>24</v>
      </c>
      <c r="E443" s="197" t="s">
        <v>956</v>
      </c>
      <c r="F443" s="197" t="s">
        <v>99</v>
      </c>
      <c r="G443" s="260">
        <v>99.5</v>
      </c>
      <c r="H443" s="197">
        <v>1</v>
      </c>
      <c r="I443" s="197" t="s">
        <v>3954</v>
      </c>
      <c r="J443" s="197" t="s">
        <v>4012</v>
      </c>
      <c r="K443" s="197" t="s">
        <v>1283</v>
      </c>
      <c r="L443" s="261">
        <v>0.22</v>
      </c>
      <c r="M443" s="263">
        <v>169.493987</v>
      </c>
      <c r="N443" s="263">
        <f>L443*M443</f>
        <v>37.288677140000004</v>
      </c>
      <c r="O443" s="199"/>
      <c r="P443" s="261"/>
      <c r="Q443" s="261"/>
      <c r="R443" s="198"/>
      <c r="S443" s="197" t="s">
        <v>4378</v>
      </c>
      <c r="T443" s="197" t="s">
        <v>4379</v>
      </c>
      <c r="U443" s="197" t="s">
        <v>3958</v>
      </c>
      <c r="V443" s="197" t="s">
        <v>3959</v>
      </c>
    </row>
    <row r="444" spans="1:22" s="197" customFormat="1" x14ac:dyDescent="0.2">
      <c r="A444" s="197" t="s">
        <v>4377</v>
      </c>
      <c r="B444" s="197" t="s">
        <v>2021</v>
      </c>
      <c r="C444" s="197" t="s">
        <v>2022</v>
      </c>
      <c r="D444" s="197" t="s">
        <v>24</v>
      </c>
      <c r="E444" s="197" t="s">
        <v>956</v>
      </c>
      <c r="F444" s="197" t="s">
        <v>99</v>
      </c>
      <c r="G444" s="260">
        <v>99.5</v>
      </c>
      <c r="H444" s="197">
        <v>2</v>
      </c>
      <c r="I444" s="197" t="s">
        <v>3960</v>
      </c>
      <c r="J444" s="197" t="s">
        <v>4015</v>
      </c>
      <c r="K444" s="197" t="s">
        <v>1283</v>
      </c>
      <c r="L444" s="261">
        <v>0.7</v>
      </c>
      <c r="M444" s="263">
        <v>169.493987</v>
      </c>
      <c r="N444" s="263">
        <f>L444*M444</f>
        <v>118.64579089999999</v>
      </c>
      <c r="O444" s="199"/>
      <c r="P444" s="261"/>
      <c r="Q444" s="261"/>
      <c r="R444" s="198"/>
      <c r="S444" s="197" t="s">
        <v>4378</v>
      </c>
      <c r="T444" s="197" t="s">
        <v>4379</v>
      </c>
      <c r="U444" s="197" t="s">
        <v>3958</v>
      </c>
      <c r="V444" s="197" t="s">
        <v>3959</v>
      </c>
    </row>
    <row r="445" spans="1:22" s="197" customFormat="1" x14ac:dyDescent="0.2">
      <c r="A445" s="197" t="s">
        <v>4377</v>
      </c>
      <c r="B445" s="197" t="s">
        <v>2021</v>
      </c>
      <c r="C445" s="197" t="s">
        <v>2022</v>
      </c>
      <c r="D445" s="197" t="s">
        <v>24</v>
      </c>
      <c r="E445" s="197" t="s">
        <v>956</v>
      </c>
      <c r="F445" s="197" t="s">
        <v>99</v>
      </c>
      <c r="G445" s="260">
        <v>99.5</v>
      </c>
      <c r="H445" s="197">
        <v>3</v>
      </c>
      <c r="I445" s="197" t="s">
        <v>3976</v>
      </c>
      <c r="J445" s="197" t="s">
        <v>4016</v>
      </c>
      <c r="K445" s="197" t="s">
        <v>1283</v>
      </c>
      <c r="L445" s="261">
        <v>0.05</v>
      </c>
      <c r="M445" s="263">
        <v>169.493987</v>
      </c>
      <c r="N445" s="263">
        <f>L445*M445</f>
        <v>8.4746993499999999</v>
      </c>
      <c r="O445" s="199"/>
      <c r="P445" s="261"/>
      <c r="Q445" s="261"/>
      <c r="R445" s="198"/>
      <c r="S445" s="197" t="s">
        <v>4378</v>
      </c>
      <c r="T445" s="197" t="s">
        <v>4379</v>
      </c>
      <c r="U445" s="197" t="s">
        <v>3958</v>
      </c>
      <c r="V445" s="197" t="s">
        <v>3959</v>
      </c>
    </row>
    <row r="446" spans="1:22" s="197" customFormat="1" x14ac:dyDescent="0.2">
      <c r="A446" s="197" t="s">
        <v>4377</v>
      </c>
      <c r="B446" s="197" t="s">
        <v>2021</v>
      </c>
      <c r="C446" s="197" t="s">
        <v>2022</v>
      </c>
      <c r="D446" s="197" t="s">
        <v>24</v>
      </c>
      <c r="E446" s="197" t="s">
        <v>956</v>
      </c>
      <c r="F446" s="197" t="s">
        <v>99</v>
      </c>
      <c r="G446" s="260">
        <v>99.5</v>
      </c>
      <c r="H446" s="197">
        <v>4</v>
      </c>
      <c r="I446" s="197" t="s">
        <v>4017</v>
      </c>
      <c r="J446" s="197" t="s">
        <v>4018</v>
      </c>
      <c r="K446" s="197" t="s">
        <v>1283</v>
      </c>
      <c r="L446" s="261">
        <v>0.03</v>
      </c>
      <c r="M446" s="263">
        <v>169.493987</v>
      </c>
      <c r="N446" s="263">
        <f>L446*M446</f>
        <v>5.0848196100000003</v>
      </c>
      <c r="O446" s="199"/>
      <c r="P446" s="261"/>
      <c r="Q446" s="261"/>
      <c r="R446" s="198"/>
      <c r="S446" s="197" t="s">
        <v>4378</v>
      </c>
      <c r="T446" s="197" t="s">
        <v>4379</v>
      </c>
      <c r="U446" s="197" t="s">
        <v>3958</v>
      </c>
      <c r="V446" s="197" t="s">
        <v>3959</v>
      </c>
    </row>
    <row r="447" spans="1:22" s="197" customFormat="1" x14ac:dyDescent="0.2">
      <c r="A447" s="197" t="s">
        <v>4377</v>
      </c>
      <c r="B447" s="197" t="s">
        <v>2021</v>
      </c>
      <c r="C447" s="197" t="s">
        <v>2022</v>
      </c>
      <c r="D447" s="197" t="s">
        <v>24</v>
      </c>
      <c r="E447" s="197" t="s">
        <v>956</v>
      </c>
      <c r="F447" s="197" t="s">
        <v>99</v>
      </c>
      <c r="G447" s="260">
        <v>99.5</v>
      </c>
      <c r="H447" s="197">
        <v>5</v>
      </c>
      <c r="I447" s="197" t="s">
        <v>3968</v>
      </c>
      <c r="J447" s="197" t="s">
        <v>3969</v>
      </c>
      <c r="K447" s="197" t="s">
        <v>99</v>
      </c>
      <c r="L447" s="261">
        <v>1</v>
      </c>
      <c r="M447" s="263"/>
      <c r="N447" s="263">
        <f>SUM(N443:N446)</f>
        <v>169.49398700000003</v>
      </c>
      <c r="O447" s="199">
        <v>0.2223</v>
      </c>
      <c r="P447" s="261">
        <f>N447*O447</f>
        <v>37.678513310100008</v>
      </c>
      <c r="Q447" s="261">
        <f>N447+P447</f>
        <v>207.17250031010005</v>
      </c>
      <c r="R447" s="198">
        <f>Q447*G447</f>
        <v>20613.663780854953</v>
      </c>
      <c r="S447" s="197" t="s">
        <v>4378</v>
      </c>
      <c r="T447" s="197" t="s">
        <v>4379</v>
      </c>
      <c r="U447" s="197" t="str">
        <f>IF(ABS(Q447-207.1725)&lt;=0.01,"FECHA COM PLANILHA","REVISAR")</f>
        <v>FECHA COM PLANILHA</v>
      </c>
      <c r="V447" s="197" t="s">
        <v>4380</v>
      </c>
    </row>
    <row r="448" spans="1:22" s="197" customFormat="1" x14ac:dyDescent="0.2">
      <c r="A448" s="197" t="s">
        <v>4381</v>
      </c>
      <c r="B448" s="197" t="s">
        <v>100</v>
      </c>
      <c r="C448" s="197" t="s">
        <v>1349</v>
      </c>
      <c r="D448" s="197" t="s">
        <v>56</v>
      </c>
      <c r="E448" s="197" t="s">
        <v>101</v>
      </c>
      <c r="F448" s="197" t="s">
        <v>102</v>
      </c>
      <c r="G448" s="260">
        <v>910</v>
      </c>
      <c r="H448" s="197">
        <v>1</v>
      </c>
      <c r="I448" s="197" t="s">
        <v>3954</v>
      </c>
      <c r="J448" s="197" t="s">
        <v>3991</v>
      </c>
      <c r="K448" s="197" t="s">
        <v>1283</v>
      </c>
      <c r="L448" s="261">
        <v>0.34</v>
      </c>
      <c r="M448" s="263">
        <v>17.996808999999999</v>
      </c>
      <c r="N448" s="263">
        <f>L448*M448</f>
        <v>6.11891506</v>
      </c>
      <c r="O448" s="199"/>
      <c r="P448" s="261"/>
      <c r="Q448" s="261"/>
      <c r="R448" s="198"/>
      <c r="S448" s="197" t="s">
        <v>4382</v>
      </c>
      <c r="T448" s="197" t="s">
        <v>4383</v>
      </c>
      <c r="U448" s="197" t="s">
        <v>3958</v>
      </c>
      <c r="V448" s="197" t="s">
        <v>3959</v>
      </c>
    </row>
    <row r="449" spans="1:22" s="197" customFormat="1" x14ac:dyDescent="0.2">
      <c r="A449" s="197" t="s">
        <v>4381</v>
      </c>
      <c r="B449" s="197" t="s">
        <v>100</v>
      </c>
      <c r="C449" s="197" t="s">
        <v>1349</v>
      </c>
      <c r="D449" s="197" t="s">
        <v>56</v>
      </c>
      <c r="E449" s="197" t="s">
        <v>101</v>
      </c>
      <c r="F449" s="197" t="s">
        <v>102</v>
      </c>
      <c r="G449" s="260">
        <v>910</v>
      </c>
      <c r="H449" s="197">
        <v>2</v>
      </c>
      <c r="I449" s="197" t="s">
        <v>3960</v>
      </c>
      <c r="J449" s="197" t="s">
        <v>3994</v>
      </c>
      <c r="K449" s="197" t="s">
        <v>1283</v>
      </c>
      <c r="L449" s="261">
        <v>0.54</v>
      </c>
      <c r="M449" s="263">
        <v>17.996808999999999</v>
      </c>
      <c r="N449" s="263">
        <f>L449*M449</f>
        <v>9.7182768599999996</v>
      </c>
      <c r="O449" s="199"/>
      <c r="P449" s="261"/>
      <c r="Q449" s="261"/>
      <c r="R449" s="198"/>
      <c r="S449" s="197" t="s">
        <v>4382</v>
      </c>
      <c r="T449" s="197" t="s">
        <v>4383</v>
      </c>
      <c r="U449" s="197" t="s">
        <v>3958</v>
      </c>
      <c r="V449" s="197" t="s">
        <v>3959</v>
      </c>
    </row>
    <row r="450" spans="1:22" s="197" customFormat="1" x14ac:dyDescent="0.2">
      <c r="A450" s="197" t="s">
        <v>4381</v>
      </c>
      <c r="B450" s="197" t="s">
        <v>100</v>
      </c>
      <c r="C450" s="197" t="s">
        <v>1349</v>
      </c>
      <c r="D450" s="197" t="s">
        <v>56</v>
      </c>
      <c r="E450" s="197" t="s">
        <v>101</v>
      </c>
      <c r="F450" s="197" t="s">
        <v>102</v>
      </c>
      <c r="G450" s="260">
        <v>910</v>
      </c>
      <c r="H450" s="197">
        <v>3</v>
      </c>
      <c r="I450" s="197" t="s">
        <v>3962</v>
      </c>
      <c r="J450" s="197" t="s">
        <v>3995</v>
      </c>
      <c r="K450" s="197" t="s">
        <v>1283</v>
      </c>
      <c r="L450" s="261">
        <v>0.08</v>
      </c>
      <c r="M450" s="263">
        <v>17.996808999999999</v>
      </c>
      <c r="N450" s="263">
        <f>L450*M450</f>
        <v>1.43974472</v>
      </c>
      <c r="O450" s="199"/>
      <c r="P450" s="261"/>
      <c r="Q450" s="261"/>
      <c r="R450" s="198"/>
      <c r="S450" s="197" t="s">
        <v>4382</v>
      </c>
      <c r="T450" s="197" t="s">
        <v>4383</v>
      </c>
      <c r="U450" s="197" t="s">
        <v>3958</v>
      </c>
      <c r="V450" s="197" t="s">
        <v>3959</v>
      </c>
    </row>
    <row r="451" spans="1:22" s="197" customFormat="1" x14ac:dyDescent="0.2">
      <c r="A451" s="197" t="s">
        <v>4381</v>
      </c>
      <c r="B451" s="197" t="s">
        <v>100</v>
      </c>
      <c r="C451" s="197" t="s">
        <v>1349</v>
      </c>
      <c r="D451" s="197" t="s">
        <v>56</v>
      </c>
      <c r="E451" s="197" t="s">
        <v>101</v>
      </c>
      <c r="F451" s="197" t="s">
        <v>102</v>
      </c>
      <c r="G451" s="260">
        <v>910</v>
      </c>
      <c r="H451" s="197">
        <v>4</v>
      </c>
      <c r="I451" s="197" t="s">
        <v>3966</v>
      </c>
      <c r="J451" s="197" t="s">
        <v>3996</v>
      </c>
      <c r="K451" s="197" t="s">
        <v>1283</v>
      </c>
      <c r="L451" s="261">
        <v>0.04</v>
      </c>
      <c r="M451" s="263">
        <v>17.996808999999999</v>
      </c>
      <c r="N451" s="263">
        <f>L451*M451</f>
        <v>0.71987235999999999</v>
      </c>
      <c r="O451" s="199"/>
      <c r="P451" s="261"/>
      <c r="Q451" s="261"/>
      <c r="R451" s="198"/>
      <c r="S451" s="197" t="s">
        <v>4382</v>
      </c>
      <c r="T451" s="197" t="s">
        <v>4383</v>
      </c>
      <c r="U451" s="197" t="s">
        <v>3958</v>
      </c>
      <c r="V451" s="197" t="s">
        <v>3959</v>
      </c>
    </row>
    <row r="452" spans="1:22" s="197" customFormat="1" x14ac:dyDescent="0.2">
      <c r="A452" s="197" t="s">
        <v>4381</v>
      </c>
      <c r="B452" s="197" t="s">
        <v>100</v>
      </c>
      <c r="C452" s="197" t="s">
        <v>1349</v>
      </c>
      <c r="D452" s="197" t="s">
        <v>56</v>
      </c>
      <c r="E452" s="197" t="s">
        <v>101</v>
      </c>
      <c r="F452" s="197" t="s">
        <v>102</v>
      </c>
      <c r="G452" s="260">
        <v>910</v>
      </c>
      <c r="H452" s="197">
        <v>5</v>
      </c>
      <c r="I452" s="197" t="s">
        <v>3968</v>
      </c>
      <c r="J452" s="197" t="s">
        <v>3969</v>
      </c>
      <c r="K452" s="197" t="s">
        <v>102</v>
      </c>
      <c r="L452" s="261">
        <v>1</v>
      </c>
      <c r="M452" s="263"/>
      <c r="N452" s="263">
        <f>SUM(N448:N451)</f>
        <v>17.996808999999999</v>
      </c>
      <c r="O452" s="199">
        <v>0.2223</v>
      </c>
      <c r="P452" s="261">
        <f>N452*O452</f>
        <v>4.0006906406999994</v>
      </c>
      <c r="Q452" s="261">
        <f>N452+P452</f>
        <v>21.997499640699999</v>
      </c>
      <c r="R452" s="198">
        <f>Q452*G452</f>
        <v>20017.724673036999</v>
      </c>
      <c r="S452" s="197" t="s">
        <v>4382</v>
      </c>
      <c r="T452" s="197" t="s">
        <v>4383</v>
      </c>
      <c r="U452" s="197" t="str">
        <f>IF(ABS(Q452-21.9975)&lt;=0.01,"FECHA COM PLANILHA","REVISAR")</f>
        <v>FECHA COM PLANILHA</v>
      </c>
      <c r="V452" s="197" t="s">
        <v>4384</v>
      </c>
    </row>
    <row r="453" spans="1:22" s="197" customFormat="1" x14ac:dyDescent="0.2">
      <c r="A453" s="197" t="s">
        <v>4385</v>
      </c>
      <c r="B453" s="197" t="s">
        <v>550</v>
      </c>
      <c r="C453" s="197" t="s">
        <v>551</v>
      </c>
      <c r="D453" s="197" t="s">
        <v>209</v>
      </c>
      <c r="E453" s="197" t="s">
        <v>552</v>
      </c>
      <c r="F453" s="197" t="s">
        <v>26</v>
      </c>
      <c r="G453" s="260">
        <v>15.467000000000001</v>
      </c>
      <c r="H453" s="197">
        <v>1</v>
      </c>
      <c r="I453" s="197" t="s">
        <v>3954</v>
      </c>
      <c r="J453" s="197" t="s">
        <v>4049</v>
      </c>
      <c r="K453" s="197" t="s">
        <v>1283</v>
      </c>
      <c r="L453" s="261">
        <v>0.24</v>
      </c>
      <c r="M453" s="263">
        <v>961.44563500000004</v>
      </c>
      <c r="N453" s="263">
        <f>L453*M453</f>
        <v>230.7469524</v>
      </c>
      <c r="O453" s="199"/>
      <c r="P453" s="261"/>
      <c r="Q453" s="261"/>
      <c r="R453" s="198"/>
      <c r="S453" s="197" t="s">
        <v>4386</v>
      </c>
      <c r="T453" s="197" t="s">
        <v>4387</v>
      </c>
      <c r="U453" s="197" t="s">
        <v>3958</v>
      </c>
      <c r="V453" s="197" t="s">
        <v>3959</v>
      </c>
    </row>
    <row r="454" spans="1:22" s="197" customFormat="1" x14ac:dyDescent="0.2">
      <c r="A454" s="197" t="s">
        <v>4385</v>
      </c>
      <c r="B454" s="197" t="s">
        <v>550</v>
      </c>
      <c r="C454" s="197" t="s">
        <v>551</v>
      </c>
      <c r="D454" s="197" t="s">
        <v>209</v>
      </c>
      <c r="E454" s="197" t="s">
        <v>552</v>
      </c>
      <c r="F454" s="197" t="s">
        <v>26</v>
      </c>
      <c r="G454" s="260">
        <v>15.467000000000001</v>
      </c>
      <c r="H454" s="197">
        <v>2</v>
      </c>
      <c r="I454" s="197" t="s">
        <v>3960</v>
      </c>
      <c r="J454" s="197" t="s">
        <v>4052</v>
      </c>
      <c r="K454" s="197" t="s">
        <v>1283</v>
      </c>
      <c r="L454" s="261">
        <v>0.68</v>
      </c>
      <c r="M454" s="263">
        <v>961.44563500000004</v>
      </c>
      <c r="N454" s="263">
        <f>L454*M454</f>
        <v>653.78303180000012</v>
      </c>
      <c r="O454" s="199"/>
      <c r="P454" s="261"/>
      <c r="Q454" s="261"/>
      <c r="R454" s="198"/>
      <c r="S454" s="197" t="s">
        <v>4386</v>
      </c>
      <c r="T454" s="197" t="s">
        <v>4387</v>
      </c>
      <c r="U454" s="197" t="s">
        <v>3958</v>
      </c>
      <c r="V454" s="197" t="s">
        <v>3959</v>
      </c>
    </row>
    <row r="455" spans="1:22" s="197" customFormat="1" x14ac:dyDescent="0.2">
      <c r="A455" s="197" t="s">
        <v>4385</v>
      </c>
      <c r="B455" s="197" t="s">
        <v>550</v>
      </c>
      <c r="C455" s="197" t="s">
        <v>551</v>
      </c>
      <c r="D455" s="197" t="s">
        <v>209</v>
      </c>
      <c r="E455" s="197" t="s">
        <v>552</v>
      </c>
      <c r="F455" s="197" t="s">
        <v>26</v>
      </c>
      <c r="G455" s="260">
        <v>15.467000000000001</v>
      </c>
      <c r="H455" s="197">
        <v>3</v>
      </c>
      <c r="I455" s="197" t="s">
        <v>3976</v>
      </c>
      <c r="J455" s="197" t="s">
        <v>4053</v>
      </c>
      <c r="K455" s="197" t="s">
        <v>1283</v>
      </c>
      <c r="L455" s="261">
        <v>0.04</v>
      </c>
      <c r="M455" s="263">
        <v>961.44563500000004</v>
      </c>
      <c r="N455" s="263">
        <f>L455*M455</f>
        <v>38.457825400000004</v>
      </c>
      <c r="O455" s="199"/>
      <c r="P455" s="261"/>
      <c r="Q455" s="261"/>
      <c r="R455" s="198"/>
      <c r="S455" s="197" t="s">
        <v>4386</v>
      </c>
      <c r="T455" s="197" t="s">
        <v>4387</v>
      </c>
      <c r="U455" s="197" t="s">
        <v>3958</v>
      </c>
      <c r="V455" s="197" t="s">
        <v>3959</v>
      </c>
    </row>
    <row r="456" spans="1:22" s="197" customFormat="1" x14ac:dyDescent="0.2">
      <c r="A456" s="197" t="s">
        <v>4385</v>
      </c>
      <c r="B456" s="197" t="s">
        <v>550</v>
      </c>
      <c r="C456" s="197" t="s">
        <v>551</v>
      </c>
      <c r="D456" s="197" t="s">
        <v>209</v>
      </c>
      <c r="E456" s="197" t="s">
        <v>552</v>
      </c>
      <c r="F456" s="197" t="s">
        <v>26</v>
      </c>
      <c r="G456" s="260">
        <v>15.467000000000001</v>
      </c>
      <c r="H456" s="197">
        <v>4</v>
      </c>
      <c r="I456" s="197" t="s">
        <v>4054</v>
      </c>
      <c r="J456" s="197" t="s">
        <v>4055</v>
      </c>
      <c r="K456" s="197" t="s">
        <v>1283</v>
      </c>
      <c r="L456" s="261">
        <v>0.04</v>
      </c>
      <c r="M456" s="263">
        <v>961.44563500000004</v>
      </c>
      <c r="N456" s="263">
        <f>L456*M456</f>
        <v>38.457825400000004</v>
      </c>
      <c r="O456" s="199"/>
      <c r="P456" s="261"/>
      <c r="Q456" s="261"/>
      <c r="R456" s="198"/>
      <c r="S456" s="197" t="s">
        <v>4386</v>
      </c>
      <c r="T456" s="197" t="s">
        <v>4387</v>
      </c>
      <c r="U456" s="197" t="s">
        <v>3958</v>
      </c>
      <c r="V456" s="197" t="s">
        <v>3959</v>
      </c>
    </row>
    <row r="457" spans="1:22" s="197" customFormat="1" x14ac:dyDescent="0.2">
      <c r="A457" s="197" t="s">
        <v>4385</v>
      </c>
      <c r="B457" s="197" t="s">
        <v>550</v>
      </c>
      <c r="C457" s="197" t="s">
        <v>551</v>
      </c>
      <c r="D457" s="197" t="s">
        <v>209</v>
      </c>
      <c r="E457" s="197" t="s">
        <v>552</v>
      </c>
      <c r="F457" s="197" t="s">
        <v>26</v>
      </c>
      <c r="G457" s="260">
        <v>15.467000000000001</v>
      </c>
      <c r="H457" s="197">
        <v>5</v>
      </c>
      <c r="I457" s="197" t="s">
        <v>3968</v>
      </c>
      <c r="J457" s="197" t="s">
        <v>3969</v>
      </c>
      <c r="K457" s="197" t="s">
        <v>26</v>
      </c>
      <c r="L457" s="261">
        <v>1</v>
      </c>
      <c r="M457" s="263"/>
      <c r="N457" s="263">
        <f>SUM(N453:N456)</f>
        <v>961.44563500000027</v>
      </c>
      <c r="O457" s="199">
        <v>0.2223</v>
      </c>
      <c r="P457" s="261">
        <f>N457*O457</f>
        <v>213.72936466050007</v>
      </c>
      <c r="Q457" s="261">
        <f>N457+P457</f>
        <v>1175.1749996605004</v>
      </c>
      <c r="R457" s="198">
        <f>Q457*G457</f>
        <v>18176.431719748958</v>
      </c>
      <c r="S457" s="197" t="s">
        <v>4386</v>
      </c>
      <c r="T457" s="197" t="s">
        <v>4387</v>
      </c>
      <c r="U457" s="197" t="str">
        <f>IF(ABS(Q457-1175.175)&lt;=0.01,"FECHA COM PLANILHA","REVISAR")</f>
        <v>FECHA COM PLANILHA</v>
      </c>
      <c r="V457" s="197" t="s">
        <v>4388</v>
      </c>
    </row>
    <row r="458" spans="1:22" s="197" customFormat="1" x14ac:dyDescent="0.2">
      <c r="A458" s="197" t="s">
        <v>4389</v>
      </c>
      <c r="B458" s="197" t="s">
        <v>543</v>
      </c>
      <c r="C458" s="197" t="s">
        <v>544</v>
      </c>
      <c r="D458" s="197" t="s">
        <v>209</v>
      </c>
      <c r="E458" s="197" t="s">
        <v>1557</v>
      </c>
      <c r="F458" s="197" t="s">
        <v>99</v>
      </c>
      <c r="G458" s="260">
        <v>322.73500000000001</v>
      </c>
      <c r="H458" s="197">
        <v>1</v>
      </c>
      <c r="I458" s="197" t="s">
        <v>3954</v>
      </c>
      <c r="J458" s="197" t="s">
        <v>4049</v>
      </c>
      <c r="K458" s="197" t="s">
        <v>1283</v>
      </c>
      <c r="L458" s="261">
        <v>0.24</v>
      </c>
      <c r="M458" s="263">
        <v>43.123618999999998</v>
      </c>
      <c r="N458" s="263">
        <f>L458*M458</f>
        <v>10.34966856</v>
      </c>
      <c r="O458" s="199"/>
      <c r="P458" s="261"/>
      <c r="Q458" s="261"/>
      <c r="R458" s="198"/>
      <c r="S458" s="197" t="s">
        <v>4390</v>
      </c>
      <c r="T458" s="197" t="s">
        <v>4391</v>
      </c>
      <c r="U458" s="197" t="s">
        <v>3958</v>
      </c>
      <c r="V458" s="197" t="s">
        <v>3959</v>
      </c>
    </row>
    <row r="459" spans="1:22" s="197" customFormat="1" x14ac:dyDescent="0.2">
      <c r="A459" s="197" t="s">
        <v>4389</v>
      </c>
      <c r="B459" s="197" t="s">
        <v>543</v>
      </c>
      <c r="C459" s="197" t="s">
        <v>544</v>
      </c>
      <c r="D459" s="197" t="s">
        <v>209</v>
      </c>
      <c r="E459" s="197" t="s">
        <v>1557</v>
      </c>
      <c r="F459" s="197" t="s">
        <v>99</v>
      </c>
      <c r="G459" s="260">
        <v>322.73500000000001</v>
      </c>
      <c r="H459" s="197">
        <v>2</v>
      </c>
      <c r="I459" s="197" t="s">
        <v>3960</v>
      </c>
      <c r="J459" s="197" t="s">
        <v>4052</v>
      </c>
      <c r="K459" s="197" t="s">
        <v>1283</v>
      </c>
      <c r="L459" s="261">
        <v>0.68</v>
      </c>
      <c r="M459" s="263">
        <v>43.123618999999998</v>
      </c>
      <c r="N459" s="263">
        <f>L459*M459</f>
        <v>29.324060920000001</v>
      </c>
      <c r="O459" s="199"/>
      <c r="P459" s="261"/>
      <c r="Q459" s="261"/>
      <c r="R459" s="198"/>
      <c r="S459" s="197" t="s">
        <v>4390</v>
      </c>
      <c r="T459" s="197" t="s">
        <v>4391</v>
      </c>
      <c r="U459" s="197" t="s">
        <v>3958</v>
      </c>
      <c r="V459" s="197" t="s">
        <v>3959</v>
      </c>
    </row>
    <row r="460" spans="1:22" s="197" customFormat="1" x14ac:dyDescent="0.2">
      <c r="A460" s="197" t="s">
        <v>4389</v>
      </c>
      <c r="B460" s="197" t="s">
        <v>543</v>
      </c>
      <c r="C460" s="197" t="s">
        <v>544</v>
      </c>
      <c r="D460" s="197" t="s">
        <v>209</v>
      </c>
      <c r="E460" s="197" t="s">
        <v>1557</v>
      </c>
      <c r="F460" s="197" t="s">
        <v>99</v>
      </c>
      <c r="G460" s="260">
        <v>322.73500000000001</v>
      </c>
      <c r="H460" s="197">
        <v>3</v>
      </c>
      <c r="I460" s="197" t="s">
        <v>3976</v>
      </c>
      <c r="J460" s="197" t="s">
        <v>4053</v>
      </c>
      <c r="K460" s="197" t="s">
        <v>1283</v>
      </c>
      <c r="L460" s="261">
        <v>0.04</v>
      </c>
      <c r="M460" s="263">
        <v>43.123618999999998</v>
      </c>
      <c r="N460" s="263">
        <f>L460*M460</f>
        <v>1.7249447599999999</v>
      </c>
      <c r="O460" s="199"/>
      <c r="P460" s="261"/>
      <c r="Q460" s="261"/>
      <c r="R460" s="198"/>
      <c r="S460" s="197" t="s">
        <v>4390</v>
      </c>
      <c r="T460" s="197" t="s">
        <v>4391</v>
      </c>
      <c r="U460" s="197" t="s">
        <v>3958</v>
      </c>
      <c r="V460" s="197" t="s">
        <v>3959</v>
      </c>
    </row>
    <row r="461" spans="1:22" s="197" customFormat="1" x14ac:dyDescent="0.2">
      <c r="A461" s="197" t="s">
        <v>4389</v>
      </c>
      <c r="B461" s="197" t="s">
        <v>543</v>
      </c>
      <c r="C461" s="197" t="s">
        <v>544</v>
      </c>
      <c r="D461" s="197" t="s">
        <v>209</v>
      </c>
      <c r="E461" s="197" t="s">
        <v>1557</v>
      </c>
      <c r="F461" s="197" t="s">
        <v>99</v>
      </c>
      <c r="G461" s="260">
        <v>322.73500000000001</v>
      </c>
      <c r="H461" s="197">
        <v>4</v>
      </c>
      <c r="I461" s="197" t="s">
        <v>4054</v>
      </c>
      <c r="J461" s="197" t="s">
        <v>4055</v>
      </c>
      <c r="K461" s="197" t="s">
        <v>1283</v>
      </c>
      <c r="L461" s="261">
        <v>0.04</v>
      </c>
      <c r="M461" s="263">
        <v>43.123618999999998</v>
      </c>
      <c r="N461" s="263">
        <f>L461*M461</f>
        <v>1.7249447599999999</v>
      </c>
      <c r="O461" s="199"/>
      <c r="P461" s="261"/>
      <c r="Q461" s="261"/>
      <c r="R461" s="198"/>
      <c r="S461" s="197" t="s">
        <v>4390</v>
      </c>
      <c r="T461" s="197" t="s">
        <v>4391</v>
      </c>
      <c r="U461" s="197" t="s">
        <v>3958</v>
      </c>
      <c r="V461" s="197" t="s">
        <v>3959</v>
      </c>
    </row>
    <row r="462" spans="1:22" s="197" customFormat="1" x14ac:dyDescent="0.2">
      <c r="A462" s="197" t="s">
        <v>4389</v>
      </c>
      <c r="B462" s="197" t="s">
        <v>543</v>
      </c>
      <c r="C462" s="197" t="s">
        <v>544</v>
      </c>
      <c r="D462" s="197" t="s">
        <v>209</v>
      </c>
      <c r="E462" s="197" t="s">
        <v>1557</v>
      </c>
      <c r="F462" s="197" t="s">
        <v>99</v>
      </c>
      <c r="G462" s="260">
        <v>322.73500000000001</v>
      </c>
      <c r="H462" s="197">
        <v>5</v>
      </c>
      <c r="I462" s="197" t="s">
        <v>3968</v>
      </c>
      <c r="J462" s="197" t="s">
        <v>3969</v>
      </c>
      <c r="K462" s="197" t="s">
        <v>99</v>
      </c>
      <c r="L462" s="261">
        <v>1</v>
      </c>
      <c r="M462" s="263"/>
      <c r="N462" s="263">
        <f>SUM(N458:N461)</f>
        <v>43.123618999999998</v>
      </c>
      <c r="O462" s="199">
        <v>0.2223</v>
      </c>
      <c r="P462" s="261">
        <f>N462*O462</f>
        <v>9.5863805036999992</v>
      </c>
      <c r="Q462" s="261">
        <f>N462+P462</f>
        <v>52.709999503699997</v>
      </c>
      <c r="R462" s="198">
        <f>Q462*G462</f>
        <v>17011.361689826619</v>
      </c>
      <c r="S462" s="197" t="s">
        <v>4390</v>
      </c>
      <c r="T462" s="197" t="s">
        <v>4391</v>
      </c>
      <c r="U462" s="197" t="str">
        <f>IF(ABS(Q462-52.71)&lt;=0.01,"FECHA COM PLANILHA","REVISAR")</f>
        <v>FECHA COM PLANILHA</v>
      </c>
      <c r="V462" s="197" t="s">
        <v>4392</v>
      </c>
    </row>
    <row r="463" spans="1:22" s="197" customFormat="1" x14ac:dyDescent="0.2">
      <c r="A463" s="197" t="s">
        <v>4393</v>
      </c>
      <c r="B463" s="197" t="s">
        <v>1523</v>
      </c>
      <c r="C463" s="197" t="s">
        <v>470</v>
      </c>
      <c r="D463" s="197" t="s">
        <v>209</v>
      </c>
      <c r="E463" s="197" t="s">
        <v>471</v>
      </c>
      <c r="F463" s="197" t="s">
        <v>84</v>
      </c>
      <c r="G463" s="260">
        <v>18</v>
      </c>
      <c r="H463" s="197">
        <v>1</v>
      </c>
      <c r="I463" s="197" t="s">
        <v>3954</v>
      </c>
      <c r="J463" s="197" t="s">
        <v>4049</v>
      </c>
      <c r="K463" s="197" t="s">
        <v>1283</v>
      </c>
      <c r="L463" s="261">
        <v>0.24</v>
      </c>
      <c r="M463" s="263">
        <v>754.57743600000003</v>
      </c>
      <c r="N463" s="263">
        <f>L463*M463</f>
        <v>181.09858464000001</v>
      </c>
      <c r="O463" s="199"/>
      <c r="P463" s="261"/>
      <c r="Q463" s="261"/>
      <c r="R463" s="198"/>
      <c r="S463" s="197" t="s">
        <v>4394</v>
      </c>
      <c r="T463" s="197" t="s">
        <v>4395</v>
      </c>
      <c r="U463" s="197" t="s">
        <v>3958</v>
      </c>
      <c r="V463" s="197" t="s">
        <v>3959</v>
      </c>
    </row>
    <row r="464" spans="1:22" s="197" customFormat="1" x14ac:dyDescent="0.2">
      <c r="A464" s="197" t="s">
        <v>4393</v>
      </c>
      <c r="B464" s="197" t="s">
        <v>1523</v>
      </c>
      <c r="C464" s="197" t="s">
        <v>470</v>
      </c>
      <c r="D464" s="197" t="s">
        <v>209</v>
      </c>
      <c r="E464" s="197" t="s">
        <v>471</v>
      </c>
      <c r="F464" s="197" t="s">
        <v>84</v>
      </c>
      <c r="G464" s="260">
        <v>18</v>
      </c>
      <c r="H464" s="197">
        <v>2</v>
      </c>
      <c r="I464" s="197" t="s">
        <v>3960</v>
      </c>
      <c r="J464" s="197" t="s">
        <v>4052</v>
      </c>
      <c r="K464" s="197" t="s">
        <v>1283</v>
      </c>
      <c r="L464" s="261">
        <v>0.68</v>
      </c>
      <c r="M464" s="263">
        <v>754.57743600000003</v>
      </c>
      <c r="N464" s="263">
        <f>L464*M464</f>
        <v>513.11265648000006</v>
      </c>
      <c r="O464" s="199"/>
      <c r="P464" s="261"/>
      <c r="Q464" s="261"/>
      <c r="R464" s="198"/>
      <c r="S464" s="197" t="s">
        <v>4394</v>
      </c>
      <c r="T464" s="197" t="s">
        <v>4395</v>
      </c>
      <c r="U464" s="197" t="s">
        <v>3958</v>
      </c>
      <c r="V464" s="197" t="s">
        <v>3959</v>
      </c>
    </row>
    <row r="465" spans="1:22" s="197" customFormat="1" x14ac:dyDescent="0.2">
      <c r="A465" s="197" t="s">
        <v>4393</v>
      </c>
      <c r="B465" s="197" t="s">
        <v>1523</v>
      </c>
      <c r="C465" s="197" t="s">
        <v>470</v>
      </c>
      <c r="D465" s="197" t="s">
        <v>209</v>
      </c>
      <c r="E465" s="197" t="s">
        <v>471</v>
      </c>
      <c r="F465" s="197" t="s">
        <v>84</v>
      </c>
      <c r="G465" s="260">
        <v>18</v>
      </c>
      <c r="H465" s="197">
        <v>3</v>
      </c>
      <c r="I465" s="197" t="s">
        <v>3976</v>
      </c>
      <c r="J465" s="197" t="s">
        <v>4053</v>
      </c>
      <c r="K465" s="197" t="s">
        <v>1283</v>
      </c>
      <c r="L465" s="261">
        <v>0.04</v>
      </c>
      <c r="M465" s="263">
        <v>754.57743600000003</v>
      </c>
      <c r="N465" s="263">
        <f>L465*M465</f>
        <v>30.183097440000001</v>
      </c>
      <c r="O465" s="199"/>
      <c r="P465" s="261"/>
      <c r="Q465" s="261"/>
      <c r="R465" s="198"/>
      <c r="S465" s="197" t="s">
        <v>4394</v>
      </c>
      <c r="T465" s="197" t="s">
        <v>4395</v>
      </c>
      <c r="U465" s="197" t="s">
        <v>3958</v>
      </c>
      <c r="V465" s="197" t="s">
        <v>3959</v>
      </c>
    </row>
    <row r="466" spans="1:22" s="197" customFormat="1" x14ac:dyDescent="0.2">
      <c r="A466" s="197" t="s">
        <v>4393</v>
      </c>
      <c r="B466" s="197" t="s">
        <v>1523</v>
      </c>
      <c r="C466" s="197" t="s">
        <v>470</v>
      </c>
      <c r="D466" s="197" t="s">
        <v>209</v>
      </c>
      <c r="E466" s="197" t="s">
        <v>471</v>
      </c>
      <c r="F466" s="197" t="s">
        <v>84</v>
      </c>
      <c r="G466" s="260">
        <v>18</v>
      </c>
      <c r="H466" s="197">
        <v>4</v>
      </c>
      <c r="I466" s="197" t="s">
        <v>4054</v>
      </c>
      <c r="J466" s="197" t="s">
        <v>4055</v>
      </c>
      <c r="K466" s="197" t="s">
        <v>1283</v>
      </c>
      <c r="L466" s="261">
        <v>0.04</v>
      </c>
      <c r="M466" s="263">
        <v>754.57743600000003</v>
      </c>
      <c r="N466" s="263">
        <f>L466*M466</f>
        <v>30.183097440000001</v>
      </c>
      <c r="O466" s="199"/>
      <c r="P466" s="261"/>
      <c r="Q466" s="261"/>
      <c r="R466" s="198"/>
      <c r="S466" s="197" t="s">
        <v>4394</v>
      </c>
      <c r="T466" s="197" t="s">
        <v>4395</v>
      </c>
      <c r="U466" s="197" t="s">
        <v>3958</v>
      </c>
      <c r="V466" s="197" t="s">
        <v>3959</v>
      </c>
    </row>
    <row r="467" spans="1:22" s="197" customFormat="1" x14ac:dyDescent="0.2">
      <c r="A467" s="197" t="s">
        <v>4393</v>
      </c>
      <c r="B467" s="197" t="s">
        <v>1523</v>
      </c>
      <c r="C467" s="197" t="s">
        <v>470</v>
      </c>
      <c r="D467" s="197" t="s">
        <v>209</v>
      </c>
      <c r="E467" s="197" t="s">
        <v>471</v>
      </c>
      <c r="F467" s="197" t="s">
        <v>84</v>
      </c>
      <c r="G467" s="260">
        <v>18</v>
      </c>
      <c r="H467" s="197">
        <v>5</v>
      </c>
      <c r="I467" s="197" t="s">
        <v>3968</v>
      </c>
      <c r="J467" s="197" t="s">
        <v>3969</v>
      </c>
      <c r="K467" s="197" t="s">
        <v>84</v>
      </c>
      <c r="L467" s="261">
        <v>1</v>
      </c>
      <c r="M467" s="263"/>
      <c r="N467" s="263">
        <f>SUM(N463:N466)</f>
        <v>754.57743600000003</v>
      </c>
      <c r="O467" s="199">
        <v>0.2223</v>
      </c>
      <c r="P467" s="261">
        <f>N467*O467</f>
        <v>167.7425640228</v>
      </c>
      <c r="Q467" s="261">
        <f>N467+P467</f>
        <v>922.32000002280006</v>
      </c>
      <c r="R467" s="198">
        <f>Q467*G467</f>
        <v>16601.760000410402</v>
      </c>
      <c r="S467" s="197" t="s">
        <v>4394</v>
      </c>
      <c r="T467" s="197" t="s">
        <v>4395</v>
      </c>
      <c r="U467" s="197" t="str">
        <f>IF(ABS(Q467-922.32)&lt;=0.01,"FECHA COM PLANILHA","REVISAR")</f>
        <v>FECHA COM PLANILHA</v>
      </c>
      <c r="V467" s="197" t="s">
        <v>4396</v>
      </c>
    </row>
    <row r="468" spans="1:22" s="197" customFormat="1" x14ac:dyDescent="0.2">
      <c r="A468" s="197" t="s">
        <v>4397</v>
      </c>
      <c r="B468" s="197" t="s">
        <v>2201</v>
      </c>
      <c r="C468" s="197" t="s">
        <v>1081</v>
      </c>
      <c r="D468" s="197" t="s">
        <v>209</v>
      </c>
      <c r="E468" s="197" t="s">
        <v>1082</v>
      </c>
      <c r="F468" s="197" t="s">
        <v>99</v>
      </c>
      <c r="G468" s="260">
        <v>43.436</v>
      </c>
      <c r="H468" s="197">
        <v>1</v>
      </c>
      <c r="I468" s="197" t="s">
        <v>3954</v>
      </c>
      <c r="J468" s="197" t="s">
        <v>4110</v>
      </c>
      <c r="K468" s="197" t="s">
        <v>1283</v>
      </c>
      <c r="L468" s="261">
        <v>0.3</v>
      </c>
      <c r="M468" s="263">
        <v>261.29428100000001</v>
      </c>
      <c r="N468" s="263">
        <f>L468*M468</f>
        <v>78.388284299999995</v>
      </c>
      <c r="O468" s="199"/>
      <c r="P468" s="261"/>
      <c r="Q468" s="261"/>
      <c r="R468" s="198"/>
      <c r="S468" s="197" t="s">
        <v>4398</v>
      </c>
      <c r="T468" s="197" t="s">
        <v>4399</v>
      </c>
      <c r="U468" s="197" t="s">
        <v>3958</v>
      </c>
      <c r="V468" s="197" t="s">
        <v>3959</v>
      </c>
    </row>
    <row r="469" spans="1:22" s="197" customFormat="1" x14ac:dyDescent="0.2">
      <c r="A469" s="197" t="s">
        <v>4397</v>
      </c>
      <c r="B469" s="197" t="s">
        <v>2201</v>
      </c>
      <c r="C469" s="197" t="s">
        <v>1081</v>
      </c>
      <c r="D469" s="197" t="s">
        <v>209</v>
      </c>
      <c r="E469" s="197" t="s">
        <v>1082</v>
      </c>
      <c r="F469" s="197" t="s">
        <v>99</v>
      </c>
      <c r="G469" s="260">
        <v>43.436</v>
      </c>
      <c r="H469" s="197">
        <v>2</v>
      </c>
      <c r="I469" s="197" t="s">
        <v>3960</v>
      </c>
      <c r="J469" s="197" t="s">
        <v>4113</v>
      </c>
      <c r="K469" s="197" t="s">
        <v>1283</v>
      </c>
      <c r="L469" s="261">
        <v>0.55000000000000004</v>
      </c>
      <c r="M469" s="263">
        <v>261.29428100000001</v>
      </c>
      <c r="N469" s="263">
        <f>L469*M469</f>
        <v>143.71185455000003</v>
      </c>
      <c r="O469" s="199"/>
      <c r="P469" s="261"/>
      <c r="Q469" s="261"/>
      <c r="R469" s="198"/>
      <c r="S469" s="197" t="s">
        <v>4398</v>
      </c>
      <c r="T469" s="197" t="s">
        <v>4399</v>
      </c>
      <c r="U469" s="197" t="s">
        <v>3958</v>
      </c>
      <c r="V469" s="197" t="s">
        <v>3959</v>
      </c>
    </row>
    <row r="470" spans="1:22" s="197" customFormat="1" x14ac:dyDescent="0.2">
      <c r="A470" s="197" t="s">
        <v>4397</v>
      </c>
      <c r="B470" s="197" t="s">
        <v>2201</v>
      </c>
      <c r="C470" s="197" t="s">
        <v>1081</v>
      </c>
      <c r="D470" s="197" t="s">
        <v>209</v>
      </c>
      <c r="E470" s="197" t="s">
        <v>1082</v>
      </c>
      <c r="F470" s="197" t="s">
        <v>99</v>
      </c>
      <c r="G470" s="260">
        <v>43.436</v>
      </c>
      <c r="H470" s="197">
        <v>3</v>
      </c>
      <c r="I470" s="197" t="s">
        <v>3976</v>
      </c>
      <c r="J470" s="197" t="s">
        <v>4114</v>
      </c>
      <c r="K470" s="197" t="s">
        <v>1283</v>
      </c>
      <c r="L470" s="261">
        <v>0.1</v>
      </c>
      <c r="M470" s="263">
        <v>261.29428100000001</v>
      </c>
      <c r="N470" s="263">
        <f>L470*M470</f>
        <v>26.129428100000002</v>
      </c>
      <c r="O470" s="199"/>
      <c r="P470" s="261"/>
      <c r="Q470" s="261"/>
      <c r="R470" s="198"/>
      <c r="S470" s="197" t="s">
        <v>4398</v>
      </c>
      <c r="T470" s="197" t="s">
        <v>4399</v>
      </c>
      <c r="U470" s="197" t="s">
        <v>3958</v>
      </c>
      <c r="V470" s="197" t="s">
        <v>3959</v>
      </c>
    </row>
    <row r="471" spans="1:22" s="197" customFormat="1" x14ac:dyDescent="0.2">
      <c r="A471" s="197" t="s">
        <v>4397</v>
      </c>
      <c r="B471" s="197" t="s">
        <v>2201</v>
      </c>
      <c r="C471" s="197" t="s">
        <v>1081</v>
      </c>
      <c r="D471" s="197" t="s">
        <v>209</v>
      </c>
      <c r="E471" s="197" t="s">
        <v>1082</v>
      </c>
      <c r="F471" s="197" t="s">
        <v>99</v>
      </c>
      <c r="G471" s="260">
        <v>43.436</v>
      </c>
      <c r="H471" s="197">
        <v>4</v>
      </c>
      <c r="I471" s="197" t="s">
        <v>4017</v>
      </c>
      <c r="J471" s="197" t="s">
        <v>4115</v>
      </c>
      <c r="K471" s="197" t="s">
        <v>1283</v>
      </c>
      <c r="L471" s="261">
        <v>0.05</v>
      </c>
      <c r="M471" s="263">
        <v>261.29428100000001</v>
      </c>
      <c r="N471" s="263">
        <f>L471*M471</f>
        <v>13.064714050000001</v>
      </c>
      <c r="O471" s="199"/>
      <c r="P471" s="261"/>
      <c r="Q471" s="261"/>
      <c r="R471" s="198"/>
      <c r="S471" s="197" t="s">
        <v>4398</v>
      </c>
      <c r="T471" s="197" t="s">
        <v>4399</v>
      </c>
      <c r="U471" s="197" t="s">
        <v>3958</v>
      </c>
      <c r="V471" s="197" t="s">
        <v>3959</v>
      </c>
    </row>
    <row r="472" spans="1:22" s="197" customFormat="1" x14ac:dyDescent="0.2">
      <c r="A472" s="197" t="s">
        <v>4397</v>
      </c>
      <c r="B472" s="197" t="s">
        <v>2201</v>
      </c>
      <c r="C472" s="197" t="s">
        <v>1081</v>
      </c>
      <c r="D472" s="197" t="s">
        <v>209</v>
      </c>
      <c r="E472" s="197" t="s">
        <v>1082</v>
      </c>
      <c r="F472" s="197" t="s">
        <v>99</v>
      </c>
      <c r="G472" s="260">
        <v>43.436</v>
      </c>
      <c r="H472" s="197">
        <v>5</v>
      </c>
      <c r="I472" s="197" t="s">
        <v>3968</v>
      </c>
      <c r="J472" s="197" t="s">
        <v>3969</v>
      </c>
      <c r="K472" s="197" t="s">
        <v>99</v>
      </c>
      <c r="L472" s="261">
        <v>1</v>
      </c>
      <c r="M472" s="263"/>
      <c r="N472" s="263">
        <f>SUM(N468:N471)</f>
        <v>261.29428100000001</v>
      </c>
      <c r="O472" s="199">
        <v>0.2223</v>
      </c>
      <c r="P472" s="261">
        <f>N472*O472</f>
        <v>58.085718666300004</v>
      </c>
      <c r="Q472" s="261">
        <f>N472+P472</f>
        <v>319.37999966630002</v>
      </c>
      <c r="R472" s="198">
        <f>Q472*G472</f>
        <v>13872.589665505408</v>
      </c>
      <c r="S472" s="197" t="s">
        <v>4398</v>
      </c>
      <c r="T472" s="197" t="s">
        <v>4399</v>
      </c>
      <c r="U472" s="197" t="str">
        <f>IF(ABS(Q472-319.38)&lt;=0.01,"FECHA COM PLANILHA","REVISAR")</f>
        <v>FECHA COM PLANILHA</v>
      </c>
      <c r="V472" s="197" t="s">
        <v>4400</v>
      </c>
    </row>
    <row r="473" spans="1:22" s="197" customFormat="1" x14ac:dyDescent="0.2">
      <c r="A473" s="197" t="s">
        <v>4401</v>
      </c>
      <c r="B473" s="197" t="s">
        <v>2167</v>
      </c>
      <c r="C473" s="197" t="s">
        <v>1051</v>
      </c>
      <c r="D473" s="197" t="s">
        <v>209</v>
      </c>
      <c r="E473" s="197" t="s">
        <v>1052</v>
      </c>
      <c r="F473" s="197" t="s">
        <v>84</v>
      </c>
      <c r="G473" s="260">
        <v>238</v>
      </c>
      <c r="H473" s="197">
        <v>1</v>
      </c>
      <c r="I473" s="197" t="s">
        <v>3954</v>
      </c>
      <c r="J473" s="197" t="s">
        <v>4012</v>
      </c>
      <c r="K473" s="197" t="s">
        <v>1283</v>
      </c>
      <c r="L473" s="261">
        <v>0.22</v>
      </c>
      <c r="M473" s="263">
        <v>45.289617999999997</v>
      </c>
      <c r="N473" s="263">
        <f>L473*M473</f>
        <v>9.96371596</v>
      </c>
      <c r="O473" s="199"/>
      <c r="P473" s="261"/>
      <c r="Q473" s="261"/>
      <c r="R473" s="198"/>
      <c r="S473" s="197" t="s">
        <v>4402</v>
      </c>
      <c r="T473" s="197" t="s">
        <v>4403</v>
      </c>
      <c r="U473" s="197" t="s">
        <v>3958</v>
      </c>
      <c r="V473" s="197" t="s">
        <v>3959</v>
      </c>
    </row>
    <row r="474" spans="1:22" s="197" customFormat="1" x14ac:dyDescent="0.2">
      <c r="A474" s="197" t="s">
        <v>4401</v>
      </c>
      <c r="B474" s="197" t="s">
        <v>2167</v>
      </c>
      <c r="C474" s="197" t="s">
        <v>1051</v>
      </c>
      <c r="D474" s="197" t="s">
        <v>209</v>
      </c>
      <c r="E474" s="197" t="s">
        <v>1052</v>
      </c>
      <c r="F474" s="197" t="s">
        <v>84</v>
      </c>
      <c r="G474" s="260">
        <v>238</v>
      </c>
      <c r="H474" s="197">
        <v>2</v>
      </c>
      <c r="I474" s="197" t="s">
        <v>3960</v>
      </c>
      <c r="J474" s="197" t="s">
        <v>4015</v>
      </c>
      <c r="K474" s="197" t="s">
        <v>1283</v>
      </c>
      <c r="L474" s="261">
        <v>0.7</v>
      </c>
      <c r="M474" s="263">
        <v>45.289617999999997</v>
      </c>
      <c r="N474" s="263">
        <f>L474*M474</f>
        <v>31.702732599999997</v>
      </c>
      <c r="O474" s="199"/>
      <c r="P474" s="261"/>
      <c r="Q474" s="261"/>
      <c r="R474" s="198"/>
      <c r="S474" s="197" t="s">
        <v>4402</v>
      </c>
      <c r="T474" s="197" t="s">
        <v>4403</v>
      </c>
      <c r="U474" s="197" t="s">
        <v>3958</v>
      </c>
      <c r="V474" s="197" t="s">
        <v>3959</v>
      </c>
    </row>
    <row r="475" spans="1:22" s="197" customFormat="1" x14ac:dyDescent="0.2">
      <c r="A475" s="197" t="s">
        <v>4401</v>
      </c>
      <c r="B475" s="197" t="s">
        <v>2167</v>
      </c>
      <c r="C475" s="197" t="s">
        <v>1051</v>
      </c>
      <c r="D475" s="197" t="s">
        <v>209</v>
      </c>
      <c r="E475" s="197" t="s">
        <v>1052</v>
      </c>
      <c r="F475" s="197" t="s">
        <v>84</v>
      </c>
      <c r="G475" s="260">
        <v>238</v>
      </c>
      <c r="H475" s="197">
        <v>3</v>
      </c>
      <c r="I475" s="197" t="s">
        <v>3976</v>
      </c>
      <c r="J475" s="197" t="s">
        <v>4016</v>
      </c>
      <c r="K475" s="197" t="s">
        <v>1283</v>
      </c>
      <c r="L475" s="261">
        <v>0.05</v>
      </c>
      <c r="M475" s="263">
        <v>45.289617999999997</v>
      </c>
      <c r="N475" s="263">
        <f>L475*M475</f>
        <v>2.2644809000000001</v>
      </c>
      <c r="O475" s="199"/>
      <c r="P475" s="261"/>
      <c r="Q475" s="261"/>
      <c r="R475" s="198"/>
      <c r="S475" s="197" t="s">
        <v>4402</v>
      </c>
      <c r="T475" s="197" t="s">
        <v>4403</v>
      </c>
      <c r="U475" s="197" t="s">
        <v>3958</v>
      </c>
      <c r="V475" s="197" t="s">
        <v>3959</v>
      </c>
    </row>
    <row r="476" spans="1:22" s="197" customFormat="1" x14ac:dyDescent="0.2">
      <c r="A476" s="197" t="s">
        <v>4401</v>
      </c>
      <c r="B476" s="197" t="s">
        <v>2167</v>
      </c>
      <c r="C476" s="197" t="s">
        <v>1051</v>
      </c>
      <c r="D476" s="197" t="s">
        <v>209</v>
      </c>
      <c r="E476" s="197" t="s">
        <v>1052</v>
      </c>
      <c r="F476" s="197" t="s">
        <v>84</v>
      </c>
      <c r="G476" s="260">
        <v>238</v>
      </c>
      <c r="H476" s="197">
        <v>4</v>
      </c>
      <c r="I476" s="197" t="s">
        <v>4017</v>
      </c>
      <c r="J476" s="197" t="s">
        <v>4018</v>
      </c>
      <c r="K476" s="197" t="s">
        <v>1283</v>
      </c>
      <c r="L476" s="261">
        <v>0.03</v>
      </c>
      <c r="M476" s="263">
        <v>45.289617999999997</v>
      </c>
      <c r="N476" s="263">
        <f>L476*M476</f>
        <v>1.3586885399999999</v>
      </c>
      <c r="O476" s="199"/>
      <c r="P476" s="261"/>
      <c r="Q476" s="261"/>
      <c r="R476" s="198"/>
      <c r="S476" s="197" t="s">
        <v>4402</v>
      </c>
      <c r="T476" s="197" t="s">
        <v>4403</v>
      </c>
      <c r="U476" s="197" t="s">
        <v>3958</v>
      </c>
      <c r="V476" s="197" t="s">
        <v>3959</v>
      </c>
    </row>
    <row r="477" spans="1:22" s="197" customFormat="1" x14ac:dyDescent="0.2">
      <c r="A477" s="197" t="s">
        <v>4401</v>
      </c>
      <c r="B477" s="197" t="s">
        <v>2167</v>
      </c>
      <c r="C477" s="197" t="s">
        <v>1051</v>
      </c>
      <c r="D477" s="197" t="s">
        <v>209</v>
      </c>
      <c r="E477" s="197" t="s">
        <v>1052</v>
      </c>
      <c r="F477" s="197" t="s">
        <v>84</v>
      </c>
      <c r="G477" s="260">
        <v>238</v>
      </c>
      <c r="H477" s="197">
        <v>5</v>
      </c>
      <c r="I477" s="197" t="s">
        <v>3968</v>
      </c>
      <c r="J477" s="197" t="s">
        <v>3969</v>
      </c>
      <c r="K477" s="197" t="s">
        <v>84</v>
      </c>
      <c r="L477" s="261">
        <v>1</v>
      </c>
      <c r="M477" s="263"/>
      <c r="N477" s="263">
        <f>SUM(N473:N476)</f>
        <v>45.289618000000004</v>
      </c>
      <c r="O477" s="199">
        <v>0.2223</v>
      </c>
      <c r="P477" s="261">
        <f>N477*O477</f>
        <v>10.067882081400001</v>
      </c>
      <c r="Q477" s="261">
        <f>N477+P477</f>
        <v>55.357500081400005</v>
      </c>
      <c r="R477" s="198">
        <f>Q477*G477</f>
        <v>13175.0850193732</v>
      </c>
      <c r="S477" s="197" t="s">
        <v>4402</v>
      </c>
      <c r="T477" s="197" t="s">
        <v>4403</v>
      </c>
      <c r="U477" s="197" t="str">
        <f>IF(ABS(Q477-55.3575)&lt;=0.01,"FECHA COM PLANILHA","REVISAR")</f>
        <v>FECHA COM PLANILHA</v>
      </c>
      <c r="V477" s="197" t="s">
        <v>4404</v>
      </c>
    </row>
    <row r="478" spans="1:22" s="197" customFormat="1" x14ac:dyDescent="0.2">
      <c r="A478" s="197" t="s">
        <v>4405</v>
      </c>
      <c r="B478" s="197" t="s">
        <v>1434</v>
      </c>
      <c r="C478" s="197" t="s">
        <v>236</v>
      </c>
      <c r="D478" s="197" t="s">
        <v>209</v>
      </c>
      <c r="E478" s="197" t="s">
        <v>271</v>
      </c>
      <c r="F478" s="197" t="s">
        <v>118</v>
      </c>
      <c r="G478" s="260">
        <v>20.338000000000001</v>
      </c>
      <c r="H478" s="197">
        <v>1</v>
      </c>
      <c r="I478" s="197" t="s">
        <v>3954</v>
      </c>
      <c r="J478" s="197" t="s">
        <v>3982</v>
      </c>
      <c r="K478" s="197" t="s">
        <v>1283</v>
      </c>
      <c r="L478" s="261">
        <v>0.16</v>
      </c>
      <c r="M478" s="263">
        <v>521.81542999999999</v>
      </c>
      <c r="N478" s="263">
        <f>L478*M478</f>
        <v>83.490468800000002</v>
      </c>
      <c r="O478" s="199"/>
      <c r="P478" s="261"/>
      <c r="Q478" s="261"/>
      <c r="R478" s="198"/>
      <c r="S478" s="197" t="s">
        <v>4106</v>
      </c>
      <c r="T478" s="197" t="s">
        <v>4406</v>
      </c>
      <c r="U478" s="197" t="s">
        <v>3958</v>
      </c>
      <c r="V478" s="197" t="s">
        <v>3959</v>
      </c>
    </row>
    <row r="479" spans="1:22" s="197" customFormat="1" x14ac:dyDescent="0.2">
      <c r="A479" s="197" t="s">
        <v>4405</v>
      </c>
      <c r="B479" s="197" t="s">
        <v>1434</v>
      </c>
      <c r="C479" s="197" t="s">
        <v>236</v>
      </c>
      <c r="D479" s="197" t="s">
        <v>209</v>
      </c>
      <c r="E479" s="197" t="s">
        <v>271</v>
      </c>
      <c r="F479" s="197" t="s">
        <v>118</v>
      </c>
      <c r="G479" s="260">
        <v>20.338000000000001</v>
      </c>
      <c r="H479" s="197">
        <v>2</v>
      </c>
      <c r="I479" s="197" t="s">
        <v>3960</v>
      </c>
      <c r="J479" s="197" t="s">
        <v>3985</v>
      </c>
      <c r="K479" s="197" t="s">
        <v>1283</v>
      </c>
      <c r="L479" s="261">
        <v>0.64</v>
      </c>
      <c r="M479" s="263">
        <v>521.81542999999999</v>
      </c>
      <c r="N479" s="263">
        <f>L479*M479</f>
        <v>333.96187520000001</v>
      </c>
      <c r="O479" s="199"/>
      <c r="P479" s="261"/>
      <c r="Q479" s="261"/>
      <c r="R479" s="198"/>
      <c r="S479" s="197" t="s">
        <v>4106</v>
      </c>
      <c r="T479" s="197" t="s">
        <v>4406</v>
      </c>
      <c r="U479" s="197" t="s">
        <v>3958</v>
      </c>
      <c r="V479" s="197" t="s">
        <v>3959</v>
      </c>
    </row>
    <row r="480" spans="1:22" s="197" customFormat="1" x14ac:dyDescent="0.2">
      <c r="A480" s="197" t="s">
        <v>4405</v>
      </c>
      <c r="B480" s="197" t="s">
        <v>1434</v>
      </c>
      <c r="C480" s="197" t="s">
        <v>236</v>
      </c>
      <c r="D480" s="197" t="s">
        <v>209</v>
      </c>
      <c r="E480" s="197" t="s">
        <v>271</v>
      </c>
      <c r="F480" s="197" t="s">
        <v>118</v>
      </c>
      <c r="G480" s="260">
        <v>20.338000000000001</v>
      </c>
      <c r="H480" s="197">
        <v>3</v>
      </c>
      <c r="I480" s="197" t="s">
        <v>3962</v>
      </c>
      <c r="J480" s="197" t="s">
        <v>3986</v>
      </c>
      <c r="K480" s="197" t="s">
        <v>1283</v>
      </c>
      <c r="L480" s="261">
        <v>0.15</v>
      </c>
      <c r="M480" s="263">
        <v>521.81542999999999</v>
      </c>
      <c r="N480" s="263">
        <f>L480*M480</f>
        <v>78.272314499999993</v>
      </c>
      <c r="O480" s="199"/>
      <c r="P480" s="261"/>
      <c r="Q480" s="261"/>
      <c r="R480" s="198"/>
      <c r="S480" s="197" t="s">
        <v>4106</v>
      </c>
      <c r="T480" s="197" t="s">
        <v>4406</v>
      </c>
      <c r="U480" s="197" t="s">
        <v>3958</v>
      </c>
      <c r="V480" s="197" t="s">
        <v>3959</v>
      </c>
    </row>
    <row r="481" spans="1:22" s="197" customFormat="1" x14ac:dyDescent="0.2">
      <c r="A481" s="197" t="s">
        <v>4405</v>
      </c>
      <c r="B481" s="197" t="s">
        <v>1434</v>
      </c>
      <c r="C481" s="197" t="s">
        <v>236</v>
      </c>
      <c r="D481" s="197" t="s">
        <v>209</v>
      </c>
      <c r="E481" s="197" t="s">
        <v>271</v>
      </c>
      <c r="F481" s="197" t="s">
        <v>118</v>
      </c>
      <c r="G481" s="260">
        <v>20.338000000000001</v>
      </c>
      <c r="H481" s="197">
        <v>4</v>
      </c>
      <c r="I481" s="197" t="s">
        <v>3987</v>
      </c>
      <c r="J481" s="197" t="s">
        <v>3988</v>
      </c>
      <c r="K481" s="197" t="s">
        <v>1283</v>
      </c>
      <c r="L481" s="261">
        <v>0.05</v>
      </c>
      <c r="M481" s="263">
        <v>521.81542999999999</v>
      </c>
      <c r="N481" s="263">
        <f>L481*M481</f>
        <v>26.090771500000002</v>
      </c>
      <c r="O481" s="199"/>
      <c r="P481" s="261"/>
      <c r="Q481" s="261"/>
      <c r="R481" s="198"/>
      <c r="S481" s="197" t="s">
        <v>4106</v>
      </c>
      <c r="T481" s="197" t="s">
        <v>4406</v>
      </c>
      <c r="U481" s="197" t="s">
        <v>3958</v>
      </c>
      <c r="V481" s="197" t="s">
        <v>3959</v>
      </c>
    </row>
    <row r="482" spans="1:22" s="197" customFormat="1" x14ac:dyDescent="0.2">
      <c r="A482" s="197" t="s">
        <v>4405</v>
      </c>
      <c r="B482" s="197" t="s">
        <v>1434</v>
      </c>
      <c r="C482" s="197" t="s">
        <v>236</v>
      </c>
      <c r="D482" s="197" t="s">
        <v>209</v>
      </c>
      <c r="E482" s="197" t="s">
        <v>271</v>
      </c>
      <c r="F482" s="197" t="s">
        <v>118</v>
      </c>
      <c r="G482" s="260">
        <v>20.338000000000001</v>
      </c>
      <c r="H482" s="197">
        <v>5</v>
      </c>
      <c r="I482" s="197" t="s">
        <v>3968</v>
      </c>
      <c r="J482" s="197" t="s">
        <v>3969</v>
      </c>
      <c r="K482" s="197" t="s">
        <v>118</v>
      </c>
      <c r="L482" s="261">
        <v>1</v>
      </c>
      <c r="M482" s="263"/>
      <c r="N482" s="263">
        <f>SUM(N478:N481)</f>
        <v>521.81542999999999</v>
      </c>
      <c r="O482" s="199">
        <v>0.2223</v>
      </c>
      <c r="P482" s="261">
        <f>N482*O482</f>
        <v>115.999570089</v>
      </c>
      <c r="Q482" s="261">
        <f>N482+P482</f>
        <v>637.81500008900002</v>
      </c>
      <c r="R482" s="198">
        <f>Q482*G482</f>
        <v>12971.881471810084</v>
      </c>
      <c r="S482" s="197" t="s">
        <v>4106</v>
      </c>
      <c r="T482" s="197" t="s">
        <v>4406</v>
      </c>
      <c r="U482" s="197" t="str">
        <f>IF(ABS(Q482-637.815)&lt;=0.01,"FECHA COM PLANILHA","REVISAR")</f>
        <v>FECHA COM PLANILHA</v>
      </c>
      <c r="V482" s="197" t="s">
        <v>4108</v>
      </c>
    </row>
    <row r="483" spans="1:22" s="197" customFormat="1" x14ac:dyDescent="0.2">
      <c r="A483" s="197" t="s">
        <v>4407</v>
      </c>
      <c r="B483" s="197" t="s">
        <v>1952</v>
      </c>
      <c r="C483" s="197" t="s">
        <v>1953</v>
      </c>
      <c r="D483" s="197" t="s">
        <v>209</v>
      </c>
      <c r="E483" s="197" t="s">
        <v>1954</v>
      </c>
      <c r="F483" s="197" t="s">
        <v>84</v>
      </c>
      <c r="G483" s="260">
        <v>7</v>
      </c>
      <c r="H483" s="197">
        <v>1</v>
      </c>
      <c r="I483" s="197" t="s">
        <v>3954</v>
      </c>
      <c r="J483" s="197" t="s">
        <v>4110</v>
      </c>
      <c r="K483" s="197" t="s">
        <v>1283</v>
      </c>
      <c r="L483" s="261">
        <v>0.3</v>
      </c>
      <c r="M483" s="263">
        <v>1497.496523</v>
      </c>
      <c r="N483" s="263">
        <f>L483*M483</f>
        <v>449.2489569</v>
      </c>
      <c r="O483" s="199"/>
      <c r="P483" s="261"/>
      <c r="Q483" s="261"/>
      <c r="R483" s="198"/>
      <c r="S483" s="197" t="s">
        <v>4408</v>
      </c>
      <c r="T483" s="197" t="s">
        <v>4409</v>
      </c>
      <c r="U483" s="197" t="s">
        <v>3958</v>
      </c>
      <c r="V483" s="197" t="s">
        <v>3959</v>
      </c>
    </row>
    <row r="484" spans="1:22" s="197" customFormat="1" x14ac:dyDescent="0.2">
      <c r="A484" s="197" t="s">
        <v>4407</v>
      </c>
      <c r="B484" s="197" t="s">
        <v>1952</v>
      </c>
      <c r="C484" s="197" t="s">
        <v>1953</v>
      </c>
      <c r="D484" s="197" t="s">
        <v>209</v>
      </c>
      <c r="E484" s="197" t="s">
        <v>1954</v>
      </c>
      <c r="F484" s="197" t="s">
        <v>84</v>
      </c>
      <c r="G484" s="260">
        <v>7</v>
      </c>
      <c r="H484" s="197">
        <v>2</v>
      </c>
      <c r="I484" s="197" t="s">
        <v>3960</v>
      </c>
      <c r="J484" s="197" t="s">
        <v>4113</v>
      </c>
      <c r="K484" s="197" t="s">
        <v>1283</v>
      </c>
      <c r="L484" s="261">
        <v>0.55000000000000004</v>
      </c>
      <c r="M484" s="263">
        <v>1497.496523</v>
      </c>
      <c r="N484" s="263">
        <f>L484*M484</f>
        <v>823.62308765000012</v>
      </c>
      <c r="O484" s="199"/>
      <c r="P484" s="261"/>
      <c r="Q484" s="261"/>
      <c r="R484" s="198"/>
      <c r="S484" s="197" t="s">
        <v>4408</v>
      </c>
      <c r="T484" s="197" t="s">
        <v>4409</v>
      </c>
      <c r="U484" s="197" t="s">
        <v>3958</v>
      </c>
      <c r="V484" s="197" t="s">
        <v>3959</v>
      </c>
    </row>
    <row r="485" spans="1:22" s="197" customFormat="1" x14ac:dyDescent="0.2">
      <c r="A485" s="197" t="s">
        <v>4407</v>
      </c>
      <c r="B485" s="197" t="s">
        <v>1952</v>
      </c>
      <c r="C485" s="197" t="s">
        <v>1953</v>
      </c>
      <c r="D485" s="197" t="s">
        <v>209</v>
      </c>
      <c r="E485" s="197" t="s">
        <v>1954</v>
      </c>
      <c r="F485" s="197" t="s">
        <v>84</v>
      </c>
      <c r="G485" s="260">
        <v>7</v>
      </c>
      <c r="H485" s="197">
        <v>3</v>
      </c>
      <c r="I485" s="197" t="s">
        <v>3976</v>
      </c>
      <c r="J485" s="197" t="s">
        <v>4114</v>
      </c>
      <c r="K485" s="197" t="s">
        <v>1283</v>
      </c>
      <c r="L485" s="261">
        <v>0.1</v>
      </c>
      <c r="M485" s="263">
        <v>1497.496523</v>
      </c>
      <c r="N485" s="263">
        <f>L485*M485</f>
        <v>149.74965230000001</v>
      </c>
      <c r="O485" s="199"/>
      <c r="P485" s="261"/>
      <c r="Q485" s="261"/>
      <c r="R485" s="198"/>
      <c r="S485" s="197" t="s">
        <v>4408</v>
      </c>
      <c r="T485" s="197" t="s">
        <v>4409</v>
      </c>
      <c r="U485" s="197" t="s">
        <v>3958</v>
      </c>
      <c r="V485" s="197" t="s">
        <v>3959</v>
      </c>
    </row>
    <row r="486" spans="1:22" s="197" customFormat="1" x14ac:dyDescent="0.2">
      <c r="A486" s="197" t="s">
        <v>4407</v>
      </c>
      <c r="B486" s="197" t="s">
        <v>1952</v>
      </c>
      <c r="C486" s="197" t="s">
        <v>1953</v>
      </c>
      <c r="D486" s="197" t="s">
        <v>209</v>
      </c>
      <c r="E486" s="197" t="s">
        <v>1954</v>
      </c>
      <c r="F486" s="197" t="s">
        <v>84</v>
      </c>
      <c r="G486" s="260">
        <v>7</v>
      </c>
      <c r="H486" s="197">
        <v>4</v>
      </c>
      <c r="I486" s="197" t="s">
        <v>4017</v>
      </c>
      <c r="J486" s="197" t="s">
        <v>4115</v>
      </c>
      <c r="K486" s="197" t="s">
        <v>1283</v>
      </c>
      <c r="L486" s="261">
        <v>0.05</v>
      </c>
      <c r="M486" s="263">
        <v>1497.496523</v>
      </c>
      <c r="N486" s="263">
        <f>L486*M486</f>
        <v>74.874826150000004</v>
      </c>
      <c r="O486" s="199"/>
      <c r="P486" s="261"/>
      <c r="Q486" s="261"/>
      <c r="R486" s="198"/>
      <c r="S486" s="197" t="s">
        <v>4408</v>
      </c>
      <c r="T486" s="197" t="s">
        <v>4409</v>
      </c>
      <c r="U486" s="197" t="s">
        <v>3958</v>
      </c>
      <c r="V486" s="197" t="s">
        <v>3959</v>
      </c>
    </row>
    <row r="487" spans="1:22" s="197" customFormat="1" x14ac:dyDescent="0.2">
      <c r="A487" s="197" t="s">
        <v>4407</v>
      </c>
      <c r="B487" s="197" t="s">
        <v>1952</v>
      </c>
      <c r="C487" s="197" t="s">
        <v>1953</v>
      </c>
      <c r="D487" s="197" t="s">
        <v>209</v>
      </c>
      <c r="E487" s="197" t="s">
        <v>1954</v>
      </c>
      <c r="F487" s="197" t="s">
        <v>84</v>
      </c>
      <c r="G487" s="260">
        <v>7</v>
      </c>
      <c r="H487" s="197">
        <v>5</v>
      </c>
      <c r="I487" s="197" t="s">
        <v>3968</v>
      </c>
      <c r="J487" s="197" t="s">
        <v>3969</v>
      </c>
      <c r="K487" s="197" t="s">
        <v>84</v>
      </c>
      <c r="L487" s="261">
        <v>1</v>
      </c>
      <c r="M487" s="263"/>
      <c r="N487" s="263">
        <f>SUM(N483:N486)</f>
        <v>1497.496523</v>
      </c>
      <c r="O487" s="199">
        <v>0.2223</v>
      </c>
      <c r="P487" s="261">
        <f>N487*O487</f>
        <v>332.89347706289999</v>
      </c>
      <c r="Q487" s="261">
        <f>N487+P487</f>
        <v>1830.3900000629001</v>
      </c>
      <c r="R487" s="198">
        <f>Q487*G487</f>
        <v>12812.730000440301</v>
      </c>
      <c r="S487" s="197" t="s">
        <v>4408</v>
      </c>
      <c r="T487" s="197" t="s">
        <v>4409</v>
      </c>
      <c r="U487" s="197" t="str">
        <f>IF(ABS(Q487-1830.39)&lt;=0.01,"FECHA COM PLANILHA","REVISAR")</f>
        <v>FECHA COM PLANILHA</v>
      </c>
      <c r="V487" s="197" t="s">
        <v>4410</v>
      </c>
    </row>
    <row r="488" spans="1:22" s="197" customFormat="1" x14ac:dyDescent="0.2">
      <c r="A488" s="197" t="s">
        <v>4411</v>
      </c>
      <c r="B488" s="197" t="s">
        <v>537</v>
      </c>
      <c r="C488" s="197" t="s">
        <v>538</v>
      </c>
      <c r="D488" s="197" t="s">
        <v>209</v>
      </c>
      <c r="E488" s="197" t="s">
        <v>539</v>
      </c>
      <c r="F488" s="197" t="s">
        <v>540</v>
      </c>
      <c r="G488" s="260">
        <v>30.593</v>
      </c>
      <c r="H488" s="197">
        <v>1</v>
      </c>
      <c r="I488" s="197" t="s">
        <v>3954</v>
      </c>
      <c r="J488" s="197" t="s">
        <v>4049</v>
      </c>
      <c r="K488" s="197" t="s">
        <v>1283</v>
      </c>
      <c r="L488" s="261">
        <v>0.24</v>
      </c>
      <c r="M488" s="263">
        <v>341.65712200000002</v>
      </c>
      <c r="N488" s="263">
        <f>L488*M488</f>
        <v>81.997709279999995</v>
      </c>
      <c r="O488" s="199"/>
      <c r="P488" s="261"/>
      <c r="Q488" s="261"/>
      <c r="R488" s="198"/>
      <c r="S488" s="197" t="s">
        <v>4412</v>
      </c>
      <c r="T488" s="197" t="s">
        <v>4413</v>
      </c>
      <c r="U488" s="197" t="s">
        <v>3958</v>
      </c>
      <c r="V488" s="197" t="s">
        <v>3959</v>
      </c>
    </row>
    <row r="489" spans="1:22" s="197" customFormat="1" x14ac:dyDescent="0.2">
      <c r="A489" s="197" t="s">
        <v>4411</v>
      </c>
      <c r="B489" s="197" t="s">
        <v>537</v>
      </c>
      <c r="C489" s="197" t="s">
        <v>538</v>
      </c>
      <c r="D489" s="197" t="s">
        <v>209</v>
      </c>
      <c r="E489" s="197" t="s">
        <v>539</v>
      </c>
      <c r="F489" s="197" t="s">
        <v>540</v>
      </c>
      <c r="G489" s="260">
        <v>30.593</v>
      </c>
      <c r="H489" s="197">
        <v>2</v>
      </c>
      <c r="I489" s="197" t="s">
        <v>3960</v>
      </c>
      <c r="J489" s="197" t="s">
        <v>4052</v>
      </c>
      <c r="K489" s="197" t="s">
        <v>1283</v>
      </c>
      <c r="L489" s="261">
        <v>0.68</v>
      </c>
      <c r="M489" s="263">
        <v>341.65712200000002</v>
      </c>
      <c r="N489" s="263">
        <f>L489*M489</f>
        <v>232.32684296000002</v>
      </c>
      <c r="O489" s="199"/>
      <c r="P489" s="261"/>
      <c r="Q489" s="261"/>
      <c r="R489" s="198"/>
      <c r="S489" s="197" t="s">
        <v>4412</v>
      </c>
      <c r="T489" s="197" t="s">
        <v>4413</v>
      </c>
      <c r="U489" s="197" t="s">
        <v>3958</v>
      </c>
      <c r="V489" s="197" t="s">
        <v>3959</v>
      </c>
    </row>
    <row r="490" spans="1:22" s="197" customFormat="1" x14ac:dyDescent="0.2">
      <c r="A490" s="197" t="s">
        <v>4411</v>
      </c>
      <c r="B490" s="197" t="s">
        <v>537</v>
      </c>
      <c r="C490" s="197" t="s">
        <v>538</v>
      </c>
      <c r="D490" s="197" t="s">
        <v>209</v>
      </c>
      <c r="E490" s="197" t="s">
        <v>539</v>
      </c>
      <c r="F490" s="197" t="s">
        <v>540</v>
      </c>
      <c r="G490" s="260">
        <v>30.593</v>
      </c>
      <c r="H490" s="197">
        <v>3</v>
      </c>
      <c r="I490" s="197" t="s">
        <v>3976</v>
      </c>
      <c r="J490" s="197" t="s">
        <v>4053</v>
      </c>
      <c r="K490" s="197" t="s">
        <v>1283</v>
      </c>
      <c r="L490" s="261">
        <v>0.04</v>
      </c>
      <c r="M490" s="263">
        <v>341.65712200000002</v>
      </c>
      <c r="N490" s="263">
        <f>L490*M490</f>
        <v>13.666284880000001</v>
      </c>
      <c r="O490" s="199"/>
      <c r="P490" s="261"/>
      <c r="Q490" s="261"/>
      <c r="R490" s="198"/>
      <c r="S490" s="197" t="s">
        <v>4412</v>
      </c>
      <c r="T490" s="197" t="s">
        <v>4413</v>
      </c>
      <c r="U490" s="197" t="s">
        <v>3958</v>
      </c>
      <c r="V490" s="197" t="s">
        <v>3959</v>
      </c>
    </row>
    <row r="491" spans="1:22" s="197" customFormat="1" x14ac:dyDescent="0.2">
      <c r="A491" s="197" t="s">
        <v>4411</v>
      </c>
      <c r="B491" s="197" t="s">
        <v>537</v>
      </c>
      <c r="C491" s="197" t="s">
        <v>538</v>
      </c>
      <c r="D491" s="197" t="s">
        <v>209</v>
      </c>
      <c r="E491" s="197" t="s">
        <v>539</v>
      </c>
      <c r="F491" s="197" t="s">
        <v>540</v>
      </c>
      <c r="G491" s="260">
        <v>30.593</v>
      </c>
      <c r="H491" s="197">
        <v>4</v>
      </c>
      <c r="I491" s="197" t="s">
        <v>4054</v>
      </c>
      <c r="J491" s="197" t="s">
        <v>4055</v>
      </c>
      <c r="K491" s="197" t="s">
        <v>1283</v>
      </c>
      <c r="L491" s="261">
        <v>0.04</v>
      </c>
      <c r="M491" s="263">
        <v>341.65712200000002</v>
      </c>
      <c r="N491" s="263">
        <f>L491*M491</f>
        <v>13.666284880000001</v>
      </c>
      <c r="O491" s="199"/>
      <c r="P491" s="261"/>
      <c r="Q491" s="261"/>
      <c r="R491" s="198"/>
      <c r="S491" s="197" t="s">
        <v>4412</v>
      </c>
      <c r="T491" s="197" t="s">
        <v>4413</v>
      </c>
      <c r="U491" s="197" t="s">
        <v>3958</v>
      </c>
      <c r="V491" s="197" t="s">
        <v>3959</v>
      </c>
    </row>
    <row r="492" spans="1:22" s="197" customFormat="1" x14ac:dyDescent="0.2">
      <c r="A492" s="197" t="s">
        <v>4411</v>
      </c>
      <c r="B492" s="197" t="s">
        <v>537</v>
      </c>
      <c r="C492" s="197" t="s">
        <v>538</v>
      </c>
      <c r="D492" s="197" t="s">
        <v>209</v>
      </c>
      <c r="E492" s="197" t="s">
        <v>539</v>
      </c>
      <c r="F492" s="197" t="s">
        <v>540</v>
      </c>
      <c r="G492" s="260">
        <v>30.593</v>
      </c>
      <c r="H492" s="197">
        <v>5</v>
      </c>
      <c r="I492" s="197" t="s">
        <v>3968</v>
      </c>
      <c r="J492" s="197" t="s">
        <v>3969</v>
      </c>
      <c r="K492" s="197" t="s">
        <v>540</v>
      </c>
      <c r="L492" s="261">
        <v>1</v>
      </c>
      <c r="M492" s="263"/>
      <c r="N492" s="263">
        <f>SUM(N488:N491)</f>
        <v>341.65712199999996</v>
      </c>
      <c r="O492" s="199">
        <v>0.2223</v>
      </c>
      <c r="P492" s="261">
        <f>N492*O492</f>
        <v>75.950378220599987</v>
      </c>
      <c r="Q492" s="261">
        <f>N492+P492</f>
        <v>417.60750022059995</v>
      </c>
      <c r="R492" s="198">
        <f>Q492*G492</f>
        <v>12775.866254248815</v>
      </c>
      <c r="S492" s="197" t="s">
        <v>4412</v>
      </c>
      <c r="T492" s="197" t="s">
        <v>4413</v>
      </c>
      <c r="U492" s="197" t="str">
        <f>IF(ABS(Q492-417.6075)&lt;=0.01,"FECHA COM PLANILHA","REVISAR")</f>
        <v>FECHA COM PLANILHA</v>
      </c>
      <c r="V492" s="197" t="s">
        <v>4414</v>
      </c>
    </row>
    <row r="493" spans="1:22" s="197" customFormat="1" x14ac:dyDescent="0.2">
      <c r="A493" s="197" t="s">
        <v>4415</v>
      </c>
      <c r="B493" s="197" t="s">
        <v>1439</v>
      </c>
      <c r="C493" s="197" t="s">
        <v>236</v>
      </c>
      <c r="D493" s="197" t="s">
        <v>209</v>
      </c>
      <c r="E493" s="197" t="s">
        <v>271</v>
      </c>
      <c r="F493" s="197" t="s">
        <v>118</v>
      </c>
      <c r="G493" s="260">
        <v>18.547000000000001</v>
      </c>
      <c r="H493" s="197">
        <v>1</v>
      </c>
      <c r="I493" s="197" t="s">
        <v>3954</v>
      </c>
      <c r="J493" s="197" t="s">
        <v>3982</v>
      </c>
      <c r="K493" s="197" t="s">
        <v>1283</v>
      </c>
      <c r="L493" s="261">
        <v>0.16</v>
      </c>
      <c r="M493" s="263">
        <v>521.81542999999999</v>
      </c>
      <c r="N493" s="263">
        <f>L493*M493</f>
        <v>83.490468800000002</v>
      </c>
      <c r="O493" s="199"/>
      <c r="P493" s="261"/>
      <c r="Q493" s="261"/>
      <c r="R493" s="198"/>
      <c r="S493" s="197" t="s">
        <v>4106</v>
      </c>
      <c r="T493" s="197" t="s">
        <v>4416</v>
      </c>
      <c r="U493" s="197" t="s">
        <v>3958</v>
      </c>
      <c r="V493" s="197" t="s">
        <v>3959</v>
      </c>
    </row>
    <row r="494" spans="1:22" s="197" customFormat="1" x14ac:dyDescent="0.2">
      <c r="A494" s="197" t="s">
        <v>4415</v>
      </c>
      <c r="B494" s="197" t="s">
        <v>1439</v>
      </c>
      <c r="C494" s="197" t="s">
        <v>236</v>
      </c>
      <c r="D494" s="197" t="s">
        <v>209</v>
      </c>
      <c r="E494" s="197" t="s">
        <v>271</v>
      </c>
      <c r="F494" s="197" t="s">
        <v>118</v>
      </c>
      <c r="G494" s="260">
        <v>18.547000000000001</v>
      </c>
      <c r="H494" s="197">
        <v>2</v>
      </c>
      <c r="I494" s="197" t="s">
        <v>3960</v>
      </c>
      <c r="J494" s="197" t="s">
        <v>3985</v>
      </c>
      <c r="K494" s="197" t="s">
        <v>1283</v>
      </c>
      <c r="L494" s="261">
        <v>0.64</v>
      </c>
      <c r="M494" s="263">
        <v>521.81542999999999</v>
      </c>
      <c r="N494" s="263">
        <f>L494*M494</f>
        <v>333.96187520000001</v>
      </c>
      <c r="O494" s="199"/>
      <c r="P494" s="261"/>
      <c r="Q494" s="261"/>
      <c r="R494" s="198"/>
      <c r="S494" s="197" t="s">
        <v>4106</v>
      </c>
      <c r="T494" s="197" t="s">
        <v>4416</v>
      </c>
      <c r="U494" s="197" t="s">
        <v>3958</v>
      </c>
      <c r="V494" s="197" t="s">
        <v>3959</v>
      </c>
    </row>
    <row r="495" spans="1:22" s="197" customFormat="1" x14ac:dyDescent="0.2">
      <c r="A495" s="197" t="s">
        <v>4415</v>
      </c>
      <c r="B495" s="197" t="s">
        <v>1439</v>
      </c>
      <c r="C495" s="197" t="s">
        <v>236</v>
      </c>
      <c r="D495" s="197" t="s">
        <v>209</v>
      </c>
      <c r="E495" s="197" t="s">
        <v>271</v>
      </c>
      <c r="F495" s="197" t="s">
        <v>118</v>
      </c>
      <c r="G495" s="260">
        <v>18.547000000000001</v>
      </c>
      <c r="H495" s="197">
        <v>3</v>
      </c>
      <c r="I495" s="197" t="s">
        <v>3962</v>
      </c>
      <c r="J495" s="197" t="s">
        <v>3986</v>
      </c>
      <c r="K495" s="197" t="s">
        <v>1283</v>
      </c>
      <c r="L495" s="261">
        <v>0.15</v>
      </c>
      <c r="M495" s="263">
        <v>521.81542999999999</v>
      </c>
      <c r="N495" s="263">
        <f>L495*M495</f>
        <v>78.272314499999993</v>
      </c>
      <c r="O495" s="199"/>
      <c r="P495" s="261"/>
      <c r="Q495" s="261"/>
      <c r="R495" s="198"/>
      <c r="S495" s="197" t="s">
        <v>4106</v>
      </c>
      <c r="T495" s="197" t="s">
        <v>4416</v>
      </c>
      <c r="U495" s="197" t="s">
        <v>3958</v>
      </c>
      <c r="V495" s="197" t="s">
        <v>3959</v>
      </c>
    </row>
    <row r="496" spans="1:22" s="197" customFormat="1" x14ac:dyDescent="0.2">
      <c r="A496" s="197" t="s">
        <v>4415</v>
      </c>
      <c r="B496" s="197" t="s">
        <v>1439</v>
      </c>
      <c r="C496" s="197" t="s">
        <v>236</v>
      </c>
      <c r="D496" s="197" t="s">
        <v>209</v>
      </c>
      <c r="E496" s="197" t="s">
        <v>271</v>
      </c>
      <c r="F496" s="197" t="s">
        <v>118</v>
      </c>
      <c r="G496" s="260">
        <v>18.547000000000001</v>
      </c>
      <c r="H496" s="197">
        <v>4</v>
      </c>
      <c r="I496" s="197" t="s">
        <v>3987</v>
      </c>
      <c r="J496" s="197" t="s">
        <v>3988</v>
      </c>
      <c r="K496" s="197" t="s">
        <v>1283</v>
      </c>
      <c r="L496" s="261">
        <v>0.05</v>
      </c>
      <c r="M496" s="263">
        <v>521.81542999999999</v>
      </c>
      <c r="N496" s="263">
        <f>L496*M496</f>
        <v>26.090771500000002</v>
      </c>
      <c r="O496" s="199"/>
      <c r="P496" s="261"/>
      <c r="Q496" s="261"/>
      <c r="R496" s="198"/>
      <c r="S496" s="197" t="s">
        <v>4106</v>
      </c>
      <c r="T496" s="197" t="s">
        <v>4416</v>
      </c>
      <c r="U496" s="197" t="s">
        <v>3958</v>
      </c>
      <c r="V496" s="197" t="s">
        <v>3959</v>
      </c>
    </row>
    <row r="497" spans="1:22" s="197" customFormat="1" x14ac:dyDescent="0.2">
      <c r="A497" s="197" t="s">
        <v>4415</v>
      </c>
      <c r="B497" s="197" t="s">
        <v>1439</v>
      </c>
      <c r="C497" s="197" t="s">
        <v>236</v>
      </c>
      <c r="D497" s="197" t="s">
        <v>209</v>
      </c>
      <c r="E497" s="197" t="s">
        <v>271</v>
      </c>
      <c r="F497" s="197" t="s">
        <v>118</v>
      </c>
      <c r="G497" s="260">
        <v>18.547000000000001</v>
      </c>
      <c r="H497" s="197">
        <v>5</v>
      </c>
      <c r="I497" s="197" t="s">
        <v>3968</v>
      </c>
      <c r="J497" s="197" t="s">
        <v>3969</v>
      </c>
      <c r="K497" s="197" t="s">
        <v>118</v>
      </c>
      <c r="L497" s="261">
        <v>1</v>
      </c>
      <c r="M497" s="263"/>
      <c r="N497" s="263">
        <f>SUM(N493:N496)</f>
        <v>521.81542999999999</v>
      </c>
      <c r="O497" s="199">
        <v>0.2223</v>
      </c>
      <c r="P497" s="261">
        <f>N497*O497</f>
        <v>115.999570089</v>
      </c>
      <c r="Q497" s="261">
        <f>N497+P497</f>
        <v>637.81500008900002</v>
      </c>
      <c r="R497" s="198">
        <f>Q497*G497</f>
        <v>11829.554806650684</v>
      </c>
      <c r="S497" s="197" t="s">
        <v>4106</v>
      </c>
      <c r="T497" s="197" t="s">
        <v>4416</v>
      </c>
      <c r="U497" s="197" t="str">
        <f>IF(ABS(Q497-637.815)&lt;=0.01,"FECHA COM PLANILHA","REVISAR")</f>
        <v>FECHA COM PLANILHA</v>
      </c>
      <c r="V497" s="197" t="s">
        <v>4108</v>
      </c>
    </row>
    <row r="498" spans="1:22" s="197" customFormat="1" x14ac:dyDescent="0.2">
      <c r="A498" s="197" t="s">
        <v>4417</v>
      </c>
      <c r="B498" s="197" t="s">
        <v>321</v>
      </c>
      <c r="C498" s="197" t="s">
        <v>322</v>
      </c>
      <c r="D498" s="197" t="s">
        <v>209</v>
      </c>
      <c r="E498" s="197" t="s">
        <v>323</v>
      </c>
      <c r="F498" s="197" t="s">
        <v>26</v>
      </c>
      <c r="G498" s="260">
        <v>15.861000000000001</v>
      </c>
      <c r="H498" s="197">
        <v>1</v>
      </c>
      <c r="I498" s="197" t="s">
        <v>3954</v>
      </c>
      <c r="J498" s="197" t="s">
        <v>4049</v>
      </c>
      <c r="K498" s="197" t="s">
        <v>1283</v>
      </c>
      <c r="L498" s="261">
        <v>0.24</v>
      </c>
      <c r="M498" s="263">
        <v>574.351632</v>
      </c>
      <c r="N498" s="263">
        <f>L498*M498</f>
        <v>137.84439168</v>
      </c>
      <c r="O498" s="199"/>
      <c r="P498" s="261"/>
      <c r="Q498" s="261"/>
      <c r="R498" s="198"/>
      <c r="S498" s="197" t="s">
        <v>4418</v>
      </c>
      <c r="T498" s="197" t="s">
        <v>4419</v>
      </c>
      <c r="U498" s="197" t="s">
        <v>3958</v>
      </c>
      <c r="V498" s="197" t="s">
        <v>3959</v>
      </c>
    </row>
    <row r="499" spans="1:22" s="197" customFormat="1" x14ac:dyDescent="0.2">
      <c r="A499" s="197" t="s">
        <v>4417</v>
      </c>
      <c r="B499" s="197" t="s">
        <v>321</v>
      </c>
      <c r="C499" s="197" t="s">
        <v>322</v>
      </c>
      <c r="D499" s="197" t="s">
        <v>209</v>
      </c>
      <c r="E499" s="197" t="s">
        <v>323</v>
      </c>
      <c r="F499" s="197" t="s">
        <v>26</v>
      </c>
      <c r="G499" s="260">
        <v>15.861000000000001</v>
      </c>
      <c r="H499" s="197">
        <v>2</v>
      </c>
      <c r="I499" s="197" t="s">
        <v>3960</v>
      </c>
      <c r="J499" s="197" t="s">
        <v>4052</v>
      </c>
      <c r="K499" s="197" t="s">
        <v>1283</v>
      </c>
      <c r="L499" s="261">
        <v>0.68</v>
      </c>
      <c r="M499" s="263">
        <v>574.351632</v>
      </c>
      <c r="N499" s="263">
        <f>L499*M499</f>
        <v>390.55910976000001</v>
      </c>
      <c r="O499" s="199"/>
      <c r="P499" s="261"/>
      <c r="Q499" s="261"/>
      <c r="R499" s="198"/>
      <c r="S499" s="197" t="s">
        <v>4418</v>
      </c>
      <c r="T499" s="197" t="s">
        <v>4419</v>
      </c>
      <c r="U499" s="197" t="s">
        <v>3958</v>
      </c>
      <c r="V499" s="197" t="s">
        <v>3959</v>
      </c>
    </row>
    <row r="500" spans="1:22" s="197" customFormat="1" x14ac:dyDescent="0.2">
      <c r="A500" s="197" t="s">
        <v>4417</v>
      </c>
      <c r="B500" s="197" t="s">
        <v>321</v>
      </c>
      <c r="C500" s="197" t="s">
        <v>322</v>
      </c>
      <c r="D500" s="197" t="s">
        <v>209</v>
      </c>
      <c r="E500" s="197" t="s">
        <v>323</v>
      </c>
      <c r="F500" s="197" t="s">
        <v>26</v>
      </c>
      <c r="G500" s="260">
        <v>15.861000000000001</v>
      </c>
      <c r="H500" s="197">
        <v>3</v>
      </c>
      <c r="I500" s="197" t="s">
        <v>3976</v>
      </c>
      <c r="J500" s="197" t="s">
        <v>4053</v>
      </c>
      <c r="K500" s="197" t="s">
        <v>1283</v>
      </c>
      <c r="L500" s="261">
        <v>0.04</v>
      </c>
      <c r="M500" s="263">
        <v>574.351632</v>
      </c>
      <c r="N500" s="263">
        <f>L500*M500</f>
        <v>22.974065280000001</v>
      </c>
      <c r="O500" s="199"/>
      <c r="P500" s="261"/>
      <c r="Q500" s="261"/>
      <c r="R500" s="198"/>
      <c r="S500" s="197" t="s">
        <v>4418</v>
      </c>
      <c r="T500" s="197" t="s">
        <v>4419</v>
      </c>
      <c r="U500" s="197" t="s">
        <v>3958</v>
      </c>
      <c r="V500" s="197" t="s">
        <v>3959</v>
      </c>
    </row>
    <row r="501" spans="1:22" s="197" customFormat="1" x14ac:dyDescent="0.2">
      <c r="A501" s="197" t="s">
        <v>4417</v>
      </c>
      <c r="B501" s="197" t="s">
        <v>321</v>
      </c>
      <c r="C501" s="197" t="s">
        <v>322</v>
      </c>
      <c r="D501" s="197" t="s">
        <v>209</v>
      </c>
      <c r="E501" s="197" t="s">
        <v>323</v>
      </c>
      <c r="F501" s="197" t="s">
        <v>26</v>
      </c>
      <c r="G501" s="260">
        <v>15.861000000000001</v>
      </c>
      <c r="H501" s="197">
        <v>4</v>
      </c>
      <c r="I501" s="197" t="s">
        <v>4054</v>
      </c>
      <c r="J501" s="197" t="s">
        <v>4055</v>
      </c>
      <c r="K501" s="197" t="s">
        <v>1283</v>
      </c>
      <c r="L501" s="261">
        <v>0.04</v>
      </c>
      <c r="M501" s="263">
        <v>574.351632</v>
      </c>
      <c r="N501" s="263">
        <f>L501*M501</f>
        <v>22.974065280000001</v>
      </c>
      <c r="O501" s="199"/>
      <c r="P501" s="261"/>
      <c r="Q501" s="261"/>
      <c r="R501" s="198"/>
      <c r="S501" s="197" t="s">
        <v>4418</v>
      </c>
      <c r="T501" s="197" t="s">
        <v>4419</v>
      </c>
      <c r="U501" s="197" t="s">
        <v>3958</v>
      </c>
      <c r="V501" s="197" t="s">
        <v>3959</v>
      </c>
    </row>
    <row r="502" spans="1:22" s="197" customFormat="1" x14ac:dyDescent="0.2">
      <c r="A502" s="197" t="s">
        <v>4417</v>
      </c>
      <c r="B502" s="197" t="s">
        <v>321</v>
      </c>
      <c r="C502" s="197" t="s">
        <v>322</v>
      </c>
      <c r="D502" s="197" t="s">
        <v>209</v>
      </c>
      <c r="E502" s="197" t="s">
        <v>323</v>
      </c>
      <c r="F502" s="197" t="s">
        <v>26</v>
      </c>
      <c r="G502" s="260">
        <v>15.861000000000001</v>
      </c>
      <c r="H502" s="197">
        <v>5</v>
      </c>
      <c r="I502" s="197" t="s">
        <v>3968</v>
      </c>
      <c r="J502" s="197" t="s">
        <v>3969</v>
      </c>
      <c r="K502" s="197" t="s">
        <v>26</v>
      </c>
      <c r="L502" s="261">
        <v>1</v>
      </c>
      <c r="M502" s="263"/>
      <c r="N502" s="263">
        <f>SUM(N498:N501)</f>
        <v>574.351632</v>
      </c>
      <c r="O502" s="199">
        <v>0.2223</v>
      </c>
      <c r="P502" s="261">
        <f>N502*O502</f>
        <v>127.6783677936</v>
      </c>
      <c r="Q502" s="261">
        <f>N502+P502</f>
        <v>702.02999979360004</v>
      </c>
      <c r="R502" s="198">
        <f>Q502*G502</f>
        <v>11134.89782672629</v>
      </c>
      <c r="S502" s="197" t="s">
        <v>4418</v>
      </c>
      <c r="T502" s="197" t="s">
        <v>4419</v>
      </c>
      <c r="U502" s="197" t="str">
        <f>IF(ABS(Q502-702.03)&lt;=0.01,"FECHA COM PLANILHA","REVISAR")</f>
        <v>FECHA COM PLANILHA</v>
      </c>
      <c r="V502" s="197" t="s">
        <v>4420</v>
      </c>
    </row>
    <row r="503" spans="1:22" s="197" customFormat="1" x14ac:dyDescent="0.2">
      <c r="A503" s="197" t="s">
        <v>4421</v>
      </c>
      <c r="B503" s="197" t="s">
        <v>514</v>
      </c>
      <c r="C503" s="197" t="s">
        <v>515</v>
      </c>
      <c r="D503" s="197" t="s">
        <v>209</v>
      </c>
      <c r="E503" s="197" t="s">
        <v>516</v>
      </c>
      <c r="F503" s="197" t="s">
        <v>84</v>
      </c>
      <c r="G503" s="260">
        <v>1</v>
      </c>
      <c r="H503" s="197">
        <v>1</v>
      </c>
      <c r="I503" s="197" t="s">
        <v>3954</v>
      </c>
      <c r="J503" s="197" t="s">
        <v>3982</v>
      </c>
      <c r="K503" s="197" t="s">
        <v>1283</v>
      </c>
      <c r="L503" s="261">
        <v>0.16</v>
      </c>
      <c r="M503" s="263">
        <v>8255.908942</v>
      </c>
      <c r="N503" s="263">
        <f>L503*M503</f>
        <v>1320.9454307200001</v>
      </c>
      <c r="O503" s="199"/>
      <c r="P503" s="261"/>
      <c r="Q503" s="261"/>
      <c r="R503" s="198"/>
      <c r="S503" s="197" t="s">
        <v>4422</v>
      </c>
      <c r="T503" s="197" t="s">
        <v>4423</v>
      </c>
      <c r="U503" s="197" t="s">
        <v>3958</v>
      </c>
      <c r="V503" s="197" t="s">
        <v>3959</v>
      </c>
    </row>
    <row r="504" spans="1:22" s="197" customFormat="1" x14ac:dyDescent="0.2">
      <c r="A504" s="197" t="s">
        <v>4421</v>
      </c>
      <c r="B504" s="197" t="s">
        <v>514</v>
      </c>
      <c r="C504" s="197" t="s">
        <v>515</v>
      </c>
      <c r="D504" s="197" t="s">
        <v>209</v>
      </c>
      <c r="E504" s="197" t="s">
        <v>516</v>
      </c>
      <c r="F504" s="197" t="s">
        <v>84</v>
      </c>
      <c r="G504" s="260">
        <v>1</v>
      </c>
      <c r="H504" s="197">
        <v>2</v>
      </c>
      <c r="I504" s="197" t="s">
        <v>3960</v>
      </c>
      <c r="J504" s="197" t="s">
        <v>3985</v>
      </c>
      <c r="K504" s="197" t="s">
        <v>1283</v>
      </c>
      <c r="L504" s="261">
        <v>0.64</v>
      </c>
      <c r="M504" s="263">
        <v>8255.908942</v>
      </c>
      <c r="N504" s="263">
        <f>L504*M504</f>
        <v>5283.7817228800004</v>
      </c>
      <c r="O504" s="199"/>
      <c r="P504" s="261"/>
      <c r="Q504" s="261"/>
      <c r="R504" s="198"/>
      <c r="S504" s="197" t="s">
        <v>4422</v>
      </c>
      <c r="T504" s="197" t="s">
        <v>4423</v>
      </c>
      <c r="U504" s="197" t="s">
        <v>3958</v>
      </c>
      <c r="V504" s="197" t="s">
        <v>3959</v>
      </c>
    </row>
    <row r="505" spans="1:22" s="197" customFormat="1" x14ac:dyDescent="0.2">
      <c r="A505" s="197" t="s">
        <v>4421</v>
      </c>
      <c r="B505" s="197" t="s">
        <v>514</v>
      </c>
      <c r="C505" s="197" t="s">
        <v>515</v>
      </c>
      <c r="D505" s="197" t="s">
        <v>209</v>
      </c>
      <c r="E505" s="197" t="s">
        <v>516</v>
      </c>
      <c r="F505" s="197" t="s">
        <v>84</v>
      </c>
      <c r="G505" s="260">
        <v>1</v>
      </c>
      <c r="H505" s="197">
        <v>3</v>
      </c>
      <c r="I505" s="197" t="s">
        <v>3962</v>
      </c>
      <c r="J505" s="197" t="s">
        <v>3986</v>
      </c>
      <c r="K505" s="197" t="s">
        <v>1283</v>
      </c>
      <c r="L505" s="261">
        <v>0.15</v>
      </c>
      <c r="M505" s="263">
        <v>8255.908942</v>
      </c>
      <c r="N505" s="263">
        <f>L505*M505</f>
        <v>1238.3863412999999</v>
      </c>
      <c r="O505" s="199"/>
      <c r="P505" s="261"/>
      <c r="Q505" s="261"/>
      <c r="R505" s="198"/>
      <c r="S505" s="197" t="s">
        <v>4422</v>
      </c>
      <c r="T505" s="197" t="s">
        <v>4423</v>
      </c>
      <c r="U505" s="197" t="s">
        <v>3958</v>
      </c>
      <c r="V505" s="197" t="s">
        <v>3959</v>
      </c>
    </row>
    <row r="506" spans="1:22" s="197" customFormat="1" x14ac:dyDescent="0.2">
      <c r="A506" s="197" t="s">
        <v>4421</v>
      </c>
      <c r="B506" s="197" t="s">
        <v>514</v>
      </c>
      <c r="C506" s="197" t="s">
        <v>515</v>
      </c>
      <c r="D506" s="197" t="s">
        <v>209</v>
      </c>
      <c r="E506" s="197" t="s">
        <v>516</v>
      </c>
      <c r="F506" s="197" t="s">
        <v>84</v>
      </c>
      <c r="G506" s="260">
        <v>1</v>
      </c>
      <c r="H506" s="197">
        <v>4</v>
      </c>
      <c r="I506" s="197" t="s">
        <v>3987</v>
      </c>
      <c r="J506" s="197" t="s">
        <v>3988</v>
      </c>
      <c r="K506" s="197" t="s">
        <v>1283</v>
      </c>
      <c r="L506" s="261">
        <v>0.05</v>
      </c>
      <c r="M506" s="263">
        <v>8255.908942</v>
      </c>
      <c r="N506" s="263">
        <f>L506*M506</f>
        <v>412.79544710000005</v>
      </c>
      <c r="O506" s="199"/>
      <c r="P506" s="261"/>
      <c r="Q506" s="261"/>
      <c r="R506" s="198"/>
      <c r="S506" s="197" t="s">
        <v>4422</v>
      </c>
      <c r="T506" s="197" t="s">
        <v>4423</v>
      </c>
      <c r="U506" s="197" t="s">
        <v>3958</v>
      </c>
      <c r="V506" s="197" t="s">
        <v>3959</v>
      </c>
    </row>
    <row r="507" spans="1:22" s="197" customFormat="1" x14ac:dyDescent="0.2">
      <c r="A507" s="197" t="s">
        <v>4421</v>
      </c>
      <c r="B507" s="197" t="s">
        <v>514</v>
      </c>
      <c r="C507" s="197" t="s">
        <v>515</v>
      </c>
      <c r="D507" s="197" t="s">
        <v>209</v>
      </c>
      <c r="E507" s="197" t="s">
        <v>516</v>
      </c>
      <c r="F507" s="197" t="s">
        <v>84</v>
      </c>
      <c r="G507" s="260">
        <v>1</v>
      </c>
      <c r="H507" s="197">
        <v>5</v>
      </c>
      <c r="I507" s="197" t="s">
        <v>3968</v>
      </c>
      <c r="J507" s="197" t="s">
        <v>3969</v>
      </c>
      <c r="K507" s="197" t="s">
        <v>84</v>
      </c>
      <c r="L507" s="261">
        <v>1</v>
      </c>
      <c r="M507" s="263"/>
      <c r="N507" s="263">
        <f>SUM(N503:N506)</f>
        <v>8255.908942</v>
      </c>
      <c r="O507" s="199">
        <v>0.2223</v>
      </c>
      <c r="P507" s="261">
        <f>N507*O507</f>
        <v>1835.2885578066</v>
      </c>
      <c r="Q507" s="261">
        <f>N507+P507</f>
        <v>10091.1974998066</v>
      </c>
      <c r="R507" s="198">
        <f>Q507*G507</f>
        <v>10091.1974998066</v>
      </c>
      <c r="S507" s="197" t="s">
        <v>4422</v>
      </c>
      <c r="T507" s="197" t="s">
        <v>4423</v>
      </c>
      <c r="U507" s="197" t="str">
        <f>IF(ABS(Q507-10091.1975)&lt;=0.01,"FECHA COM PLANILHA","REVISAR")</f>
        <v>FECHA COM PLANILHA</v>
      </c>
      <c r="V507" s="197" t="s">
        <v>4424</v>
      </c>
    </row>
    <row r="508" spans="1:22" s="197" customFormat="1" x14ac:dyDescent="0.2">
      <c r="A508" s="197" t="s">
        <v>4425</v>
      </c>
      <c r="B508" s="197" t="s">
        <v>1526</v>
      </c>
      <c r="C508" s="197" t="s">
        <v>474</v>
      </c>
      <c r="D508" s="197" t="s">
        <v>209</v>
      </c>
      <c r="E508" s="197" t="s">
        <v>475</v>
      </c>
      <c r="F508" s="197" t="s">
        <v>84</v>
      </c>
      <c r="G508" s="260">
        <v>1</v>
      </c>
      <c r="H508" s="197">
        <v>1</v>
      </c>
      <c r="I508" s="197" t="s">
        <v>3954</v>
      </c>
      <c r="J508" s="197" t="s">
        <v>4049</v>
      </c>
      <c r="K508" s="197" t="s">
        <v>1283</v>
      </c>
      <c r="L508" s="261">
        <v>0.24</v>
      </c>
      <c r="M508" s="263">
        <v>8206.3670949999996</v>
      </c>
      <c r="N508" s="263">
        <f>L508*M508</f>
        <v>1969.5281027999999</v>
      </c>
      <c r="O508" s="199"/>
      <c r="P508" s="261"/>
      <c r="Q508" s="261"/>
      <c r="R508" s="198"/>
      <c r="S508" s="197" t="s">
        <v>4426</v>
      </c>
      <c r="T508" s="197" t="s">
        <v>4427</v>
      </c>
      <c r="U508" s="197" t="s">
        <v>3958</v>
      </c>
      <c r="V508" s="197" t="s">
        <v>3959</v>
      </c>
    </row>
    <row r="509" spans="1:22" s="197" customFormat="1" x14ac:dyDescent="0.2">
      <c r="A509" s="197" t="s">
        <v>4425</v>
      </c>
      <c r="B509" s="197" t="s">
        <v>1526</v>
      </c>
      <c r="C509" s="197" t="s">
        <v>474</v>
      </c>
      <c r="D509" s="197" t="s">
        <v>209</v>
      </c>
      <c r="E509" s="197" t="s">
        <v>475</v>
      </c>
      <c r="F509" s="197" t="s">
        <v>84</v>
      </c>
      <c r="G509" s="260">
        <v>1</v>
      </c>
      <c r="H509" s="197">
        <v>2</v>
      </c>
      <c r="I509" s="197" t="s">
        <v>3960</v>
      </c>
      <c r="J509" s="197" t="s">
        <v>4052</v>
      </c>
      <c r="K509" s="197" t="s">
        <v>1283</v>
      </c>
      <c r="L509" s="261">
        <v>0.68</v>
      </c>
      <c r="M509" s="263">
        <v>8206.3670949999996</v>
      </c>
      <c r="N509" s="263">
        <f>L509*M509</f>
        <v>5580.3296246</v>
      </c>
      <c r="O509" s="199"/>
      <c r="P509" s="261"/>
      <c r="Q509" s="261"/>
      <c r="R509" s="198"/>
      <c r="S509" s="197" t="s">
        <v>4426</v>
      </c>
      <c r="T509" s="197" t="s">
        <v>4427</v>
      </c>
      <c r="U509" s="197" t="s">
        <v>3958</v>
      </c>
      <c r="V509" s="197" t="s">
        <v>3959</v>
      </c>
    </row>
    <row r="510" spans="1:22" s="197" customFormat="1" x14ac:dyDescent="0.2">
      <c r="A510" s="197" t="s">
        <v>4425</v>
      </c>
      <c r="B510" s="197" t="s">
        <v>1526</v>
      </c>
      <c r="C510" s="197" t="s">
        <v>474</v>
      </c>
      <c r="D510" s="197" t="s">
        <v>209</v>
      </c>
      <c r="E510" s="197" t="s">
        <v>475</v>
      </c>
      <c r="F510" s="197" t="s">
        <v>84</v>
      </c>
      <c r="G510" s="260">
        <v>1</v>
      </c>
      <c r="H510" s="197">
        <v>3</v>
      </c>
      <c r="I510" s="197" t="s">
        <v>3976</v>
      </c>
      <c r="J510" s="197" t="s">
        <v>4053</v>
      </c>
      <c r="K510" s="197" t="s">
        <v>1283</v>
      </c>
      <c r="L510" s="261">
        <v>0.04</v>
      </c>
      <c r="M510" s="263">
        <v>8206.3670949999996</v>
      </c>
      <c r="N510" s="263">
        <f>L510*M510</f>
        <v>328.25468380000001</v>
      </c>
      <c r="O510" s="199"/>
      <c r="P510" s="261"/>
      <c r="Q510" s="261"/>
      <c r="R510" s="198"/>
      <c r="S510" s="197" t="s">
        <v>4426</v>
      </c>
      <c r="T510" s="197" t="s">
        <v>4427</v>
      </c>
      <c r="U510" s="197" t="s">
        <v>3958</v>
      </c>
      <c r="V510" s="197" t="s">
        <v>3959</v>
      </c>
    </row>
    <row r="511" spans="1:22" s="197" customFormat="1" x14ac:dyDescent="0.2">
      <c r="A511" s="197" t="s">
        <v>4425</v>
      </c>
      <c r="B511" s="197" t="s">
        <v>1526</v>
      </c>
      <c r="C511" s="197" t="s">
        <v>474</v>
      </c>
      <c r="D511" s="197" t="s">
        <v>209</v>
      </c>
      <c r="E511" s="197" t="s">
        <v>475</v>
      </c>
      <c r="F511" s="197" t="s">
        <v>84</v>
      </c>
      <c r="G511" s="260">
        <v>1</v>
      </c>
      <c r="H511" s="197">
        <v>4</v>
      </c>
      <c r="I511" s="197" t="s">
        <v>4054</v>
      </c>
      <c r="J511" s="197" t="s">
        <v>4055</v>
      </c>
      <c r="K511" s="197" t="s">
        <v>1283</v>
      </c>
      <c r="L511" s="261">
        <v>0.04</v>
      </c>
      <c r="M511" s="263">
        <v>8206.3670949999996</v>
      </c>
      <c r="N511" s="263">
        <f>L511*M511</f>
        <v>328.25468380000001</v>
      </c>
      <c r="O511" s="199"/>
      <c r="P511" s="261"/>
      <c r="Q511" s="261"/>
      <c r="R511" s="198"/>
      <c r="S511" s="197" t="s">
        <v>4426</v>
      </c>
      <c r="T511" s="197" t="s">
        <v>4427</v>
      </c>
      <c r="U511" s="197" t="s">
        <v>3958</v>
      </c>
      <c r="V511" s="197" t="s">
        <v>3959</v>
      </c>
    </row>
    <row r="512" spans="1:22" s="197" customFormat="1" x14ac:dyDescent="0.2">
      <c r="A512" s="197" t="s">
        <v>4425</v>
      </c>
      <c r="B512" s="197" t="s">
        <v>1526</v>
      </c>
      <c r="C512" s="197" t="s">
        <v>474</v>
      </c>
      <c r="D512" s="197" t="s">
        <v>209</v>
      </c>
      <c r="E512" s="197" t="s">
        <v>475</v>
      </c>
      <c r="F512" s="197" t="s">
        <v>84</v>
      </c>
      <c r="G512" s="260">
        <v>1</v>
      </c>
      <c r="H512" s="197">
        <v>5</v>
      </c>
      <c r="I512" s="197" t="s">
        <v>3968</v>
      </c>
      <c r="J512" s="197" t="s">
        <v>3969</v>
      </c>
      <c r="K512" s="197" t="s">
        <v>84</v>
      </c>
      <c r="L512" s="261">
        <v>1</v>
      </c>
      <c r="M512" s="263"/>
      <c r="N512" s="263">
        <f>SUM(N508:N511)</f>
        <v>8206.3670949999996</v>
      </c>
      <c r="O512" s="199">
        <v>0.2223</v>
      </c>
      <c r="P512" s="261">
        <f>N512*O512</f>
        <v>1824.2754052184998</v>
      </c>
      <c r="Q512" s="261">
        <f>N512+P512</f>
        <v>10030.642500218499</v>
      </c>
      <c r="R512" s="198">
        <f>Q512*G512</f>
        <v>10030.642500218499</v>
      </c>
      <c r="S512" s="197" t="s">
        <v>4426</v>
      </c>
      <c r="T512" s="197" t="s">
        <v>4427</v>
      </c>
      <c r="U512" s="197" t="str">
        <f>IF(ABS(Q512-10030.6425)&lt;=0.01,"FECHA COM PLANILHA","REVISAR")</f>
        <v>FECHA COM PLANILHA</v>
      </c>
      <c r="V512" s="197" t="s">
        <v>4428</v>
      </c>
    </row>
    <row r="513" spans="1:22" s="197" customFormat="1" x14ac:dyDescent="0.2">
      <c r="A513" s="197" t="s">
        <v>4429</v>
      </c>
      <c r="B513" s="197" t="s">
        <v>1910</v>
      </c>
      <c r="C513" s="197" t="s">
        <v>856</v>
      </c>
      <c r="D513" s="197" t="s">
        <v>209</v>
      </c>
      <c r="E513" s="197" t="s">
        <v>857</v>
      </c>
      <c r="F513" s="197" t="s">
        <v>99</v>
      </c>
      <c r="G513" s="260">
        <v>50</v>
      </c>
      <c r="H513" s="197">
        <v>1</v>
      </c>
      <c r="I513" s="197" t="s">
        <v>3954</v>
      </c>
      <c r="J513" s="197" t="s">
        <v>4088</v>
      </c>
      <c r="K513" s="197" t="s">
        <v>1283</v>
      </c>
      <c r="L513" s="261">
        <v>0.1</v>
      </c>
      <c r="M513" s="263">
        <v>160.228667</v>
      </c>
      <c r="N513" s="263">
        <f>L513*M513</f>
        <v>16.022866700000002</v>
      </c>
      <c r="O513" s="199"/>
      <c r="P513" s="261"/>
      <c r="Q513" s="261"/>
      <c r="R513" s="198"/>
      <c r="S513" s="197" t="s">
        <v>4430</v>
      </c>
      <c r="T513" s="197" t="s">
        <v>4431</v>
      </c>
      <c r="U513" s="197" t="s">
        <v>3958</v>
      </c>
      <c r="V513" s="197" t="s">
        <v>3959</v>
      </c>
    </row>
    <row r="514" spans="1:22" s="197" customFormat="1" x14ac:dyDescent="0.2">
      <c r="A514" s="197" t="s">
        <v>4429</v>
      </c>
      <c r="B514" s="197" t="s">
        <v>1910</v>
      </c>
      <c r="C514" s="197" t="s">
        <v>856</v>
      </c>
      <c r="D514" s="197" t="s">
        <v>209</v>
      </c>
      <c r="E514" s="197" t="s">
        <v>857</v>
      </c>
      <c r="F514" s="197" t="s">
        <v>99</v>
      </c>
      <c r="G514" s="260">
        <v>50</v>
      </c>
      <c r="H514" s="197">
        <v>2</v>
      </c>
      <c r="I514" s="197" t="s">
        <v>4091</v>
      </c>
      <c r="J514" s="197" t="s">
        <v>4092</v>
      </c>
      <c r="K514" s="197" t="s">
        <v>1283</v>
      </c>
      <c r="L514" s="261">
        <v>0.84</v>
      </c>
      <c r="M514" s="263">
        <v>160.228667</v>
      </c>
      <c r="N514" s="263">
        <f>L514*M514</f>
        <v>134.59208028</v>
      </c>
      <c r="O514" s="199"/>
      <c r="P514" s="261"/>
      <c r="Q514" s="261"/>
      <c r="R514" s="198"/>
      <c r="S514" s="197" t="s">
        <v>4430</v>
      </c>
      <c r="T514" s="197" t="s">
        <v>4431</v>
      </c>
      <c r="U514" s="197" t="s">
        <v>3958</v>
      </c>
      <c r="V514" s="197" t="s">
        <v>3959</v>
      </c>
    </row>
    <row r="515" spans="1:22" s="197" customFormat="1" x14ac:dyDescent="0.2">
      <c r="A515" s="197" t="s">
        <v>4429</v>
      </c>
      <c r="B515" s="197" t="s">
        <v>1910</v>
      </c>
      <c r="C515" s="197" t="s">
        <v>856</v>
      </c>
      <c r="D515" s="197" t="s">
        <v>209</v>
      </c>
      <c r="E515" s="197" t="s">
        <v>857</v>
      </c>
      <c r="F515" s="197" t="s">
        <v>99</v>
      </c>
      <c r="G515" s="260">
        <v>50</v>
      </c>
      <c r="H515" s="197">
        <v>3</v>
      </c>
      <c r="I515" s="197" t="s">
        <v>4093</v>
      </c>
      <c r="J515" s="197" t="s">
        <v>4094</v>
      </c>
      <c r="K515" s="197" t="s">
        <v>1283</v>
      </c>
      <c r="L515" s="261">
        <v>0.03</v>
      </c>
      <c r="M515" s="263">
        <v>160.228667</v>
      </c>
      <c r="N515" s="263">
        <f>L515*M515</f>
        <v>4.8068600100000003</v>
      </c>
      <c r="O515" s="199"/>
      <c r="P515" s="261"/>
      <c r="Q515" s="261"/>
      <c r="R515" s="198"/>
      <c r="S515" s="197" t="s">
        <v>4430</v>
      </c>
      <c r="T515" s="197" t="s">
        <v>4431</v>
      </c>
      <c r="U515" s="197" t="s">
        <v>3958</v>
      </c>
      <c r="V515" s="197" t="s">
        <v>3959</v>
      </c>
    </row>
    <row r="516" spans="1:22" s="197" customFormat="1" x14ac:dyDescent="0.2">
      <c r="A516" s="197" t="s">
        <v>4429</v>
      </c>
      <c r="B516" s="197" t="s">
        <v>1910</v>
      </c>
      <c r="C516" s="197" t="s">
        <v>856</v>
      </c>
      <c r="D516" s="197" t="s">
        <v>209</v>
      </c>
      <c r="E516" s="197" t="s">
        <v>857</v>
      </c>
      <c r="F516" s="197" t="s">
        <v>99</v>
      </c>
      <c r="G516" s="260">
        <v>50</v>
      </c>
      <c r="H516" s="197">
        <v>4</v>
      </c>
      <c r="I516" s="197" t="s">
        <v>4017</v>
      </c>
      <c r="J516" s="197" t="s">
        <v>4095</v>
      </c>
      <c r="K516" s="197" t="s">
        <v>1283</v>
      </c>
      <c r="L516" s="261">
        <v>0.03</v>
      </c>
      <c r="M516" s="263">
        <v>160.228667</v>
      </c>
      <c r="N516" s="263">
        <f>L516*M516</f>
        <v>4.8068600100000003</v>
      </c>
      <c r="O516" s="199"/>
      <c r="P516" s="261"/>
      <c r="Q516" s="261"/>
      <c r="R516" s="198"/>
      <c r="S516" s="197" t="s">
        <v>4430</v>
      </c>
      <c r="T516" s="197" t="s">
        <v>4431</v>
      </c>
      <c r="U516" s="197" t="s">
        <v>3958</v>
      </c>
      <c r="V516" s="197" t="s">
        <v>3959</v>
      </c>
    </row>
    <row r="517" spans="1:22" s="197" customFormat="1" x14ac:dyDescent="0.2">
      <c r="A517" s="197" t="s">
        <v>4429</v>
      </c>
      <c r="B517" s="197" t="s">
        <v>1910</v>
      </c>
      <c r="C517" s="197" t="s">
        <v>856</v>
      </c>
      <c r="D517" s="197" t="s">
        <v>209</v>
      </c>
      <c r="E517" s="197" t="s">
        <v>857</v>
      </c>
      <c r="F517" s="197" t="s">
        <v>99</v>
      </c>
      <c r="G517" s="260">
        <v>50</v>
      </c>
      <c r="H517" s="197">
        <v>5</v>
      </c>
      <c r="I517" s="197" t="s">
        <v>3968</v>
      </c>
      <c r="J517" s="197" t="s">
        <v>3969</v>
      </c>
      <c r="K517" s="197" t="s">
        <v>99</v>
      </c>
      <c r="L517" s="261">
        <v>1</v>
      </c>
      <c r="M517" s="263"/>
      <c r="N517" s="263">
        <f>SUM(N513:N516)</f>
        <v>160.22866700000003</v>
      </c>
      <c r="O517" s="199">
        <v>0.2223</v>
      </c>
      <c r="P517" s="261">
        <f>N517*O517</f>
        <v>35.618832674100005</v>
      </c>
      <c r="Q517" s="261">
        <f>N517+P517</f>
        <v>195.84749967410005</v>
      </c>
      <c r="R517" s="198">
        <f>Q517*G517</f>
        <v>9792.3749837050018</v>
      </c>
      <c r="S517" s="197" t="s">
        <v>4430</v>
      </c>
      <c r="T517" s="197" t="s">
        <v>4431</v>
      </c>
      <c r="U517" s="197" t="str">
        <f>IF(ABS(Q517-195.8475)&lt;=0.01,"FECHA COM PLANILHA","REVISAR")</f>
        <v>FECHA COM PLANILHA</v>
      </c>
      <c r="V517" s="197" t="s">
        <v>4432</v>
      </c>
    </row>
    <row r="518" spans="1:22" s="197" customFormat="1" x14ac:dyDescent="0.2">
      <c r="A518" s="197" t="s">
        <v>4433</v>
      </c>
      <c r="B518" s="197" t="s">
        <v>1911</v>
      </c>
      <c r="C518" s="197" t="s">
        <v>858</v>
      </c>
      <c r="D518" s="197" t="s">
        <v>209</v>
      </c>
      <c r="E518" s="197" t="s">
        <v>859</v>
      </c>
      <c r="F518" s="197" t="s">
        <v>99</v>
      </c>
      <c r="G518" s="260">
        <v>40</v>
      </c>
      <c r="H518" s="197">
        <v>1</v>
      </c>
      <c r="I518" s="197" t="s">
        <v>3954</v>
      </c>
      <c r="J518" s="197" t="s">
        <v>4088</v>
      </c>
      <c r="K518" s="197" t="s">
        <v>1283</v>
      </c>
      <c r="L518" s="261">
        <v>0.1</v>
      </c>
      <c r="M518" s="263">
        <v>200.00818100000001</v>
      </c>
      <c r="N518" s="263">
        <f>L518*M518</f>
        <v>20.000818100000004</v>
      </c>
      <c r="O518" s="199"/>
      <c r="P518" s="261"/>
      <c r="Q518" s="261"/>
      <c r="R518" s="198"/>
      <c r="S518" s="197" t="s">
        <v>4434</v>
      </c>
      <c r="T518" s="197" t="s">
        <v>4435</v>
      </c>
      <c r="U518" s="197" t="s">
        <v>3958</v>
      </c>
      <c r="V518" s="197" t="s">
        <v>3959</v>
      </c>
    </row>
    <row r="519" spans="1:22" s="197" customFormat="1" x14ac:dyDescent="0.2">
      <c r="A519" s="197" t="s">
        <v>4433</v>
      </c>
      <c r="B519" s="197" t="s">
        <v>1911</v>
      </c>
      <c r="C519" s="197" t="s">
        <v>858</v>
      </c>
      <c r="D519" s="197" t="s">
        <v>209</v>
      </c>
      <c r="E519" s="197" t="s">
        <v>859</v>
      </c>
      <c r="F519" s="197" t="s">
        <v>99</v>
      </c>
      <c r="G519" s="260">
        <v>40</v>
      </c>
      <c r="H519" s="197">
        <v>2</v>
      </c>
      <c r="I519" s="197" t="s">
        <v>4091</v>
      </c>
      <c r="J519" s="197" t="s">
        <v>4092</v>
      </c>
      <c r="K519" s="197" t="s">
        <v>1283</v>
      </c>
      <c r="L519" s="261">
        <v>0.84</v>
      </c>
      <c r="M519" s="263">
        <v>200.00818100000001</v>
      </c>
      <c r="N519" s="263">
        <f>L519*M519</f>
        <v>168.00687203999999</v>
      </c>
      <c r="O519" s="199"/>
      <c r="P519" s="261"/>
      <c r="Q519" s="261"/>
      <c r="R519" s="198"/>
      <c r="S519" s="197" t="s">
        <v>4434</v>
      </c>
      <c r="T519" s="197" t="s">
        <v>4435</v>
      </c>
      <c r="U519" s="197" t="s">
        <v>3958</v>
      </c>
      <c r="V519" s="197" t="s">
        <v>3959</v>
      </c>
    </row>
    <row r="520" spans="1:22" s="197" customFormat="1" x14ac:dyDescent="0.2">
      <c r="A520" s="197" t="s">
        <v>4433</v>
      </c>
      <c r="B520" s="197" t="s">
        <v>1911</v>
      </c>
      <c r="C520" s="197" t="s">
        <v>858</v>
      </c>
      <c r="D520" s="197" t="s">
        <v>209</v>
      </c>
      <c r="E520" s="197" t="s">
        <v>859</v>
      </c>
      <c r="F520" s="197" t="s">
        <v>99</v>
      </c>
      <c r="G520" s="260">
        <v>40</v>
      </c>
      <c r="H520" s="197">
        <v>3</v>
      </c>
      <c r="I520" s="197" t="s">
        <v>4093</v>
      </c>
      <c r="J520" s="197" t="s">
        <v>4094</v>
      </c>
      <c r="K520" s="197" t="s">
        <v>1283</v>
      </c>
      <c r="L520" s="261">
        <v>0.03</v>
      </c>
      <c r="M520" s="263">
        <v>200.00818100000001</v>
      </c>
      <c r="N520" s="263">
        <f>L520*M520</f>
        <v>6.0002454299999997</v>
      </c>
      <c r="O520" s="199"/>
      <c r="P520" s="261"/>
      <c r="Q520" s="261"/>
      <c r="R520" s="198"/>
      <c r="S520" s="197" t="s">
        <v>4434</v>
      </c>
      <c r="T520" s="197" t="s">
        <v>4435</v>
      </c>
      <c r="U520" s="197" t="s">
        <v>3958</v>
      </c>
      <c r="V520" s="197" t="s">
        <v>3959</v>
      </c>
    </row>
    <row r="521" spans="1:22" s="197" customFormat="1" x14ac:dyDescent="0.2">
      <c r="A521" s="197" t="s">
        <v>4433</v>
      </c>
      <c r="B521" s="197" t="s">
        <v>1911</v>
      </c>
      <c r="C521" s="197" t="s">
        <v>858</v>
      </c>
      <c r="D521" s="197" t="s">
        <v>209</v>
      </c>
      <c r="E521" s="197" t="s">
        <v>859</v>
      </c>
      <c r="F521" s="197" t="s">
        <v>99</v>
      </c>
      <c r="G521" s="260">
        <v>40</v>
      </c>
      <c r="H521" s="197">
        <v>4</v>
      </c>
      <c r="I521" s="197" t="s">
        <v>4017</v>
      </c>
      <c r="J521" s="197" t="s">
        <v>4095</v>
      </c>
      <c r="K521" s="197" t="s">
        <v>1283</v>
      </c>
      <c r="L521" s="261">
        <v>0.03</v>
      </c>
      <c r="M521" s="263">
        <v>200.00818100000001</v>
      </c>
      <c r="N521" s="263">
        <f>L521*M521</f>
        <v>6.0002454299999997</v>
      </c>
      <c r="O521" s="199"/>
      <c r="P521" s="261"/>
      <c r="Q521" s="261"/>
      <c r="R521" s="198"/>
      <c r="S521" s="197" t="s">
        <v>4434</v>
      </c>
      <c r="T521" s="197" t="s">
        <v>4435</v>
      </c>
      <c r="U521" s="197" t="s">
        <v>3958</v>
      </c>
      <c r="V521" s="197" t="s">
        <v>3959</v>
      </c>
    </row>
    <row r="522" spans="1:22" s="197" customFormat="1" x14ac:dyDescent="0.2">
      <c r="A522" s="197" t="s">
        <v>4433</v>
      </c>
      <c r="B522" s="197" t="s">
        <v>1911</v>
      </c>
      <c r="C522" s="197" t="s">
        <v>858</v>
      </c>
      <c r="D522" s="197" t="s">
        <v>209</v>
      </c>
      <c r="E522" s="197" t="s">
        <v>859</v>
      </c>
      <c r="F522" s="197" t="s">
        <v>99</v>
      </c>
      <c r="G522" s="260">
        <v>40</v>
      </c>
      <c r="H522" s="197">
        <v>5</v>
      </c>
      <c r="I522" s="197" t="s">
        <v>3968</v>
      </c>
      <c r="J522" s="197" t="s">
        <v>3969</v>
      </c>
      <c r="K522" s="197" t="s">
        <v>99</v>
      </c>
      <c r="L522" s="261">
        <v>1</v>
      </c>
      <c r="M522" s="263"/>
      <c r="N522" s="263">
        <f>SUM(N518:N521)</f>
        <v>200.00818100000001</v>
      </c>
      <c r="O522" s="199">
        <v>0.2223</v>
      </c>
      <c r="P522" s="261">
        <f>N522*O522</f>
        <v>44.461818636300002</v>
      </c>
      <c r="Q522" s="261">
        <f>N522+P522</f>
        <v>244.4699996363</v>
      </c>
      <c r="R522" s="198">
        <f>Q522*G522</f>
        <v>9778.7999854520003</v>
      </c>
      <c r="S522" s="197" t="s">
        <v>4434</v>
      </c>
      <c r="T522" s="197" t="s">
        <v>4435</v>
      </c>
      <c r="U522" s="197" t="str">
        <f>IF(ABS(Q522-244.47)&lt;=0.01,"FECHA COM PLANILHA","REVISAR")</f>
        <v>FECHA COM PLANILHA</v>
      </c>
      <c r="V522" s="197" t="s">
        <v>4436</v>
      </c>
    </row>
    <row r="523" spans="1:22" s="197" customFormat="1" x14ac:dyDescent="0.2">
      <c r="A523" s="197" t="s">
        <v>4437</v>
      </c>
      <c r="B523" s="197" t="s">
        <v>1435</v>
      </c>
      <c r="C523" s="197" t="s">
        <v>272</v>
      </c>
      <c r="D523" s="197" t="s">
        <v>209</v>
      </c>
      <c r="E523" s="197" t="s">
        <v>273</v>
      </c>
      <c r="F523" s="197" t="s">
        <v>118</v>
      </c>
      <c r="G523" s="260">
        <v>14.555999999999999</v>
      </c>
      <c r="H523" s="197">
        <v>1</v>
      </c>
      <c r="I523" s="197" t="s">
        <v>3954</v>
      </c>
      <c r="J523" s="197" t="s">
        <v>3982</v>
      </c>
      <c r="K523" s="197" t="s">
        <v>1283</v>
      </c>
      <c r="L523" s="261">
        <v>0.16</v>
      </c>
      <c r="M523" s="263">
        <v>540.84921899999995</v>
      </c>
      <c r="N523" s="263">
        <f>L523*M523</f>
        <v>86.535875039999993</v>
      </c>
      <c r="O523" s="199"/>
      <c r="P523" s="261"/>
      <c r="Q523" s="261"/>
      <c r="R523" s="198"/>
      <c r="S523" s="197" t="s">
        <v>4438</v>
      </c>
      <c r="T523" s="197" t="s">
        <v>4439</v>
      </c>
      <c r="U523" s="197" t="s">
        <v>3958</v>
      </c>
      <c r="V523" s="197" t="s">
        <v>3959</v>
      </c>
    </row>
    <row r="524" spans="1:22" s="197" customFormat="1" x14ac:dyDescent="0.2">
      <c r="A524" s="197" t="s">
        <v>4437</v>
      </c>
      <c r="B524" s="197" t="s">
        <v>1435</v>
      </c>
      <c r="C524" s="197" t="s">
        <v>272</v>
      </c>
      <c r="D524" s="197" t="s">
        <v>209</v>
      </c>
      <c r="E524" s="197" t="s">
        <v>273</v>
      </c>
      <c r="F524" s="197" t="s">
        <v>118</v>
      </c>
      <c r="G524" s="260">
        <v>14.555999999999999</v>
      </c>
      <c r="H524" s="197">
        <v>2</v>
      </c>
      <c r="I524" s="197" t="s">
        <v>3960</v>
      </c>
      <c r="J524" s="197" t="s">
        <v>3985</v>
      </c>
      <c r="K524" s="197" t="s">
        <v>1283</v>
      </c>
      <c r="L524" s="261">
        <v>0.64</v>
      </c>
      <c r="M524" s="263">
        <v>540.84921899999995</v>
      </c>
      <c r="N524" s="263">
        <f>L524*M524</f>
        <v>346.14350015999997</v>
      </c>
      <c r="O524" s="199"/>
      <c r="P524" s="261"/>
      <c r="Q524" s="261"/>
      <c r="R524" s="198"/>
      <c r="S524" s="197" t="s">
        <v>4438</v>
      </c>
      <c r="T524" s="197" t="s">
        <v>4439</v>
      </c>
      <c r="U524" s="197" t="s">
        <v>3958</v>
      </c>
      <c r="V524" s="197" t="s">
        <v>3959</v>
      </c>
    </row>
    <row r="525" spans="1:22" s="197" customFormat="1" x14ac:dyDescent="0.2">
      <c r="A525" s="197" t="s">
        <v>4437</v>
      </c>
      <c r="B525" s="197" t="s">
        <v>1435</v>
      </c>
      <c r="C525" s="197" t="s">
        <v>272</v>
      </c>
      <c r="D525" s="197" t="s">
        <v>209</v>
      </c>
      <c r="E525" s="197" t="s">
        <v>273</v>
      </c>
      <c r="F525" s="197" t="s">
        <v>118</v>
      </c>
      <c r="G525" s="260">
        <v>14.555999999999999</v>
      </c>
      <c r="H525" s="197">
        <v>3</v>
      </c>
      <c r="I525" s="197" t="s">
        <v>3962</v>
      </c>
      <c r="J525" s="197" t="s">
        <v>3986</v>
      </c>
      <c r="K525" s="197" t="s">
        <v>1283</v>
      </c>
      <c r="L525" s="261">
        <v>0.15</v>
      </c>
      <c r="M525" s="263">
        <v>540.84921899999995</v>
      </c>
      <c r="N525" s="263">
        <f>L525*M525</f>
        <v>81.127382849999989</v>
      </c>
      <c r="O525" s="199"/>
      <c r="P525" s="261"/>
      <c r="Q525" s="261"/>
      <c r="R525" s="198"/>
      <c r="S525" s="197" t="s">
        <v>4438</v>
      </c>
      <c r="T525" s="197" t="s">
        <v>4439</v>
      </c>
      <c r="U525" s="197" t="s">
        <v>3958</v>
      </c>
      <c r="V525" s="197" t="s">
        <v>3959</v>
      </c>
    </row>
    <row r="526" spans="1:22" s="197" customFormat="1" x14ac:dyDescent="0.2">
      <c r="A526" s="197" t="s">
        <v>4437</v>
      </c>
      <c r="B526" s="197" t="s">
        <v>1435</v>
      </c>
      <c r="C526" s="197" t="s">
        <v>272</v>
      </c>
      <c r="D526" s="197" t="s">
        <v>209</v>
      </c>
      <c r="E526" s="197" t="s">
        <v>273</v>
      </c>
      <c r="F526" s="197" t="s">
        <v>118</v>
      </c>
      <c r="G526" s="260">
        <v>14.555999999999999</v>
      </c>
      <c r="H526" s="197">
        <v>4</v>
      </c>
      <c r="I526" s="197" t="s">
        <v>3987</v>
      </c>
      <c r="J526" s="197" t="s">
        <v>3988</v>
      </c>
      <c r="K526" s="197" t="s">
        <v>1283</v>
      </c>
      <c r="L526" s="261">
        <v>0.05</v>
      </c>
      <c r="M526" s="263">
        <v>540.84921899999995</v>
      </c>
      <c r="N526" s="263">
        <f>L526*M526</f>
        <v>27.042460949999999</v>
      </c>
      <c r="O526" s="199"/>
      <c r="P526" s="261"/>
      <c r="Q526" s="261"/>
      <c r="R526" s="198"/>
      <c r="S526" s="197" t="s">
        <v>4438</v>
      </c>
      <c r="T526" s="197" t="s">
        <v>4439</v>
      </c>
      <c r="U526" s="197" t="s">
        <v>3958</v>
      </c>
      <c r="V526" s="197" t="s">
        <v>3959</v>
      </c>
    </row>
    <row r="527" spans="1:22" s="197" customFormat="1" x14ac:dyDescent="0.2">
      <c r="A527" s="197" t="s">
        <v>4437</v>
      </c>
      <c r="B527" s="197" t="s">
        <v>1435</v>
      </c>
      <c r="C527" s="197" t="s">
        <v>272</v>
      </c>
      <c r="D527" s="197" t="s">
        <v>209</v>
      </c>
      <c r="E527" s="197" t="s">
        <v>273</v>
      </c>
      <c r="F527" s="197" t="s">
        <v>118</v>
      </c>
      <c r="G527" s="260">
        <v>14.555999999999999</v>
      </c>
      <c r="H527" s="197">
        <v>5</v>
      </c>
      <c r="I527" s="197" t="s">
        <v>3968</v>
      </c>
      <c r="J527" s="197" t="s">
        <v>3969</v>
      </c>
      <c r="K527" s="197" t="s">
        <v>118</v>
      </c>
      <c r="L527" s="261">
        <v>1</v>
      </c>
      <c r="M527" s="263"/>
      <c r="N527" s="263">
        <f>SUM(N523:N526)</f>
        <v>540.84921899999995</v>
      </c>
      <c r="O527" s="199">
        <v>0.2223</v>
      </c>
      <c r="P527" s="261">
        <f>N527*O527</f>
        <v>120.23078138369999</v>
      </c>
      <c r="Q527" s="261">
        <f>N527+P527</f>
        <v>661.08000038369994</v>
      </c>
      <c r="R527" s="198">
        <f>Q527*G527</f>
        <v>9622.6804855851351</v>
      </c>
      <c r="S527" s="197" t="s">
        <v>4438</v>
      </c>
      <c r="T527" s="197" t="s">
        <v>4439</v>
      </c>
      <c r="U527" s="197" t="str">
        <f>IF(ABS(Q527-661.08)&lt;=0.01,"FECHA COM PLANILHA","REVISAR")</f>
        <v>FECHA COM PLANILHA</v>
      </c>
      <c r="V527" s="197" t="s">
        <v>4440</v>
      </c>
    </row>
    <row r="528" spans="1:22" s="197" customFormat="1" x14ac:dyDescent="0.2">
      <c r="A528" s="197" t="s">
        <v>4441</v>
      </c>
      <c r="B528" s="197" t="s">
        <v>1913</v>
      </c>
      <c r="C528" s="197" t="s">
        <v>862</v>
      </c>
      <c r="D528" s="197" t="s">
        <v>209</v>
      </c>
      <c r="E528" s="197" t="s">
        <v>863</v>
      </c>
      <c r="F528" s="197" t="s">
        <v>99</v>
      </c>
      <c r="G528" s="260">
        <v>20</v>
      </c>
      <c r="H528" s="197">
        <v>1</v>
      </c>
      <c r="I528" s="197" t="s">
        <v>3954</v>
      </c>
      <c r="J528" s="197" t="s">
        <v>4088</v>
      </c>
      <c r="K528" s="197" t="s">
        <v>1283</v>
      </c>
      <c r="L528" s="261">
        <v>0.1</v>
      </c>
      <c r="M528" s="263">
        <v>340.847173</v>
      </c>
      <c r="N528" s="263">
        <f>L528*M528</f>
        <v>34.084717300000001</v>
      </c>
      <c r="O528" s="199"/>
      <c r="P528" s="261"/>
      <c r="Q528" s="261"/>
      <c r="R528" s="198"/>
      <c r="S528" s="197" t="s">
        <v>4442</v>
      </c>
      <c r="T528" s="197" t="s">
        <v>4443</v>
      </c>
      <c r="U528" s="197" t="s">
        <v>3958</v>
      </c>
      <c r="V528" s="197" t="s">
        <v>3959</v>
      </c>
    </row>
    <row r="529" spans="1:22" s="197" customFormat="1" x14ac:dyDescent="0.2">
      <c r="A529" s="197" t="s">
        <v>4441</v>
      </c>
      <c r="B529" s="197" t="s">
        <v>1913</v>
      </c>
      <c r="C529" s="197" t="s">
        <v>862</v>
      </c>
      <c r="D529" s="197" t="s">
        <v>209</v>
      </c>
      <c r="E529" s="197" t="s">
        <v>863</v>
      </c>
      <c r="F529" s="197" t="s">
        <v>99</v>
      </c>
      <c r="G529" s="260">
        <v>20</v>
      </c>
      <c r="H529" s="197">
        <v>2</v>
      </c>
      <c r="I529" s="197" t="s">
        <v>4091</v>
      </c>
      <c r="J529" s="197" t="s">
        <v>4092</v>
      </c>
      <c r="K529" s="197" t="s">
        <v>1283</v>
      </c>
      <c r="L529" s="261">
        <v>0.84</v>
      </c>
      <c r="M529" s="263">
        <v>340.847173</v>
      </c>
      <c r="N529" s="263">
        <f>L529*M529</f>
        <v>286.31162531999996</v>
      </c>
      <c r="O529" s="199"/>
      <c r="P529" s="261"/>
      <c r="Q529" s="261"/>
      <c r="R529" s="198"/>
      <c r="S529" s="197" t="s">
        <v>4442</v>
      </c>
      <c r="T529" s="197" t="s">
        <v>4443</v>
      </c>
      <c r="U529" s="197" t="s">
        <v>3958</v>
      </c>
      <c r="V529" s="197" t="s">
        <v>3959</v>
      </c>
    </row>
    <row r="530" spans="1:22" s="197" customFormat="1" x14ac:dyDescent="0.2">
      <c r="A530" s="197" t="s">
        <v>4441</v>
      </c>
      <c r="B530" s="197" t="s">
        <v>1913</v>
      </c>
      <c r="C530" s="197" t="s">
        <v>862</v>
      </c>
      <c r="D530" s="197" t="s">
        <v>209</v>
      </c>
      <c r="E530" s="197" t="s">
        <v>863</v>
      </c>
      <c r="F530" s="197" t="s">
        <v>99</v>
      </c>
      <c r="G530" s="260">
        <v>20</v>
      </c>
      <c r="H530" s="197">
        <v>3</v>
      </c>
      <c r="I530" s="197" t="s">
        <v>4093</v>
      </c>
      <c r="J530" s="197" t="s">
        <v>4094</v>
      </c>
      <c r="K530" s="197" t="s">
        <v>1283</v>
      </c>
      <c r="L530" s="261">
        <v>0.03</v>
      </c>
      <c r="M530" s="263">
        <v>340.847173</v>
      </c>
      <c r="N530" s="263">
        <f>L530*M530</f>
        <v>10.22541519</v>
      </c>
      <c r="O530" s="199"/>
      <c r="P530" s="261"/>
      <c r="Q530" s="261"/>
      <c r="R530" s="198"/>
      <c r="S530" s="197" t="s">
        <v>4442</v>
      </c>
      <c r="T530" s="197" t="s">
        <v>4443</v>
      </c>
      <c r="U530" s="197" t="s">
        <v>3958</v>
      </c>
      <c r="V530" s="197" t="s">
        <v>3959</v>
      </c>
    </row>
    <row r="531" spans="1:22" s="197" customFormat="1" x14ac:dyDescent="0.2">
      <c r="A531" s="197" t="s">
        <v>4441</v>
      </c>
      <c r="B531" s="197" t="s">
        <v>1913</v>
      </c>
      <c r="C531" s="197" t="s">
        <v>862</v>
      </c>
      <c r="D531" s="197" t="s">
        <v>209</v>
      </c>
      <c r="E531" s="197" t="s">
        <v>863</v>
      </c>
      <c r="F531" s="197" t="s">
        <v>99</v>
      </c>
      <c r="G531" s="260">
        <v>20</v>
      </c>
      <c r="H531" s="197">
        <v>4</v>
      </c>
      <c r="I531" s="197" t="s">
        <v>4017</v>
      </c>
      <c r="J531" s="197" t="s">
        <v>4095</v>
      </c>
      <c r="K531" s="197" t="s">
        <v>1283</v>
      </c>
      <c r="L531" s="261">
        <v>0.03</v>
      </c>
      <c r="M531" s="263">
        <v>340.847173</v>
      </c>
      <c r="N531" s="263">
        <f>L531*M531</f>
        <v>10.22541519</v>
      </c>
      <c r="O531" s="199"/>
      <c r="P531" s="261"/>
      <c r="Q531" s="261"/>
      <c r="R531" s="198"/>
      <c r="S531" s="197" t="s">
        <v>4442</v>
      </c>
      <c r="T531" s="197" t="s">
        <v>4443</v>
      </c>
      <c r="U531" s="197" t="s">
        <v>3958</v>
      </c>
      <c r="V531" s="197" t="s">
        <v>3959</v>
      </c>
    </row>
    <row r="532" spans="1:22" s="197" customFormat="1" x14ac:dyDescent="0.2">
      <c r="A532" s="197" t="s">
        <v>4441</v>
      </c>
      <c r="B532" s="197" t="s">
        <v>1913</v>
      </c>
      <c r="C532" s="197" t="s">
        <v>862</v>
      </c>
      <c r="D532" s="197" t="s">
        <v>209</v>
      </c>
      <c r="E532" s="197" t="s">
        <v>863</v>
      </c>
      <c r="F532" s="197" t="s">
        <v>99</v>
      </c>
      <c r="G532" s="260">
        <v>20</v>
      </c>
      <c r="H532" s="197">
        <v>5</v>
      </c>
      <c r="I532" s="197" t="s">
        <v>3968</v>
      </c>
      <c r="J532" s="197" t="s">
        <v>3969</v>
      </c>
      <c r="K532" s="197" t="s">
        <v>99</v>
      </c>
      <c r="L532" s="261">
        <v>1</v>
      </c>
      <c r="M532" s="263"/>
      <c r="N532" s="263">
        <f>SUM(N528:N531)</f>
        <v>340.84717299999994</v>
      </c>
      <c r="O532" s="199">
        <v>0.2223</v>
      </c>
      <c r="P532" s="261">
        <f>N532*O532</f>
        <v>75.770326557899992</v>
      </c>
      <c r="Q532" s="261">
        <f>N532+P532</f>
        <v>416.61749955789992</v>
      </c>
      <c r="R532" s="198">
        <f>Q532*G532</f>
        <v>8332.3499911579984</v>
      </c>
      <c r="S532" s="197" t="s">
        <v>4442</v>
      </c>
      <c r="T532" s="197" t="s">
        <v>4443</v>
      </c>
      <c r="U532" s="197" t="str">
        <f>IF(ABS(Q532-416.6175)&lt;=0.01,"FECHA COM PLANILHA","REVISAR")</f>
        <v>FECHA COM PLANILHA</v>
      </c>
      <c r="V532" s="197" t="s">
        <v>4444</v>
      </c>
    </row>
    <row r="533" spans="1:22" s="197" customFormat="1" x14ac:dyDescent="0.2">
      <c r="A533" s="197" t="s">
        <v>4445</v>
      </c>
      <c r="B533" s="197" t="s">
        <v>1955</v>
      </c>
      <c r="C533" s="197" t="s">
        <v>907</v>
      </c>
      <c r="D533" s="197" t="s">
        <v>209</v>
      </c>
      <c r="E533" s="197" t="s">
        <v>908</v>
      </c>
      <c r="F533" s="197" t="s">
        <v>84</v>
      </c>
      <c r="G533" s="260">
        <v>3</v>
      </c>
      <c r="H533" s="197">
        <v>1</v>
      </c>
      <c r="I533" s="197" t="s">
        <v>3954</v>
      </c>
      <c r="J533" s="197" t="s">
        <v>4110</v>
      </c>
      <c r="K533" s="197" t="s">
        <v>1283</v>
      </c>
      <c r="L533" s="261">
        <v>0.3</v>
      </c>
      <c r="M533" s="263">
        <v>2238.1146199999998</v>
      </c>
      <c r="N533" s="263">
        <f>L533*M533</f>
        <v>671.4343859999999</v>
      </c>
      <c r="O533" s="199"/>
      <c r="P533" s="261"/>
      <c r="Q533" s="261"/>
      <c r="R533" s="198"/>
      <c r="S533" s="197" t="s">
        <v>4446</v>
      </c>
      <c r="T533" s="197" t="s">
        <v>4447</v>
      </c>
      <c r="U533" s="197" t="s">
        <v>3958</v>
      </c>
      <c r="V533" s="197" t="s">
        <v>3959</v>
      </c>
    </row>
    <row r="534" spans="1:22" s="197" customFormat="1" x14ac:dyDescent="0.2">
      <c r="A534" s="197" t="s">
        <v>4445</v>
      </c>
      <c r="B534" s="197" t="s">
        <v>1955</v>
      </c>
      <c r="C534" s="197" t="s">
        <v>907</v>
      </c>
      <c r="D534" s="197" t="s">
        <v>209</v>
      </c>
      <c r="E534" s="197" t="s">
        <v>908</v>
      </c>
      <c r="F534" s="197" t="s">
        <v>84</v>
      </c>
      <c r="G534" s="260">
        <v>3</v>
      </c>
      <c r="H534" s="197">
        <v>2</v>
      </c>
      <c r="I534" s="197" t="s">
        <v>3960</v>
      </c>
      <c r="J534" s="197" t="s">
        <v>4113</v>
      </c>
      <c r="K534" s="197" t="s">
        <v>1283</v>
      </c>
      <c r="L534" s="261">
        <v>0.55000000000000004</v>
      </c>
      <c r="M534" s="263">
        <v>2238.1146199999998</v>
      </c>
      <c r="N534" s="263">
        <f>L534*M534</f>
        <v>1230.963041</v>
      </c>
      <c r="O534" s="199"/>
      <c r="P534" s="261"/>
      <c r="Q534" s="261"/>
      <c r="R534" s="198"/>
      <c r="S534" s="197" t="s">
        <v>4446</v>
      </c>
      <c r="T534" s="197" t="s">
        <v>4447</v>
      </c>
      <c r="U534" s="197" t="s">
        <v>3958</v>
      </c>
      <c r="V534" s="197" t="s">
        <v>3959</v>
      </c>
    </row>
    <row r="535" spans="1:22" s="197" customFormat="1" x14ac:dyDescent="0.2">
      <c r="A535" s="197" t="s">
        <v>4445</v>
      </c>
      <c r="B535" s="197" t="s">
        <v>1955</v>
      </c>
      <c r="C535" s="197" t="s">
        <v>907</v>
      </c>
      <c r="D535" s="197" t="s">
        <v>209</v>
      </c>
      <c r="E535" s="197" t="s">
        <v>908</v>
      </c>
      <c r="F535" s="197" t="s">
        <v>84</v>
      </c>
      <c r="G535" s="260">
        <v>3</v>
      </c>
      <c r="H535" s="197">
        <v>3</v>
      </c>
      <c r="I535" s="197" t="s">
        <v>3976</v>
      </c>
      <c r="J535" s="197" t="s">
        <v>4114</v>
      </c>
      <c r="K535" s="197" t="s">
        <v>1283</v>
      </c>
      <c r="L535" s="261">
        <v>0.1</v>
      </c>
      <c r="M535" s="263">
        <v>2238.1146199999998</v>
      </c>
      <c r="N535" s="263">
        <f>L535*M535</f>
        <v>223.81146200000001</v>
      </c>
      <c r="O535" s="199"/>
      <c r="P535" s="261"/>
      <c r="Q535" s="261"/>
      <c r="R535" s="198"/>
      <c r="S535" s="197" t="s">
        <v>4446</v>
      </c>
      <c r="T535" s="197" t="s">
        <v>4447</v>
      </c>
      <c r="U535" s="197" t="s">
        <v>3958</v>
      </c>
      <c r="V535" s="197" t="s">
        <v>3959</v>
      </c>
    </row>
    <row r="536" spans="1:22" s="197" customFormat="1" x14ac:dyDescent="0.2">
      <c r="A536" s="197" t="s">
        <v>4445</v>
      </c>
      <c r="B536" s="197" t="s">
        <v>1955</v>
      </c>
      <c r="C536" s="197" t="s">
        <v>907</v>
      </c>
      <c r="D536" s="197" t="s">
        <v>209</v>
      </c>
      <c r="E536" s="197" t="s">
        <v>908</v>
      </c>
      <c r="F536" s="197" t="s">
        <v>84</v>
      </c>
      <c r="G536" s="260">
        <v>3</v>
      </c>
      <c r="H536" s="197">
        <v>4</v>
      </c>
      <c r="I536" s="197" t="s">
        <v>4017</v>
      </c>
      <c r="J536" s="197" t="s">
        <v>4115</v>
      </c>
      <c r="K536" s="197" t="s">
        <v>1283</v>
      </c>
      <c r="L536" s="261">
        <v>0.05</v>
      </c>
      <c r="M536" s="263">
        <v>2238.1146199999998</v>
      </c>
      <c r="N536" s="263">
        <f>L536*M536</f>
        <v>111.905731</v>
      </c>
      <c r="O536" s="199"/>
      <c r="P536" s="261"/>
      <c r="Q536" s="261"/>
      <c r="R536" s="198"/>
      <c r="S536" s="197" t="s">
        <v>4446</v>
      </c>
      <c r="T536" s="197" t="s">
        <v>4447</v>
      </c>
      <c r="U536" s="197" t="s">
        <v>3958</v>
      </c>
      <c r="V536" s="197" t="s">
        <v>3959</v>
      </c>
    </row>
    <row r="537" spans="1:22" s="197" customFormat="1" x14ac:dyDescent="0.2">
      <c r="A537" s="197" t="s">
        <v>4445</v>
      </c>
      <c r="B537" s="197" t="s">
        <v>1955</v>
      </c>
      <c r="C537" s="197" t="s">
        <v>907</v>
      </c>
      <c r="D537" s="197" t="s">
        <v>209</v>
      </c>
      <c r="E537" s="197" t="s">
        <v>908</v>
      </c>
      <c r="F537" s="197" t="s">
        <v>84</v>
      </c>
      <c r="G537" s="260">
        <v>3</v>
      </c>
      <c r="H537" s="197">
        <v>5</v>
      </c>
      <c r="I537" s="197" t="s">
        <v>3968</v>
      </c>
      <c r="J537" s="197" t="s">
        <v>3969</v>
      </c>
      <c r="K537" s="197" t="s">
        <v>84</v>
      </c>
      <c r="L537" s="261">
        <v>1</v>
      </c>
      <c r="M537" s="263"/>
      <c r="N537" s="263">
        <f>SUM(N533:N536)</f>
        <v>2238.1146199999998</v>
      </c>
      <c r="O537" s="199">
        <v>0.2223</v>
      </c>
      <c r="P537" s="261">
        <f>N537*O537</f>
        <v>497.53288002599993</v>
      </c>
      <c r="Q537" s="261">
        <f>N537+P537</f>
        <v>2735.6475000259998</v>
      </c>
      <c r="R537" s="198">
        <f>Q537*G537</f>
        <v>8206.9425000779993</v>
      </c>
      <c r="S537" s="197" t="s">
        <v>4446</v>
      </c>
      <c r="T537" s="197" t="s">
        <v>4447</v>
      </c>
      <c r="U537" s="197" t="str">
        <f>IF(ABS(Q537-2735.6475)&lt;=0.01,"FECHA COM PLANILHA","REVISAR")</f>
        <v>FECHA COM PLANILHA</v>
      </c>
      <c r="V537" s="197" t="s">
        <v>4448</v>
      </c>
    </row>
    <row r="538" spans="1:22" s="197" customFormat="1" x14ac:dyDescent="0.2">
      <c r="A538" s="197" t="s">
        <v>4449</v>
      </c>
      <c r="B538" s="197" t="s">
        <v>1993</v>
      </c>
      <c r="C538" s="197" t="s">
        <v>940</v>
      </c>
      <c r="D538" s="197" t="s">
        <v>209</v>
      </c>
      <c r="E538" s="197" t="s">
        <v>941</v>
      </c>
      <c r="F538" s="197" t="s">
        <v>99</v>
      </c>
      <c r="G538" s="260">
        <v>78.900000000000006</v>
      </c>
      <c r="H538" s="197">
        <v>1</v>
      </c>
      <c r="I538" s="197" t="s">
        <v>3954</v>
      </c>
      <c r="J538" s="197" t="s">
        <v>4110</v>
      </c>
      <c r="K538" s="197" t="s">
        <v>1283</v>
      </c>
      <c r="L538" s="261">
        <v>0.3</v>
      </c>
      <c r="M538" s="263">
        <v>80.890534000000002</v>
      </c>
      <c r="N538" s="263">
        <f>L538*M538</f>
        <v>24.267160199999999</v>
      </c>
      <c r="O538" s="199"/>
      <c r="P538" s="261"/>
      <c r="Q538" s="261"/>
      <c r="R538" s="198"/>
      <c r="S538" s="197" t="s">
        <v>4450</v>
      </c>
      <c r="T538" s="197" t="s">
        <v>4451</v>
      </c>
      <c r="U538" s="197" t="s">
        <v>3958</v>
      </c>
      <c r="V538" s="197" t="s">
        <v>3959</v>
      </c>
    </row>
    <row r="539" spans="1:22" s="197" customFormat="1" x14ac:dyDescent="0.2">
      <c r="A539" s="197" t="s">
        <v>4449</v>
      </c>
      <c r="B539" s="197" t="s">
        <v>1993</v>
      </c>
      <c r="C539" s="197" t="s">
        <v>940</v>
      </c>
      <c r="D539" s="197" t="s">
        <v>209</v>
      </c>
      <c r="E539" s="197" t="s">
        <v>941</v>
      </c>
      <c r="F539" s="197" t="s">
        <v>99</v>
      </c>
      <c r="G539" s="260">
        <v>78.900000000000006</v>
      </c>
      <c r="H539" s="197">
        <v>2</v>
      </c>
      <c r="I539" s="197" t="s">
        <v>3960</v>
      </c>
      <c r="J539" s="197" t="s">
        <v>4113</v>
      </c>
      <c r="K539" s="197" t="s">
        <v>1283</v>
      </c>
      <c r="L539" s="261">
        <v>0.55000000000000004</v>
      </c>
      <c r="M539" s="263">
        <v>80.890534000000002</v>
      </c>
      <c r="N539" s="263">
        <f>L539*M539</f>
        <v>44.489793700000007</v>
      </c>
      <c r="O539" s="199"/>
      <c r="P539" s="261"/>
      <c r="Q539" s="261"/>
      <c r="R539" s="198"/>
      <c r="S539" s="197" t="s">
        <v>4450</v>
      </c>
      <c r="T539" s="197" t="s">
        <v>4451</v>
      </c>
      <c r="U539" s="197" t="s">
        <v>3958</v>
      </c>
      <c r="V539" s="197" t="s">
        <v>3959</v>
      </c>
    </row>
    <row r="540" spans="1:22" s="197" customFormat="1" x14ac:dyDescent="0.2">
      <c r="A540" s="197" t="s">
        <v>4449</v>
      </c>
      <c r="B540" s="197" t="s">
        <v>1993</v>
      </c>
      <c r="C540" s="197" t="s">
        <v>940</v>
      </c>
      <c r="D540" s="197" t="s">
        <v>209</v>
      </c>
      <c r="E540" s="197" t="s">
        <v>941</v>
      </c>
      <c r="F540" s="197" t="s">
        <v>99</v>
      </c>
      <c r="G540" s="260">
        <v>78.900000000000006</v>
      </c>
      <c r="H540" s="197">
        <v>3</v>
      </c>
      <c r="I540" s="197" t="s">
        <v>3976</v>
      </c>
      <c r="J540" s="197" t="s">
        <v>4114</v>
      </c>
      <c r="K540" s="197" t="s">
        <v>1283</v>
      </c>
      <c r="L540" s="261">
        <v>0.1</v>
      </c>
      <c r="M540" s="263">
        <v>80.890534000000002</v>
      </c>
      <c r="N540" s="263">
        <f>L540*M540</f>
        <v>8.0890534000000009</v>
      </c>
      <c r="O540" s="199"/>
      <c r="P540" s="261"/>
      <c r="Q540" s="261"/>
      <c r="R540" s="198"/>
      <c r="S540" s="197" t="s">
        <v>4450</v>
      </c>
      <c r="T540" s="197" t="s">
        <v>4451</v>
      </c>
      <c r="U540" s="197" t="s">
        <v>3958</v>
      </c>
      <c r="V540" s="197" t="s">
        <v>3959</v>
      </c>
    </row>
    <row r="541" spans="1:22" s="197" customFormat="1" x14ac:dyDescent="0.2">
      <c r="A541" s="197" t="s">
        <v>4449</v>
      </c>
      <c r="B541" s="197" t="s">
        <v>1993</v>
      </c>
      <c r="C541" s="197" t="s">
        <v>940</v>
      </c>
      <c r="D541" s="197" t="s">
        <v>209</v>
      </c>
      <c r="E541" s="197" t="s">
        <v>941</v>
      </c>
      <c r="F541" s="197" t="s">
        <v>99</v>
      </c>
      <c r="G541" s="260">
        <v>78.900000000000006</v>
      </c>
      <c r="H541" s="197">
        <v>4</v>
      </c>
      <c r="I541" s="197" t="s">
        <v>4017</v>
      </c>
      <c r="J541" s="197" t="s">
        <v>4115</v>
      </c>
      <c r="K541" s="197" t="s">
        <v>1283</v>
      </c>
      <c r="L541" s="261">
        <v>0.05</v>
      </c>
      <c r="M541" s="263">
        <v>80.890534000000002</v>
      </c>
      <c r="N541" s="263">
        <f>L541*M541</f>
        <v>4.0445267000000005</v>
      </c>
      <c r="O541" s="199"/>
      <c r="P541" s="261"/>
      <c r="Q541" s="261"/>
      <c r="R541" s="198"/>
      <c r="S541" s="197" t="s">
        <v>4450</v>
      </c>
      <c r="T541" s="197" t="s">
        <v>4451</v>
      </c>
      <c r="U541" s="197" t="s">
        <v>3958</v>
      </c>
      <c r="V541" s="197" t="s">
        <v>3959</v>
      </c>
    </row>
    <row r="542" spans="1:22" s="197" customFormat="1" x14ac:dyDescent="0.2">
      <c r="A542" s="197" t="s">
        <v>4449</v>
      </c>
      <c r="B542" s="197" t="s">
        <v>1993</v>
      </c>
      <c r="C542" s="197" t="s">
        <v>940</v>
      </c>
      <c r="D542" s="197" t="s">
        <v>209</v>
      </c>
      <c r="E542" s="197" t="s">
        <v>941</v>
      </c>
      <c r="F542" s="197" t="s">
        <v>99</v>
      </c>
      <c r="G542" s="260">
        <v>78.900000000000006</v>
      </c>
      <c r="H542" s="197">
        <v>5</v>
      </c>
      <c r="I542" s="197" t="s">
        <v>3968</v>
      </c>
      <c r="J542" s="197" t="s">
        <v>3969</v>
      </c>
      <c r="K542" s="197" t="s">
        <v>99</v>
      </c>
      <c r="L542" s="261">
        <v>1</v>
      </c>
      <c r="M542" s="263"/>
      <c r="N542" s="263">
        <f>SUM(N538:N541)</f>
        <v>80.890534000000017</v>
      </c>
      <c r="O542" s="199">
        <v>0.2223</v>
      </c>
      <c r="P542" s="261">
        <f>N542*O542</f>
        <v>17.981965708200004</v>
      </c>
      <c r="Q542" s="261">
        <f>N542+P542</f>
        <v>98.872499708200024</v>
      </c>
      <c r="R542" s="198">
        <f>Q542*G542</f>
        <v>7801.0402269769829</v>
      </c>
      <c r="S542" s="197" t="s">
        <v>4450</v>
      </c>
      <c r="T542" s="197" t="s">
        <v>4451</v>
      </c>
      <c r="U542" s="197" t="str">
        <f>IF(ABS(Q542-98.8725)&lt;=0.01,"FECHA COM PLANILHA","REVISAR")</f>
        <v>FECHA COM PLANILHA</v>
      </c>
      <c r="V542" s="197" t="s">
        <v>4452</v>
      </c>
    </row>
    <row r="543" spans="1:22" s="197" customFormat="1" x14ac:dyDescent="0.2">
      <c r="A543" s="197" t="s">
        <v>4453</v>
      </c>
      <c r="B543" s="197" t="s">
        <v>1907</v>
      </c>
      <c r="C543" s="197" t="s">
        <v>852</v>
      </c>
      <c r="D543" s="197" t="s">
        <v>209</v>
      </c>
      <c r="E543" s="197" t="s">
        <v>1908</v>
      </c>
      <c r="F543" s="197" t="s">
        <v>99</v>
      </c>
      <c r="G543" s="260">
        <v>70</v>
      </c>
      <c r="H543" s="197">
        <v>1</v>
      </c>
      <c r="I543" s="197" t="s">
        <v>3954</v>
      </c>
      <c r="J543" s="197" t="s">
        <v>4088</v>
      </c>
      <c r="K543" s="197" t="s">
        <v>1283</v>
      </c>
      <c r="L543" s="261">
        <v>0.1</v>
      </c>
      <c r="M543" s="263">
        <v>84.289862999999997</v>
      </c>
      <c r="N543" s="263">
        <f>L543*M543</f>
        <v>8.4289863</v>
      </c>
      <c r="O543" s="199"/>
      <c r="P543" s="261"/>
      <c r="Q543" s="261"/>
      <c r="R543" s="198"/>
      <c r="S543" s="197" t="s">
        <v>4454</v>
      </c>
      <c r="T543" s="197" t="s">
        <v>4455</v>
      </c>
      <c r="U543" s="197" t="s">
        <v>3958</v>
      </c>
      <c r="V543" s="197" t="s">
        <v>3959</v>
      </c>
    </row>
    <row r="544" spans="1:22" s="197" customFormat="1" x14ac:dyDescent="0.2">
      <c r="A544" s="197" t="s">
        <v>4453</v>
      </c>
      <c r="B544" s="197" t="s">
        <v>1907</v>
      </c>
      <c r="C544" s="197" t="s">
        <v>852</v>
      </c>
      <c r="D544" s="197" t="s">
        <v>209</v>
      </c>
      <c r="E544" s="197" t="s">
        <v>1908</v>
      </c>
      <c r="F544" s="197" t="s">
        <v>99</v>
      </c>
      <c r="G544" s="260">
        <v>70</v>
      </c>
      <c r="H544" s="197">
        <v>2</v>
      </c>
      <c r="I544" s="197" t="s">
        <v>4091</v>
      </c>
      <c r="J544" s="197" t="s">
        <v>4092</v>
      </c>
      <c r="K544" s="197" t="s">
        <v>1283</v>
      </c>
      <c r="L544" s="261">
        <v>0.84</v>
      </c>
      <c r="M544" s="263">
        <v>84.289862999999997</v>
      </c>
      <c r="N544" s="263">
        <f>L544*M544</f>
        <v>70.803484919999988</v>
      </c>
      <c r="O544" s="199"/>
      <c r="P544" s="261"/>
      <c r="Q544" s="261"/>
      <c r="R544" s="198"/>
      <c r="S544" s="197" t="s">
        <v>4454</v>
      </c>
      <c r="T544" s="197" t="s">
        <v>4455</v>
      </c>
      <c r="U544" s="197" t="s">
        <v>3958</v>
      </c>
      <c r="V544" s="197" t="s">
        <v>3959</v>
      </c>
    </row>
    <row r="545" spans="1:22" s="197" customFormat="1" x14ac:dyDescent="0.2">
      <c r="A545" s="197" t="s">
        <v>4453</v>
      </c>
      <c r="B545" s="197" t="s">
        <v>1907</v>
      </c>
      <c r="C545" s="197" t="s">
        <v>852</v>
      </c>
      <c r="D545" s="197" t="s">
        <v>209</v>
      </c>
      <c r="E545" s="197" t="s">
        <v>1908</v>
      </c>
      <c r="F545" s="197" t="s">
        <v>99</v>
      </c>
      <c r="G545" s="260">
        <v>70</v>
      </c>
      <c r="H545" s="197">
        <v>3</v>
      </c>
      <c r="I545" s="197" t="s">
        <v>4093</v>
      </c>
      <c r="J545" s="197" t="s">
        <v>4094</v>
      </c>
      <c r="K545" s="197" t="s">
        <v>1283</v>
      </c>
      <c r="L545" s="261">
        <v>0.03</v>
      </c>
      <c r="M545" s="263">
        <v>84.289862999999997</v>
      </c>
      <c r="N545" s="263">
        <f>L545*M545</f>
        <v>2.5286958899999998</v>
      </c>
      <c r="O545" s="199"/>
      <c r="P545" s="261"/>
      <c r="Q545" s="261"/>
      <c r="R545" s="198"/>
      <c r="S545" s="197" t="s">
        <v>4454</v>
      </c>
      <c r="T545" s="197" t="s">
        <v>4455</v>
      </c>
      <c r="U545" s="197" t="s">
        <v>3958</v>
      </c>
      <c r="V545" s="197" t="s">
        <v>3959</v>
      </c>
    </row>
    <row r="546" spans="1:22" s="197" customFormat="1" x14ac:dyDescent="0.2">
      <c r="A546" s="197" t="s">
        <v>4453</v>
      </c>
      <c r="B546" s="197" t="s">
        <v>1907</v>
      </c>
      <c r="C546" s="197" t="s">
        <v>852</v>
      </c>
      <c r="D546" s="197" t="s">
        <v>209</v>
      </c>
      <c r="E546" s="197" t="s">
        <v>1908</v>
      </c>
      <c r="F546" s="197" t="s">
        <v>99</v>
      </c>
      <c r="G546" s="260">
        <v>70</v>
      </c>
      <c r="H546" s="197">
        <v>4</v>
      </c>
      <c r="I546" s="197" t="s">
        <v>4017</v>
      </c>
      <c r="J546" s="197" t="s">
        <v>4095</v>
      </c>
      <c r="K546" s="197" t="s">
        <v>1283</v>
      </c>
      <c r="L546" s="261">
        <v>0.03</v>
      </c>
      <c r="M546" s="263">
        <v>84.289862999999997</v>
      </c>
      <c r="N546" s="263">
        <f>L546*M546</f>
        <v>2.5286958899999998</v>
      </c>
      <c r="O546" s="199"/>
      <c r="P546" s="261"/>
      <c r="Q546" s="261"/>
      <c r="R546" s="198"/>
      <c r="S546" s="197" t="s">
        <v>4454</v>
      </c>
      <c r="T546" s="197" t="s">
        <v>4455</v>
      </c>
      <c r="U546" s="197" t="s">
        <v>3958</v>
      </c>
      <c r="V546" s="197" t="s">
        <v>3959</v>
      </c>
    </row>
    <row r="547" spans="1:22" s="197" customFormat="1" x14ac:dyDescent="0.2">
      <c r="A547" s="197" t="s">
        <v>4453</v>
      </c>
      <c r="B547" s="197" t="s">
        <v>1907</v>
      </c>
      <c r="C547" s="197" t="s">
        <v>852</v>
      </c>
      <c r="D547" s="197" t="s">
        <v>209</v>
      </c>
      <c r="E547" s="197" t="s">
        <v>1908</v>
      </c>
      <c r="F547" s="197" t="s">
        <v>99</v>
      </c>
      <c r="G547" s="260">
        <v>70</v>
      </c>
      <c r="H547" s="197">
        <v>5</v>
      </c>
      <c r="I547" s="197" t="s">
        <v>3968</v>
      </c>
      <c r="J547" s="197" t="s">
        <v>3969</v>
      </c>
      <c r="K547" s="197" t="s">
        <v>99</v>
      </c>
      <c r="L547" s="261">
        <v>1</v>
      </c>
      <c r="M547" s="263"/>
      <c r="N547" s="263">
        <f>SUM(N543:N546)</f>
        <v>84.289862999999983</v>
      </c>
      <c r="O547" s="199">
        <v>0.2223</v>
      </c>
      <c r="P547" s="261">
        <f>N547*O547</f>
        <v>18.737636544899996</v>
      </c>
      <c r="Q547" s="261">
        <f>N547+P547</f>
        <v>103.02749954489998</v>
      </c>
      <c r="R547" s="198">
        <f>Q547*G547</f>
        <v>7211.9249681429983</v>
      </c>
      <c r="S547" s="197" t="s">
        <v>4454</v>
      </c>
      <c r="T547" s="197" t="s">
        <v>4455</v>
      </c>
      <c r="U547" s="197" t="str">
        <f>IF(ABS(Q547-103.0275)&lt;=0.01,"FECHA COM PLANILHA","REVISAR")</f>
        <v>FECHA COM PLANILHA</v>
      </c>
      <c r="V547" s="197" t="s">
        <v>4456</v>
      </c>
    </row>
    <row r="548" spans="1:22" s="197" customFormat="1" x14ac:dyDescent="0.2">
      <c r="A548" s="197" t="s">
        <v>4457</v>
      </c>
      <c r="B548" s="197" t="s">
        <v>2076</v>
      </c>
      <c r="C548" s="197" t="s">
        <v>989</v>
      </c>
      <c r="D548" s="197" t="s">
        <v>209</v>
      </c>
      <c r="E548" s="197" t="s">
        <v>990</v>
      </c>
      <c r="F548" s="197" t="s">
        <v>84</v>
      </c>
      <c r="G548" s="260">
        <v>2</v>
      </c>
      <c r="H548" s="197">
        <v>1</v>
      </c>
      <c r="I548" s="197" t="s">
        <v>3954</v>
      </c>
      <c r="J548" s="197" t="s">
        <v>4088</v>
      </c>
      <c r="K548" s="197" t="s">
        <v>1283</v>
      </c>
      <c r="L548" s="261">
        <v>0.1</v>
      </c>
      <c r="M548" s="263">
        <v>2546.3122800000001</v>
      </c>
      <c r="N548" s="263">
        <f>L548*M548</f>
        <v>254.63122800000002</v>
      </c>
      <c r="O548" s="199"/>
      <c r="P548" s="261"/>
      <c r="Q548" s="261"/>
      <c r="R548" s="198"/>
      <c r="S548" s="197" t="s">
        <v>4458</v>
      </c>
      <c r="T548" s="197" t="s">
        <v>4459</v>
      </c>
      <c r="U548" s="197" t="s">
        <v>3958</v>
      </c>
      <c r="V548" s="197" t="s">
        <v>3959</v>
      </c>
    </row>
    <row r="549" spans="1:22" s="197" customFormat="1" x14ac:dyDescent="0.2">
      <c r="A549" s="197" t="s">
        <v>4457</v>
      </c>
      <c r="B549" s="197" t="s">
        <v>2076</v>
      </c>
      <c r="C549" s="197" t="s">
        <v>989</v>
      </c>
      <c r="D549" s="197" t="s">
        <v>209</v>
      </c>
      <c r="E549" s="197" t="s">
        <v>990</v>
      </c>
      <c r="F549" s="197" t="s">
        <v>84</v>
      </c>
      <c r="G549" s="260">
        <v>2</v>
      </c>
      <c r="H549" s="197">
        <v>2</v>
      </c>
      <c r="I549" s="197" t="s">
        <v>4091</v>
      </c>
      <c r="J549" s="197" t="s">
        <v>4092</v>
      </c>
      <c r="K549" s="197" t="s">
        <v>1283</v>
      </c>
      <c r="L549" s="261">
        <v>0.84</v>
      </c>
      <c r="M549" s="263">
        <v>2546.3122800000001</v>
      </c>
      <c r="N549" s="263">
        <f>L549*M549</f>
        <v>2138.9023152</v>
      </c>
      <c r="O549" s="199"/>
      <c r="P549" s="261"/>
      <c r="Q549" s="261"/>
      <c r="R549" s="198"/>
      <c r="S549" s="197" t="s">
        <v>4458</v>
      </c>
      <c r="T549" s="197" t="s">
        <v>4459</v>
      </c>
      <c r="U549" s="197" t="s">
        <v>3958</v>
      </c>
      <c r="V549" s="197" t="s">
        <v>3959</v>
      </c>
    </row>
    <row r="550" spans="1:22" s="197" customFormat="1" x14ac:dyDescent="0.2">
      <c r="A550" s="197" t="s">
        <v>4457</v>
      </c>
      <c r="B550" s="197" t="s">
        <v>2076</v>
      </c>
      <c r="C550" s="197" t="s">
        <v>989</v>
      </c>
      <c r="D550" s="197" t="s">
        <v>209</v>
      </c>
      <c r="E550" s="197" t="s">
        <v>990</v>
      </c>
      <c r="F550" s="197" t="s">
        <v>84</v>
      </c>
      <c r="G550" s="260">
        <v>2</v>
      </c>
      <c r="H550" s="197">
        <v>3</v>
      </c>
      <c r="I550" s="197" t="s">
        <v>4093</v>
      </c>
      <c r="J550" s="197" t="s">
        <v>4094</v>
      </c>
      <c r="K550" s="197" t="s">
        <v>1283</v>
      </c>
      <c r="L550" s="261">
        <v>0.03</v>
      </c>
      <c r="M550" s="263">
        <v>2546.3122800000001</v>
      </c>
      <c r="N550" s="263">
        <f>L550*M550</f>
        <v>76.389368399999995</v>
      </c>
      <c r="O550" s="199"/>
      <c r="P550" s="261"/>
      <c r="Q550" s="261"/>
      <c r="R550" s="198"/>
      <c r="S550" s="197" t="s">
        <v>4458</v>
      </c>
      <c r="T550" s="197" t="s">
        <v>4459</v>
      </c>
      <c r="U550" s="197" t="s">
        <v>3958</v>
      </c>
      <c r="V550" s="197" t="s">
        <v>3959</v>
      </c>
    </row>
    <row r="551" spans="1:22" s="197" customFormat="1" x14ac:dyDescent="0.2">
      <c r="A551" s="197" t="s">
        <v>4457</v>
      </c>
      <c r="B551" s="197" t="s">
        <v>2076</v>
      </c>
      <c r="C551" s="197" t="s">
        <v>989</v>
      </c>
      <c r="D551" s="197" t="s">
        <v>209</v>
      </c>
      <c r="E551" s="197" t="s">
        <v>990</v>
      </c>
      <c r="F551" s="197" t="s">
        <v>84</v>
      </c>
      <c r="G551" s="260">
        <v>2</v>
      </c>
      <c r="H551" s="197">
        <v>4</v>
      </c>
      <c r="I551" s="197" t="s">
        <v>4017</v>
      </c>
      <c r="J551" s="197" t="s">
        <v>4095</v>
      </c>
      <c r="K551" s="197" t="s">
        <v>1283</v>
      </c>
      <c r="L551" s="261">
        <v>0.03</v>
      </c>
      <c r="M551" s="263">
        <v>2546.3122800000001</v>
      </c>
      <c r="N551" s="263">
        <f>L551*M551</f>
        <v>76.389368399999995</v>
      </c>
      <c r="O551" s="199"/>
      <c r="P551" s="261"/>
      <c r="Q551" s="261"/>
      <c r="R551" s="198"/>
      <c r="S551" s="197" t="s">
        <v>4458</v>
      </c>
      <c r="T551" s="197" t="s">
        <v>4459</v>
      </c>
      <c r="U551" s="197" t="s">
        <v>3958</v>
      </c>
      <c r="V551" s="197" t="s">
        <v>3959</v>
      </c>
    </row>
    <row r="552" spans="1:22" s="197" customFormat="1" x14ac:dyDescent="0.2">
      <c r="A552" s="197" t="s">
        <v>4457</v>
      </c>
      <c r="B552" s="197" t="s">
        <v>2076</v>
      </c>
      <c r="C552" s="197" t="s">
        <v>989</v>
      </c>
      <c r="D552" s="197" t="s">
        <v>209</v>
      </c>
      <c r="E552" s="197" t="s">
        <v>990</v>
      </c>
      <c r="F552" s="197" t="s">
        <v>84</v>
      </c>
      <c r="G552" s="260">
        <v>2</v>
      </c>
      <c r="H552" s="197">
        <v>5</v>
      </c>
      <c r="I552" s="197" t="s">
        <v>3968</v>
      </c>
      <c r="J552" s="197" t="s">
        <v>3969</v>
      </c>
      <c r="K552" s="197" t="s">
        <v>84</v>
      </c>
      <c r="L552" s="261">
        <v>1</v>
      </c>
      <c r="M552" s="263"/>
      <c r="N552" s="263">
        <f>SUM(N548:N551)</f>
        <v>2546.3122800000001</v>
      </c>
      <c r="O552" s="199">
        <v>0.2223</v>
      </c>
      <c r="P552" s="261">
        <f>N552*O552</f>
        <v>566.04521984400003</v>
      </c>
      <c r="Q552" s="261">
        <f>N552+P552</f>
        <v>3112.3574998439999</v>
      </c>
      <c r="R552" s="198">
        <f>Q552*G552</f>
        <v>6224.7149996879998</v>
      </c>
      <c r="S552" s="197" t="s">
        <v>4458</v>
      </c>
      <c r="T552" s="197" t="s">
        <v>4459</v>
      </c>
      <c r="U552" s="197" t="str">
        <f>IF(ABS(Q552-3112.3575)&lt;=0.01,"FECHA COM PLANILHA","REVISAR")</f>
        <v>FECHA COM PLANILHA</v>
      </c>
      <c r="V552" s="197" t="s">
        <v>4460</v>
      </c>
    </row>
    <row r="553" spans="1:22" s="197" customFormat="1" x14ac:dyDescent="0.2">
      <c r="A553" s="197" t="s">
        <v>4461</v>
      </c>
      <c r="B553" s="197" t="s">
        <v>2074</v>
      </c>
      <c r="C553" s="197" t="s">
        <v>987</v>
      </c>
      <c r="D553" s="197" t="s">
        <v>209</v>
      </c>
      <c r="E553" s="197" t="s">
        <v>2075</v>
      </c>
      <c r="F553" s="197" t="s">
        <v>84</v>
      </c>
      <c r="G553" s="260">
        <v>1</v>
      </c>
      <c r="H553" s="197">
        <v>1</v>
      </c>
      <c r="I553" s="197" t="s">
        <v>3954</v>
      </c>
      <c r="J553" s="197" t="s">
        <v>3972</v>
      </c>
      <c r="K553" s="197" t="s">
        <v>1283</v>
      </c>
      <c r="L553" s="261">
        <v>0.18</v>
      </c>
      <c r="M553" s="263">
        <v>4900.8263109999998</v>
      </c>
      <c r="N553" s="263">
        <f>L553*M553</f>
        <v>882.14873597999997</v>
      </c>
      <c r="O553" s="199"/>
      <c r="P553" s="261"/>
      <c r="Q553" s="261"/>
      <c r="R553" s="198"/>
      <c r="S553" s="197" t="s">
        <v>4462</v>
      </c>
      <c r="T553" s="197" t="s">
        <v>4463</v>
      </c>
      <c r="U553" s="197" t="s">
        <v>3958</v>
      </c>
      <c r="V553" s="197" t="s">
        <v>3959</v>
      </c>
    </row>
    <row r="554" spans="1:22" s="197" customFormat="1" x14ac:dyDescent="0.2">
      <c r="A554" s="197" t="s">
        <v>4461</v>
      </c>
      <c r="B554" s="197" t="s">
        <v>2074</v>
      </c>
      <c r="C554" s="197" t="s">
        <v>987</v>
      </c>
      <c r="D554" s="197" t="s">
        <v>209</v>
      </c>
      <c r="E554" s="197" t="s">
        <v>2075</v>
      </c>
      <c r="F554" s="197" t="s">
        <v>84</v>
      </c>
      <c r="G554" s="260">
        <v>1</v>
      </c>
      <c r="H554" s="197">
        <v>2</v>
      </c>
      <c r="I554" s="197" t="s">
        <v>3960</v>
      </c>
      <c r="J554" s="197" t="s">
        <v>3975</v>
      </c>
      <c r="K554" s="197" t="s">
        <v>1283</v>
      </c>
      <c r="L554" s="261">
        <v>0.75</v>
      </c>
      <c r="M554" s="263">
        <v>4900.8263109999998</v>
      </c>
      <c r="N554" s="263">
        <f>L554*M554</f>
        <v>3675.6197332499996</v>
      </c>
      <c r="O554" s="199"/>
      <c r="P554" s="261"/>
      <c r="Q554" s="261"/>
      <c r="R554" s="198"/>
      <c r="S554" s="197" t="s">
        <v>4462</v>
      </c>
      <c r="T554" s="197" t="s">
        <v>4463</v>
      </c>
      <c r="U554" s="197" t="s">
        <v>3958</v>
      </c>
      <c r="V554" s="197" t="s">
        <v>3959</v>
      </c>
    </row>
    <row r="555" spans="1:22" s="197" customFormat="1" x14ac:dyDescent="0.2">
      <c r="A555" s="197" t="s">
        <v>4461</v>
      </c>
      <c r="B555" s="197" t="s">
        <v>2074</v>
      </c>
      <c r="C555" s="197" t="s">
        <v>987</v>
      </c>
      <c r="D555" s="197" t="s">
        <v>209</v>
      </c>
      <c r="E555" s="197" t="s">
        <v>2075</v>
      </c>
      <c r="F555" s="197" t="s">
        <v>84</v>
      </c>
      <c r="G555" s="260">
        <v>1</v>
      </c>
      <c r="H555" s="197">
        <v>3</v>
      </c>
      <c r="I555" s="197" t="s">
        <v>3976</v>
      </c>
      <c r="J555" s="197" t="s">
        <v>3977</v>
      </c>
      <c r="K555" s="197" t="s">
        <v>1283</v>
      </c>
      <c r="L555" s="261">
        <v>0.04</v>
      </c>
      <c r="M555" s="263">
        <v>4900.8263109999998</v>
      </c>
      <c r="N555" s="263">
        <f>L555*M555</f>
        <v>196.03305244000001</v>
      </c>
      <c r="O555" s="199"/>
      <c r="P555" s="261"/>
      <c r="Q555" s="261"/>
      <c r="R555" s="198"/>
      <c r="S555" s="197" t="s">
        <v>4462</v>
      </c>
      <c r="T555" s="197" t="s">
        <v>4463</v>
      </c>
      <c r="U555" s="197" t="s">
        <v>3958</v>
      </c>
      <c r="V555" s="197" t="s">
        <v>3959</v>
      </c>
    </row>
    <row r="556" spans="1:22" s="197" customFormat="1" x14ac:dyDescent="0.2">
      <c r="A556" s="197" t="s">
        <v>4461</v>
      </c>
      <c r="B556" s="197" t="s">
        <v>2074</v>
      </c>
      <c r="C556" s="197" t="s">
        <v>987</v>
      </c>
      <c r="D556" s="197" t="s">
        <v>209</v>
      </c>
      <c r="E556" s="197" t="s">
        <v>2075</v>
      </c>
      <c r="F556" s="197" t="s">
        <v>84</v>
      </c>
      <c r="G556" s="260">
        <v>1</v>
      </c>
      <c r="H556" s="197">
        <v>4</v>
      </c>
      <c r="I556" s="197" t="s">
        <v>3978</v>
      </c>
      <c r="J556" s="197" t="s">
        <v>3979</v>
      </c>
      <c r="K556" s="197" t="s">
        <v>1283</v>
      </c>
      <c r="L556" s="261">
        <v>0.03</v>
      </c>
      <c r="M556" s="263">
        <v>4900.8263109999998</v>
      </c>
      <c r="N556" s="263">
        <f>L556*M556</f>
        <v>147.02478932999998</v>
      </c>
      <c r="O556" s="199"/>
      <c r="P556" s="261"/>
      <c r="Q556" s="261"/>
      <c r="R556" s="198"/>
      <c r="S556" s="197" t="s">
        <v>4462</v>
      </c>
      <c r="T556" s="197" t="s">
        <v>4463</v>
      </c>
      <c r="U556" s="197" t="s">
        <v>3958</v>
      </c>
      <c r="V556" s="197" t="s">
        <v>3959</v>
      </c>
    </row>
    <row r="557" spans="1:22" s="197" customFormat="1" x14ac:dyDescent="0.2">
      <c r="A557" s="197" t="s">
        <v>4461</v>
      </c>
      <c r="B557" s="197" t="s">
        <v>2074</v>
      </c>
      <c r="C557" s="197" t="s">
        <v>987</v>
      </c>
      <c r="D557" s="197" t="s">
        <v>209</v>
      </c>
      <c r="E557" s="197" t="s">
        <v>2075</v>
      </c>
      <c r="F557" s="197" t="s">
        <v>84</v>
      </c>
      <c r="G557" s="260">
        <v>1</v>
      </c>
      <c r="H557" s="197">
        <v>5</v>
      </c>
      <c r="I557" s="197" t="s">
        <v>3968</v>
      </c>
      <c r="J557" s="197" t="s">
        <v>3969</v>
      </c>
      <c r="K557" s="197" t="s">
        <v>84</v>
      </c>
      <c r="L557" s="261">
        <v>1</v>
      </c>
      <c r="M557" s="263"/>
      <c r="N557" s="263">
        <f>SUM(N553:N556)</f>
        <v>4900.8263109999998</v>
      </c>
      <c r="O557" s="199">
        <v>0.2223</v>
      </c>
      <c r="P557" s="261">
        <f>N557*O557</f>
        <v>1089.4536889352999</v>
      </c>
      <c r="Q557" s="261">
        <f>N557+P557</f>
        <v>5990.2799999352992</v>
      </c>
      <c r="R557" s="198">
        <f>Q557*G557</f>
        <v>5990.2799999352992</v>
      </c>
      <c r="S557" s="197" t="s">
        <v>4462</v>
      </c>
      <c r="T557" s="197" t="s">
        <v>4463</v>
      </c>
      <c r="U557" s="197" t="str">
        <f>IF(ABS(Q557-5990.28)&lt;=0.01,"FECHA COM PLANILHA","REVISAR")</f>
        <v>FECHA COM PLANILHA</v>
      </c>
      <c r="V557" s="197" t="s">
        <v>4464</v>
      </c>
    </row>
    <row r="558" spans="1:22" s="197" customFormat="1" x14ac:dyDescent="0.2">
      <c r="A558" s="197" t="s">
        <v>4465</v>
      </c>
      <c r="B558" s="197" t="s">
        <v>500</v>
      </c>
      <c r="C558" s="197" t="s">
        <v>1538</v>
      </c>
      <c r="D558" s="197" t="s">
        <v>209</v>
      </c>
      <c r="E558" s="197" t="s">
        <v>1539</v>
      </c>
      <c r="F558" s="197" t="s">
        <v>84</v>
      </c>
      <c r="G558" s="260">
        <v>1</v>
      </c>
      <c r="H558" s="197">
        <v>1</v>
      </c>
      <c r="I558" s="197" t="s">
        <v>3954</v>
      </c>
      <c r="J558" s="197" t="s">
        <v>4049</v>
      </c>
      <c r="K558" s="197" t="s">
        <v>1283</v>
      </c>
      <c r="L558" s="261">
        <v>0.24</v>
      </c>
      <c r="M558" s="263">
        <v>4827.7898219999997</v>
      </c>
      <c r="N558" s="263">
        <f>L558*M558</f>
        <v>1158.6695572799999</v>
      </c>
      <c r="O558" s="199"/>
      <c r="P558" s="261"/>
      <c r="Q558" s="261"/>
      <c r="R558" s="198"/>
      <c r="S558" s="197" t="s">
        <v>4466</v>
      </c>
      <c r="T558" s="197" t="s">
        <v>4467</v>
      </c>
      <c r="U558" s="197" t="s">
        <v>3958</v>
      </c>
      <c r="V558" s="197" t="s">
        <v>3959</v>
      </c>
    </row>
    <row r="559" spans="1:22" s="197" customFormat="1" x14ac:dyDescent="0.2">
      <c r="A559" s="197" t="s">
        <v>4465</v>
      </c>
      <c r="B559" s="197" t="s">
        <v>500</v>
      </c>
      <c r="C559" s="197" t="s">
        <v>1538</v>
      </c>
      <c r="D559" s="197" t="s">
        <v>209</v>
      </c>
      <c r="E559" s="197" t="s">
        <v>1539</v>
      </c>
      <c r="F559" s="197" t="s">
        <v>84</v>
      </c>
      <c r="G559" s="260">
        <v>1</v>
      </c>
      <c r="H559" s="197">
        <v>2</v>
      </c>
      <c r="I559" s="197" t="s">
        <v>3960</v>
      </c>
      <c r="J559" s="197" t="s">
        <v>4052</v>
      </c>
      <c r="K559" s="197" t="s">
        <v>1283</v>
      </c>
      <c r="L559" s="261">
        <v>0.68</v>
      </c>
      <c r="M559" s="263">
        <v>4827.7898219999997</v>
      </c>
      <c r="N559" s="263">
        <f>L559*M559</f>
        <v>3282.8970789600003</v>
      </c>
      <c r="O559" s="199"/>
      <c r="P559" s="261"/>
      <c r="Q559" s="261"/>
      <c r="R559" s="198"/>
      <c r="S559" s="197" t="s">
        <v>4466</v>
      </c>
      <c r="T559" s="197" t="s">
        <v>4467</v>
      </c>
      <c r="U559" s="197" t="s">
        <v>3958</v>
      </c>
      <c r="V559" s="197" t="s">
        <v>3959</v>
      </c>
    </row>
    <row r="560" spans="1:22" s="197" customFormat="1" x14ac:dyDescent="0.2">
      <c r="A560" s="197" t="s">
        <v>4465</v>
      </c>
      <c r="B560" s="197" t="s">
        <v>500</v>
      </c>
      <c r="C560" s="197" t="s">
        <v>1538</v>
      </c>
      <c r="D560" s="197" t="s">
        <v>209</v>
      </c>
      <c r="E560" s="197" t="s">
        <v>1539</v>
      </c>
      <c r="F560" s="197" t="s">
        <v>84</v>
      </c>
      <c r="G560" s="260">
        <v>1</v>
      </c>
      <c r="H560" s="197">
        <v>3</v>
      </c>
      <c r="I560" s="197" t="s">
        <v>3976</v>
      </c>
      <c r="J560" s="197" t="s">
        <v>4053</v>
      </c>
      <c r="K560" s="197" t="s">
        <v>1283</v>
      </c>
      <c r="L560" s="261">
        <v>0.04</v>
      </c>
      <c r="M560" s="263">
        <v>4827.7898219999997</v>
      </c>
      <c r="N560" s="263">
        <f>L560*M560</f>
        <v>193.11159287999999</v>
      </c>
      <c r="O560" s="199"/>
      <c r="P560" s="261"/>
      <c r="Q560" s="261"/>
      <c r="R560" s="198"/>
      <c r="S560" s="197" t="s">
        <v>4466</v>
      </c>
      <c r="T560" s="197" t="s">
        <v>4467</v>
      </c>
      <c r="U560" s="197" t="s">
        <v>3958</v>
      </c>
      <c r="V560" s="197" t="s">
        <v>3959</v>
      </c>
    </row>
    <row r="561" spans="1:22" s="197" customFormat="1" x14ac:dyDescent="0.2">
      <c r="A561" s="197" t="s">
        <v>4465</v>
      </c>
      <c r="B561" s="197" t="s">
        <v>500</v>
      </c>
      <c r="C561" s="197" t="s">
        <v>1538</v>
      </c>
      <c r="D561" s="197" t="s">
        <v>209</v>
      </c>
      <c r="E561" s="197" t="s">
        <v>1539</v>
      </c>
      <c r="F561" s="197" t="s">
        <v>84</v>
      </c>
      <c r="G561" s="260">
        <v>1</v>
      </c>
      <c r="H561" s="197">
        <v>4</v>
      </c>
      <c r="I561" s="197" t="s">
        <v>4054</v>
      </c>
      <c r="J561" s="197" t="s">
        <v>4055</v>
      </c>
      <c r="K561" s="197" t="s">
        <v>1283</v>
      </c>
      <c r="L561" s="261">
        <v>0.04</v>
      </c>
      <c r="M561" s="263">
        <v>4827.7898219999997</v>
      </c>
      <c r="N561" s="263">
        <f>L561*M561</f>
        <v>193.11159287999999</v>
      </c>
      <c r="O561" s="199"/>
      <c r="P561" s="261"/>
      <c r="Q561" s="261"/>
      <c r="R561" s="198"/>
      <c r="S561" s="197" t="s">
        <v>4466</v>
      </c>
      <c r="T561" s="197" t="s">
        <v>4467</v>
      </c>
      <c r="U561" s="197" t="s">
        <v>3958</v>
      </c>
      <c r="V561" s="197" t="s">
        <v>3959</v>
      </c>
    </row>
    <row r="562" spans="1:22" s="197" customFormat="1" x14ac:dyDescent="0.2">
      <c r="A562" s="197" t="s">
        <v>4465</v>
      </c>
      <c r="B562" s="197" t="s">
        <v>500</v>
      </c>
      <c r="C562" s="197" t="s">
        <v>1538</v>
      </c>
      <c r="D562" s="197" t="s">
        <v>209</v>
      </c>
      <c r="E562" s="197" t="s">
        <v>1539</v>
      </c>
      <c r="F562" s="197" t="s">
        <v>84</v>
      </c>
      <c r="G562" s="260">
        <v>1</v>
      </c>
      <c r="H562" s="197">
        <v>5</v>
      </c>
      <c r="I562" s="197" t="s">
        <v>3968</v>
      </c>
      <c r="J562" s="197" t="s">
        <v>3969</v>
      </c>
      <c r="K562" s="197" t="s">
        <v>84</v>
      </c>
      <c r="L562" s="261">
        <v>1</v>
      </c>
      <c r="M562" s="263"/>
      <c r="N562" s="263">
        <f>SUM(N558:N561)</f>
        <v>4827.7898220000006</v>
      </c>
      <c r="O562" s="199">
        <v>0.2223</v>
      </c>
      <c r="P562" s="261">
        <f>N562*O562</f>
        <v>1073.2176774306001</v>
      </c>
      <c r="Q562" s="261">
        <f>N562+P562</f>
        <v>5901.0074994306005</v>
      </c>
      <c r="R562" s="198">
        <f>Q562*G562</f>
        <v>5901.0074994306005</v>
      </c>
      <c r="S562" s="197" t="s">
        <v>4466</v>
      </c>
      <c r="T562" s="197" t="s">
        <v>4467</v>
      </c>
      <c r="U562" s="197" t="str">
        <f>IF(ABS(Q562-5901.0075)&lt;=0.01,"FECHA COM PLANILHA","REVISAR")</f>
        <v>FECHA COM PLANILHA</v>
      </c>
      <c r="V562" s="197" t="s">
        <v>4468</v>
      </c>
    </row>
    <row r="563" spans="1:22" s="197" customFormat="1" x14ac:dyDescent="0.2">
      <c r="A563" s="197" t="s">
        <v>4469</v>
      </c>
      <c r="B563" s="197" t="s">
        <v>368</v>
      </c>
      <c r="C563" s="197" t="s">
        <v>369</v>
      </c>
      <c r="D563" s="197" t="s">
        <v>209</v>
      </c>
      <c r="E563" s="197" t="s">
        <v>370</v>
      </c>
      <c r="F563" s="197" t="s">
        <v>371</v>
      </c>
      <c r="G563" s="260">
        <v>14.662000000000001</v>
      </c>
      <c r="H563" s="197">
        <v>1</v>
      </c>
      <c r="I563" s="197" t="s">
        <v>3954</v>
      </c>
      <c r="J563" s="197" t="s">
        <v>3982</v>
      </c>
      <c r="K563" s="197" t="s">
        <v>1283</v>
      </c>
      <c r="L563" s="261">
        <v>0.16</v>
      </c>
      <c r="M563" s="263">
        <v>327.82050199999998</v>
      </c>
      <c r="N563" s="263">
        <f>L563*M563</f>
        <v>52.451280319999995</v>
      </c>
      <c r="O563" s="199"/>
      <c r="P563" s="261"/>
      <c r="Q563" s="261"/>
      <c r="R563" s="198"/>
      <c r="S563" s="197" t="s">
        <v>4470</v>
      </c>
      <c r="T563" s="197" t="s">
        <v>4471</v>
      </c>
      <c r="U563" s="197" t="s">
        <v>3958</v>
      </c>
      <c r="V563" s="197" t="s">
        <v>3959</v>
      </c>
    </row>
    <row r="564" spans="1:22" s="197" customFormat="1" x14ac:dyDescent="0.2">
      <c r="A564" s="197" t="s">
        <v>4469</v>
      </c>
      <c r="B564" s="197" t="s">
        <v>368</v>
      </c>
      <c r="C564" s="197" t="s">
        <v>369</v>
      </c>
      <c r="D564" s="197" t="s">
        <v>209</v>
      </c>
      <c r="E564" s="197" t="s">
        <v>370</v>
      </c>
      <c r="F564" s="197" t="s">
        <v>371</v>
      </c>
      <c r="G564" s="260">
        <v>14.662000000000001</v>
      </c>
      <c r="H564" s="197">
        <v>2</v>
      </c>
      <c r="I564" s="197" t="s">
        <v>3960</v>
      </c>
      <c r="J564" s="197" t="s">
        <v>3985</v>
      </c>
      <c r="K564" s="197" t="s">
        <v>1283</v>
      </c>
      <c r="L564" s="261">
        <v>0.64</v>
      </c>
      <c r="M564" s="263">
        <v>327.82050199999998</v>
      </c>
      <c r="N564" s="263">
        <f>L564*M564</f>
        <v>209.80512127999998</v>
      </c>
      <c r="O564" s="199"/>
      <c r="P564" s="261"/>
      <c r="Q564" s="261"/>
      <c r="R564" s="198"/>
      <c r="S564" s="197" t="s">
        <v>4470</v>
      </c>
      <c r="T564" s="197" t="s">
        <v>4471</v>
      </c>
      <c r="U564" s="197" t="s">
        <v>3958</v>
      </c>
      <c r="V564" s="197" t="s">
        <v>3959</v>
      </c>
    </row>
    <row r="565" spans="1:22" s="197" customFormat="1" x14ac:dyDescent="0.2">
      <c r="A565" s="197" t="s">
        <v>4469</v>
      </c>
      <c r="B565" s="197" t="s">
        <v>368</v>
      </c>
      <c r="C565" s="197" t="s">
        <v>369</v>
      </c>
      <c r="D565" s="197" t="s">
        <v>209</v>
      </c>
      <c r="E565" s="197" t="s">
        <v>370</v>
      </c>
      <c r="F565" s="197" t="s">
        <v>371</v>
      </c>
      <c r="G565" s="260">
        <v>14.662000000000001</v>
      </c>
      <c r="H565" s="197">
        <v>3</v>
      </c>
      <c r="I565" s="197" t="s">
        <v>3962</v>
      </c>
      <c r="J565" s="197" t="s">
        <v>3986</v>
      </c>
      <c r="K565" s="197" t="s">
        <v>1283</v>
      </c>
      <c r="L565" s="261">
        <v>0.15</v>
      </c>
      <c r="M565" s="263">
        <v>327.82050199999998</v>
      </c>
      <c r="N565" s="263">
        <f>L565*M565</f>
        <v>49.173075299999994</v>
      </c>
      <c r="O565" s="199"/>
      <c r="P565" s="261"/>
      <c r="Q565" s="261"/>
      <c r="R565" s="198"/>
      <c r="S565" s="197" t="s">
        <v>4470</v>
      </c>
      <c r="T565" s="197" t="s">
        <v>4471</v>
      </c>
      <c r="U565" s="197" t="s">
        <v>3958</v>
      </c>
      <c r="V565" s="197" t="s">
        <v>3959</v>
      </c>
    </row>
    <row r="566" spans="1:22" s="197" customFormat="1" x14ac:dyDescent="0.2">
      <c r="A566" s="197" t="s">
        <v>4469</v>
      </c>
      <c r="B566" s="197" t="s">
        <v>368</v>
      </c>
      <c r="C566" s="197" t="s">
        <v>369</v>
      </c>
      <c r="D566" s="197" t="s">
        <v>209</v>
      </c>
      <c r="E566" s="197" t="s">
        <v>370</v>
      </c>
      <c r="F566" s="197" t="s">
        <v>371</v>
      </c>
      <c r="G566" s="260">
        <v>14.662000000000001</v>
      </c>
      <c r="H566" s="197">
        <v>4</v>
      </c>
      <c r="I566" s="197" t="s">
        <v>3987</v>
      </c>
      <c r="J566" s="197" t="s">
        <v>3988</v>
      </c>
      <c r="K566" s="197" t="s">
        <v>1283</v>
      </c>
      <c r="L566" s="261">
        <v>0.05</v>
      </c>
      <c r="M566" s="263">
        <v>327.82050199999998</v>
      </c>
      <c r="N566" s="263">
        <f>L566*M566</f>
        <v>16.3910251</v>
      </c>
      <c r="O566" s="199"/>
      <c r="P566" s="261"/>
      <c r="Q566" s="261"/>
      <c r="R566" s="198"/>
      <c r="S566" s="197" t="s">
        <v>4470</v>
      </c>
      <c r="T566" s="197" t="s">
        <v>4471</v>
      </c>
      <c r="U566" s="197" t="s">
        <v>3958</v>
      </c>
      <c r="V566" s="197" t="s">
        <v>3959</v>
      </c>
    </row>
    <row r="567" spans="1:22" s="197" customFormat="1" x14ac:dyDescent="0.2">
      <c r="A567" s="197" t="s">
        <v>4469</v>
      </c>
      <c r="B567" s="197" t="s">
        <v>368</v>
      </c>
      <c r="C567" s="197" t="s">
        <v>369</v>
      </c>
      <c r="D567" s="197" t="s">
        <v>209</v>
      </c>
      <c r="E567" s="197" t="s">
        <v>370</v>
      </c>
      <c r="F567" s="197" t="s">
        <v>371</v>
      </c>
      <c r="G567" s="260">
        <v>14.662000000000001</v>
      </c>
      <c r="H567" s="197">
        <v>5</v>
      </c>
      <c r="I567" s="197" t="s">
        <v>3968</v>
      </c>
      <c r="J567" s="197" t="s">
        <v>3969</v>
      </c>
      <c r="K567" s="197" t="s">
        <v>371</v>
      </c>
      <c r="L567" s="261">
        <v>1</v>
      </c>
      <c r="M567" s="263"/>
      <c r="N567" s="263">
        <f>SUM(N563:N566)</f>
        <v>327.82050199999998</v>
      </c>
      <c r="O567" s="199">
        <v>0.2223</v>
      </c>
      <c r="P567" s="261">
        <f>N567*O567</f>
        <v>72.874497594599987</v>
      </c>
      <c r="Q567" s="261">
        <f>N567+P567</f>
        <v>400.69499959459995</v>
      </c>
      <c r="R567" s="198">
        <f>Q567*G567</f>
        <v>5874.9900840560249</v>
      </c>
      <c r="S567" s="197" t="s">
        <v>4470</v>
      </c>
      <c r="T567" s="197" t="s">
        <v>4471</v>
      </c>
      <c r="U567" s="197" t="str">
        <f>IF(ABS(Q567-400.695)&lt;=0.01,"FECHA COM PLANILHA","REVISAR")</f>
        <v>FECHA COM PLANILHA</v>
      </c>
      <c r="V567" s="197" t="s">
        <v>4472</v>
      </c>
    </row>
    <row r="568" spans="1:22" s="197" customFormat="1" x14ac:dyDescent="0.2">
      <c r="A568" s="197" t="s">
        <v>4473</v>
      </c>
      <c r="B568" s="197" t="s">
        <v>287</v>
      </c>
      <c r="C568" s="197" t="s">
        <v>208</v>
      </c>
      <c r="D568" s="197" t="s">
        <v>209</v>
      </c>
      <c r="E568" s="197" t="s">
        <v>210</v>
      </c>
      <c r="F568" s="197" t="s">
        <v>118</v>
      </c>
      <c r="G568" s="260">
        <v>7.59</v>
      </c>
      <c r="H568" s="197">
        <v>1</v>
      </c>
      <c r="I568" s="197" t="s">
        <v>3954</v>
      </c>
      <c r="J568" s="197" t="s">
        <v>3982</v>
      </c>
      <c r="K568" s="197" t="s">
        <v>1283</v>
      </c>
      <c r="L568" s="261">
        <v>0.16</v>
      </c>
      <c r="M568" s="263">
        <v>520.93185000000005</v>
      </c>
      <c r="N568" s="263">
        <f>L568*M568</f>
        <v>83.349096000000017</v>
      </c>
      <c r="O568" s="199"/>
      <c r="P568" s="261"/>
      <c r="Q568" s="261"/>
      <c r="R568" s="198"/>
      <c r="S568" s="197" t="s">
        <v>4296</v>
      </c>
      <c r="T568" s="197" t="s">
        <v>4474</v>
      </c>
      <c r="U568" s="197" t="s">
        <v>3958</v>
      </c>
      <c r="V568" s="197" t="s">
        <v>3959</v>
      </c>
    </row>
    <row r="569" spans="1:22" s="197" customFormat="1" x14ac:dyDescent="0.2">
      <c r="A569" s="197" t="s">
        <v>4473</v>
      </c>
      <c r="B569" s="197" t="s">
        <v>287</v>
      </c>
      <c r="C569" s="197" t="s">
        <v>208</v>
      </c>
      <c r="D569" s="197" t="s">
        <v>209</v>
      </c>
      <c r="E569" s="197" t="s">
        <v>210</v>
      </c>
      <c r="F569" s="197" t="s">
        <v>118</v>
      </c>
      <c r="G569" s="260">
        <v>7.59</v>
      </c>
      <c r="H569" s="197">
        <v>2</v>
      </c>
      <c r="I569" s="197" t="s">
        <v>3960</v>
      </c>
      <c r="J569" s="197" t="s">
        <v>3985</v>
      </c>
      <c r="K569" s="197" t="s">
        <v>1283</v>
      </c>
      <c r="L569" s="261">
        <v>0.64</v>
      </c>
      <c r="M569" s="263">
        <v>520.93185000000005</v>
      </c>
      <c r="N569" s="263">
        <f>L569*M569</f>
        <v>333.39638400000007</v>
      </c>
      <c r="O569" s="199"/>
      <c r="P569" s="261"/>
      <c r="Q569" s="261"/>
      <c r="R569" s="198"/>
      <c r="S569" s="197" t="s">
        <v>4296</v>
      </c>
      <c r="T569" s="197" t="s">
        <v>4474</v>
      </c>
      <c r="U569" s="197" t="s">
        <v>3958</v>
      </c>
      <c r="V569" s="197" t="s">
        <v>3959</v>
      </c>
    </row>
    <row r="570" spans="1:22" s="197" customFormat="1" x14ac:dyDescent="0.2">
      <c r="A570" s="197" t="s">
        <v>4473</v>
      </c>
      <c r="B570" s="197" t="s">
        <v>287</v>
      </c>
      <c r="C570" s="197" t="s">
        <v>208</v>
      </c>
      <c r="D570" s="197" t="s">
        <v>209</v>
      </c>
      <c r="E570" s="197" t="s">
        <v>210</v>
      </c>
      <c r="F570" s="197" t="s">
        <v>118</v>
      </c>
      <c r="G570" s="260">
        <v>7.59</v>
      </c>
      <c r="H570" s="197">
        <v>3</v>
      </c>
      <c r="I570" s="197" t="s">
        <v>3962</v>
      </c>
      <c r="J570" s="197" t="s">
        <v>3986</v>
      </c>
      <c r="K570" s="197" t="s">
        <v>1283</v>
      </c>
      <c r="L570" s="261">
        <v>0.15</v>
      </c>
      <c r="M570" s="263">
        <v>520.93185000000005</v>
      </c>
      <c r="N570" s="263">
        <f>L570*M570</f>
        <v>78.139777500000008</v>
      </c>
      <c r="O570" s="199"/>
      <c r="P570" s="261"/>
      <c r="Q570" s="261"/>
      <c r="R570" s="198"/>
      <c r="S570" s="197" t="s">
        <v>4296</v>
      </c>
      <c r="T570" s="197" t="s">
        <v>4474</v>
      </c>
      <c r="U570" s="197" t="s">
        <v>3958</v>
      </c>
      <c r="V570" s="197" t="s">
        <v>3959</v>
      </c>
    </row>
    <row r="571" spans="1:22" s="197" customFormat="1" x14ac:dyDescent="0.2">
      <c r="A571" s="197" t="s">
        <v>4473</v>
      </c>
      <c r="B571" s="197" t="s">
        <v>287</v>
      </c>
      <c r="C571" s="197" t="s">
        <v>208</v>
      </c>
      <c r="D571" s="197" t="s">
        <v>209</v>
      </c>
      <c r="E571" s="197" t="s">
        <v>210</v>
      </c>
      <c r="F571" s="197" t="s">
        <v>118</v>
      </c>
      <c r="G571" s="260">
        <v>7.59</v>
      </c>
      <c r="H571" s="197">
        <v>4</v>
      </c>
      <c r="I571" s="197" t="s">
        <v>3987</v>
      </c>
      <c r="J571" s="197" t="s">
        <v>3988</v>
      </c>
      <c r="K571" s="197" t="s">
        <v>1283</v>
      </c>
      <c r="L571" s="261">
        <v>0.05</v>
      </c>
      <c r="M571" s="263">
        <v>520.93185000000005</v>
      </c>
      <c r="N571" s="263">
        <f>L571*M571</f>
        <v>26.046592500000003</v>
      </c>
      <c r="O571" s="199"/>
      <c r="P571" s="261"/>
      <c r="Q571" s="261"/>
      <c r="R571" s="198"/>
      <c r="S571" s="197" t="s">
        <v>4296</v>
      </c>
      <c r="T571" s="197" t="s">
        <v>4474</v>
      </c>
      <c r="U571" s="197" t="s">
        <v>3958</v>
      </c>
      <c r="V571" s="197" t="s">
        <v>3959</v>
      </c>
    </row>
    <row r="572" spans="1:22" s="197" customFormat="1" x14ac:dyDescent="0.2">
      <c r="A572" s="197" t="s">
        <v>4473</v>
      </c>
      <c r="B572" s="197" t="s">
        <v>287</v>
      </c>
      <c r="C572" s="197" t="s">
        <v>208</v>
      </c>
      <c r="D572" s="197" t="s">
        <v>209</v>
      </c>
      <c r="E572" s="197" t="s">
        <v>210</v>
      </c>
      <c r="F572" s="197" t="s">
        <v>118</v>
      </c>
      <c r="G572" s="260">
        <v>7.59</v>
      </c>
      <c r="H572" s="197">
        <v>5</v>
      </c>
      <c r="I572" s="197" t="s">
        <v>3968</v>
      </c>
      <c r="J572" s="197" t="s">
        <v>3969</v>
      </c>
      <c r="K572" s="197" t="s">
        <v>118</v>
      </c>
      <c r="L572" s="261">
        <v>1</v>
      </c>
      <c r="M572" s="263"/>
      <c r="N572" s="263">
        <f>SUM(N568:N571)</f>
        <v>520.93185000000005</v>
      </c>
      <c r="O572" s="199">
        <v>0.2223</v>
      </c>
      <c r="P572" s="261">
        <f>N572*O572</f>
        <v>115.80315025500001</v>
      </c>
      <c r="Q572" s="261">
        <f>N572+P572</f>
        <v>636.73500025500005</v>
      </c>
      <c r="R572" s="198">
        <f>Q572*G572</f>
        <v>4832.8186519354504</v>
      </c>
      <c r="S572" s="197" t="s">
        <v>4296</v>
      </c>
      <c r="T572" s="197" t="s">
        <v>4474</v>
      </c>
      <c r="U572" s="197" t="str">
        <f>IF(ABS(Q572-636.735)&lt;=0.01,"FECHA COM PLANILHA","REVISAR")</f>
        <v>FECHA COM PLANILHA</v>
      </c>
      <c r="V572" s="197" t="s">
        <v>4298</v>
      </c>
    </row>
    <row r="573" spans="1:22" s="197" customFormat="1" x14ac:dyDescent="0.2">
      <c r="A573" s="197" t="s">
        <v>4475</v>
      </c>
      <c r="B573" s="197" t="s">
        <v>2184</v>
      </c>
      <c r="C573" s="197" t="s">
        <v>2185</v>
      </c>
      <c r="D573" s="197" t="s">
        <v>209</v>
      </c>
      <c r="E573" s="197" t="s">
        <v>1068</v>
      </c>
      <c r="F573" s="197" t="s">
        <v>99</v>
      </c>
      <c r="G573" s="260">
        <v>152.5</v>
      </c>
      <c r="H573" s="197">
        <v>1</v>
      </c>
      <c r="I573" s="197" t="s">
        <v>3954</v>
      </c>
      <c r="J573" s="197" t="s">
        <v>4110</v>
      </c>
      <c r="K573" s="197" t="s">
        <v>1283</v>
      </c>
      <c r="L573" s="261">
        <v>0.3</v>
      </c>
      <c r="M573" s="263">
        <v>24.427309000000001</v>
      </c>
      <c r="N573" s="263">
        <f>L573*M573</f>
        <v>7.3281926999999998</v>
      </c>
      <c r="O573" s="199"/>
      <c r="P573" s="261"/>
      <c r="Q573" s="261"/>
      <c r="R573" s="198"/>
      <c r="S573" s="197" t="s">
        <v>4476</v>
      </c>
      <c r="T573" s="197" t="s">
        <v>4477</v>
      </c>
      <c r="U573" s="197" t="s">
        <v>3958</v>
      </c>
      <c r="V573" s="197" t="s">
        <v>3959</v>
      </c>
    </row>
    <row r="574" spans="1:22" s="197" customFormat="1" x14ac:dyDescent="0.2">
      <c r="A574" s="197" t="s">
        <v>4475</v>
      </c>
      <c r="B574" s="197" t="s">
        <v>2184</v>
      </c>
      <c r="C574" s="197" t="s">
        <v>2185</v>
      </c>
      <c r="D574" s="197" t="s">
        <v>209</v>
      </c>
      <c r="E574" s="197" t="s">
        <v>1068</v>
      </c>
      <c r="F574" s="197" t="s">
        <v>99</v>
      </c>
      <c r="G574" s="260">
        <v>152.5</v>
      </c>
      <c r="H574" s="197">
        <v>2</v>
      </c>
      <c r="I574" s="197" t="s">
        <v>3960</v>
      </c>
      <c r="J574" s="197" t="s">
        <v>4113</v>
      </c>
      <c r="K574" s="197" t="s">
        <v>1283</v>
      </c>
      <c r="L574" s="261">
        <v>0.55000000000000004</v>
      </c>
      <c r="M574" s="263">
        <v>24.427309000000001</v>
      </c>
      <c r="N574" s="263">
        <f>L574*M574</f>
        <v>13.435019950000001</v>
      </c>
      <c r="O574" s="199"/>
      <c r="P574" s="261"/>
      <c r="Q574" s="261"/>
      <c r="R574" s="198"/>
      <c r="S574" s="197" t="s">
        <v>4476</v>
      </c>
      <c r="T574" s="197" t="s">
        <v>4477</v>
      </c>
      <c r="U574" s="197" t="s">
        <v>3958</v>
      </c>
      <c r="V574" s="197" t="s">
        <v>3959</v>
      </c>
    </row>
    <row r="575" spans="1:22" s="197" customFormat="1" x14ac:dyDescent="0.2">
      <c r="A575" s="197" t="s">
        <v>4475</v>
      </c>
      <c r="B575" s="197" t="s">
        <v>2184</v>
      </c>
      <c r="C575" s="197" t="s">
        <v>2185</v>
      </c>
      <c r="D575" s="197" t="s">
        <v>209</v>
      </c>
      <c r="E575" s="197" t="s">
        <v>1068</v>
      </c>
      <c r="F575" s="197" t="s">
        <v>99</v>
      </c>
      <c r="G575" s="260">
        <v>152.5</v>
      </c>
      <c r="H575" s="197">
        <v>3</v>
      </c>
      <c r="I575" s="197" t="s">
        <v>3976</v>
      </c>
      <c r="J575" s="197" t="s">
        <v>4114</v>
      </c>
      <c r="K575" s="197" t="s">
        <v>1283</v>
      </c>
      <c r="L575" s="261">
        <v>0.1</v>
      </c>
      <c r="M575" s="263">
        <v>24.427309000000001</v>
      </c>
      <c r="N575" s="263">
        <f>L575*M575</f>
        <v>2.4427309000000004</v>
      </c>
      <c r="O575" s="199"/>
      <c r="P575" s="261"/>
      <c r="Q575" s="261"/>
      <c r="R575" s="198"/>
      <c r="S575" s="197" t="s">
        <v>4476</v>
      </c>
      <c r="T575" s="197" t="s">
        <v>4477</v>
      </c>
      <c r="U575" s="197" t="s">
        <v>3958</v>
      </c>
      <c r="V575" s="197" t="s">
        <v>3959</v>
      </c>
    </row>
    <row r="576" spans="1:22" s="197" customFormat="1" x14ac:dyDescent="0.2">
      <c r="A576" s="197" t="s">
        <v>4475</v>
      </c>
      <c r="B576" s="197" t="s">
        <v>2184</v>
      </c>
      <c r="C576" s="197" t="s">
        <v>2185</v>
      </c>
      <c r="D576" s="197" t="s">
        <v>209</v>
      </c>
      <c r="E576" s="197" t="s">
        <v>1068</v>
      </c>
      <c r="F576" s="197" t="s">
        <v>99</v>
      </c>
      <c r="G576" s="260">
        <v>152.5</v>
      </c>
      <c r="H576" s="197">
        <v>4</v>
      </c>
      <c r="I576" s="197" t="s">
        <v>4017</v>
      </c>
      <c r="J576" s="197" t="s">
        <v>4115</v>
      </c>
      <c r="K576" s="197" t="s">
        <v>1283</v>
      </c>
      <c r="L576" s="261">
        <v>0.05</v>
      </c>
      <c r="M576" s="263">
        <v>24.427309000000001</v>
      </c>
      <c r="N576" s="263">
        <f>L576*M576</f>
        <v>1.2213654500000002</v>
      </c>
      <c r="O576" s="199"/>
      <c r="P576" s="261"/>
      <c r="Q576" s="261"/>
      <c r="R576" s="198"/>
      <c r="S576" s="197" t="s">
        <v>4476</v>
      </c>
      <c r="T576" s="197" t="s">
        <v>4477</v>
      </c>
      <c r="U576" s="197" t="s">
        <v>3958</v>
      </c>
      <c r="V576" s="197" t="s">
        <v>3959</v>
      </c>
    </row>
    <row r="577" spans="1:22" s="197" customFormat="1" x14ac:dyDescent="0.2">
      <c r="A577" s="197" t="s">
        <v>4475</v>
      </c>
      <c r="B577" s="197" t="s">
        <v>2184</v>
      </c>
      <c r="C577" s="197" t="s">
        <v>2185</v>
      </c>
      <c r="D577" s="197" t="s">
        <v>209</v>
      </c>
      <c r="E577" s="197" t="s">
        <v>1068</v>
      </c>
      <c r="F577" s="197" t="s">
        <v>99</v>
      </c>
      <c r="G577" s="260">
        <v>152.5</v>
      </c>
      <c r="H577" s="197">
        <v>5</v>
      </c>
      <c r="I577" s="197" t="s">
        <v>3968</v>
      </c>
      <c r="J577" s="197" t="s">
        <v>3969</v>
      </c>
      <c r="K577" s="197" t="s">
        <v>99</v>
      </c>
      <c r="L577" s="261">
        <v>1</v>
      </c>
      <c r="M577" s="263"/>
      <c r="N577" s="263">
        <f>SUM(N573:N576)</f>
        <v>24.427309000000001</v>
      </c>
      <c r="O577" s="199">
        <v>0.2223</v>
      </c>
      <c r="P577" s="261">
        <f>N577*O577</f>
        <v>5.4301907907000002</v>
      </c>
      <c r="Q577" s="261">
        <f>N577+P577</f>
        <v>29.8574997907</v>
      </c>
      <c r="R577" s="198">
        <f>Q577*G577</f>
        <v>4553.2687180817502</v>
      </c>
      <c r="S577" s="197" t="s">
        <v>4476</v>
      </c>
      <c r="T577" s="197" t="s">
        <v>4477</v>
      </c>
      <c r="U577" s="197" t="str">
        <f>IF(ABS(Q577-29.8575)&lt;=0.01,"FECHA COM PLANILHA","REVISAR")</f>
        <v>FECHA COM PLANILHA</v>
      </c>
      <c r="V577" s="197" t="s">
        <v>4478</v>
      </c>
    </row>
    <row r="578" spans="1:22" s="197" customFormat="1" x14ac:dyDescent="0.2">
      <c r="A578" s="197" t="s">
        <v>4479</v>
      </c>
      <c r="B578" s="197" t="s">
        <v>1909</v>
      </c>
      <c r="C578" s="197" t="s">
        <v>854</v>
      </c>
      <c r="D578" s="197" t="s">
        <v>209</v>
      </c>
      <c r="E578" s="197" t="s">
        <v>855</v>
      </c>
      <c r="F578" s="197" t="s">
        <v>99</v>
      </c>
      <c r="G578" s="260">
        <v>30</v>
      </c>
      <c r="H578" s="197">
        <v>1</v>
      </c>
      <c r="I578" s="197" t="s">
        <v>3954</v>
      </c>
      <c r="J578" s="197" t="s">
        <v>4088</v>
      </c>
      <c r="K578" s="197" t="s">
        <v>1283</v>
      </c>
      <c r="L578" s="261">
        <v>0.1</v>
      </c>
      <c r="M578" s="263">
        <v>115.76740599999999</v>
      </c>
      <c r="N578" s="263">
        <f>L578*M578</f>
        <v>11.576740600000001</v>
      </c>
      <c r="O578" s="199"/>
      <c r="P578" s="261"/>
      <c r="Q578" s="261"/>
      <c r="R578" s="198"/>
      <c r="S578" s="197" t="s">
        <v>4480</v>
      </c>
      <c r="T578" s="197" t="s">
        <v>4481</v>
      </c>
      <c r="U578" s="197" t="s">
        <v>3958</v>
      </c>
      <c r="V578" s="197" t="s">
        <v>3959</v>
      </c>
    </row>
    <row r="579" spans="1:22" s="197" customFormat="1" x14ac:dyDescent="0.2">
      <c r="A579" s="197" t="s">
        <v>4479</v>
      </c>
      <c r="B579" s="197" t="s">
        <v>1909</v>
      </c>
      <c r="C579" s="197" t="s">
        <v>854</v>
      </c>
      <c r="D579" s="197" t="s">
        <v>209</v>
      </c>
      <c r="E579" s="197" t="s">
        <v>855</v>
      </c>
      <c r="F579" s="197" t="s">
        <v>99</v>
      </c>
      <c r="G579" s="260">
        <v>30</v>
      </c>
      <c r="H579" s="197">
        <v>2</v>
      </c>
      <c r="I579" s="197" t="s">
        <v>4091</v>
      </c>
      <c r="J579" s="197" t="s">
        <v>4092</v>
      </c>
      <c r="K579" s="197" t="s">
        <v>1283</v>
      </c>
      <c r="L579" s="261">
        <v>0.84</v>
      </c>
      <c r="M579" s="263">
        <v>115.76740599999999</v>
      </c>
      <c r="N579" s="263">
        <f>L579*M579</f>
        <v>97.244621039999998</v>
      </c>
      <c r="O579" s="199"/>
      <c r="P579" s="261"/>
      <c r="Q579" s="261"/>
      <c r="R579" s="198"/>
      <c r="S579" s="197" t="s">
        <v>4480</v>
      </c>
      <c r="T579" s="197" t="s">
        <v>4481</v>
      </c>
      <c r="U579" s="197" t="s">
        <v>3958</v>
      </c>
      <c r="V579" s="197" t="s">
        <v>3959</v>
      </c>
    </row>
    <row r="580" spans="1:22" s="197" customFormat="1" x14ac:dyDescent="0.2">
      <c r="A580" s="197" t="s">
        <v>4479</v>
      </c>
      <c r="B580" s="197" t="s">
        <v>1909</v>
      </c>
      <c r="C580" s="197" t="s">
        <v>854</v>
      </c>
      <c r="D580" s="197" t="s">
        <v>209</v>
      </c>
      <c r="E580" s="197" t="s">
        <v>855</v>
      </c>
      <c r="F580" s="197" t="s">
        <v>99</v>
      </c>
      <c r="G580" s="260">
        <v>30</v>
      </c>
      <c r="H580" s="197">
        <v>3</v>
      </c>
      <c r="I580" s="197" t="s">
        <v>4093</v>
      </c>
      <c r="J580" s="197" t="s">
        <v>4094</v>
      </c>
      <c r="K580" s="197" t="s">
        <v>1283</v>
      </c>
      <c r="L580" s="261">
        <v>0.03</v>
      </c>
      <c r="M580" s="263">
        <v>115.76740599999999</v>
      </c>
      <c r="N580" s="263">
        <f>L580*M580</f>
        <v>3.4730221799999996</v>
      </c>
      <c r="O580" s="199"/>
      <c r="P580" s="261"/>
      <c r="Q580" s="261"/>
      <c r="R580" s="198"/>
      <c r="S580" s="197" t="s">
        <v>4480</v>
      </c>
      <c r="T580" s="197" t="s">
        <v>4481</v>
      </c>
      <c r="U580" s="197" t="s">
        <v>3958</v>
      </c>
      <c r="V580" s="197" t="s">
        <v>3959</v>
      </c>
    </row>
    <row r="581" spans="1:22" s="197" customFormat="1" x14ac:dyDescent="0.2">
      <c r="A581" s="197" t="s">
        <v>4479</v>
      </c>
      <c r="B581" s="197" t="s">
        <v>1909</v>
      </c>
      <c r="C581" s="197" t="s">
        <v>854</v>
      </c>
      <c r="D581" s="197" t="s">
        <v>209</v>
      </c>
      <c r="E581" s="197" t="s">
        <v>855</v>
      </c>
      <c r="F581" s="197" t="s">
        <v>99</v>
      </c>
      <c r="G581" s="260">
        <v>30</v>
      </c>
      <c r="H581" s="197">
        <v>4</v>
      </c>
      <c r="I581" s="197" t="s">
        <v>4017</v>
      </c>
      <c r="J581" s="197" t="s">
        <v>4095</v>
      </c>
      <c r="K581" s="197" t="s">
        <v>1283</v>
      </c>
      <c r="L581" s="261">
        <v>0.03</v>
      </c>
      <c r="M581" s="263">
        <v>115.76740599999999</v>
      </c>
      <c r="N581" s="263">
        <f>L581*M581</f>
        <v>3.4730221799999996</v>
      </c>
      <c r="O581" s="199"/>
      <c r="P581" s="261"/>
      <c r="Q581" s="261"/>
      <c r="R581" s="198"/>
      <c r="S581" s="197" t="s">
        <v>4480</v>
      </c>
      <c r="T581" s="197" t="s">
        <v>4481</v>
      </c>
      <c r="U581" s="197" t="s">
        <v>3958</v>
      </c>
      <c r="V581" s="197" t="s">
        <v>3959</v>
      </c>
    </row>
    <row r="582" spans="1:22" s="197" customFormat="1" x14ac:dyDescent="0.2">
      <c r="A582" s="197" t="s">
        <v>4479</v>
      </c>
      <c r="B582" s="197" t="s">
        <v>1909</v>
      </c>
      <c r="C582" s="197" t="s">
        <v>854</v>
      </c>
      <c r="D582" s="197" t="s">
        <v>209</v>
      </c>
      <c r="E582" s="197" t="s">
        <v>855</v>
      </c>
      <c r="F582" s="197" t="s">
        <v>99</v>
      </c>
      <c r="G582" s="260">
        <v>30</v>
      </c>
      <c r="H582" s="197">
        <v>5</v>
      </c>
      <c r="I582" s="197" t="s">
        <v>3968</v>
      </c>
      <c r="J582" s="197" t="s">
        <v>3969</v>
      </c>
      <c r="K582" s="197" t="s">
        <v>99</v>
      </c>
      <c r="L582" s="261">
        <v>1</v>
      </c>
      <c r="M582" s="263"/>
      <c r="N582" s="263">
        <f>SUM(N578:N581)</f>
        <v>115.76740599999999</v>
      </c>
      <c r="O582" s="199">
        <v>0.2223</v>
      </c>
      <c r="P582" s="261">
        <f>N582*O582</f>
        <v>25.735094353799997</v>
      </c>
      <c r="Q582" s="261">
        <f>N582+P582</f>
        <v>141.5025003538</v>
      </c>
      <c r="R582" s="198">
        <f>Q582*G582</f>
        <v>4245.0750106140003</v>
      </c>
      <c r="S582" s="197" t="s">
        <v>4480</v>
      </c>
      <c r="T582" s="197" t="s">
        <v>4481</v>
      </c>
      <c r="U582" s="197" t="str">
        <f>IF(ABS(Q582-141.5025)&lt;=0.01,"FECHA COM PLANILHA","REVISAR")</f>
        <v>FECHA COM PLANILHA</v>
      </c>
      <c r="V582" s="197" t="s">
        <v>4482</v>
      </c>
    </row>
    <row r="583" spans="1:22" s="197" customFormat="1" x14ac:dyDescent="0.2">
      <c r="A583" s="197" t="s">
        <v>4483</v>
      </c>
      <c r="B583" s="197" t="s">
        <v>511</v>
      </c>
      <c r="C583" s="197" t="s">
        <v>512</v>
      </c>
      <c r="D583" s="197" t="s">
        <v>209</v>
      </c>
      <c r="E583" s="197" t="s">
        <v>513</v>
      </c>
      <c r="F583" s="197" t="s">
        <v>84</v>
      </c>
      <c r="G583" s="260">
        <v>12</v>
      </c>
      <c r="H583" s="197">
        <v>1</v>
      </c>
      <c r="I583" s="197" t="s">
        <v>3954</v>
      </c>
      <c r="J583" s="197" t="s">
        <v>3972</v>
      </c>
      <c r="K583" s="197" t="s">
        <v>1283</v>
      </c>
      <c r="L583" s="261">
        <v>0.18</v>
      </c>
      <c r="M583" s="263">
        <v>285.90566999999999</v>
      </c>
      <c r="N583" s="263">
        <f>L583*M583</f>
        <v>51.463020599999993</v>
      </c>
      <c r="O583" s="199"/>
      <c r="P583" s="261"/>
      <c r="Q583" s="261"/>
      <c r="R583" s="198"/>
      <c r="S583" s="197" t="s">
        <v>4484</v>
      </c>
      <c r="T583" s="197" t="s">
        <v>4485</v>
      </c>
      <c r="U583" s="197" t="s">
        <v>3958</v>
      </c>
      <c r="V583" s="197" t="s">
        <v>3959</v>
      </c>
    </row>
    <row r="584" spans="1:22" s="197" customFormat="1" x14ac:dyDescent="0.2">
      <c r="A584" s="197" t="s">
        <v>4483</v>
      </c>
      <c r="B584" s="197" t="s">
        <v>511</v>
      </c>
      <c r="C584" s="197" t="s">
        <v>512</v>
      </c>
      <c r="D584" s="197" t="s">
        <v>209</v>
      </c>
      <c r="E584" s="197" t="s">
        <v>513</v>
      </c>
      <c r="F584" s="197" t="s">
        <v>84</v>
      </c>
      <c r="G584" s="260">
        <v>12</v>
      </c>
      <c r="H584" s="197">
        <v>2</v>
      </c>
      <c r="I584" s="197" t="s">
        <v>3960</v>
      </c>
      <c r="J584" s="197" t="s">
        <v>3975</v>
      </c>
      <c r="K584" s="197" t="s">
        <v>1283</v>
      </c>
      <c r="L584" s="261">
        <v>0.75</v>
      </c>
      <c r="M584" s="263">
        <v>285.90566999999999</v>
      </c>
      <c r="N584" s="263">
        <f>L584*M584</f>
        <v>214.42925249999999</v>
      </c>
      <c r="O584" s="199"/>
      <c r="P584" s="261"/>
      <c r="Q584" s="261"/>
      <c r="R584" s="198"/>
      <c r="S584" s="197" t="s">
        <v>4484</v>
      </c>
      <c r="T584" s="197" t="s">
        <v>4485</v>
      </c>
      <c r="U584" s="197" t="s">
        <v>3958</v>
      </c>
      <c r="V584" s="197" t="s">
        <v>3959</v>
      </c>
    </row>
    <row r="585" spans="1:22" s="197" customFormat="1" x14ac:dyDescent="0.2">
      <c r="A585" s="197" t="s">
        <v>4483</v>
      </c>
      <c r="B585" s="197" t="s">
        <v>511</v>
      </c>
      <c r="C585" s="197" t="s">
        <v>512</v>
      </c>
      <c r="D585" s="197" t="s">
        <v>209</v>
      </c>
      <c r="E585" s="197" t="s">
        <v>513</v>
      </c>
      <c r="F585" s="197" t="s">
        <v>84</v>
      </c>
      <c r="G585" s="260">
        <v>12</v>
      </c>
      <c r="H585" s="197">
        <v>3</v>
      </c>
      <c r="I585" s="197" t="s">
        <v>3976</v>
      </c>
      <c r="J585" s="197" t="s">
        <v>3977</v>
      </c>
      <c r="K585" s="197" t="s">
        <v>1283</v>
      </c>
      <c r="L585" s="261">
        <v>0.04</v>
      </c>
      <c r="M585" s="263">
        <v>285.90566999999999</v>
      </c>
      <c r="N585" s="263">
        <f>L585*M585</f>
        <v>11.4362268</v>
      </c>
      <c r="O585" s="199"/>
      <c r="P585" s="261"/>
      <c r="Q585" s="261"/>
      <c r="R585" s="198"/>
      <c r="S585" s="197" t="s">
        <v>4484</v>
      </c>
      <c r="T585" s="197" t="s">
        <v>4485</v>
      </c>
      <c r="U585" s="197" t="s">
        <v>3958</v>
      </c>
      <c r="V585" s="197" t="s">
        <v>3959</v>
      </c>
    </row>
    <row r="586" spans="1:22" s="197" customFormat="1" x14ac:dyDescent="0.2">
      <c r="A586" s="197" t="s">
        <v>4483</v>
      </c>
      <c r="B586" s="197" t="s">
        <v>511</v>
      </c>
      <c r="C586" s="197" t="s">
        <v>512</v>
      </c>
      <c r="D586" s="197" t="s">
        <v>209</v>
      </c>
      <c r="E586" s="197" t="s">
        <v>513</v>
      </c>
      <c r="F586" s="197" t="s">
        <v>84</v>
      </c>
      <c r="G586" s="260">
        <v>12</v>
      </c>
      <c r="H586" s="197">
        <v>4</v>
      </c>
      <c r="I586" s="197" t="s">
        <v>3978</v>
      </c>
      <c r="J586" s="197" t="s">
        <v>3979</v>
      </c>
      <c r="K586" s="197" t="s">
        <v>1283</v>
      </c>
      <c r="L586" s="261">
        <v>0.03</v>
      </c>
      <c r="M586" s="263">
        <v>285.90566999999999</v>
      </c>
      <c r="N586" s="263">
        <f>L586*M586</f>
        <v>8.5771701</v>
      </c>
      <c r="O586" s="199"/>
      <c r="P586" s="261"/>
      <c r="Q586" s="261"/>
      <c r="R586" s="198"/>
      <c r="S586" s="197" t="s">
        <v>4484</v>
      </c>
      <c r="T586" s="197" t="s">
        <v>4485</v>
      </c>
      <c r="U586" s="197" t="s">
        <v>3958</v>
      </c>
      <c r="V586" s="197" t="s">
        <v>3959</v>
      </c>
    </row>
    <row r="587" spans="1:22" s="197" customFormat="1" x14ac:dyDescent="0.2">
      <c r="A587" s="197" t="s">
        <v>4483</v>
      </c>
      <c r="B587" s="197" t="s">
        <v>511</v>
      </c>
      <c r="C587" s="197" t="s">
        <v>512</v>
      </c>
      <c r="D587" s="197" t="s">
        <v>209</v>
      </c>
      <c r="E587" s="197" t="s">
        <v>513</v>
      </c>
      <c r="F587" s="197" t="s">
        <v>84</v>
      </c>
      <c r="G587" s="260">
        <v>12</v>
      </c>
      <c r="H587" s="197">
        <v>5</v>
      </c>
      <c r="I587" s="197" t="s">
        <v>3968</v>
      </c>
      <c r="J587" s="197" t="s">
        <v>3969</v>
      </c>
      <c r="K587" s="197" t="s">
        <v>84</v>
      </c>
      <c r="L587" s="261">
        <v>1</v>
      </c>
      <c r="M587" s="263"/>
      <c r="N587" s="263">
        <f>SUM(N583:N586)</f>
        <v>285.90566999999999</v>
      </c>
      <c r="O587" s="199">
        <v>0.2223</v>
      </c>
      <c r="P587" s="261">
        <f>N587*O587</f>
        <v>63.556830440999995</v>
      </c>
      <c r="Q587" s="261">
        <f>N587+P587</f>
        <v>349.46250044099997</v>
      </c>
      <c r="R587" s="198">
        <f>Q587*G587</f>
        <v>4193.5500052919997</v>
      </c>
      <c r="S587" s="197" t="s">
        <v>4484</v>
      </c>
      <c r="T587" s="197" t="s">
        <v>4485</v>
      </c>
      <c r="U587" s="197" t="str">
        <f>IF(ABS(Q587-349.4625)&lt;=0.01,"FECHA COM PLANILHA","REVISAR")</f>
        <v>FECHA COM PLANILHA</v>
      </c>
      <c r="V587" s="197" t="s">
        <v>4486</v>
      </c>
    </row>
    <row r="588" spans="1:22" s="197" customFormat="1" x14ac:dyDescent="0.2">
      <c r="A588" s="197" t="s">
        <v>4487</v>
      </c>
      <c r="B588" s="197" t="s">
        <v>1927</v>
      </c>
      <c r="C588" s="197" t="s">
        <v>876</v>
      </c>
      <c r="D588" s="197" t="s">
        <v>209</v>
      </c>
      <c r="E588" s="197" t="s">
        <v>877</v>
      </c>
      <c r="F588" s="197" t="s">
        <v>84</v>
      </c>
      <c r="G588" s="260">
        <v>18</v>
      </c>
      <c r="H588" s="197">
        <v>1</v>
      </c>
      <c r="I588" s="197" t="s">
        <v>3954</v>
      </c>
      <c r="J588" s="197" t="s">
        <v>4012</v>
      </c>
      <c r="K588" s="197" t="s">
        <v>1283</v>
      </c>
      <c r="L588" s="261">
        <v>0.22</v>
      </c>
      <c r="M588" s="263">
        <v>170.26098300000001</v>
      </c>
      <c r="N588" s="263">
        <f>L588*M588</f>
        <v>37.457416260000002</v>
      </c>
      <c r="O588" s="199"/>
      <c r="P588" s="261"/>
      <c r="Q588" s="261"/>
      <c r="R588" s="198"/>
      <c r="S588" s="197" t="s">
        <v>4488</v>
      </c>
      <c r="T588" s="197" t="s">
        <v>4489</v>
      </c>
      <c r="U588" s="197" t="s">
        <v>3958</v>
      </c>
      <c r="V588" s="197" t="s">
        <v>3959</v>
      </c>
    </row>
    <row r="589" spans="1:22" s="197" customFormat="1" x14ac:dyDescent="0.2">
      <c r="A589" s="197" t="s">
        <v>4487</v>
      </c>
      <c r="B589" s="197" t="s">
        <v>1927</v>
      </c>
      <c r="C589" s="197" t="s">
        <v>876</v>
      </c>
      <c r="D589" s="197" t="s">
        <v>209</v>
      </c>
      <c r="E589" s="197" t="s">
        <v>877</v>
      </c>
      <c r="F589" s="197" t="s">
        <v>84</v>
      </c>
      <c r="G589" s="260">
        <v>18</v>
      </c>
      <c r="H589" s="197">
        <v>2</v>
      </c>
      <c r="I589" s="197" t="s">
        <v>3960</v>
      </c>
      <c r="J589" s="197" t="s">
        <v>4015</v>
      </c>
      <c r="K589" s="197" t="s">
        <v>1283</v>
      </c>
      <c r="L589" s="261">
        <v>0.7</v>
      </c>
      <c r="M589" s="263">
        <v>170.26098300000001</v>
      </c>
      <c r="N589" s="263">
        <f>L589*M589</f>
        <v>119.18268809999999</v>
      </c>
      <c r="O589" s="199"/>
      <c r="P589" s="261"/>
      <c r="Q589" s="261"/>
      <c r="R589" s="198"/>
      <c r="S589" s="197" t="s">
        <v>4488</v>
      </c>
      <c r="T589" s="197" t="s">
        <v>4489</v>
      </c>
      <c r="U589" s="197" t="s">
        <v>3958</v>
      </c>
      <c r="V589" s="197" t="s">
        <v>3959</v>
      </c>
    </row>
    <row r="590" spans="1:22" s="197" customFormat="1" x14ac:dyDescent="0.2">
      <c r="A590" s="197" t="s">
        <v>4487</v>
      </c>
      <c r="B590" s="197" t="s">
        <v>1927</v>
      </c>
      <c r="C590" s="197" t="s">
        <v>876</v>
      </c>
      <c r="D590" s="197" t="s">
        <v>209</v>
      </c>
      <c r="E590" s="197" t="s">
        <v>877</v>
      </c>
      <c r="F590" s="197" t="s">
        <v>84</v>
      </c>
      <c r="G590" s="260">
        <v>18</v>
      </c>
      <c r="H590" s="197">
        <v>3</v>
      </c>
      <c r="I590" s="197" t="s">
        <v>3976</v>
      </c>
      <c r="J590" s="197" t="s">
        <v>4016</v>
      </c>
      <c r="K590" s="197" t="s">
        <v>1283</v>
      </c>
      <c r="L590" s="261">
        <v>0.05</v>
      </c>
      <c r="M590" s="263">
        <v>170.26098300000001</v>
      </c>
      <c r="N590" s="263">
        <f>L590*M590</f>
        <v>8.5130491500000005</v>
      </c>
      <c r="O590" s="199"/>
      <c r="P590" s="261"/>
      <c r="Q590" s="261"/>
      <c r="R590" s="198"/>
      <c r="S590" s="197" t="s">
        <v>4488</v>
      </c>
      <c r="T590" s="197" t="s">
        <v>4489</v>
      </c>
      <c r="U590" s="197" t="s">
        <v>3958</v>
      </c>
      <c r="V590" s="197" t="s">
        <v>3959</v>
      </c>
    </row>
    <row r="591" spans="1:22" s="197" customFormat="1" x14ac:dyDescent="0.2">
      <c r="A591" s="197" t="s">
        <v>4487</v>
      </c>
      <c r="B591" s="197" t="s">
        <v>1927</v>
      </c>
      <c r="C591" s="197" t="s">
        <v>876</v>
      </c>
      <c r="D591" s="197" t="s">
        <v>209</v>
      </c>
      <c r="E591" s="197" t="s">
        <v>877</v>
      </c>
      <c r="F591" s="197" t="s">
        <v>84</v>
      </c>
      <c r="G591" s="260">
        <v>18</v>
      </c>
      <c r="H591" s="197">
        <v>4</v>
      </c>
      <c r="I591" s="197" t="s">
        <v>4017</v>
      </c>
      <c r="J591" s="197" t="s">
        <v>4018</v>
      </c>
      <c r="K591" s="197" t="s">
        <v>1283</v>
      </c>
      <c r="L591" s="261">
        <v>0.03</v>
      </c>
      <c r="M591" s="263">
        <v>170.26098300000001</v>
      </c>
      <c r="N591" s="263">
        <f>L591*M591</f>
        <v>5.1078294900000003</v>
      </c>
      <c r="O591" s="199"/>
      <c r="P591" s="261"/>
      <c r="Q591" s="261"/>
      <c r="R591" s="198"/>
      <c r="S591" s="197" t="s">
        <v>4488</v>
      </c>
      <c r="T591" s="197" t="s">
        <v>4489</v>
      </c>
      <c r="U591" s="197" t="s">
        <v>3958</v>
      </c>
      <c r="V591" s="197" t="s">
        <v>3959</v>
      </c>
    </row>
    <row r="592" spans="1:22" s="197" customFormat="1" x14ac:dyDescent="0.2">
      <c r="A592" s="197" t="s">
        <v>4487</v>
      </c>
      <c r="B592" s="197" t="s">
        <v>1927</v>
      </c>
      <c r="C592" s="197" t="s">
        <v>876</v>
      </c>
      <c r="D592" s="197" t="s">
        <v>209</v>
      </c>
      <c r="E592" s="197" t="s">
        <v>877</v>
      </c>
      <c r="F592" s="197" t="s">
        <v>84</v>
      </c>
      <c r="G592" s="260">
        <v>18</v>
      </c>
      <c r="H592" s="197">
        <v>5</v>
      </c>
      <c r="I592" s="197" t="s">
        <v>3968</v>
      </c>
      <c r="J592" s="197" t="s">
        <v>3969</v>
      </c>
      <c r="K592" s="197" t="s">
        <v>84</v>
      </c>
      <c r="L592" s="261">
        <v>1</v>
      </c>
      <c r="M592" s="263"/>
      <c r="N592" s="263">
        <f>SUM(N588:N591)</f>
        <v>170.26098300000001</v>
      </c>
      <c r="O592" s="199">
        <v>0.2223</v>
      </c>
      <c r="P592" s="261">
        <f>N592*O592</f>
        <v>37.849016520900001</v>
      </c>
      <c r="Q592" s="261">
        <f>N592+P592</f>
        <v>208.1099995209</v>
      </c>
      <c r="R592" s="198">
        <f>Q592*G592</f>
        <v>3745.9799913761999</v>
      </c>
      <c r="S592" s="197" t="s">
        <v>4488</v>
      </c>
      <c r="T592" s="197" t="s">
        <v>4489</v>
      </c>
      <c r="U592" s="197" t="str">
        <f>IF(ABS(Q592-208.11)&lt;=0.01,"FECHA COM PLANILHA","REVISAR")</f>
        <v>FECHA COM PLANILHA</v>
      </c>
      <c r="V592" s="197" t="s">
        <v>4490</v>
      </c>
    </row>
    <row r="593" spans="1:22" s="197" customFormat="1" x14ac:dyDescent="0.2">
      <c r="A593" s="197" t="s">
        <v>4491</v>
      </c>
      <c r="B593" s="197" t="s">
        <v>1928</v>
      </c>
      <c r="C593" s="197" t="s">
        <v>1929</v>
      </c>
      <c r="D593" s="197" t="s">
        <v>209</v>
      </c>
      <c r="E593" s="197" t="s">
        <v>1930</v>
      </c>
      <c r="F593" s="197" t="s">
        <v>84</v>
      </c>
      <c r="G593" s="260">
        <v>17</v>
      </c>
      <c r="H593" s="197">
        <v>1</v>
      </c>
      <c r="I593" s="197" t="s">
        <v>3954</v>
      </c>
      <c r="J593" s="197" t="s">
        <v>4012</v>
      </c>
      <c r="K593" s="197" t="s">
        <v>1283</v>
      </c>
      <c r="L593" s="261">
        <v>0.22</v>
      </c>
      <c r="M593" s="263">
        <v>174.91205099999999</v>
      </c>
      <c r="N593" s="263">
        <f>L593*M593</f>
        <v>38.480651219999999</v>
      </c>
      <c r="O593" s="199"/>
      <c r="P593" s="261"/>
      <c r="Q593" s="261"/>
      <c r="R593" s="198"/>
      <c r="S593" s="197" t="s">
        <v>4492</v>
      </c>
      <c r="T593" s="197" t="s">
        <v>4493</v>
      </c>
      <c r="U593" s="197" t="s">
        <v>3958</v>
      </c>
      <c r="V593" s="197" t="s">
        <v>3959</v>
      </c>
    </row>
    <row r="594" spans="1:22" s="197" customFormat="1" x14ac:dyDescent="0.2">
      <c r="A594" s="197" t="s">
        <v>4491</v>
      </c>
      <c r="B594" s="197" t="s">
        <v>1928</v>
      </c>
      <c r="C594" s="197" t="s">
        <v>1929</v>
      </c>
      <c r="D594" s="197" t="s">
        <v>209</v>
      </c>
      <c r="E594" s="197" t="s">
        <v>1930</v>
      </c>
      <c r="F594" s="197" t="s">
        <v>84</v>
      </c>
      <c r="G594" s="260">
        <v>17</v>
      </c>
      <c r="H594" s="197">
        <v>2</v>
      </c>
      <c r="I594" s="197" t="s">
        <v>3960</v>
      </c>
      <c r="J594" s="197" t="s">
        <v>4015</v>
      </c>
      <c r="K594" s="197" t="s">
        <v>1283</v>
      </c>
      <c r="L594" s="261">
        <v>0.7</v>
      </c>
      <c r="M594" s="263">
        <v>174.91205099999999</v>
      </c>
      <c r="N594" s="263">
        <f>L594*M594</f>
        <v>122.43843569999999</v>
      </c>
      <c r="O594" s="199"/>
      <c r="P594" s="261"/>
      <c r="Q594" s="261"/>
      <c r="R594" s="198"/>
      <c r="S594" s="197" t="s">
        <v>4492</v>
      </c>
      <c r="T594" s="197" t="s">
        <v>4493</v>
      </c>
      <c r="U594" s="197" t="s">
        <v>3958</v>
      </c>
      <c r="V594" s="197" t="s">
        <v>3959</v>
      </c>
    </row>
    <row r="595" spans="1:22" s="197" customFormat="1" x14ac:dyDescent="0.2">
      <c r="A595" s="197" t="s">
        <v>4491</v>
      </c>
      <c r="B595" s="197" t="s">
        <v>1928</v>
      </c>
      <c r="C595" s="197" t="s">
        <v>1929</v>
      </c>
      <c r="D595" s="197" t="s">
        <v>209</v>
      </c>
      <c r="E595" s="197" t="s">
        <v>1930</v>
      </c>
      <c r="F595" s="197" t="s">
        <v>84</v>
      </c>
      <c r="G595" s="260">
        <v>17</v>
      </c>
      <c r="H595" s="197">
        <v>3</v>
      </c>
      <c r="I595" s="197" t="s">
        <v>3976</v>
      </c>
      <c r="J595" s="197" t="s">
        <v>4016</v>
      </c>
      <c r="K595" s="197" t="s">
        <v>1283</v>
      </c>
      <c r="L595" s="261">
        <v>0.05</v>
      </c>
      <c r="M595" s="263">
        <v>174.91205099999999</v>
      </c>
      <c r="N595" s="263">
        <f>L595*M595</f>
        <v>8.7456025499999992</v>
      </c>
      <c r="O595" s="199"/>
      <c r="P595" s="261"/>
      <c r="Q595" s="261"/>
      <c r="R595" s="198"/>
      <c r="S595" s="197" t="s">
        <v>4492</v>
      </c>
      <c r="T595" s="197" t="s">
        <v>4493</v>
      </c>
      <c r="U595" s="197" t="s">
        <v>3958</v>
      </c>
      <c r="V595" s="197" t="s">
        <v>3959</v>
      </c>
    </row>
    <row r="596" spans="1:22" s="197" customFormat="1" x14ac:dyDescent="0.2">
      <c r="A596" s="197" t="s">
        <v>4491</v>
      </c>
      <c r="B596" s="197" t="s">
        <v>1928</v>
      </c>
      <c r="C596" s="197" t="s">
        <v>1929</v>
      </c>
      <c r="D596" s="197" t="s">
        <v>209</v>
      </c>
      <c r="E596" s="197" t="s">
        <v>1930</v>
      </c>
      <c r="F596" s="197" t="s">
        <v>84</v>
      </c>
      <c r="G596" s="260">
        <v>17</v>
      </c>
      <c r="H596" s="197">
        <v>4</v>
      </c>
      <c r="I596" s="197" t="s">
        <v>4017</v>
      </c>
      <c r="J596" s="197" t="s">
        <v>4018</v>
      </c>
      <c r="K596" s="197" t="s">
        <v>1283</v>
      </c>
      <c r="L596" s="261">
        <v>0.03</v>
      </c>
      <c r="M596" s="263">
        <v>174.91205099999999</v>
      </c>
      <c r="N596" s="263">
        <f>L596*M596</f>
        <v>5.2473615299999992</v>
      </c>
      <c r="O596" s="199"/>
      <c r="P596" s="261"/>
      <c r="Q596" s="261"/>
      <c r="R596" s="198"/>
      <c r="S596" s="197" t="s">
        <v>4492</v>
      </c>
      <c r="T596" s="197" t="s">
        <v>4493</v>
      </c>
      <c r="U596" s="197" t="s">
        <v>3958</v>
      </c>
      <c r="V596" s="197" t="s">
        <v>3959</v>
      </c>
    </row>
    <row r="597" spans="1:22" s="197" customFormat="1" x14ac:dyDescent="0.2">
      <c r="A597" s="197" t="s">
        <v>4491</v>
      </c>
      <c r="B597" s="197" t="s">
        <v>1928</v>
      </c>
      <c r="C597" s="197" t="s">
        <v>1929</v>
      </c>
      <c r="D597" s="197" t="s">
        <v>209</v>
      </c>
      <c r="E597" s="197" t="s">
        <v>1930</v>
      </c>
      <c r="F597" s="197" t="s">
        <v>84</v>
      </c>
      <c r="G597" s="260">
        <v>17</v>
      </c>
      <c r="H597" s="197">
        <v>5</v>
      </c>
      <c r="I597" s="197" t="s">
        <v>3968</v>
      </c>
      <c r="J597" s="197" t="s">
        <v>3969</v>
      </c>
      <c r="K597" s="197" t="s">
        <v>84</v>
      </c>
      <c r="L597" s="261">
        <v>1</v>
      </c>
      <c r="M597" s="263"/>
      <c r="N597" s="263">
        <f>SUM(N593:N596)</f>
        <v>174.91205099999999</v>
      </c>
      <c r="O597" s="199">
        <v>0.2223</v>
      </c>
      <c r="P597" s="261">
        <f>N597*O597</f>
        <v>38.8829489373</v>
      </c>
      <c r="Q597" s="261">
        <f>N597+P597</f>
        <v>213.79499993729999</v>
      </c>
      <c r="R597" s="198">
        <f>Q597*G597</f>
        <v>3634.5149989340998</v>
      </c>
      <c r="S597" s="197" t="s">
        <v>4492</v>
      </c>
      <c r="T597" s="197" t="s">
        <v>4493</v>
      </c>
      <c r="U597" s="197" t="str">
        <f>IF(ABS(Q597-213.795)&lt;=0.01,"FECHA COM PLANILHA","REVISAR")</f>
        <v>FECHA COM PLANILHA</v>
      </c>
      <c r="V597" s="197" t="s">
        <v>4494</v>
      </c>
    </row>
    <row r="598" spans="1:22" s="197" customFormat="1" x14ac:dyDescent="0.2">
      <c r="A598" s="197" t="s">
        <v>4495</v>
      </c>
      <c r="B598" s="197" t="s">
        <v>1926</v>
      </c>
      <c r="C598" s="197" t="s">
        <v>874</v>
      </c>
      <c r="D598" s="197" t="s">
        <v>209</v>
      </c>
      <c r="E598" s="197" t="s">
        <v>875</v>
      </c>
      <c r="F598" s="197" t="s">
        <v>84</v>
      </c>
      <c r="G598" s="260">
        <v>17</v>
      </c>
      <c r="H598" s="197">
        <v>1</v>
      </c>
      <c r="I598" s="197" t="s">
        <v>3954</v>
      </c>
      <c r="J598" s="197" t="s">
        <v>4012</v>
      </c>
      <c r="K598" s="197" t="s">
        <v>1283</v>
      </c>
      <c r="L598" s="261">
        <v>0.22</v>
      </c>
      <c r="M598" s="263">
        <v>168.199296</v>
      </c>
      <c r="N598" s="263">
        <f>L598*M598</f>
        <v>37.003845120000001</v>
      </c>
      <c r="O598" s="199"/>
      <c r="P598" s="261"/>
      <c r="Q598" s="261"/>
      <c r="R598" s="198"/>
      <c r="S598" s="197" t="s">
        <v>4496</v>
      </c>
      <c r="T598" s="197" t="s">
        <v>4497</v>
      </c>
      <c r="U598" s="197" t="s">
        <v>3958</v>
      </c>
      <c r="V598" s="197" t="s">
        <v>3959</v>
      </c>
    </row>
    <row r="599" spans="1:22" s="197" customFormat="1" x14ac:dyDescent="0.2">
      <c r="A599" s="197" t="s">
        <v>4495</v>
      </c>
      <c r="B599" s="197" t="s">
        <v>1926</v>
      </c>
      <c r="C599" s="197" t="s">
        <v>874</v>
      </c>
      <c r="D599" s="197" t="s">
        <v>209</v>
      </c>
      <c r="E599" s="197" t="s">
        <v>875</v>
      </c>
      <c r="F599" s="197" t="s">
        <v>84</v>
      </c>
      <c r="G599" s="260">
        <v>17</v>
      </c>
      <c r="H599" s="197">
        <v>2</v>
      </c>
      <c r="I599" s="197" t="s">
        <v>3960</v>
      </c>
      <c r="J599" s="197" t="s">
        <v>4015</v>
      </c>
      <c r="K599" s="197" t="s">
        <v>1283</v>
      </c>
      <c r="L599" s="261">
        <v>0.7</v>
      </c>
      <c r="M599" s="263">
        <v>168.199296</v>
      </c>
      <c r="N599" s="263">
        <f>L599*M599</f>
        <v>117.73950719999999</v>
      </c>
      <c r="O599" s="199"/>
      <c r="P599" s="261"/>
      <c r="Q599" s="261"/>
      <c r="R599" s="198"/>
      <c r="S599" s="197" t="s">
        <v>4496</v>
      </c>
      <c r="T599" s="197" t="s">
        <v>4497</v>
      </c>
      <c r="U599" s="197" t="s">
        <v>3958</v>
      </c>
      <c r="V599" s="197" t="s">
        <v>3959</v>
      </c>
    </row>
    <row r="600" spans="1:22" s="197" customFormat="1" x14ac:dyDescent="0.2">
      <c r="A600" s="197" t="s">
        <v>4495</v>
      </c>
      <c r="B600" s="197" t="s">
        <v>1926</v>
      </c>
      <c r="C600" s="197" t="s">
        <v>874</v>
      </c>
      <c r="D600" s="197" t="s">
        <v>209</v>
      </c>
      <c r="E600" s="197" t="s">
        <v>875</v>
      </c>
      <c r="F600" s="197" t="s">
        <v>84</v>
      </c>
      <c r="G600" s="260">
        <v>17</v>
      </c>
      <c r="H600" s="197">
        <v>3</v>
      </c>
      <c r="I600" s="197" t="s">
        <v>3976</v>
      </c>
      <c r="J600" s="197" t="s">
        <v>4016</v>
      </c>
      <c r="K600" s="197" t="s">
        <v>1283</v>
      </c>
      <c r="L600" s="261">
        <v>0.05</v>
      </c>
      <c r="M600" s="263">
        <v>168.199296</v>
      </c>
      <c r="N600" s="263">
        <f>L600*M600</f>
        <v>8.4099648000000009</v>
      </c>
      <c r="O600" s="199"/>
      <c r="P600" s="261"/>
      <c r="Q600" s="261"/>
      <c r="R600" s="198"/>
      <c r="S600" s="197" t="s">
        <v>4496</v>
      </c>
      <c r="T600" s="197" t="s">
        <v>4497</v>
      </c>
      <c r="U600" s="197" t="s">
        <v>3958</v>
      </c>
      <c r="V600" s="197" t="s">
        <v>3959</v>
      </c>
    </row>
    <row r="601" spans="1:22" s="197" customFormat="1" x14ac:dyDescent="0.2">
      <c r="A601" s="197" t="s">
        <v>4495</v>
      </c>
      <c r="B601" s="197" t="s">
        <v>1926</v>
      </c>
      <c r="C601" s="197" t="s">
        <v>874</v>
      </c>
      <c r="D601" s="197" t="s">
        <v>209</v>
      </c>
      <c r="E601" s="197" t="s">
        <v>875</v>
      </c>
      <c r="F601" s="197" t="s">
        <v>84</v>
      </c>
      <c r="G601" s="260">
        <v>17</v>
      </c>
      <c r="H601" s="197">
        <v>4</v>
      </c>
      <c r="I601" s="197" t="s">
        <v>4017</v>
      </c>
      <c r="J601" s="197" t="s">
        <v>4018</v>
      </c>
      <c r="K601" s="197" t="s">
        <v>1283</v>
      </c>
      <c r="L601" s="261">
        <v>0.03</v>
      </c>
      <c r="M601" s="263">
        <v>168.199296</v>
      </c>
      <c r="N601" s="263">
        <f>L601*M601</f>
        <v>5.0459788799999998</v>
      </c>
      <c r="O601" s="199"/>
      <c r="P601" s="261"/>
      <c r="Q601" s="261"/>
      <c r="R601" s="198"/>
      <c r="S601" s="197" t="s">
        <v>4496</v>
      </c>
      <c r="T601" s="197" t="s">
        <v>4497</v>
      </c>
      <c r="U601" s="197" t="s">
        <v>3958</v>
      </c>
      <c r="V601" s="197" t="s">
        <v>3959</v>
      </c>
    </row>
    <row r="602" spans="1:22" s="197" customFormat="1" x14ac:dyDescent="0.2">
      <c r="A602" s="197" t="s">
        <v>4495</v>
      </c>
      <c r="B602" s="197" t="s">
        <v>1926</v>
      </c>
      <c r="C602" s="197" t="s">
        <v>874</v>
      </c>
      <c r="D602" s="197" t="s">
        <v>209</v>
      </c>
      <c r="E602" s="197" t="s">
        <v>875</v>
      </c>
      <c r="F602" s="197" t="s">
        <v>84</v>
      </c>
      <c r="G602" s="260">
        <v>17</v>
      </c>
      <c r="H602" s="197">
        <v>5</v>
      </c>
      <c r="I602" s="197" t="s">
        <v>3968</v>
      </c>
      <c r="J602" s="197" t="s">
        <v>3969</v>
      </c>
      <c r="K602" s="197" t="s">
        <v>84</v>
      </c>
      <c r="L602" s="261">
        <v>1</v>
      </c>
      <c r="M602" s="263"/>
      <c r="N602" s="263">
        <f>SUM(N598:N601)</f>
        <v>168.199296</v>
      </c>
      <c r="O602" s="199">
        <v>0.2223</v>
      </c>
      <c r="P602" s="261">
        <f>N602*O602</f>
        <v>37.390703500800001</v>
      </c>
      <c r="Q602" s="261">
        <f>N602+P602</f>
        <v>205.58999950079999</v>
      </c>
      <c r="R602" s="198">
        <f>Q602*G602</f>
        <v>3495.0299915135997</v>
      </c>
      <c r="S602" s="197" t="s">
        <v>4496</v>
      </c>
      <c r="T602" s="197" t="s">
        <v>4497</v>
      </c>
      <c r="U602" s="197" t="str">
        <f>IF(ABS(Q602-205.59)&lt;=0.01,"FECHA COM PLANILHA","REVISAR")</f>
        <v>FECHA COM PLANILHA</v>
      </c>
      <c r="V602" s="197" t="s">
        <v>4498</v>
      </c>
    </row>
    <row r="603" spans="1:22" s="197" customFormat="1" x14ac:dyDescent="0.2">
      <c r="A603" s="197" t="s">
        <v>4499</v>
      </c>
      <c r="B603" s="197" t="s">
        <v>1925</v>
      </c>
      <c r="C603" s="197" t="s">
        <v>872</v>
      </c>
      <c r="D603" s="197" t="s">
        <v>209</v>
      </c>
      <c r="E603" s="197" t="s">
        <v>873</v>
      </c>
      <c r="F603" s="197" t="s">
        <v>84</v>
      </c>
      <c r="G603" s="260">
        <v>16</v>
      </c>
      <c r="H603" s="197">
        <v>1</v>
      </c>
      <c r="I603" s="197" t="s">
        <v>3954</v>
      </c>
      <c r="J603" s="197" t="s">
        <v>4012</v>
      </c>
      <c r="K603" s="197" t="s">
        <v>1283</v>
      </c>
      <c r="L603" s="261">
        <v>0.22</v>
      </c>
      <c r="M603" s="263">
        <v>167.082549</v>
      </c>
      <c r="N603" s="263">
        <f>L603*M603</f>
        <v>36.758160779999997</v>
      </c>
      <c r="O603" s="199"/>
      <c r="P603" s="261"/>
      <c r="Q603" s="261"/>
      <c r="R603" s="198"/>
      <c r="S603" s="197" t="s">
        <v>4500</v>
      </c>
      <c r="T603" s="197" t="s">
        <v>4501</v>
      </c>
      <c r="U603" s="197" t="s">
        <v>3958</v>
      </c>
      <c r="V603" s="197" t="s">
        <v>3959</v>
      </c>
    </row>
    <row r="604" spans="1:22" s="197" customFormat="1" x14ac:dyDescent="0.2">
      <c r="A604" s="197" t="s">
        <v>4499</v>
      </c>
      <c r="B604" s="197" t="s">
        <v>1925</v>
      </c>
      <c r="C604" s="197" t="s">
        <v>872</v>
      </c>
      <c r="D604" s="197" t="s">
        <v>209</v>
      </c>
      <c r="E604" s="197" t="s">
        <v>873</v>
      </c>
      <c r="F604" s="197" t="s">
        <v>84</v>
      </c>
      <c r="G604" s="260">
        <v>16</v>
      </c>
      <c r="H604" s="197">
        <v>2</v>
      </c>
      <c r="I604" s="197" t="s">
        <v>3960</v>
      </c>
      <c r="J604" s="197" t="s">
        <v>4015</v>
      </c>
      <c r="K604" s="197" t="s">
        <v>1283</v>
      </c>
      <c r="L604" s="261">
        <v>0.7</v>
      </c>
      <c r="M604" s="263">
        <v>167.082549</v>
      </c>
      <c r="N604" s="263">
        <f>L604*M604</f>
        <v>116.95778429999999</v>
      </c>
      <c r="O604" s="199"/>
      <c r="P604" s="261"/>
      <c r="Q604" s="261"/>
      <c r="R604" s="198"/>
      <c r="S604" s="197" t="s">
        <v>4500</v>
      </c>
      <c r="T604" s="197" t="s">
        <v>4501</v>
      </c>
      <c r="U604" s="197" t="s">
        <v>3958</v>
      </c>
      <c r="V604" s="197" t="s">
        <v>3959</v>
      </c>
    </row>
    <row r="605" spans="1:22" s="197" customFormat="1" x14ac:dyDescent="0.2">
      <c r="A605" s="197" t="s">
        <v>4499</v>
      </c>
      <c r="B605" s="197" t="s">
        <v>1925</v>
      </c>
      <c r="C605" s="197" t="s">
        <v>872</v>
      </c>
      <c r="D605" s="197" t="s">
        <v>209</v>
      </c>
      <c r="E605" s="197" t="s">
        <v>873</v>
      </c>
      <c r="F605" s="197" t="s">
        <v>84</v>
      </c>
      <c r="G605" s="260">
        <v>16</v>
      </c>
      <c r="H605" s="197">
        <v>3</v>
      </c>
      <c r="I605" s="197" t="s">
        <v>3976</v>
      </c>
      <c r="J605" s="197" t="s">
        <v>4016</v>
      </c>
      <c r="K605" s="197" t="s">
        <v>1283</v>
      </c>
      <c r="L605" s="261">
        <v>0.05</v>
      </c>
      <c r="M605" s="263">
        <v>167.082549</v>
      </c>
      <c r="N605" s="263">
        <f>L605*M605</f>
        <v>8.35412745</v>
      </c>
      <c r="O605" s="199"/>
      <c r="P605" s="261"/>
      <c r="Q605" s="261"/>
      <c r="R605" s="198"/>
      <c r="S605" s="197" t="s">
        <v>4500</v>
      </c>
      <c r="T605" s="197" t="s">
        <v>4501</v>
      </c>
      <c r="U605" s="197" t="s">
        <v>3958</v>
      </c>
      <c r="V605" s="197" t="s">
        <v>3959</v>
      </c>
    </row>
    <row r="606" spans="1:22" s="197" customFormat="1" x14ac:dyDescent="0.2">
      <c r="A606" s="197" t="s">
        <v>4499</v>
      </c>
      <c r="B606" s="197" t="s">
        <v>1925</v>
      </c>
      <c r="C606" s="197" t="s">
        <v>872</v>
      </c>
      <c r="D606" s="197" t="s">
        <v>209</v>
      </c>
      <c r="E606" s="197" t="s">
        <v>873</v>
      </c>
      <c r="F606" s="197" t="s">
        <v>84</v>
      </c>
      <c r="G606" s="260">
        <v>16</v>
      </c>
      <c r="H606" s="197">
        <v>4</v>
      </c>
      <c r="I606" s="197" t="s">
        <v>4017</v>
      </c>
      <c r="J606" s="197" t="s">
        <v>4018</v>
      </c>
      <c r="K606" s="197" t="s">
        <v>1283</v>
      </c>
      <c r="L606" s="261">
        <v>0.03</v>
      </c>
      <c r="M606" s="263">
        <v>167.082549</v>
      </c>
      <c r="N606" s="263">
        <f>L606*M606</f>
        <v>5.0124764700000002</v>
      </c>
      <c r="O606" s="199"/>
      <c r="P606" s="261"/>
      <c r="Q606" s="261"/>
      <c r="R606" s="198"/>
      <c r="S606" s="197" t="s">
        <v>4500</v>
      </c>
      <c r="T606" s="197" t="s">
        <v>4501</v>
      </c>
      <c r="U606" s="197" t="s">
        <v>3958</v>
      </c>
      <c r="V606" s="197" t="s">
        <v>3959</v>
      </c>
    </row>
    <row r="607" spans="1:22" s="197" customFormat="1" x14ac:dyDescent="0.2">
      <c r="A607" s="197" t="s">
        <v>4499</v>
      </c>
      <c r="B607" s="197" t="s">
        <v>1925</v>
      </c>
      <c r="C607" s="197" t="s">
        <v>872</v>
      </c>
      <c r="D607" s="197" t="s">
        <v>209</v>
      </c>
      <c r="E607" s="197" t="s">
        <v>873</v>
      </c>
      <c r="F607" s="197" t="s">
        <v>84</v>
      </c>
      <c r="G607" s="260">
        <v>16</v>
      </c>
      <c r="H607" s="197">
        <v>5</v>
      </c>
      <c r="I607" s="197" t="s">
        <v>3968</v>
      </c>
      <c r="J607" s="197" t="s">
        <v>3969</v>
      </c>
      <c r="K607" s="197" t="s">
        <v>84</v>
      </c>
      <c r="L607" s="261">
        <v>1</v>
      </c>
      <c r="M607" s="263"/>
      <c r="N607" s="263">
        <f>SUM(N603:N606)</f>
        <v>167.08254899999997</v>
      </c>
      <c r="O607" s="199">
        <v>0.2223</v>
      </c>
      <c r="P607" s="261">
        <f>N607*O607</f>
        <v>37.142450642699991</v>
      </c>
      <c r="Q607" s="261">
        <f>N607+P607</f>
        <v>204.22499964269997</v>
      </c>
      <c r="R607" s="198">
        <f>Q607*G607</f>
        <v>3267.5999942831995</v>
      </c>
      <c r="S607" s="197" t="s">
        <v>4500</v>
      </c>
      <c r="T607" s="197" t="s">
        <v>4501</v>
      </c>
      <c r="U607" s="197" t="str">
        <f>IF(ABS(Q607-204.225)&lt;=0.01,"FECHA COM PLANILHA","REVISAR")</f>
        <v>FECHA COM PLANILHA</v>
      </c>
      <c r="V607" s="197" t="s">
        <v>4502</v>
      </c>
    </row>
    <row r="608" spans="1:22" s="197" customFormat="1" x14ac:dyDescent="0.2">
      <c r="A608" s="197" t="s">
        <v>4503</v>
      </c>
      <c r="B608" s="197" t="s">
        <v>1912</v>
      </c>
      <c r="C608" s="197" t="s">
        <v>860</v>
      </c>
      <c r="D608" s="197" t="s">
        <v>209</v>
      </c>
      <c r="E608" s="197" t="s">
        <v>861</v>
      </c>
      <c r="F608" s="197" t="s">
        <v>99</v>
      </c>
      <c r="G608" s="260">
        <v>10</v>
      </c>
      <c r="H608" s="197">
        <v>1</v>
      </c>
      <c r="I608" s="197" t="s">
        <v>3954</v>
      </c>
      <c r="J608" s="197" t="s">
        <v>4088</v>
      </c>
      <c r="K608" s="197" t="s">
        <v>1283</v>
      </c>
      <c r="L608" s="261">
        <v>0.1</v>
      </c>
      <c r="M608" s="263">
        <v>259.38599399999998</v>
      </c>
      <c r="N608" s="263">
        <f>L608*M608</f>
        <v>25.938599400000001</v>
      </c>
      <c r="O608" s="199"/>
      <c r="P608" s="261"/>
      <c r="Q608" s="261"/>
      <c r="R608" s="198"/>
      <c r="S608" s="197" t="s">
        <v>4504</v>
      </c>
      <c r="T608" s="197" t="s">
        <v>4505</v>
      </c>
      <c r="U608" s="197" t="s">
        <v>3958</v>
      </c>
      <c r="V608" s="197" t="s">
        <v>3959</v>
      </c>
    </row>
    <row r="609" spans="1:22" s="197" customFormat="1" x14ac:dyDescent="0.2">
      <c r="A609" s="197" t="s">
        <v>4503</v>
      </c>
      <c r="B609" s="197" t="s">
        <v>1912</v>
      </c>
      <c r="C609" s="197" t="s">
        <v>860</v>
      </c>
      <c r="D609" s="197" t="s">
        <v>209</v>
      </c>
      <c r="E609" s="197" t="s">
        <v>861</v>
      </c>
      <c r="F609" s="197" t="s">
        <v>99</v>
      </c>
      <c r="G609" s="260">
        <v>10</v>
      </c>
      <c r="H609" s="197">
        <v>2</v>
      </c>
      <c r="I609" s="197" t="s">
        <v>4091</v>
      </c>
      <c r="J609" s="197" t="s">
        <v>4092</v>
      </c>
      <c r="K609" s="197" t="s">
        <v>1283</v>
      </c>
      <c r="L609" s="261">
        <v>0.84</v>
      </c>
      <c r="M609" s="263">
        <v>259.38599399999998</v>
      </c>
      <c r="N609" s="263">
        <f>L609*M609</f>
        <v>217.88423495999999</v>
      </c>
      <c r="O609" s="199"/>
      <c r="P609" s="261"/>
      <c r="Q609" s="261"/>
      <c r="R609" s="198"/>
      <c r="S609" s="197" t="s">
        <v>4504</v>
      </c>
      <c r="T609" s="197" t="s">
        <v>4505</v>
      </c>
      <c r="U609" s="197" t="s">
        <v>3958</v>
      </c>
      <c r="V609" s="197" t="s">
        <v>3959</v>
      </c>
    </row>
    <row r="610" spans="1:22" s="197" customFormat="1" x14ac:dyDescent="0.2">
      <c r="A610" s="197" t="s">
        <v>4503</v>
      </c>
      <c r="B610" s="197" t="s">
        <v>1912</v>
      </c>
      <c r="C610" s="197" t="s">
        <v>860</v>
      </c>
      <c r="D610" s="197" t="s">
        <v>209</v>
      </c>
      <c r="E610" s="197" t="s">
        <v>861</v>
      </c>
      <c r="F610" s="197" t="s">
        <v>99</v>
      </c>
      <c r="G610" s="260">
        <v>10</v>
      </c>
      <c r="H610" s="197">
        <v>3</v>
      </c>
      <c r="I610" s="197" t="s">
        <v>4093</v>
      </c>
      <c r="J610" s="197" t="s">
        <v>4094</v>
      </c>
      <c r="K610" s="197" t="s">
        <v>1283</v>
      </c>
      <c r="L610" s="261">
        <v>0.03</v>
      </c>
      <c r="M610" s="263">
        <v>259.38599399999998</v>
      </c>
      <c r="N610" s="263">
        <f>L610*M610</f>
        <v>7.7815798199999993</v>
      </c>
      <c r="O610" s="199"/>
      <c r="P610" s="261"/>
      <c r="Q610" s="261"/>
      <c r="R610" s="198"/>
      <c r="S610" s="197" t="s">
        <v>4504</v>
      </c>
      <c r="T610" s="197" t="s">
        <v>4505</v>
      </c>
      <c r="U610" s="197" t="s">
        <v>3958</v>
      </c>
      <c r="V610" s="197" t="s">
        <v>3959</v>
      </c>
    </row>
    <row r="611" spans="1:22" s="197" customFormat="1" x14ac:dyDescent="0.2">
      <c r="A611" s="197" t="s">
        <v>4503</v>
      </c>
      <c r="B611" s="197" t="s">
        <v>1912</v>
      </c>
      <c r="C611" s="197" t="s">
        <v>860</v>
      </c>
      <c r="D611" s="197" t="s">
        <v>209</v>
      </c>
      <c r="E611" s="197" t="s">
        <v>861</v>
      </c>
      <c r="F611" s="197" t="s">
        <v>99</v>
      </c>
      <c r="G611" s="260">
        <v>10</v>
      </c>
      <c r="H611" s="197">
        <v>4</v>
      </c>
      <c r="I611" s="197" t="s">
        <v>4017</v>
      </c>
      <c r="J611" s="197" t="s">
        <v>4095</v>
      </c>
      <c r="K611" s="197" t="s">
        <v>1283</v>
      </c>
      <c r="L611" s="261">
        <v>0.03</v>
      </c>
      <c r="M611" s="263">
        <v>259.38599399999998</v>
      </c>
      <c r="N611" s="263">
        <f>L611*M611</f>
        <v>7.7815798199999993</v>
      </c>
      <c r="O611" s="199"/>
      <c r="P611" s="261"/>
      <c r="Q611" s="261"/>
      <c r="R611" s="198"/>
      <c r="S611" s="197" t="s">
        <v>4504</v>
      </c>
      <c r="T611" s="197" t="s">
        <v>4505</v>
      </c>
      <c r="U611" s="197" t="s">
        <v>3958</v>
      </c>
      <c r="V611" s="197" t="s">
        <v>3959</v>
      </c>
    </row>
    <row r="612" spans="1:22" s="197" customFormat="1" x14ac:dyDescent="0.2">
      <c r="A612" s="197" t="s">
        <v>4503</v>
      </c>
      <c r="B612" s="197" t="s">
        <v>1912</v>
      </c>
      <c r="C612" s="197" t="s">
        <v>860</v>
      </c>
      <c r="D612" s="197" t="s">
        <v>209</v>
      </c>
      <c r="E612" s="197" t="s">
        <v>861</v>
      </c>
      <c r="F612" s="197" t="s">
        <v>99</v>
      </c>
      <c r="G612" s="260">
        <v>10</v>
      </c>
      <c r="H612" s="197">
        <v>5</v>
      </c>
      <c r="I612" s="197" t="s">
        <v>3968</v>
      </c>
      <c r="J612" s="197" t="s">
        <v>3969</v>
      </c>
      <c r="K612" s="197" t="s">
        <v>99</v>
      </c>
      <c r="L612" s="261">
        <v>1</v>
      </c>
      <c r="M612" s="263"/>
      <c r="N612" s="263">
        <f>SUM(N608:N611)</f>
        <v>259.38599399999998</v>
      </c>
      <c r="O612" s="199">
        <v>0.2223</v>
      </c>
      <c r="P612" s="261">
        <f>N612*O612</f>
        <v>57.661506466199995</v>
      </c>
      <c r="Q612" s="261">
        <f>N612+P612</f>
        <v>317.04750046619995</v>
      </c>
      <c r="R612" s="198">
        <f>Q612*G612</f>
        <v>3170.4750046619993</v>
      </c>
      <c r="S612" s="197" t="s">
        <v>4504</v>
      </c>
      <c r="T612" s="197" t="s">
        <v>4505</v>
      </c>
      <c r="U612" s="197" t="str">
        <f>IF(ABS(Q612-317.0475)&lt;=0.01,"FECHA COM PLANILHA","REVISAR")</f>
        <v>FECHA COM PLANILHA</v>
      </c>
      <c r="V612" s="197" t="s">
        <v>4506</v>
      </c>
    </row>
    <row r="613" spans="1:22" s="197" customFormat="1" x14ac:dyDescent="0.2">
      <c r="A613" s="197" t="s">
        <v>4507</v>
      </c>
      <c r="B613" s="197" t="s">
        <v>2071</v>
      </c>
      <c r="C613" s="197" t="s">
        <v>984</v>
      </c>
      <c r="D613" s="197" t="s">
        <v>209</v>
      </c>
      <c r="E613" s="197" t="s">
        <v>985</v>
      </c>
      <c r="F613" s="197" t="s">
        <v>84</v>
      </c>
      <c r="G613" s="260">
        <v>2</v>
      </c>
      <c r="H613" s="197">
        <v>1</v>
      </c>
      <c r="I613" s="197" t="s">
        <v>3954</v>
      </c>
      <c r="J613" s="197" t="s">
        <v>3972</v>
      </c>
      <c r="K613" s="197" t="s">
        <v>1283</v>
      </c>
      <c r="L613" s="261">
        <v>0.18</v>
      </c>
      <c r="M613" s="263">
        <v>1013.386648</v>
      </c>
      <c r="N613" s="263">
        <f>L613*M613</f>
        <v>182.40959663999999</v>
      </c>
      <c r="O613" s="199"/>
      <c r="P613" s="261"/>
      <c r="Q613" s="261"/>
      <c r="R613" s="198"/>
      <c r="S613" s="197" t="s">
        <v>4508</v>
      </c>
      <c r="T613" s="197" t="s">
        <v>4509</v>
      </c>
      <c r="U613" s="197" t="s">
        <v>3958</v>
      </c>
      <c r="V613" s="197" t="s">
        <v>3959</v>
      </c>
    </row>
    <row r="614" spans="1:22" s="197" customFormat="1" x14ac:dyDescent="0.2">
      <c r="A614" s="197" t="s">
        <v>4507</v>
      </c>
      <c r="B614" s="197" t="s">
        <v>2071</v>
      </c>
      <c r="C614" s="197" t="s">
        <v>984</v>
      </c>
      <c r="D614" s="197" t="s">
        <v>209</v>
      </c>
      <c r="E614" s="197" t="s">
        <v>985</v>
      </c>
      <c r="F614" s="197" t="s">
        <v>84</v>
      </c>
      <c r="G614" s="260">
        <v>2</v>
      </c>
      <c r="H614" s="197">
        <v>2</v>
      </c>
      <c r="I614" s="197" t="s">
        <v>3960</v>
      </c>
      <c r="J614" s="197" t="s">
        <v>3975</v>
      </c>
      <c r="K614" s="197" t="s">
        <v>1283</v>
      </c>
      <c r="L614" s="261">
        <v>0.75</v>
      </c>
      <c r="M614" s="263">
        <v>1013.386648</v>
      </c>
      <c r="N614" s="263">
        <f>L614*M614</f>
        <v>760.039986</v>
      </c>
      <c r="O614" s="199"/>
      <c r="P614" s="261"/>
      <c r="Q614" s="261"/>
      <c r="R614" s="198"/>
      <c r="S614" s="197" t="s">
        <v>4508</v>
      </c>
      <c r="T614" s="197" t="s">
        <v>4509</v>
      </c>
      <c r="U614" s="197" t="s">
        <v>3958</v>
      </c>
      <c r="V614" s="197" t="s">
        <v>3959</v>
      </c>
    </row>
    <row r="615" spans="1:22" s="197" customFormat="1" x14ac:dyDescent="0.2">
      <c r="A615" s="197" t="s">
        <v>4507</v>
      </c>
      <c r="B615" s="197" t="s">
        <v>2071</v>
      </c>
      <c r="C615" s="197" t="s">
        <v>984</v>
      </c>
      <c r="D615" s="197" t="s">
        <v>209</v>
      </c>
      <c r="E615" s="197" t="s">
        <v>985</v>
      </c>
      <c r="F615" s="197" t="s">
        <v>84</v>
      </c>
      <c r="G615" s="260">
        <v>2</v>
      </c>
      <c r="H615" s="197">
        <v>3</v>
      </c>
      <c r="I615" s="197" t="s">
        <v>3976</v>
      </c>
      <c r="J615" s="197" t="s">
        <v>3977</v>
      </c>
      <c r="K615" s="197" t="s">
        <v>1283</v>
      </c>
      <c r="L615" s="261">
        <v>0.04</v>
      </c>
      <c r="M615" s="263">
        <v>1013.386648</v>
      </c>
      <c r="N615" s="263">
        <f>L615*M615</f>
        <v>40.53546592</v>
      </c>
      <c r="O615" s="199"/>
      <c r="P615" s="261"/>
      <c r="Q615" s="261"/>
      <c r="R615" s="198"/>
      <c r="S615" s="197" t="s">
        <v>4508</v>
      </c>
      <c r="T615" s="197" t="s">
        <v>4509</v>
      </c>
      <c r="U615" s="197" t="s">
        <v>3958</v>
      </c>
      <c r="V615" s="197" t="s">
        <v>3959</v>
      </c>
    </row>
    <row r="616" spans="1:22" s="197" customFormat="1" x14ac:dyDescent="0.2">
      <c r="A616" s="197" t="s">
        <v>4507</v>
      </c>
      <c r="B616" s="197" t="s">
        <v>2071</v>
      </c>
      <c r="C616" s="197" t="s">
        <v>984</v>
      </c>
      <c r="D616" s="197" t="s">
        <v>209</v>
      </c>
      <c r="E616" s="197" t="s">
        <v>985</v>
      </c>
      <c r="F616" s="197" t="s">
        <v>84</v>
      </c>
      <c r="G616" s="260">
        <v>2</v>
      </c>
      <c r="H616" s="197">
        <v>4</v>
      </c>
      <c r="I616" s="197" t="s">
        <v>3978</v>
      </c>
      <c r="J616" s="197" t="s">
        <v>3979</v>
      </c>
      <c r="K616" s="197" t="s">
        <v>1283</v>
      </c>
      <c r="L616" s="261">
        <v>0.03</v>
      </c>
      <c r="M616" s="263">
        <v>1013.386648</v>
      </c>
      <c r="N616" s="263">
        <f>L616*M616</f>
        <v>30.401599439999998</v>
      </c>
      <c r="O616" s="199"/>
      <c r="P616" s="261"/>
      <c r="Q616" s="261"/>
      <c r="R616" s="198"/>
      <c r="S616" s="197" t="s">
        <v>4508</v>
      </c>
      <c r="T616" s="197" t="s">
        <v>4509</v>
      </c>
      <c r="U616" s="197" t="s">
        <v>3958</v>
      </c>
      <c r="V616" s="197" t="s">
        <v>3959</v>
      </c>
    </row>
    <row r="617" spans="1:22" s="197" customFormat="1" x14ac:dyDescent="0.2">
      <c r="A617" s="197" t="s">
        <v>4507</v>
      </c>
      <c r="B617" s="197" t="s">
        <v>2071</v>
      </c>
      <c r="C617" s="197" t="s">
        <v>984</v>
      </c>
      <c r="D617" s="197" t="s">
        <v>209</v>
      </c>
      <c r="E617" s="197" t="s">
        <v>985</v>
      </c>
      <c r="F617" s="197" t="s">
        <v>84</v>
      </c>
      <c r="G617" s="260">
        <v>2</v>
      </c>
      <c r="H617" s="197">
        <v>5</v>
      </c>
      <c r="I617" s="197" t="s">
        <v>3968</v>
      </c>
      <c r="J617" s="197" t="s">
        <v>3969</v>
      </c>
      <c r="K617" s="197" t="s">
        <v>84</v>
      </c>
      <c r="L617" s="261">
        <v>1</v>
      </c>
      <c r="M617" s="263"/>
      <c r="N617" s="263">
        <f>SUM(N613:N616)</f>
        <v>1013.386648</v>
      </c>
      <c r="O617" s="199">
        <v>0.2223</v>
      </c>
      <c r="P617" s="261">
        <f>N617*O617</f>
        <v>225.27585185040002</v>
      </c>
      <c r="Q617" s="261">
        <f>N617+P617</f>
        <v>1238.6624998504001</v>
      </c>
      <c r="R617" s="198">
        <f>Q617*G617</f>
        <v>2477.3249997008002</v>
      </c>
      <c r="S617" s="197" t="s">
        <v>4508</v>
      </c>
      <c r="T617" s="197" t="s">
        <v>4509</v>
      </c>
      <c r="U617" s="197" t="str">
        <f>IF(ABS(Q617-1238.6625)&lt;=0.01,"FECHA COM PLANILHA","REVISAR")</f>
        <v>FECHA COM PLANILHA</v>
      </c>
      <c r="V617" s="197" t="s">
        <v>4510</v>
      </c>
    </row>
    <row r="618" spans="1:22" s="197" customFormat="1" x14ac:dyDescent="0.2">
      <c r="A618" s="197" t="s">
        <v>4511</v>
      </c>
      <c r="B618" s="197" t="s">
        <v>815</v>
      </c>
      <c r="C618" s="197" t="s">
        <v>816</v>
      </c>
      <c r="D618" s="197" t="s">
        <v>209</v>
      </c>
      <c r="E618" s="197" t="s">
        <v>1868</v>
      </c>
      <c r="F618" s="197" t="s">
        <v>84</v>
      </c>
      <c r="G618" s="260">
        <v>2</v>
      </c>
      <c r="H618" s="197">
        <v>1</v>
      </c>
      <c r="I618" s="197" t="s">
        <v>3954</v>
      </c>
      <c r="J618" s="197" t="s">
        <v>3972</v>
      </c>
      <c r="K618" s="197" t="s">
        <v>1283</v>
      </c>
      <c r="L618" s="261">
        <v>0.18</v>
      </c>
      <c r="M618" s="263">
        <v>752.95140300000003</v>
      </c>
      <c r="N618" s="263">
        <f>L618*M618</f>
        <v>135.53125254</v>
      </c>
      <c r="O618" s="199"/>
      <c r="P618" s="261"/>
      <c r="Q618" s="261"/>
      <c r="R618" s="198"/>
      <c r="S618" s="197" t="s">
        <v>4512</v>
      </c>
      <c r="T618" s="197" t="s">
        <v>4513</v>
      </c>
      <c r="U618" s="197" t="s">
        <v>3958</v>
      </c>
      <c r="V618" s="197" t="s">
        <v>3959</v>
      </c>
    </row>
    <row r="619" spans="1:22" s="197" customFormat="1" x14ac:dyDescent="0.2">
      <c r="A619" s="197" t="s">
        <v>4511</v>
      </c>
      <c r="B619" s="197" t="s">
        <v>815</v>
      </c>
      <c r="C619" s="197" t="s">
        <v>816</v>
      </c>
      <c r="D619" s="197" t="s">
        <v>209</v>
      </c>
      <c r="E619" s="197" t="s">
        <v>1868</v>
      </c>
      <c r="F619" s="197" t="s">
        <v>84</v>
      </c>
      <c r="G619" s="260">
        <v>2</v>
      </c>
      <c r="H619" s="197">
        <v>2</v>
      </c>
      <c r="I619" s="197" t="s">
        <v>3960</v>
      </c>
      <c r="J619" s="197" t="s">
        <v>3975</v>
      </c>
      <c r="K619" s="197" t="s">
        <v>1283</v>
      </c>
      <c r="L619" s="261">
        <v>0.75</v>
      </c>
      <c r="M619" s="263">
        <v>752.95140300000003</v>
      </c>
      <c r="N619" s="263">
        <f>L619*M619</f>
        <v>564.71355225000002</v>
      </c>
      <c r="O619" s="199"/>
      <c r="P619" s="261"/>
      <c r="Q619" s="261"/>
      <c r="R619" s="198"/>
      <c r="S619" s="197" t="s">
        <v>4512</v>
      </c>
      <c r="T619" s="197" t="s">
        <v>4513</v>
      </c>
      <c r="U619" s="197" t="s">
        <v>3958</v>
      </c>
      <c r="V619" s="197" t="s">
        <v>3959</v>
      </c>
    </row>
    <row r="620" spans="1:22" s="197" customFormat="1" x14ac:dyDescent="0.2">
      <c r="A620" s="197" t="s">
        <v>4511</v>
      </c>
      <c r="B620" s="197" t="s">
        <v>815</v>
      </c>
      <c r="C620" s="197" t="s">
        <v>816</v>
      </c>
      <c r="D620" s="197" t="s">
        <v>209</v>
      </c>
      <c r="E620" s="197" t="s">
        <v>1868</v>
      </c>
      <c r="F620" s="197" t="s">
        <v>84</v>
      </c>
      <c r="G620" s="260">
        <v>2</v>
      </c>
      <c r="H620" s="197">
        <v>3</v>
      </c>
      <c r="I620" s="197" t="s">
        <v>3976</v>
      </c>
      <c r="J620" s="197" t="s">
        <v>3977</v>
      </c>
      <c r="K620" s="197" t="s">
        <v>1283</v>
      </c>
      <c r="L620" s="261">
        <v>0.04</v>
      </c>
      <c r="M620" s="263">
        <v>752.95140300000003</v>
      </c>
      <c r="N620" s="263">
        <f>L620*M620</f>
        <v>30.118056120000002</v>
      </c>
      <c r="O620" s="199"/>
      <c r="P620" s="261"/>
      <c r="Q620" s="261"/>
      <c r="R620" s="198"/>
      <c r="S620" s="197" t="s">
        <v>4512</v>
      </c>
      <c r="T620" s="197" t="s">
        <v>4513</v>
      </c>
      <c r="U620" s="197" t="s">
        <v>3958</v>
      </c>
      <c r="V620" s="197" t="s">
        <v>3959</v>
      </c>
    </row>
    <row r="621" spans="1:22" s="197" customFormat="1" x14ac:dyDescent="0.2">
      <c r="A621" s="197" t="s">
        <v>4511</v>
      </c>
      <c r="B621" s="197" t="s">
        <v>815</v>
      </c>
      <c r="C621" s="197" t="s">
        <v>816</v>
      </c>
      <c r="D621" s="197" t="s">
        <v>209</v>
      </c>
      <c r="E621" s="197" t="s">
        <v>1868</v>
      </c>
      <c r="F621" s="197" t="s">
        <v>84</v>
      </c>
      <c r="G621" s="260">
        <v>2</v>
      </c>
      <c r="H621" s="197">
        <v>4</v>
      </c>
      <c r="I621" s="197" t="s">
        <v>3978</v>
      </c>
      <c r="J621" s="197" t="s">
        <v>3979</v>
      </c>
      <c r="K621" s="197" t="s">
        <v>1283</v>
      </c>
      <c r="L621" s="261">
        <v>0.03</v>
      </c>
      <c r="M621" s="263">
        <v>752.95140300000003</v>
      </c>
      <c r="N621" s="263">
        <f>L621*M621</f>
        <v>22.588542090000001</v>
      </c>
      <c r="O621" s="199"/>
      <c r="P621" s="261"/>
      <c r="Q621" s="261"/>
      <c r="R621" s="198"/>
      <c r="S621" s="197" t="s">
        <v>4512</v>
      </c>
      <c r="T621" s="197" t="s">
        <v>4513</v>
      </c>
      <c r="U621" s="197" t="s">
        <v>3958</v>
      </c>
      <c r="V621" s="197" t="s">
        <v>3959</v>
      </c>
    </row>
    <row r="622" spans="1:22" s="197" customFormat="1" x14ac:dyDescent="0.2">
      <c r="A622" s="197" t="s">
        <v>4511</v>
      </c>
      <c r="B622" s="197" t="s">
        <v>815</v>
      </c>
      <c r="C622" s="197" t="s">
        <v>816</v>
      </c>
      <c r="D622" s="197" t="s">
        <v>209</v>
      </c>
      <c r="E622" s="197" t="s">
        <v>1868</v>
      </c>
      <c r="F622" s="197" t="s">
        <v>84</v>
      </c>
      <c r="G622" s="260">
        <v>2</v>
      </c>
      <c r="H622" s="197">
        <v>5</v>
      </c>
      <c r="I622" s="197" t="s">
        <v>3968</v>
      </c>
      <c r="J622" s="197" t="s">
        <v>3969</v>
      </c>
      <c r="K622" s="197" t="s">
        <v>84</v>
      </c>
      <c r="L622" s="261">
        <v>1</v>
      </c>
      <c r="M622" s="263"/>
      <c r="N622" s="263">
        <f>SUM(N618:N621)</f>
        <v>752.95140300000003</v>
      </c>
      <c r="O622" s="199">
        <v>0.2223</v>
      </c>
      <c r="P622" s="261">
        <f>N622*O622</f>
        <v>167.3810968869</v>
      </c>
      <c r="Q622" s="261">
        <f>N622+P622</f>
        <v>920.3324998869</v>
      </c>
      <c r="R622" s="198">
        <f>Q622*G622</f>
        <v>1840.6649997738</v>
      </c>
      <c r="S622" s="197" t="s">
        <v>4512</v>
      </c>
      <c r="T622" s="197" t="s">
        <v>4513</v>
      </c>
      <c r="U622" s="197" t="str">
        <f>IF(ABS(Q622-920.3325)&lt;=0.01,"FECHA COM PLANILHA","REVISAR")</f>
        <v>FECHA COM PLANILHA</v>
      </c>
      <c r="V622" s="197" t="s">
        <v>4514</v>
      </c>
    </row>
    <row r="623" spans="1:22" s="197" customFormat="1" x14ac:dyDescent="0.2">
      <c r="A623" s="197" t="s">
        <v>4515</v>
      </c>
      <c r="B623" s="197" t="s">
        <v>1992</v>
      </c>
      <c r="C623" s="197" t="s">
        <v>938</v>
      </c>
      <c r="D623" s="197" t="s">
        <v>209</v>
      </c>
      <c r="E623" s="197" t="s">
        <v>939</v>
      </c>
      <c r="F623" s="197" t="s">
        <v>99</v>
      </c>
      <c r="G623" s="260">
        <v>21.7</v>
      </c>
      <c r="H623" s="197">
        <v>1</v>
      </c>
      <c r="I623" s="197" t="s">
        <v>3954</v>
      </c>
      <c r="J623" s="197" t="s">
        <v>4110</v>
      </c>
      <c r="K623" s="197" t="s">
        <v>1283</v>
      </c>
      <c r="L623" s="261">
        <v>0.3</v>
      </c>
      <c r="M623" s="263">
        <v>54.352449999999997</v>
      </c>
      <c r="N623" s="263">
        <f>L623*M623</f>
        <v>16.305734999999999</v>
      </c>
      <c r="O623" s="199"/>
      <c r="P623" s="261"/>
      <c r="Q623" s="261"/>
      <c r="R623" s="198"/>
      <c r="S623" s="197" t="s">
        <v>4516</v>
      </c>
      <c r="T623" s="197" t="s">
        <v>4517</v>
      </c>
      <c r="U623" s="197" t="s">
        <v>3958</v>
      </c>
      <c r="V623" s="197" t="s">
        <v>3959</v>
      </c>
    </row>
    <row r="624" spans="1:22" s="197" customFormat="1" x14ac:dyDescent="0.2">
      <c r="A624" s="197" t="s">
        <v>4515</v>
      </c>
      <c r="B624" s="197" t="s">
        <v>1992</v>
      </c>
      <c r="C624" s="197" t="s">
        <v>938</v>
      </c>
      <c r="D624" s="197" t="s">
        <v>209</v>
      </c>
      <c r="E624" s="197" t="s">
        <v>939</v>
      </c>
      <c r="F624" s="197" t="s">
        <v>99</v>
      </c>
      <c r="G624" s="260">
        <v>21.7</v>
      </c>
      <c r="H624" s="197">
        <v>2</v>
      </c>
      <c r="I624" s="197" t="s">
        <v>3960</v>
      </c>
      <c r="J624" s="197" t="s">
        <v>4113</v>
      </c>
      <c r="K624" s="197" t="s">
        <v>1283</v>
      </c>
      <c r="L624" s="261">
        <v>0.55000000000000004</v>
      </c>
      <c r="M624" s="263">
        <v>54.352449999999997</v>
      </c>
      <c r="N624" s="263">
        <f>L624*M624</f>
        <v>29.8938475</v>
      </c>
      <c r="O624" s="199"/>
      <c r="P624" s="261"/>
      <c r="Q624" s="261"/>
      <c r="R624" s="198"/>
      <c r="S624" s="197" t="s">
        <v>4516</v>
      </c>
      <c r="T624" s="197" t="s">
        <v>4517</v>
      </c>
      <c r="U624" s="197" t="s">
        <v>3958</v>
      </c>
      <c r="V624" s="197" t="s">
        <v>3959</v>
      </c>
    </row>
    <row r="625" spans="1:22" s="197" customFormat="1" x14ac:dyDescent="0.2">
      <c r="A625" s="197" t="s">
        <v>4515</v>
      </c>
      <c r="B625" s="197" t="s">
        <v>1992</v>
      </c>
      <c r="C625" s="197" t="s">
        <v>938</v>
      </c>
      <c r="D625" s="197" t="s">
        <v>209</v>
      </c>
      <c r="E625" s="197" t="s">
        <v>939</v>
      </c>
      <c r="F625" s="197" t="s">
        <v>99</v>
      </c>
      <c r="G625" s="260">
        <v>21.7</v>
      </c>
      <c r="H625" s="197">
        <v>3</v>
      </c>
      <c r="I625" s="197" t="s">
        <v>3976</v>
      </c>
      <c r="J625" s="197" t="s">
        <v>4114</v>
      </c>
      <c r="K625" s="197" t="s">
        <v>1283</v>
      </c>
      <c r="L625" s="261">
        <v>0.1</v>
      </c>
      <c r="M625" s="263">
        <v>54.352449999999997</v>
      </c>
      <c r="N625" s="263">
        <f>L625*M625</f>
        <v>5.4352450000000001</v>
      </c>
      <c r="O625" s="199"/>
      <c r="P625" s="261"/>
      <c r="Q625" s="261"/>
      <c r="R625" s="198"/>
      <c r="S625" s="197" t="s">
        <v>4516</v>
      </c>
      <c r="T625" s="197" t="s">
        <v>4517</v>
      </c>
      <c r="U625" s="197" t="s">
        <v>3958</v>
      </c>
      <c r="V625" s="197" t="s">
        <v>3959</v>
      </c>
    </row>
    <row r="626" spans="1:22" s="197" customFormat="1" x14ac:dyDescent="0.2">
      <c r="A626" s="197" t="s">
        <v>4515</v>
      </c>
      <c r="B626" s="197" t="s">
        <v>1992</v>
      </c>
      <c r="C626" s="197" t="s">
        <v>938</v>
      </c>
      <c r="D626" s="197" t="s">
        <v>209</v>
      </c>
      <c r="E626" s="197" t="s">
        <v>939</v>
      </c>
      <c r="F626" s="197" t="s">
        <v>99</v>
      </c>
      <c r="G626" s="260">
        <v>21.7</v>
      </c>
      <c r="H626" s="197">
        <v>4</v>
      </c>
      <c r="I626" s="197" t="s">
        <v>4017</v>
      </c>
      <c r="J626" s="197" t="s">
        <v>4115</v>
      </c>
      <c r="K626" s="197" t="s">
        <v>1283</v>
      </c>
      <c r="L626" s="261">
        <v>0.05</v>
      </c>
      <c r="M626" s="263">
        <v>54.352449999999997</v>
      </c>
      <c r="N626" s="263">
        <f>L626*M626</f>
        <v>2.7176225000000001</v>
      </c>
      <c r="O626" s="199"/>
      <c r="P626" s="261"/>
      <c r="Q626" s="261"/>
      <c r="R626" s="198"/>
      <c r="S626" s="197" t="s">
        <v>4516</v>
      </c>
      <c r="T626" s="197" t="s">
        <v>4517</v>
      </c>
      <c r="U626" s="197" t="s">
        <v>3958</v>
      </c>
      <c r="V626" s="197" t="s">
        <v>3959</v>
      </c>
    </row>
    <row r="627" spans="1:22" s="197" customFormat="1" x14ac:dyDescent="0.2">
      <c r="A627" s="197" t="s">
        <v>4515</v>
      </c>
      <c r="B627" s="197" t="s">
        <v>1992</v>
      </c>
      <c r="C627" s="197" t="s">
        <v>938</v>
      </c>
      <c r="D627" s="197" t="s">
        <v>209</v>
      </c>
      <c r="E627" s="197" t="s">
        <v>939</v>
      </c>
      <c r="F627" s="197" t="s">
        <v>99</v>
      </c>
      <c r="G627" s="260">
        <v>21.7</v>
      </c>
      <c r="H627" s="197">
        <v>5</v>
      </c>
      <c r="I627" s="197" t="s">
        <v>3968</v>
      </c>
      <c r="J627" s="197" t="s">
        <v>3969</v>
      </c>
      <c r="K627" s="197" t="s">
        <v>99</v>
      </c>
      <c r="L627" s="261">
        <v>1</v>
      </c>
      <c r="M627" s="263"/>
      <c r="N627" s="263">
        <f>SUM(N623:N626)</f>
        <v>54.352449999999997</v>
      </c>
      <c r="O627" s="199">
        <v>0.2223</v>
      </c>
      <c r="P627" s="261">
        <f>N627*O627</f>
        <v>12.082549634999999</v>
      </c>
      <c r="Q627" s="261">
        <f>N627+P627</f>
        <v>66.434999634999997</v>
      </c>
      <c r="R627" s="198">
        <f>Q627*G627</f>
        <v>1441.6394920794999</v>
      </c>
      <c r="S627" s="197" t="s">
        <v>4516</v>
      </c>
      <c r="T627" s="197" t="s">
        <v>4517</v>
      </c>
      <c r="U627" s="197" t="str">
        <f>IF(ABS(Q627-66.435)&lt;=0.01,"FECHA COM PLANILHA","REVISAR")</f>
        <v>FECHA COM PLANILHA</v>
      </c>
      <c r="V627" s="197" t="s">
        <v>4518</v>
      </c>
    </row>
    <row r="628" spans="1:22" s="197" customFormat="1" x14ac:dyDescent="0.2">
      <c r="A628" s="197" t="s">
        <v>4519</v>
      </c>
      <c r="B628" s="197" t="s">
        <v>820</v>
      </c>
      <c r="C628" s="197" t="s">
        <v>821</v>
      </c>
      <c r="D628" s="197" t="s">
        <v>209</v>
      </c>
      <c r="E628" s="197" t="s">
        <v>822</v>
      </c>
      <c r="F628" s="197" t="s">
        <v>84</v>
      </c>
      <c r="G628" s="260">
        <v>2</v>
      </c>
      <c r="H628" s="197">
        <v>1</v>
      </c>
      <c r="I628" s="197" t="s">
        <v>3954</v>
      </c>
      <c r="J628" s="197" t="s">
        <v>4012</v>
      </c>
      <c r="K628" s="197" t="s">
        <v>1283</v>
      </c>
      <c r="L628" s="261">
        <v>0.22</v>
      </c>
      <c r="M628" s="263">
        <v>545.65368599999999</v>
      </c>
      <c r="N628" s="263">
        <f>L628*M628</f>
        <v>120.04381092</v>
      </c>
      <c r="O628" s="199"/>
      <c r="P628" s="261"/>
      <c r="Q628" s="261"/>
      <c r="R628" s="198"/>
      <c r="S628" s="197" t="s">
        <v>4520</v>
      </c>
      <c r="T628" s="197" t="s">
        <v>4521</v>
      </c>
      <c r="U628" s="197" t="s">
        <v>3958</v>
      </c>
      <c r="V628" s="197" t="s">
        <v>3959</v>
      </c>
    </row>
    <row r="629" spans="1:22" s="197" customFormat="1" x14ac:dyDescent="0.2">
      <c r="A629" s="197" t="s">
        <v>4519</v>
      </c>
      <c r="B629" s="197" t="s">
        <v>820</v>
      </c>
      <c r="C629" s="197" t="s">
        <v>821</v>
      </c>
      <c r="D629" s="197" t="s">
        <v>209</v>
      </c>
      <c r="E629" s="197" t="s">
        <v>822</v>
      </c>
      <c r="F629" s="197" t="s">
        <v>84</v>
      </c>
      <c r="G629" s="260">
        <v>2</v>
      </c>
      <c r="H629" s="197">
        <v>2</v>
      </c>
      <c r="I629" s="197" t="s">
        <v>3960</v>
      </c>
      <c r="J629" s="197" t="s">
        <v>4015</v>
      </c>
      <c r="K629" s="197" t="s">
        <v>1283</v>
      </c>
      <c r="L629" s="261">
        <v>0.7</v>
      </c>
      <c r="M629" s="263">
        <v>545.65368599999999</v>
      </c>
      <c r="N629" s="263">
        <f>L629*M629</f>
        <v>381.9575802</v>
      </c>
      <c r="O629" s="199"/>
      <c r="P629" s="261"/>
      <c r="Q629" s="261"/>
      <c r="R629" s="198"/>
      <c r="S629" s="197" t="s">
        <v>4520</v>
      </c>
      <c r="T629" s="197" t="s">
        <v>4521</v>
      </c>
      <c r="U629" s="197" t="s">
        <v>3958</v>
      </c>
      <c r="V629" s="197" t="s">
        <v>3959</v>
      </c>
    </row>
    <row r="630" spans="1:22" s="197" customFormat="1" x14ac:dyDescent="0.2">
      <c r="A630" s="197" t="s">
        <v>4519</v>
      </c>
      <c r="B630" s="197" t="s">
        <v>820</v>
      </c>
      <c r="C630" s="197" t="s">
        <v>821</v>
      </c>
      <c r="D630" s="197" t="s">
        <v>209</v>
      </c>
      <c r="E630" s="197" t="s">
        <v>822</v>
      </c>
      <c r="F630" s="197" t="s">
        <v>84</v>
      </c>
      <c r="G630" s="260">
        <v>2</v>
      </c>
      <c r="H630" s="197">
        <v>3</v>
      </c>
      <c r="I630" s="197" t="s">
        <v>3976</v>
      </c>
      <c r="J630" s="197" t="s">
        <v>4016</v>
      </c>
      <c r="K630" s="197" t="s">
        <v>1283</v>
      </c>
      <c r="L630" s="261">
        <v>0.05</v>
      </c>
      <c r="M630" s="263">
        <v>545.65368599999999</v>
      </c>
      <c r="N630" s="263">
        <f>L630*M630</f>
        <v>27.2826843</v>
      </c>
      <c r="O630" s="199"/>
      <c r="P630" s="261"/>
      <c r="Q630" s="261"/>
      <c r="R630" s="198"/>
      <c r="S630" s="197" t="s">
        <v>4520</v>
      </c>
      <c r="T630" s="197" t="s">
        <v>4521</v>
      </c>
      <c r="U630" s="197" t="s">
        <v>3958</v>
      </c>
      <c r="V630" s="197" t="s">
        <v>3959</v>
      </c>
    </row>
    <row r="631" spans="1:22" s="197" customFormat="1" x14ac:dyDescent="0.2">
      <c r="A631" s="197" t="s">
        <v>4519</v>
      </c>
      <c r="B631" s="197" t="s">
        <v>820</v>
      </c>
      <c r="C631" s="197" t="s">
        <v>821</v>
      </c>
      <c r="D631" s="197" t="s">
        <v>209</v>
      </c>
      <c r="E631" s="197" t="s">
        <v>822</v>
      </c>
      <c r="F631" s="197" t="s">
        <v>84</v>
      </c>
      <c r="G631" s="260">
        <v>2</v>
      </c>
      <c r="H631" s="197">
        <v>4</v>
      </c>
      <c r="I631" s="197" t="s">
        <v>4017</v>
      </c>
      <c r="J631" s="197" t="s">
        <v>4018</v>
      </c>
      <c r="K631" s="197" t="s">
        <v>1283</v>
      </c>
      <c r="L631" s="261">
        <v>0.03</v>
      </c>
      <c r="M631" s="263">
        <v>545.65368599999999</v>
      </c>
      <c r="N631" s="263">
        <f>L631*M631</f>
        <v>16.36961058</v>
      </c>
      <c r="O631" s="199"/>
      <c r="P631" s="261"/>
      <c r="Q631" s="261"/>
      <c r="R631" s="198"/>
      <c r="S631" s="197" t="s">
        <v>4520</v>
      </c>
      <c r="T631" s="197" t="s">
        <v>4521</v>
      </c>
      <c r="U631" s="197" t="s">
        <v>3958</v>
      </c>
      <c r="V631" s="197" t="s">
        <v>3959</v>
      </c>
    </row>
    <row r="632" spans="1:22" s="197" customFormat="1" x14ac:dyDescent="0.2">
      <c r="A632" s="197" t="s">
        <v>4519</v>
      </c>
      <c r="B632" s="197" t="s">
        <v>820</v>
      </c>
      <c r="C632" s="197" t="s">
        <v>821</v>
      </c>
      <c r="D632" s="197" t="s">
        <v>209</v>
      </c>
      <c r="E632" s="197" t="s">
        <v>822</v>
      </c>
      <c r="F632" s="197" t="s">
        <v>84</v>
      </c>
      <c r="G632" s="260">
        <v>2</v>
      </c>
      <c r="H632" s="197">
        <v>5</v>
      </c>
      <c r="I632" s="197" t="s">
        <v>3968</v>
      </c>
      <c r="J632" s="197" t="s">
        <v>3969</v>
      </c>
      <c r="K632" s="197" t="s">
        <v>84</v>
      </c>
      <c r="L632" s="261">
        <v>1</v>
      </c>
      <c r="M632" s="263"/>
      <c r="N632" s="263">
        <f>SUM(N628:N631)</f>
        <v>545.65368599999999</v>
      </c>
      <c r="O632" s="199">
        <v>0.2223</v>
      </c>
      <c r="P632" s="261">
        <f>N632*O632</f>
        <v>121.2988143978</v>
      </c>
      <c r="Q632" s="261">
        <f>N632+P632</f>
        <v>666.95250039780001</v>
      </c>
      <c r="R632" s="198">
        <f>Q632*G632</f>
        <v>1333.9050007956</v>
      </c>
      <c r="S632" s="197" t="s">
        <v>4520</v>
      </c>
      <c r="T632" s="197" t="s">
        <v>4521</v>
      </c>
      <c r="U632" s="197" t="str">
        <f>IF(ABS(Q632-666.9525)&lt;=0.01,"FECHA COM PLANILHA","REVISAR")</f>
        <v>FECHA COM PLANILHA</v>
      </c>
      <c r="V632" s="197" t="s">
        <v>4522</v>
      </c>
    </row>
    <row r="633" spans="1:22" s="197" customFormat="1" x14ac:dyDescent="0.2">
      <c r="A633" s="197" t="s">
        <v>4523</v>
      </c>
      <c r="B633" s="197" t="s">
        <v>2186</v>
      </c>
      <c r="C633" s="197" t="s">
        <v>1069</v>
      </c>
      <c r="D633" s="197" t="s">
        <v>209</v>
      </c>
      <c r="E633" s="197" t="s">
        <v>1070</v>
      </c>
      <c r="F633" s="197" t="s">
        <v>84</v>
      </c>
      <c r="G633" s="260">
        <v>1</v>
      </c>
      <c r="H633" s="197">
        <v>1</v>
      </c>
      <c r="I633" s="197" t="s">
        <v>3954</v>
      </c>
      <c r="J633" s="197" t="s">
        <v>3972</v>
      </c>
      <c r="K633" s="197" t="s">
        <v>1283</v>
      </c>
      <c r="L633" s="261">
        <v>0.18</v>
      </c>
      <c r="M633" s="263">
        <v>486.12247400000001</v>
      </c>
      <c r="N633" s="263">
        <f>L633*M633</f>
        <v>87.502045319999993</v>
      </c>
      <c r="O633" s="199"/>
      <c r="P633" s="261"/>
      <c r="Q633" s="261"/>
      <c r="R633" s="198"/>
      <c r="S633" s="197" t="s">
        <v>4524</v>
      </c>
      <c r="T633" s="197" t="s">
        <v>4525</v>
      </c>
      <c r="U633" s="197" t="s">
        <v>3958</v>
      </c>
      <c r="V633" s="197" t="s">
        <v>3959</v>
      </c>
    </row>
    <row r="634" spans="1:22" s="197" customFormat="1" x14ac:dyDescent="0.2">
      <c r="A634" s="197" t="s">
        <v>4523</v>
      </c>
      <c r="B634" s="197" t="s">
        <v>2186</v>
      </c>
      <c r="C634" s="197" t="s">
        <v>1069</v>
      </c>
      <c r="D634" s="197" t="s">
        <v>209</v>
      </c>
      <c r="E634" s="197" t="s">
        <v>1070</v>
      </c>
      <c r="F634" s="197" t="s">
        <v>84</v>
      </c>
      <c r="G634" s="260">
        <v>1</v>
      </c>
      <c r="H634" s="197">
        <v>2</v>
      </c>
      <c r="I634" s="197" t="s">
        <v>3960</v>
      </c>
      <c r="J634" s="197" t="s">
        <v>3975</v>
      </c>
      <c r="K634" s="197" t="s">
        <v>1283</v>
      </c>
      <c r="L634" s="261">
        <v>0.75</v>
      </c>
      <c r="M634" s="263">
        <v>486.12247400000001</v>
      </c>
      <c r="N634" s="263">
        <f>L634*M634</f>
        <v>364.59185550000001</v>
      </c>
      <c r="O634" s="199"/>
      <c r="P634" s="261"/>
      <c r="Q634" s="261"/>
      <c r="R634" s="198"/>
      <c r="S634" s="197" t="s">
        <v>4524</v>
      </c>
      <c r="T634" s="197" t="s">
        <v>4525</v>
      </c>
      <c r="U634" s="197" t="s">
        <v>3958</v>
      </c>
      <c r="V634" s="197" t="s">
        <v>3959</v>
      </c>
    </row>
    <row r="635" spans="1:22" s="197" customFormat="1" x14ac:dyDescent="0.2">
      <c r="A635" s="197" t="s">
        <v>4523</v>
      </c>
      <c r="B635" s="197" t="s">
        <v>2186</v>
      </c>
      <c r="C635" s="197" t="s">
        <v>1069</v>
      </c>
      <c r="D635" s="197" t="s">
        <v>209</v>
      </c>
      <c r="E635" s="197" t="s">
        <v>1070</v>
      </c>
      <c r="F635" s="197" t="s">
        <v>84</v>
      </c>
      <c r="G635" s="260">
        <v>1</v>
      </c>
      <c r="H635" s="197">
        <v>3</v>
      </c>
      <c r="I635" s="197" t="s">
        <v>3976</v>
      </c>
      <c r="J635" s="197" t="s">
        <v>3977</v>
      </c>
      <c r="K635" s="197" t="s">
        <v>1283</v>
      </c>
      <c r="L635" s="261">
        <v>0.04</v>
      </c>
      <c r="M635" s="263">
        <v>486.12247400000001</v>
      </c>
      <c r="N635" s="263">
        <f>L635*M635</f>
        <v>19.44489896</v>
      </c>
      <c r="O635" s="199"/>
      <c r="P635" s="261"/>
      <c r="Q635" s="261"/>
      <c r="R635" s="198"/>
      <c r="S635" s="197" t="s">
        <v>4524</v>
      </c>
      <c r="T635" s="197" t="s">
        <v>4525</v>
      </c>
      <c r="U635" s="197" t="s">
        <v>3958</v>
      </c>
      <c r="V635" s="197" t="s">
        <v>3959</v>
      </c>
    </row>
    <row r="636" spans="1:22" s="197" customFormat="1" x14ac:dyDescent="0.2">
      <c r="A636" s="197" t="s">
        <v>4523</v>
      </c>
      <c r="B636" s="197" t="s">
        <v>2186</v>
      </c>
      <c r="C636" s="197" t="s">
        <v>1069</v>
      </c>
      <c r="D636" s="197" t="s">
        <v>209</v>
      </c>
      <c r="E636" s="197" t="s">
        <v>1070</v>
      </c>
      <c r="F636" s="197" t="s">
        <v>84</v>
      </c>
      <c r="G636" s="260">
        <v>1</v>
      </c>
      <c r="H636" s="197">
        <v>4</v>
      </c>
      <c r="I636" s="197" t="s">
        <v>3978</v>
      </c>
      <c r="J636" s="197" t="s">
        <v>3979</v>
      </c>
      <c r="K636" s="197" t="s">
        <v>1283</v>
      </c>
      <c r="L636" s="261">
        <v>0.03</v>
      </c>
      <c r="M636" s="263">
        <v>486.12247400000001</v>
      </c>
      <c r="N636" s="263">
        <f>L636*M636</f>
        <v>14.583674219999999</v>
      </c>
      <c r="O636" s="199"/>
      <c r="P636" s="261"/>
      <c r="Q636" s="261"/>
      <c r="R636" s="198"/>
      <c r="S636" s="197" t="s">
        <v>4524</v>
      </c>
      <c r="T636" s="197" t="s">
        <v>4525</v>
      </c>
      <c r="U636" s="197" t="s">
        <v>3958</v>
      </c>
      <c r="V636" s="197" t="s">
        <v>3959</v>
      </c>
    </row>
    <row r="637" spans="1:22" s="197" customFormat="1" x14ac:dyDescent="0.2">
      <c r="A637" s="197" t="s">
        <v>4523</v>
      </c>
      <c r="B637" s="197" t="s">
        <v>2186</v>
      </c>
      <c r="C637" s="197" t="s">
        <v>1069</v>
      </c>
      <c r="D637" s="197" t="s">
        <v>209</v>
      </c>
      <c r="E637" s="197" t="s">
        <v>1070</v>
      </c>
      <c r="F637" s="197" t="s">
        <v>84</v>
      </c>
      <c r="G637" s="260">
        <v>1</v>
      </c>
      <c r="H637" s="197">
        <v>5</v>
      </c>
      <c r="I637" s="197" t="s">
        <v>3968</v>
      </c>
      <c r="J637" s="197" t="s">
        <v>3969</v>
      </c>
      <c r="K637" s="197" t="s">
        <v>84</v>
      </c>
      <c r="L637" s="261">
        <v>1</v>
      </c>
      <c r="M637" s="263"/>
      <c r="N637" s="263">
        <f>SUM(N633:N636)</f>
        <v>486.12247399999995</v>
      </c>
      <c r="O637" s="199">
        <v>0.2223</v>
      </c>
      <c r="P637" s="261">
        <f>N637*O637</f>
        <v>108.06502597019998</v>
      </c>
      <c r="Q637" s="261">
        <f>N637+P637</f>
        <v>594.18749997019995</v>
      </c>
      <c r="R637" s="198">
        <f>Q637*G637</f>
        <v>594.18749997019995</v>
      </c>
      <c r="S637" s="197" t="s">
        <v>4524</v>
      </c>
      <c r="T637" s="197" t="s">
        <v>4525</v>
      </c>
      <c r="U637" s="197" t="str">
        <f>IF(ABS(Q637-594.1875)&lt;=0.01,"FECHA COM PLANILHA","REVISAR")</f>
        <v>FECHA COM PLANILHA</v>
      </c>
      <c r="V637" s="197" t="s">
        <v>4526</v>
      </c>
    </row>
    <row r="638" spans="1:22" s="197" customFormat="1" x14ac:dyDescent="0.2">
      <c r="A638" s="197" t="s">
        <v>4527</v>
      </c>
      <c r="B638" s="197" t="s">
        <v>1931</v>
      </c>
      <c r="C638" s="197" t="s">
        <v>1932</v>
      </c>
      <c r="D638" s="197" t="s">
        <v>209</v>
      </c>
      <c r="E638" s="197" t="s">
        <v>1933</v>
      </c>
      <c r="F638" s="197" t="s">
        <v>84</v>
      </c>
      <c r="G638" s="260">
        <v>2</v>
      </c>
      <c r="H638" s="197">
        <v>1</v>
      </c>
      <c r="I638" s="197" t="s">
        <v>3954</v>
      </c>
      <c r="J638" s="197" t="s">
        <v>4012</v>
      </c>
      <c r="K638" s="197" t="s">
        <v>1283</v>
      </c>
      <c r="L638" s="261">
        <v>0.22</v>
      </c>
      <c r="M638" s="263">
        <v>233.38173900000001</v>
      </c>
      <c r="N638" s="263">
        <f>L638*M638</f>
        <v>51.343982580000002</v>
      </c>
      <c r="O638" s="199"/>
      <c r="P638" s="261"/>
      <c r="Q638" s="261"/>
      <c r="R638" s="198"/>
      <c r="S638" s="197" t="s">
        <v>4528</v>
      </c>
      <c r="T638" s="197" t="s">
        <v>4529</v>
      </c>
      <c r="U638" s="197" t="s">
        <v>3958</v>
      </c>
      <c r="V638" s="197" t="s">
        <v>3959</v>
      </c>
    </row>
    <row r="639" spans="1:22" s="197" customFormat="1" x14ac:dyDescent="0.2">
      <c r="A639" s="197" t="s">
        <v>4527</v>
      </c>
      <c r="B639" s="197" t="s">
        <v>1931</v>
      </c>
      <c r="C639" s="197" t="s">
        <v>1932</v>
      </c>
      <c r="D639" s="197" t="s">
        <v>209</v>
      </c>
      <c r="E639" s="197" t="s">
        <v>1933</v>
      </c>
      <c r="F639" s="197" t="s">
        <v>84</v>
      </c>
      <c r="G639" s="260">
        <v>2</v>
      </c>
      <c r="H639" s="197">
        <v>2</v>
      </c>
      <c r="I639" s="197" t="s">
        <v>3960</v>
      </c>
      <c r="J639" s="197" t="s">
        <v>4015</v>
      </c>
      <c r="K639" s="197" t="s">
        <v>1283</v>
      </c>
      <c r="L639" s="261">
        <v>0.7</v>
      </c>
      <c r="M639" s="263">
        <v>233.38173900000001</v>
      </c>
      <c r="N639" s="263">
        <f>L639*M639</f>
        <v>163.36721729999999</v>
      </c>
      <c r="O639" s="199"/>
      <c r="P639" s="261"/>
      <c r="Q639" s="261"/>
      <c r="R639" s="198"/>
      <c r="S639" s="197" t="s">
        <v>4528</v>
      </c>
      <c r="T639" s="197" t="s">
        <v>4529</v>
      </c>
      <c r="U639" s="197" t="s">
        <v>3958</v>
      </c>
      <c r="V639" s="197" t="s">
        <v>3959</v>
      </c>
    </row>
    <row r="640" spans="1:22" s="197" customFormat="1" x14ac:dyDescent="0.2">
      <c r="A640" s="197" t="s">
        <v>4527</v>
      </c>
      <c r="B640" s="197" t="s">
        <v>1931</v>
      </c>
      <c r="C640" s="197" t="s">
        <v>1932</v>
      </c>
      <c r="D640" s="197" t="s">
        <v>209</v>
      </c>
      <c r="E640" s="197" t="s">
        <v>1933</v>
      </c>
      <c r="F640" s="197" t="s">
        <v>84</v>
      </c>
      <c r="G640" s="260">
        <v>2</v>
      </c>
      <c r="H640" s="197">
        <v>3</v>
      </c>
      <c r="I640" s="197" t="s">
        <v>3976</v>
      </c>
      <c r="J640" s="197" t="s">
        <v>4016</v>
      </c>
      <c r="K640" s="197" t="s">
        <v>1283</v>
      </c>
      <c r="L640" s="261">
        <v>0.05</v>
      </c>
      <c r="M640" s="263">
        <v>233.38173900000001</v>
      </c>
      <c r="N640" s="263">
        <f>L640*M640</f>
        <v>11.669086950000001</v>
      </c>
      <c r="O640" s="199"/>
      <c r="P640" s="261"/>
      <c r="Q640" s="261"/>
      <c r="R640" s="198"/>
      <c r="S640" s="197" t="s">
        <v>4528</v>
      </c>
      <c r="T640" s="197" t="s">
        <v>4529</v>
      </c>
      <c r="U640" s="197" t="s">
        <v>3958</v>
      </c>
      <c r="V640" s="197" t="s">
        <v>3959</v>
      </c>
    </row>
    <row r="641" spans="1:22" s="197" customFormat="1" x14ac:dyDescent="0.2">
      <c r="A641" s="197" t="s">
        <v>4527</v>
      </c>
      <c r="B641" s="197" t="s">
        <v>1931</v>
      </c>
      <c r="C641" s="197" t="s">
        <v>1932</v>
      </c>
      <c r="D641" s="197" t="s">
        <v>209</v>
      </c>
      <c r="E641" s="197" t="s">
        <v>1933</v>
      </c>
      <c r="F641" s="197" t="s">
        <v>84</v>
      </c>
      <c r="G641" s="260">
        <v>2</v>
      </c>
      <c r="H641" s="197">
        <v>4</v>
      </c>
      <c r="I641" s="197" t="s">
        <v>4017</v>
      </c>
      <c r="J641" s="197" t="s">
        <v>4018</v>
      </c>
      <c r="K641" s="197" t="s">
        <v>1283</v>
      </c>
      <c r="L641" s="261">
        <v>0.03</v>
      </c>
      <c r="M641" s="263">
        <v>233.38173900000001</v>
      </c>
      <c r="N641" s="263">
        <f>L641*M641</f>
        <v>7.0014521700000003</v>
      </c>
      <c r="O641" s="199"/>
      <c r="P641" s="261"/>
      <c r="Q641" s="261"/>
      <c r="R641" s="198"/>
      <c r="S641" s="197" t="s">
        <v>4528</v>
      </c>
      <c r="T641" s="197" t="s">
        <v>4529</v>
      </c>
      <c r="U641" s="197" t="s">
        <v>3958</v>
      </c>
      <c r="V641" s="197" t="s">
        <v>3959</v>
      </c>
    </row>
    <row r="642" spans="1:22" s="197" customFormat="1" x14ac:dyDescent="0.2">
      <c r="A642" s="197" t="s">
        <v>4527</v>
      </c>
      <c r="B642" s="197" t="s">
        <v>1931</v>
      </c>
      <c r="C642" s="197" t="s">
        <v>1932</v>
      </c>
      <c r="D642" s="197" t="s">
        <v>209</v>
      </c>
      <c r="E642" s="197" t="s">
        <v>1933</v>
      </c>
      <c r="F642" s="197" t="s">
        <v>84</v>
      </c>
      <c r="G642" s="260">
        <v>2</v>
      </c>
      <c r="H642" s="197">
        <v>5</v>
      </c>
      <c r="I642" s="197" t="s">
        <v>3968</v>
      </c>
      <c r="J642" s="197" t="s">
        <v>3969</v>
      </c>
      <c r="K642" s="197" t="s">
        <v>84</v>
      </c>
      <c r="L642" s="261">
        <v>1</v>
      </c>
      <c r="M642" s="263"/>
      <c r="N642" s="263">
        <f>SUM(N638:N641)</f>
        <v>233.38173899999998</v>
      </c>
      <c r="O642" s="199">
        <v>0.2223</v>
      </c>
      <c r="P642" s="261">
        <f>N642*O642</f>
        <v>51.880760579699995</v>
      </c>
      <c r="Q642" s="261">
        <f>N642+P642</f>
        <v>285.26249957969998</v>
      </c>
      <c r="R642" s="198">
        <f>Q642*G642</f>
        <v>570.52499915939995</v>
      </c>
      <c r="S642" s="197" t="s">
        <v>4528</v>
      </c>
      <c r="T642" s="197" t="s">
        <v>4529</v>
      </c>
      <c r="U642" s="197" t="str">
        <f>IF(ABS(Q642-285.2625)&lt;=0.01,"FECHA COM PLANILHA","REVISAR")</f>
        <v>FECHA COM PLANILHA</v>
      </c>
      <c r="V642" s="197" t="s">
        <v>4530</v>
      </c>
    </row>
    <row r="643" spans="1:22" s="197" customFormat="1" x14ac:dyDescent="0.2">
      <c r="A643" s="197" t="s">
        <v>4531</v>
      </c>
      <c r="B643" s="197" t="s">
        <v>1624</v>
      </c>
      <c r="C643" s="197" t="s">
        <v>600</v>
      </c>
      <c r="D643" s="197" t="s">
        <v>209</v>
      </c>
      <c r="E643" s="197" t="s">
        <v>601</v>
      </c>
      <c r="F643" s="197" t="s">
        <v>84</v>
      </c>
      <c r="G643" s="260">
        <v>1</v>
      </c>
      <c r="H643" s="197">
        <v>1</v>
      </c>
      <c r="I643" s="197" t="s">
        <v>3954</v>
      </c>
      <c r="J643" s="197" t="s">
        <v>4110</v>
      </c>
      <c r="K643" s="197" t="s">
        <v>1283</v>
      </c>
      <c r="L643" s="261">
        <v>0.3</v>
      </c>
      <c r="M643" s="263">
        <v>306.53481099999999</v>
      </c>
      <c r="N643" s="263">
        <f>L643*M643</f>
        <v>91.960443299999994</v>
      </c>
      <c r="O643" s="199"/>
      <c r="P643" s="261"/>
      <c r="Q643" s="261"/>
      <c r="R643" s="198"/>
      <c r="S643" s="197" t="s">
        <v>4532</v>
      </c>
      <c r="T643" s="197" t="s">
        <v>4533</v>
      </c>
      <c r="U643" s="197" t="s">
        <v>3958</v>
      </c>
      <c r="V643" s="197" t="s">
        <v>3959</v>
      </c>
    </row>
    <row r="644" spans="1:22" s="197" customFormat="1" x14ac:dyDescent="0.2">
      <c r="A644" s="197" t="s">
        <v>4531</v>
      </c>
      <c r="B644" s="197" t="s">
        <v>1624</v>
      </c>
      <c r="C644" s="197" t="s">
        <v>600</v>
      </c>
      <c r="D644" s="197" t="s">
        <v>209</v>
      </c>
      <c r="E644" s="197" t="s">
        <v>601</v>
      </c>
      <c r="F644" s="197" t="s">
        <v>84</v>
      </c>
      <c r="G644" s="260">
        <v>1</v>
      </c>
      <c r="H644" s="197">
        <v>2</v>
      </c>
      <c r="I644" s="197" t="s">
        <v>3960</v>
      </c>
      <c r="J644" s="197" t="s">
        <v>4113</v>
      </c>
      <c r="K644" s="197" t="s">
        <v>1283</v>
      </c>
      <c r="L644" s="261">
        <v>0.55000000000000004</v>
      </c>
      <c r="M644" s="263">
        <v>306.53481099999999</v>
      </c>
      <c r="N644" s="263">
        <f>L644*M644</f>
        <v>168.59414605000001</v>
      </c>
      <c r="O644" s="199"/>
      <c r="P644" s="261"/>
      <c r="Q644" s="261"/>
      <c r="R644" s="198"/>
      <c r="S644" s="197" t="s">
        <v>4532</v>
      </c>
      <c r="T644" s="197" t="s">
        <v>4533</v>
      </c>
      <c r="U644" s="197" t="s">
        <v>3958</v>
      </c>
      <c r="V644" s="197" t="s">
        <v>3959</v>
      </c>
    </row>
    <row r="645" spans="1:22" s="197" customFormat="1" x14ac:dyDescent="0.2">
      <c r="A645" s="197" t="s">
        <v>4531</v>
      </c>
      <c r="B645" s="197" t="s">
        <v>1624</v>
      </c>
      <c r="C645" s="197" t="s">
        <v>600</v>
      </c>
      <c r="D645" s="197" t="s">
        <v>209</v>
      </c>
      <c r="E645" s="197" t="s">
        <v>601</v>
      </c>
      <c r="F645" s="197" t="s">
        <v>84</v>
      </c>
      <c r="G645" s="260">
        <v>1</v>
      </c>
      <c r="H645" s="197">
        <v>3</v>
      </c>
      <c r="I645" s="197" t="s">
        <v>3976</v>
      </c>
      <c r="J645" s="197" t="s">
        <v>4114</v>
      </c>
      <c r="K645" s="197" t="s">
        <v>1283</v>
      </c>
      <c r="L645" s="261">
        <v>0.1</v>
      </c>
      <c r="M645" s="263">
        <v>306.53481099999999</v>
      </c>
      <c r="N645" s="263">
        <f>L645*M645</f>
        <v>30.6534811</v>
      </c>
      <c r="O645" s="199"/>
      <c r="P645" s="261"/>
      <c r="Q645" s="261"/>
      <c r="R645" s="198"/>
      <c r="S645" s="197" t="s">
        <v>4532</v>
      </c>
      <c r="T645" s="197" t="s">
        <v>4533</v>
      </c>
      <c r="U645" s="197" t="s">
        <v>3958</v>
      </c>
      <c r="V645" s="197" t="s">
        <v>3959</v>
      </c>
    </row>
    <row r="646" spans="1:22" s="197" customFormat="1" x14ac:dyDescent="0.2">
      <c r="A646" s="197" t="s">
        <v>4531</v>
      </c>
      <c r="B646" s="197" t="s">
        <v>1624</v>
      </c>
      <c r="C646" s="197" t="s">
        <v>600</v>
      </c>
      <c r="D646" s="197" t="s">
        <v>209</v>
      </c>
      <c r="E646" s="197" t="s">
        <v>601</v>
      </c>
      <c r="F646" s="197" t="s">
        <v>84</v>
      </c>
      <c r="G646" s="260">
        <v>1</v>
      </c>
      <c r="H646" s="197">
        <v>4</v>
      </c>
      <c r="I646" s="197" t="s">
        <v>4017</v>
      </c>
      <c r="J646" s="197" t="s">
        <v>4115</v>
      </c>
      <c r="K646" s="197" t="s">
        <v>1283</v>
      </c>
      <c r="L646" s="261">
        <v>0.05</v>
      </c>
      <c r="M646" s="263">
        <v>306.53481099999999</v>
      </c>
      <c r="N646" s="263">
        <f>L646*M646</f>
        <v>15.32674055</v>
      </c>
      <c r="O646" s="199"/>
      <c r="P646" s="261"/>
      <c r="Q646" s="261"/>
      <c r="R646" s="198"/>
      <c r="S646" s="197" t="s">
        <v>4532</v>
      </c>
      <c r="T646" s="197" t="s">
        <v>4533</v>
      </c>
      <c r="U646" s="197" t="s">
        <v>3958</v>
      </c>
      <c r="V646" s="197" t="s">
        <v>3959</v>
      </c>
    </row>
    <row r="647" spans="1:22" s="197" customFormat="1" x14ac:dyDescent="0.2">
      <c r="A647" s="197" t="s">
        <v>4531</v>
      </c>
      <c r="B647" s="197" t="s">
        <v>1624</v>
      </c>
      <c r="C647" s="197" t="s">
        <v>600</v>
      </c>
      <c r="D647" s="197" t="s">
        <v>209</v>
      </c>
      <c r="E647" s="197" t="s">
        <v>601</v>
      </c>
      <c r="F647" s="197" t="s">
        <v>84</v>
      </c>
      <c r="G647" s="260">
        <v>1</v>
      </c>
      <c r="H647" s="197">
        <v>5</v>
      </c>
      <c r="I647" s="197" t="s">
        <v>3968</v>
      </c>
      <c r="J647" s="197" t="s">
        <v>3969</v>
      </c>
      <c r="K647" s="197" t="s">
        <v>84</v>
      </c>
      <c r="L647" s="261">
        <v>1</v>
      </c>
      <c r="M647" s="263"/>
      <c r="N647" s="263">
        <f>SUM(N643:N646)</f>
        <v>306.53481100000005</v>
      </c>
      <c r="O647" s="199">
        <v>0.2223</v>
      </c>
      <c r="P647" s="261">
        <f>N647*O647</f>
        <v>68.142688485300013</v>
      </c>
      <c r="Q647" s="261">
        <f>N647+P647</f>
        <v>374.67749948530007</v>
      </c>
      <c r="R647" s="198">
        <f>Q647*G647</f>
        <v>374.67749948530007</v>
      </c>
      <c r="S647" s="197" t="s">
        <v>4532</v>
      </c>
      <c r="T647" s="197" t="s">
        <v>4533</v>
      </c>
      <c r="U647" s="197" t="str">
        <f>IF(ABS(Q647-374.6775)&lt;=0.01,"FECHA COM PLANILHA","REVISAR")</f>
        <v>FECHA COM PLANILHA</v>
      </c>
      <c r="V647" s="197" t="s">
        <v>4534</v>
      </c>
    </row>
    <row r="648" spans="1:22" x14ac:dyDescent="0.2">
      <c r="G648" s="202"/>
      <c r="L648" s="203"/>
      <c r="O648" s="204"/>
      <c r="P648" s="203"/>
      <c r="Q648" s="203"/>
      <c r="R648" s="112"/>
    </row>
    <row r="649" spans="1:22" x14ac:dyDescent="0.2">
      <c r="G649" s="202"/>
      <c r="L649" s="203"/>
      <c r="O649" s="204"/>
      <c r="P649" s="203"/>
      <c r="Q649" s="203"/>
      <c r="R649" s="112"/>
    </row>
    <row r="650" spans="1:22" x14ac:dyDescent="0.2">
      <c r="G650" s="202"/>
      <c r="L650" s="203"/>
      <c r="O650" s="204"/>
      <c r="P650" s="203"/>
      <c r="Q650" s="203"/>
      <c r="R650" s="112"/>
    </row>
    <row r="651" spans="1:22" x14ac:dyDescent="0.2">
      <c r="G651" s="202"/>
      <c r="L651" s="203"/>
      <c r="O651" s="204"/>
      <c r="P651" s="203"/>
      <c r="Q651" s="203"/>
      <c r="R651" s="112"/>
    </row>
    <row r="652" spans="1:22" x14ac:dyDescent="0.2">
      <c r="G652" s="202"/>
      <c r="L652" s="203"/>
      <c r="O652" s="204"/>
      <c r="P652" s="203"/>
      <c r="Q652" s="203"/>
      <c r="R652" s="112"/>
    </row>
    <row r="653" spans="1:22" x14ac:dyDescent="0.2">
      <c r="G653" s="202"/>
      <c r="L653" s="203"/>
      <c r="O653" s="204"/>
      <c r="P653" s="203"/>
      <c r="Q653" s="203"/>
      <c r="R653" s="112"/>
    </row>
    <row r="654" spans="1:22" x14ac:dyDescent="0.2">
      <c r="G654" s="202"/>
      <c r="L654" s="203"/>
      <c r="O654" s="204"/>
      <c r="P654" s="203"/>
      <c r="Q654" s="203"/>
      <c r="R654" s="112"/>
    </row>
    <row r="655" spans="1:22" x14ac:dyDescent="0.2">
      <c r="G655" s="202"/>
      <c r="L655" s="203"/>
      <c r="O655" s="204"/>
      <c r="P655" s="203"/>
      <c r="Q655" s="203"/>
      <c r="R655" s="112"/>
    </row>
    <row r="656" spans="1:22" x14ac:dyDescent="0.2">
      <c r="G656" s="202"/>
      <c r="L656" s="203"/>
      <c r="O656" s="204"/>
      <c r="P656" s="203"/>
      <c r="Q656" s="203"/>
      <c r="R656" s="112"/>
    </row>
    <row r="657" spans="7:18" x14ac:dyDescent="0.2">
      <c r="G657" s="202"/>
      <c r="L657" s="203"/>
      <c r="O657" s="204"/>
      <c r="P657" s="203"/>
      <c r="Q657" s="203"/>
      <c r="R657" s="112"/>
    </row>
    <row r="658" spans="7:18" x14ac:dyDescent="0.2">
      <c r="G658" s="202"/>
      <c r="L658" s="203"/>
      <c r="O658" s="204"/>
      <c r="P658" s="203"/>
      <c r="Q658" s="203"/>
      <c r="R658" s="112"/>
    </row>
    <row r="659" spans="7:18" x14ac:dyDescent="0.2">
      <c r="G659" s="202"/>
      <c r="L659" s="203"/>
      <c r="O659" s="204"/>
      <c r="P659" s="203"/>
      <c r="Q659" s="203"/>
      <c r="R659" s="112"/>
    </row>
    <row r="660" spans="7:18" x14ac:dyDescent="0.2">
      <c r="G660" s="202"/>
      <c r="L660" s="203"/>
      <c r="O660" s="204"/>
      <c r="P660" s="203"/>
      <c r="Q660" s="203"/>
      <c r="R660" s="112"/>
    </row>
    <row r="661" spans="7:18" x14ac:dyDescent="0.2">
      <c r="G661" s="202"/>
      <c r="L661" s="203"/>
      <c r="O661" s="204"/>
      <c r="P661" s="203"/>
      <c r="Q661" s="203"/>
      <c r="R661" s="112"/>
    </row>
    <row r="662" spans="7:18" x14ac:dyDescent="0.2">
      <c r="G662" s="202"/>
      <c r="L662" s="203"/>
      <c r="O662" s="204"/>
      <c r="P662" s="203"/>
      <c r="Q662" s="203"/>
      <c r="R662" s="112"/>
    </row>
    <row r="663" spans="7:18" x14ac:dyDescent="0.2">
      <c r="G663" s="202"/>
      <c r="L663" s="203"/>
      <c r="O663" s="204"/>
      <c r="P663" s="203"/>
      <c r="Q663" s="203"/>
      <c r="R663" s="112"/>
    </row>
    <row r="664" spans="7:18" x14ac:dyDescent="0.2">
      <c r="G664" s="202"/>
      <c r="L664" s="203"/>
      <c r="O664" s="204"/>
      <c r="P664" s="203"/>
      <c r="Q664" s="203"/>
      <c r="R664" s="112"/>
    </row>
    <row r="665" spans="7:18" x14ac:dyDescent="0.2">
      <c r="G665" s="202"/>
      <c r="L665" s="203"/>
      <c r="O665" s="204"/>
      <c r="P665" s="203"/>
      <c r="Q665" s="203"/>
      <c r="R665" s="112"/>
    </row>
    <row r="666" spans="7:18" x14ac:dyDescent="0.2">
      <c r="G666" s="202"/>
      <c r="L666" s="203"/>
      <c r="O666" s="204"/>
      <c r="P666" s="203"/>
      <c r="Q666" s="203"/>
      <c r="R666" s="112"/>
    </row>
    <row r="667" spans="7:18" x14ac:dyDescent="0.2">
      <c r="G667" s="202"/>
      <c r="L667" s="203"/>
      <c r="O667" s="204"/>
      <c r="P667" s="203"/>
      <c r="Q667" s="203"/>
      <c r="R667" s="112"/>
    </row>
    <row r="668" spans="7:18" x14ac:dyDescent="0.2">
      <c r="G668" s="202"/>
      <c r="L668" s="203"/>
      <c r="O668" s="204"/>
      <c r="P668" s="203"/>
      <c r="Q668" s="203"/>
      <c r="R668" s="112"/>
    </row>
    <row r="669" spans="7:18" x14ac:dyDescent="0.2">
      <c r="G669" s="202"/>
      <c r="L669" s="203"/>
      <c r="O669" s="204"/>
      <c r="P669" s="203"/>
      <c r="Q669" s="203"/>
      <c r="R669" s="112"/>
    </row>
    <row r="670" spans="7:18" x14ac:dyDescent="0.2">
      <c r="G670" s="202"/>
      <c r="L670" s="203"/>
      <c r="O670" s="204"/>
      <c r="P670" s="203"/>
      <c r="Q670" s="203"/>
      <c r="R670" s="112"/>
    </row>
    <row r="671" spans="7:18" x14ac:dyDescent="0.2">
      <c r="G671" s="202"/>
      <c r="L671" s="203"/>
      <c r="O671" s="204"/>
      <c r="P671" s="203"/>
      <c r="Q671" s="203"/>
      <c r="R671" s="112"/>
    </row>
    <row r="672" spans="7:18" x14ac:dyDescent="0.2">
      <c r="G672" s="202"/>
      <c r="L672" s="203"/>
      <c r="O672" s="204"/>
      <c r="P672" s="203"/>
      <c r="Q672" s="203"/>
      <c r="R672" s="112"/>
    </row>
    <row r="673" spans="7:18" x14ac:dyDescent="0.2">
      <c r="G673" s="202"/>
      <c r="L673" s="203"/>
      <c r="O673" s="204"/>
      <c r="P673" s="203"/>
      <c r="Q673" s="203"/>
      <c r="R673" s="112"/>
    </row>
    <row r="674" spans="7:18" x14ac:dyDescent="0.2">
      <c r="G674" s="202"/>
      <c r="L674" s="203"/>
      <c r="O674" s="204"/>
      <c r="P674" s="203"/>
      <c r="Q674" s="203"/>
      <c r="R674" s="112"/>
    </row>
    <row r="675" spans="7:18" x14ac:dyDescent="0.2">
      <c r="G675" s="202"/>
      <c r="L675" s="203"/>
      <c r="O675" s="204"/>
      <c r="P675" s="203"/>
      <c r="Q675" s="203"/>
      <c r="R675" s="112"/>
    </row>
    <row r="676" spans="7:18" x14ac:dyDescent="0.2">
      <c r="G676" s="202"/>
      <c r="L676" s="203"/>
      <c r="O676" s="204"/>
      <c r="P676" s="203"/>
      <c r="Q676" s="203"/>
      <c r="R676" s="112"/>
    </row>
    <row r="677" spans="7:18" x14ac:dyDescent="0.2">
      <c r="G677" s="202"/>
      <c r="L677" s="203"/>
      <c r="O677" s="204"/>
      <c r="P677" s="203"/>
      <c r="Q677" s="203"/>
      <c r="R677" s="112"/>
    </row>
    <row r="678" spans="7:18" x14ac:dyDescent="0.2">
      <c r="G678" s="202"/>
      <c r="L678" s="203"/>
      <c r="O678" s="204"/>
      <c r="P678" s="203"/>
      <c r="Q678" s="203"/>
      <c r="R678" s="112"/>
    </row>
    <row r="679" spans="7:18" x14ac:dyDescent="0.2">
      <c r="G679" s="202"/>
      <c r="L679" s="203"/>
      <c r="O679" s="204"/>
      <c r="P679" s="203"/>
      <c r="Q679" s="203"/>
      <c r="R679" s="112"/>
    </row>
    <row r="680" spans="7:18" x14ac:dyDescent="0.2">
      <c r="G680" s="202"/>
      <c r="L680" s="203"/>
      <c r="O680" s="204"/>
      <c r="P680" s="203"/>
      <c r="Q680" s="203"/>
      <c r="R680" s="112"/>
    </row>
    <row r="681" spans="7:18" x14ac:dyDescent="0.2">
      <c r="G681" s="202"/>
      <c r="L681" s="203"/>
      <c r="O681" s="204"/>
      <c r="P681" s="203"/>
      <c r="Q681" s="203"/>
      <c r="R681" s="112"/>
    </row>
    <row r="682" spans="7:18" x14ac:dyDescent="0.2">
      <c r="G682" s="202"/>
      <c r="L682" s="203"/>
      <c r="O682" s="204"/>
      <c r="P682" s="203"/>
      <c r="Q682" s="203"/>
      <c r="R682" s="112"/>
    </row>
    <row r="683" spans="7:18" x14ac:dyDescent="0.2">
      <c r="G683" s="202"/>
      <c r="L683" s="203"/>
      <c r="O683" s="204"/>
      <c r="P683" s="203"/>
      <c r="Q683" s="203"/>
      <c r="R683" s="112"/>
    </row>
    <row r="684" spans="7:18" x14ac:dyDescent="0.2">
      <c r="G684" s="202"/>
      <c r="L684" s="203"/>
      <c r="O684" s="204"/>
      <c r="P684" s="203"/>
      <c r="Q684" s="203"/>
      <c r="R684" s="112"/>
    </row>
    <row r="685" spans="7:18" x14ac:dyDescent="0.2">
      <c r="G685" s="202"/>
      <c r="L685" s="203"/>
      <c r="O685" s="204"/>
      <c r="P685" s="203"/>
      <c r="Q685" s="203"/>
      <c r="R685" s="112"/>
    </row>
    <row r="686" spans="7:18" x14ac:dyDescent="0.2">
      <c r="G686" s="202"/>
      <c r="L686" s="203"/>
      <c r="O686" s="204"/>
      <c r="P686" s="203"/>
      <c r="Q686" s="203"/>
      <c r="R686" s="112"/>
    </row>
    <row r="687" spans="7:18" x14ac:dyDescent="0.2">
      <c r="G687" s="202"/>
      <c r="L687" s="203"/>
      <c r="O687" s="204"/>
      <c r="P687" s="203"/>
      <c r="Q687" s="203"/>
      <c r="R687" s="112"/>
    </row>
    <row r="688" spans="7:18" x14ac:dyDescent="0.2">
      <c r="G688" s="202"/>
      <c r="L688" s="203"/>
      <c r="O688" s="204"/>
      <c r="P688" s="203"/>
      <c r="Q688" s="203"/>
      <c r="R688" s="112"/>
    </row>
    <row r="689" spans="7:18" x14ac:dyDescent="0.2">
      <c r="G689" s="202"/>
      <c r="L689" s="203"/>
      <c r="O689" s="204"/>
      <c r="P689" s="203"/>
      <c r="Q689" s="203"/>
      <c r="R689" s="112"/>
    </row>
    <row r="690" spans="7:18" x14ac:dyDescent="0.2">
      <c r="G690" s="202"/>
      <c r="L690" s="203"/>
      <c r="O690" s="204"/>
      <c r="P690" s="203"/>
      <c r="Q690" s="203"/>
      <c r="R690" s="112"/>
    </row>
    <row r="691" spans="7:18" x14ac:dyDescent="0.2">
      <c r="G691" s="202"/>
      <c r="L691" s="203"/>
      <c r="O691" s="204"/>
      <c r="P691" s="203"/>
      <c r="Q691" s="203"/>
      <c r="R691" s="112"/>
    </row>
    <row r="692" spans="7:18" x14ac:dyDescent="0.2">
      <c r="G692" s="202"/>
      <c r="L692" s="203"/>
      <c r="O692" s="204"/>
      <c r="P692" s="203"/>
      <c r="Q692" s="203"/>
      <c r="R692" s="112"/>
    </row>
    <row r="693" spans="7:18" x14ac:dyDescent="0.2">
      <c r="G693" s="202"/>
      <c r="L693" s="203"/>
      <c r="O693" s="204"/>
      <c r="P693" s="203"/>
      <c r="Q693" s="203"/>
      <c r="R693" s="112"/>
    </row>
    <row r="694" spans="7:18" x14ac:dyDescent="0.2">
      <c r="G694" s="202"/>
      <c r="L694" s="203"/>
      <c r="O694" s="204"/>
      <c r="P694" s="203"/>
      <c r="Q694" s="203"/>
      <c r="R694" s="112"/>
    </row>
    <row r="695" spans="7:18" x14ac:dyDescent="0.2">
      <c r="G695" s="202"/>
      <c r="L695" s="203"/>
      <c r="O695" s="204"/>
      <c r="P695" s="203"/>
      <c r="Q695" s="203"/>
      <c r="R695" s="112"/>
    </row>
    <row r="696" spans="7:18" x14ac:dyDescent="0.2">
      <c r="G696" s="202"/>
      <c r="L696" s="203"/>
      <c r="O696" s="204"/>
      <c r="P696" s="203"/>
      <c r="Q696" s="203"/>
      <c r="R696" s="112"/>
    </row>
    <row r="697" spans="7:18" x14ac:dyDescent="0.2">
      <c r="G697" s="202"/>
      <c r="L697" s="203"/>
      <c r="O697" s="204"/>
      <c r="P697" s="203"/>
      <c r="Q697" s="203"/>
      <c r="R697" s="112"/>
    </row>
    <row r="698" spans="7:18" x14ac:dyDescent="0.2">
      <c r="G698" s="202"/>
      <c r="L698" s="203"/>
      <c r="O698" s="204"/>
      <c r="P698" s="203"/>
      <c r="Q698" s="203"/>
      <c r="R698" s="112"/>
    </row>
    <row r="699" spans="7:18" x14ac:dyDescent="0.2">
      <c r="G699" s="202"/>
      <c r="L699" s="203"/>
      <c r="O699" s="204"/>
      <c r="P699" s="203"/>
      <c r="Q699" s="203"/>
      <c r="R699" s="112"/>
    </row>
    <row r="700" spans="7:18" x14ac:dyDescent="0.2">
      <c r="G700" s="202"/>
      <c r="L700" s="203"/>
      <c r="O700" s="204"/>
      <c r="P700" s="203"/>
      <c r="Q700" s="203"/>
      <c r="R700" s="112"/>
    </row>
    <row r="701" spans="7:18" x14ac:dyDescent="0.2">
      <c r="G701" s="202"/>
      <c r="L701" s="203"/>
      <c r="O701" s="204"/>
      <c r="P701" s="203"/>
      <c r="Q701" s="203"/>
      <c r="R701" s="112"/>
    </row>
    <row r="702" spans="7:18" x14ac:dyDescent="0.2">
      <c r="G702" s="202"/>
      <c r="L702" s="203"/>
      <c r="O702" s="204"/>
      <c r="P702" s="203"/>
      <c r="Q702" s="203"/>
      <c r="R702" s="112"/>
    </row>
    <row r="703" spans="7:18" x14ac:dyDescent="0.2">
      <c r="G703" s="202"/>
      <c r="L703" s="203"/>
      <c r="O703" s="204"/>
      <c r="P703" s="203"/>
      <c r="Q703" s="203"/>
      <c r="R703" s="112"/>
    </row>
    <row r="704" spans="7:18" x14ac:dyDescent="0.2">
      <c r="G704" s="202"/>
      <c r="L704" s="203"/>
      <c r="O704" s="204"/>
      <c r="P704" s="203"/>
      <c r="Q704" s="203"/>
      <c r="R704" s="112"/>
    </row>
    <row r="705" spans="7:18" x14ac:dyDescent="0.2">
      <c r="G705" s="202"/>
      <c r="L705" s="203"/>
      <c r="O705" s="204"/>
      <c r="P705" s="203"/>
      <c r="Q705" s="203"/>
      <c r="R705" s="112"/>
    </row>
    <row r="706" spans="7:18" x14ac:dyDescent="0.2">
      <c r="G706" s="202"/>
      <c r="L706" s="203"/>
      <c r="O706" s="204"/>
      <c r="P706" s="203"/>
      <c r="Q706" s="203"/>
      <c r="R706" s="112"/>
    </row>
    <row r="707" spans="7:18" x14ac:dyDescent="0.2">
      <c r="G707" s="202"/>
      <c r="L707" s="203"/>
      <c r="O707" s="204"/>
      <c r="P707" s="203"/>
      <c r="Q707" s="203"/>
      <c r="R707" s="112"/>
    </row>
    <row r="708" spans="7:18" x14ac:dyDescent="0.2">
      <c r="G708" s="202"/>
      <c r="L708" s="203"/>
      <c r="O708" s="204"/>
      <c r="P708" s="203"/>
      <c r="Q708" s="203"/>
      <c r="R708" s="112"/>
    </row>
    <row r="709" spans="7:18" x14ac:dyDescent="0.2">
      <c r="G709" s="202"/>
      <c r="L709" s="203"/>
      <c r="O709" s="204"/>
      <c r="P709" s="203"/>
      <c r="Q709" s="203"/>
      <c r="R709" s="112"/>
    </row>
    <row r="710" spans="7:18" x14ac:dyDescent="0.2">
      <c r="G710" s="202"/>
      <c r="L710" s="203"/>
      <c r="O710" s="204"/>
      <c r="P710" s="203"/>
      <c r="Q710" s="203"/>
      <c r="R710" s="112"/>
    </row>
    <row r="711" spans="7:18" x14ac:dyDescent="0.2">
      <c r="G711" s="202"/>
      <c r="L711" s="203"/>
      <c r="O711" s="204"/>
      <c r="P711" s="203"/>
      <c r="Q711" s="203"/>
      <c r="R711" s="112"/>
    </row>
    <row r="712" spans="7:18" x14ac:dyDescent="0.2">
      <c r="G712" s="202"/>
      <c r="L712" s="203"/>
      <c r="O712" s="204"/>
      <c r="P712" s="203"/>
      <c r="Q712" s="203"/>
      <c r="R712" s="112"/>
    </row>
    <row r="713" spans="7:18" x14ac:dyDescent="0.2">
      <c r="G713" s="202"/>
      <c r="L713" s="203"/>
      <c r="O713" s="204"/>
      <c r="P713" s="203"/>
      <c r="Q713" s="203"/>
      <c r="R713" s="112"/>
    </row>
    <row r="714" spans="7:18" x14ac:dyDescent="0.2">
      <c r="G714" s="202"/>
      <c r="L714" s="203"/>
      <c r="O714" s="204"/>
      <c r="P714" s="203"/>
      <c r="Q714" s="203"/>
      <c r="R714" s="112"/>
    </row>
    <row r="715" spans="7:18" x14ac:dyDescent="0.2">
      <c r="G715" s="202"/>
      <c r="L715" s="203"/>
      <c r="O715" s="204"/>
      <c r="P715" s="203"/>
      <c r="Q715" s="203"/>
      <c r="R715" s="112"/>
    </row>
    <row r="716" spans="7:18" x14ac:dyDescent="0.2">
      <c r="G716" s="202"/>
      <c r="L716" s="203"/>
      <c r="O716" s="204"/>
      <c r="P716" s="203"/>
      <c r="Q716" s="203"/>
      <c r="R716" s="112"/>
    </row>
    <row r="717" spans="7:18" x14ac:dyDescent="0.2">
      <c r="G717" s="202"/>
      <c r="L717" s="203"/>
      <c r="O717" s="204"/>
      <c r="P717" s="203"/>
      <c r="Q717" s="203"/>
      <c r="R717" s="112"/>
    </row>
    <row r="718" spans="7:18" x14ac:dyDescent="0.2">
      <c r="G718" s="202"/>
      <c r="L718" s="203"/>
      <c r="O718" s="204"/>
      <c r="P718" s="203"/>
      <c r="Q718" s="203"/>
      <c r="R718" s="112"/>
    </row>
    <row r="719" spans="7:18" x14ac:dyDescent="0.2">
      <c r="G719" s="202"/>
      <c r="L719" s="203"/>
      <c r="O719" s="204"/>
      <c r="P719" s="203"/>
      <c r="Q719" s="203"/>
      <c r="R719" s="112"/>
    </row>
    <row r="720" spans="7:18" x14ac:dyDescent="0.2">
      <c r="G720" s="202"/>
      <c r="L720" s="203"/>
      <c r="O720" s="204"/>
      <c r="P720" s="203"/>
      <c r="Q720" s="203"/>
      <c r="R720" s="112"/>
    </row>
    <row r="721" spans="7:18" x14ac:dyDescent="0.2">
      <c r="G721" s="202"/>
      <c r="L721" s="203"/>
      <c r="O721" s="204"/>
      <c r="P721" s="203"/>
      <c r="Q721" s="203"/>
      <c r="R721" s="112"/>
    </row>
    <row r="722" spans="7:18" x14ac:dyDescent="0.2">
      <c r="G722" s="202"/>
      <c r="L722" s="203"/>
      <c r="O722" s="204"/>
      <c r="P722" s="203"/>
      <c r="Q722" s="203"/>
      <c r="R722" s="112"/>
    </row>
    <row r="723" spans="7:18" x14ac:dyDescent="0.2">
      <c r="G723" s="202"/>
      <c r="L723" s="203"/>
      <c r="O723" s="204"/>
      <c r="P723" s="203"/>
      <c r="Q723" s="203"/>
      <c r="R723" s="112"/>
    </row>
    <row r="724" spans="7:18" x14ac:dyDescent="0.2">
      <c r="G724" s="202"/>
      <c r="L724" s="203"/>
      <c r="O724" s="204"/>
      <c r="P724" s="203"/>
      <c r="Q724" s="203"/>
      <c r="R724" s="112"/>
    </row>
    <row r="725" spans="7:18" x14ac:dyDescent="0.2">
      <c r="G725" s="202"/>
      <c r="L725" s="203"/>
      <c r="O725" s="204"/>
      <c r="P725" s="203"/>
      <c r="Q725" s="203"/>
      <c r="R725" s="112"/>
    </row>
    <row r="726" spans="7:18" x14ac:dyDescent="0.2">
      <c r="G726" s="202"/>
      <c r="L726" s="203"/>
      <c r="O726" s="204"/>
      <c r="P726" s="203"/>
      <c r="Q726" s="203"/>
      <c r="R726" s="112"/>
    </row>
    <row r="727" spans="7:18" x14ac:dyDescent="0.2">
      <c r="G727" s="202"/>
      <c r="L727" s="203"/>
      <c r="O727" s="204"/>
      <c r="P727" s="203"/>
      <c r="Q727" s="203"/>
      <c r="R727" s="112"/>
    </row>
    <row r="728" spans="7:18" x14ac:dyDescent="0.2">
      <c r="G728" s="202"/>
      <c r="L728" s="203"/>
      <c r="O728" s="204"/>
      <c r="P728" s="203"/>
      <c r="Q728" s="203"/>
      <c r="R728" s="112"/>
    </row>
    <row r="729" spans="7:18" x14ac:dyDescent="0.2">
      <c r="G729" s="202"/>
      <c r="L729" s="203"/>
      <c r="O729" s="204"/>
      <c r="P729" s="203"/>
      <c r="Q729" s="203"/>
      <c r="R729" s="112"/>
    </row>
    <row r="730" spans="7:18" x14ac:dyDescent="0.2">
      <c r="G730" s="202"/>
      <c r="L730" s="203"/>
      <c r="O730" s="204"/>
      <c r="P730" s="203"/>
      <c r="Q730" s="203"/>
      <c r="R730" s="112"/>
    </row>
    <row r="731" spans="7:18" x14ac:dyDescent="0.2">
      <c r="G731" s="202"/>
      <c r="L731" s="203"/>
      <c r="O731" s="204"/>
      <c r="P731" s="203"/>
      <c r="Q731" s="203"/>
      <c r="R731" s="112"/>
    </row>
    <row r="732" spans="7:18" x14ac:dyDescent="0.2">
      <c r="G732" s="202"/>
      <c r="L732" s="203"/>
      <c r="O732" s="204"/>
      <c r="P732" s="203"/>
      <c r="Q732" s="203"/>
      <c r="R732" s="112"/>
    </row>
    <row r="733" spans="7:18" x14ac:dyDescent="0.2">
      <c r="G733" s="202"/>
      <c r="L733" s="203"/>
      <c r="O733" s="204"/>
      <c r="P733" s="203"/>
      <c r="Q733" s="203"/>
      <c r="R733" s="112"/>
    </row>
    <row r="734" spans="7:18" x14ac:dyDescent="0.2">
      <c r="G734" s="202"/>
      <c r="L734" s="203"/>
      <c r="O734" s="204"/>
      <c r="P734" s="203"/>
      <c r="Q734" s="203"/>
      <c r="R734" s="112"/>
    </row>
    <row r="735" spans="7:18" x14ac:dyDescent="0.2">
      <c r="G735" s="202"/>
      <c r="L735" s="203"/>
      <c r="O735" s="204"/>
      <c r="P735" s="203"/>
      <c r="Q735" s="203"/>
      <c r="R735" s="112"/>
    </row>
    <row r="736" spans="7:18" x14ac:dyDescent="0.2">
      <c r="G736" s="202"/>
      <c r="L736" s="203"/>
      <c r="O736" s="204"/>
      <c r="P736" s="203"/>
      <c r="Q736" s="203"/>
      <c r="R736" s="112"/>
    </row>
    <row r="737" spans="7:18" x14ac:dyDescent="0.2">
      <c r="G737" s="202"/>
      <c r="L737" s="203"/>
      <c r="O737" s="204"/>
      <c r="P737" s="203"/>
      <c r="Q737" s="203"/>
      <c r="R737" s="112"/>
    </row>
    <row r="738" spans="7:18" x14ac:dyDescent="0.2">
      <c r="G738" s="202"/>
      <c r="L738" s="203"/>
      <c r="O738" s="204"/>
      <c r="P738" s="203"/>
      <c r="Q738" s="203"/>
      <c r="R738" s="112"/>
    </row>
    <row r="739" spans="7:18" x14ac:dyDescent="0.2">
      <c r="G739" s="202"/>
      <c r="L739" s="203"/>
      <c r="O739" s="204"/>
      <c r="P739" s="203"/>
      <c r="Q739" s="203"/>
      <c r="R739" s="112"/>
    </row>
    <row r="740" spans="7:18" x14ac:dyDescent="0.2">
      <c r="G740" s="202"/>
      <c r="L740" s="203"/>
      <c r="O740" s="204"/>
      <c r="P740" s="203"/>
      <c r="Q740" s="203"/>
      <c r="R740" s="112"/>
    </row>
    <row r="741" spans="7:18" x14ac:dyDescent="0.2">
      <c r="G741" s="202"/>
      <c r="L741" s="203"/>
      <c r="O741" s="204"/>
      <c r="P741" s="203"/>
      <c r="Q741" s="203"/>
      <c r="R741" s="112"/>
    </row>
    <row r="742" spans="7:18" x14ac:dyDescent="0.2">
      <c r="G742" s="202"/>
      <c r="L742" s="203"/>
      <c r="O742" s="204"/>
      <c r="P742" s="203"/>
      <c r="Q742" s="203"/>
      <c r="R742" s="112"/>
    </row>
    <row r="743" spans="7:18" x14ac:dyDescent="0.2">
      <c r="G743" s="202"/>
      <c r="L743" s="203"/>
      <c r="O743" s="204"/>
      <c r="P743" s="203"/>
      <c r="Q743" s="203"/>
      <c r="R743" s="112"/>
    </row>
    <row r="744" spans="7:18" x14ac:dyDescent="0.2">
      <c r="G744" s="202"/>
      <c r="L744" s="203"/>
      <c r="O744" s="204"/>
      <c r="P744" s="203"/>
      <c r="Q744" s="203"/>
      <c r="R744" s="112"/>
    </row>
    <row r="745" spans="7:18" x14ac:dyDescent="0.2">
      <c r="G745" s="202"/>
      <c r="L745" s="203"/>
      <c r="O745" s="204"/>
      <c r="P745" s="203"/>
      <c r="Q745" s="203"/>
      <c r="R745" s="112"/>
    </row>
    <row r="746" spans="7:18" x14ac:dyDescent="0.2">
      <c r="G746" s="202"/>
      <c r="L746" s="203"/>
      <c r="O746" s="204"/>
      <c r="P746" s="203"/>
      <c r="Q746" s="203"/>
      <c r="R746" s="112"/>
    </row>
    <row r="747" spans="7:18" x14ac:dyDescent="0.2">
      <c r="G747" s="202"/>
      <c r="L747" s="203"/>
      <c r="O747" s="204"/>
      <c r="P747" s="203"/>
      <c r="Q747" s="203"/>
      <c r="R747" s="112"/>
    </row>
    <row r="748" spans="7:18" x14ac:dyDescent="0.2">
      <c r="G748" s="202"/>
      <c r="L748" s="203"/>
      <c r="O748" s="204"/>
      <c r="P748" s="203"/>
      <c r="Q748" s="203"/>
      <c r="R748" s="112"/>
    </row>
    <row r="749" spans="7:18" x14ac:dyDescent="0.2">
      <c r="G749" s="202"/>
      <c r="L749" s="203"/>
      <c r="O749" s="204"/>
      <c r="P749" s="203"/>
      <c r="Q749" s="203"/>
      <c r="R749" s="112"/>
    </row>
    <row r="750" spans="7:18" x14ac:dyDescent="0.2">
      <c r="G750" s="202"/>
      <c r="L750" s="203"/>
      <c r="O750" s="204"/>
      <c r="P750" s="203"/>
      <c r="Q750" s="203"/>
      <c r="R750" s="112"/>
    </row>
    <row r="751" spans="7:18" x14ac:dyDescent="0.2">
      <c r="G751" s="202"/>
      <c r="L751" s="203"/>
      <c r="O751" s="204"/>
      <c r="P751" s="203"/>
      <c r="Q751" s="203"/>
      <c r="R751" s="112"/>
    </row>
    <row r="752" spans="7:18" x14ac:dyDescent="0.2">
      <c r="G752" s="202"/>
      <c r="L752" s="203"/>
      <c r="O752" s="204"/>
      <c r="P752" s="203"/>
      <c r="Q752" s="203"/>
      <c r="R752" s="112"/>
    </row>
    <row r="753" spans="7:18" x14ac:dyDescent="0.2">
      <c r="G753" s="202"/>
      <c r="L753" s="203"/>
      <c r="O753" s="204"/>
      <c r="P753" s="203"/>
      <c r="Q753" s="203"/>
      <c r="R753" s="112"/>
    </row>
    <row r="754" spans="7:18" x14ac:dyDescent="0.2">
      <c r="G754" s="202"/>
      <c r="L754" s="203"/>
      <c r="O754" s="204"/>
      <c r="P754" s="203"/>
      <c r="Q754" s="203"/>
      <c r="R754" s="112"/>
    </row>
    <row r="755" spans="7:18" x14ac:dyDescent="0.2">
      <c r="G755" s="202"/>
      <c r="L755" s="203"/>
      <c r="O755" s="204"/>
      <c r="P755" s="203"/>
      <c r="Q755" s="203"/>
      <c r="R755" s="112"/>
    </row>
    <row r="756" spans="7:18" x14ac:dyDescent="0.2">
      <c r="G756" s="202"/>
      <c r="L756" s="203"/>
      <c r="O756" s="204"/>
      <c r="P756" s="203"/>
      <c r="Q756" s="203"/>
      <c r="R756" s="112"/>
    </row>
    <row r="757" spans="7:18" x14ac:dyDescent="0.2">
      <c r="G757" s="202"/>
      <c r="L757" s="203"/>
      <c r="O757" s="204"/>
      <c r="P757" s="203"/>
      <c r="Q757" s="203"/>
      <c r="R757" s="112"/>
    </row>
    <row r="758" spans="7:18" x14ac:dyDescent="0.2">
      <c r="G758" s="202"/>
      <c r="L758" s="203"/>
      <c r="O758" s="204"/>
      <c r="P758" s="203"/>
      <c r="Q758" s="203"/>
      <c r="R758" s="112"/>
    </row>
    <row r="759" spans="7:18" x14ac:dyDescent="0.2">
      <c r="G759" s="202"/>
      <c r="L759" s="203"/>
      <c r="O759" s="204"/>
      <c r="P759" s="203"/>
      <c r="Q759" s="203"/>
      <c r="R759" s="112"/>
    </row>
    <row r="760" spans="7:18" x14ac:dyDescent="0.2">
      <c r="G760" s="202"/>
      <c r="L760" s="203"/>
      <c r="O760" s="204"/>
      <c r="P760" s="203"/>
      <c r="Q760" s="203"/>
      <c r="R760" s="112"/>
    </row>
    <row r="761" spans="7:18" x14ac:dyDescent="0.2">
      <c r="G761" s="202"/>
      <c r="L761" s="203"/>
      <c r="O761" s="204"/>
      <c r="P761" s="203"/>
      <c r="Q761" s="203"/>
      <c r="R761" s="112"/>
    </row>
    <row r="762" spans="7:18" x14ac:dyDescent="0.2">
      <c r="G762" s="202"/>
      <c r="L762" s="203"/>
      <c r="O762" s="204"/>
      <c r="P762" s="203"/>
      <c r="Q762" s="203"/>
      <c r="R762" s="112"/>
    </row>
    <row r="763" spans="7:18" x14ac:dyDescent="0.2">
      <c r="G763" s="202"/>
      <c r="L763" s="203"/>
      <c r="O763" s="204"/>
      <c r="P763" s="203"/>
      <c r="Q763" s="203"/>
      <c r="R763" s="112"/>
    </row>
    <row r="764" spans="7:18" x14ac:dyDescent="0.2">
      <c r="G764" s="202"/>
      <c r="L764" s="203"/>
      <c r="O764" s="204"/>
      <c r="P764" s="203"/>
      <c r="Q764" s="203"/>
      <c r="R764" s="112"/>
    </row>
    <row r="765" spans="7:18" x14ac:dyDescent="0.2">
      <c r="G765" s="202"/>
      <c r="L765" s="203"/>
      <c r="O765" s="204"/>
      <c r="P765" s="203"/>
      <c r="Q765" s="203"/>
      <c r="R765" s="112"/>
    </row>
    <row r="766" spans="7:18" x14ac:dyDescent="0.2">
      <c r="G766" s="202"/>
      <c r="L766" s="203"/>
      <c r="O766" s="204"/>
      <c r="P766" s="203"/>
      <c r="Q766" s="203"/>
      <c r="R766" s="112"/>
    </row>
    <row r="767" spans="7:18" x14ac:dyDescent="0.2">
      <c r="G767" s="202"/>
      <c r="L767" s="203"/>
      <c r="O767" s="204"/>
      <c r="P767" s="203"/>
      <c r="Q767" s="203"/>
      <c r="R767" s="112"/>
    </row>
    <row r="768" spans="7:18" x14ac:dyDescent="0.2">
      <c r="G768" s="202"/>
      <c r="L768" s="203"/>
      <c r="O768" s="204"/>
      <c r="P768" s="203"/>
      <c r="Q768" s="203"/>
      <c r="R768" s="112"/>
    </row>
    <row r="769" spans="7:18" x14ac:dyDescent="0.2">
      <c r="G769" s="202"/>
      <c r="L769" s="203"/>
      <c r="O769" s="204"/>
      <c r="P769" s="203"/>
      <c r="Q769" s="203"/>
      <c r="R769" s="112"/>
    </row>
    <row r="770" spans="7:18" x14ac:dyDescent="0.2">
      <c r="G770" s="202"/>
      <c r="L770" s="203"/>
      <c r="O770" s="204"/>
      <c r="P770" s="203"/>
      <c r="Q770" s="203"/>
      <c r="R770" s="112"/>
    </row>
    <row r="771" spans="7:18" x14ac:dyDescent="0.2">
      <c r="G771" s="202"/>
      <c r="L771" s="203"/>
      <c r="O771" s="204"/>
      <c r="P771" s="203"/>
      <c r="Q771" s="203"/>
      <c r="R771" s="112"/>
    </row>
    <row r="772" spans="7:18" x14ac:dyDescent="0.2">
      <c r="G772" s="202"/>
      <c r="L772" s="203"/>
      <c r="O772" s="204"/>
      <c r="P772" s="203"/>
      <c r="Q772" s="203"/>
      <c r="R772" s="112"/>
    </row>
    <row r="773" spans="7:18" x14ac:dyDescent="0.2">
      <c r="G773" s="202"/>
      <c r="L773" s="203"/>
      <c r="O773" s="204"/>
      <c r="P773" s="203"/>
      <c r="Q773" s="203"/>
      <c r="R773" s="112"/>
    </row>
    <row r="774" spans="7:18" x14ac:dyDescent="0.2">
      <c r="G774" s="202"/>
      <c r="L774" s="203"/>
      <c r="O774" s="204"/>
      <c r="P774" s="203"/>
      <c r="Q774" s="203"/>
      <c r="R774" s="112"/>
    </row>
    <row r="775" spans="7:18" x14ac:dyDescent="0.2">
      <c r="G775" s="202"/>
      <c r="L775" s="203"/>
      <c r="O775" s="204"/>
      <c r="P775" s="203"/>
      <c r="Q775" s="203"/>
      <c r="R775" s="112"/>
    </row>
    <row r="776" spans="7:18" x14ac:dyDescent="0.2">
      <c r="G776" s="202"/>
      <c r="L776" s="203"/>
      <c r="O776" s="204"/>
      <c r="P776" s="203"/>
      <c r="Q776" s="203"/>
      <c r="R776" s="112"/>
    </row>
    <row r="777" spans="7:18" x14ac:dyDescent="0.2">
      <c r="G777" s="202"/>
      <c r="L777" s="203"/>
      <c r="O777" s="204"/>
      <c r="P777" s="203"/>
      <c r="Q777" s="203"/>
      <c r="R777" s="112"/>
    </row>
    <row r="778" spans="7:18" x14ac:dyDescent="0.2">
      <c r="G778" s="202"/>
      <c r="L778" s="203"/>
      <c r="O778" s="204"/>
      <c r="P778" s="203"/>
      <c r="Q778" s="203"/>
      <c r="R778" s="112"/>
    </row>
    <row r="779" spans="7:18" x14ac:dyDescent="0.2">
      <c r="G779" s="202"/>
      <c r="L779" s="203"/>
      <c r="O779" s="204"/>
      <c r="P779" s="203"/>
      <c r="Q779" s="203"/>
      <c r="R779" s="112"/>
    </row>
    <row r="780" spans="7:18" x14ac:dyDescent="0.2">
      <c r="G780" s="202"/>
      <c r="L780" s="203"/>
      <c r="O780" s="204"/>
      <c r="P780" s="203"/>
      <c r="Q780" s="203"/>
      <c r="R780" s="112"/>
    </row>
    <row r="781" spans="7:18" x14ac:dyDescent="0.2">
      <c r="G781" s="202"/>
      <c r="L781" s="203"/>
      <c r="O781" s="204"/>
      <c r="P781" s="203"/>
      <c r="Q781" s="203"/>
      <c r="R781" s="112"/>
    </row>
    <row r="782" spans="7:18" x14ac:dyDescent="0.2">
      <c r="G782" s="202"/>
      <c r="L782" s="203"/>
      <c r="O782" s="204"/>
      <c r="P782" s="203"/>
      <c r="Q782" s="203"/>
      <c r="R782" s="112"/>
    </row>
    <row r="783" spans="7:18" x14ac:dyDescent="0.2">
      <c r="G783" s="202"/>
      <c r="L783" s="203"/>
      <c r="O783" s="204"/>
      <c r="P783" s="203"/>
      <c r="Q783" s="203"/>
      <c r="R783" s="112"/>
    </row>
    <row r="784" spans="7:18" x14ac:dyDescent="0.2">
      <c r="G784" s="202"/>
      <c r="L784" s="203"/>
      <c r="O784" s="204"/>
      <c r="P784" s="203"/>
      <c r="Q784" s="203"/>
      <c r="R784" s="112"/>
    </row>
    <row r="785" spans="7:18" x14ac:dyDescent="0.2">
      <c r="G785" s="202"/>
      <c r="L785" s="203"/>
      <c r="O785" s="204"/>
      <c r="P785" s="203"/>
      <c r="Q785" s="203"/>
      <c r="R785" s="112"/>
    </row>
    <row r="786" spans="7:18" x14ac:dyDescent="0.2">
      <c r="G786" s="202"/>
      <c r="L786" s="203"/>
      <c r="O786" s="204"/>
      <c r="P786" s="203"/>
      <c r="Q786" s="203"/>
      <c r="R786" s="112"/>
    </row>
    <row r="787" spans="7:18" x14ac:dyDescent="0.2">
      <c r="G787" s="202"/>
      <c r="L787" s="203"/>
      <c r="O787" s="204"/>
      <c r="P787" s="203"/>
      <c r="Q787" s="203"/>
      <c r="R787" s="112"/>
    </row>
    <row r="788" spans="7:18" x14ac:dyDescent="0.2">
      <c r="G788" s="202"/>
      <c r="L788" s="203"/>
      <c r="O788" s="204"/>
      <c r="P788" s="203"/>
      <c r="Q788" s="203"/>
      <c r="R788" s="112"/>
    </row>
    <row r="789" spans="7:18" x14ac:dyDescent="0.2">
      <c r="G789" s="202"/>
      <c r="L789" s="203"/>
      <c r="O789" s="204"/>
      <c r="P789" s="203"/>
      <c r="Q789" s="203"/>
      <c r="R789" s="112"/>
    </row>
    <row r="790" spans="7:18" x14ac:dyDescent="0.2">
      <c r="G790" s="202"/>
      <c r="L790" s="203"/>
      <c r="O790" s="204"/>
      <c r="P790" s="203"/>
      <c r="Q790" s="203"/>
      <c r="R790" s="112"/>
    </row>
    <row r="791" spans="7:18" x14ac:dyDescent="0.2">
      <c r="G791" s="202"/>
      <c r="L791" s="203"/>
      <c r="O791" s="204"/>
      <c r="P791" s="203"/>
      <c r="Q791" s="203"/>
      <c r="R791" s="112"/>
    </row>
    <row r="792" spans="7:18" x14ac:dyDescent="0.2">
      <c r="G792" s="202"/>
      <c r="L792" s="203"/>
      <c r="O792" s="204"/>
      <c r="P792" s="203"/>
      <c r="Q792" s="203"/>
      <c r="R792" s="112"/>
    </row>
    <row r="793" spans="7:18" x14ac:dyDescent="0.2">
      <c r="G793" s="202"/>
      <c r="L793" s="203"/>
      <c r="O793" s="204"/>
      <c r="P793" s="203"/>
      <c r="Q793" s="203"/>
      <c r="R793" s="112"/>
    </row>
    <row r="794" spans="7:18" x14ac:dyDescent="0.2">
      <c r="G794" s="202"/>
      <c r="L794" s="203"/>
      <c r="O794" s="204"/>
      <c r="P794" s="203"/>
      <c r="Q794" s="203"/>
      <c r="R794" s="112"/>
    </row>
    <row r="795" spans="7:18" x14ac:dyDescent="0.2">
      <c r="G795" s="202"/>
      <c r="L795" s="203"/>
      <c r="O795" s="204"/>
      <c r="P795" s="203"/>
      <c r="Q795" s="203"/>
      <c r="R795" s="112"/>
    </row>
    <row r="796" spans="7:18" x14ac:dyDescent="0.2">
      <c r="G796" s="202"/>
      <c r="L796" s="203"/>
      <c r="O796" s="204"/>
      <c r="P796" s="203"/>
      <c r="Q796" s="203"/>
      <c r="R796" s="112"/>
    </row>
    <row r="797" spans="7:18" x14ac:dyDescent="0.2">
      <c r="G797" s="202"/>
      <c r="L797" s="203"/>
      <c r="O797" s="204"/>
      <c r="P797" s="203"/>
      <c r="Q797" s="203"/>
      <c r="R797" s="112"/>
    </row>
    <row r="798" spans="7:18" x14ac:dyDescent="0.2">
      <c r="G798" s="202"/>
      <c r="L798" s="203"/>
      <c r="O798" s="204"/>
      <c r="P798" s="203"/>
      <c r="Q798" s="203"/>
      <c r="R798" s="112"/>
    </row>
    <row r="799" spans="7:18" x14ac:dyDescent="0.2">
      <c r="G799" s="202"/>
      <c r="L799" s="203"/>
      <c r="O799" s="204"/>
      <c r="P799" s="203"/>
      <c r="Q799" s="203"/>
      <c r="R799" s="112"/>
    </row>
    <row r="800" spans="7:18" x14ac:dyDescent="0.2">
      <c r="G800" s="202"/>
      <c r="L800" s="203"/>
      <c r="O800" s="204"/>
      <c r="P800" s="203"/>
      <c r="Q800" s="203"/>
      <c r="R800" s="112"/>
    </row>
    <row r="801" spans="7:18" x14ac:dyDescent="0.2">
      <c r="G801" s="202"/>
      <c r="L801" s="203"/>
      <c r="O801" s="204"/>
      <c r="P801" s="203"/>
      <c r="Q801" s="203"/>
      <c r="R801" s="112"/>
    </row>
    <row r="802" spans="7:18" x14ac:dyDescent="0.2">
      <c r="G802" s="202"/>
      <c r="L802" s="203"/>
      <c r="O802" s="204"/>
      <c r="P802" s="203"/>
      <c r="Q802" s="203"/>
      <c r="R802" s="112"/>
    </row>
    <row r="803" spans="7:18" x14ac:dyDescent="0.2">
      <c r="G803" s="202"/>
      <c r="L803" s="203"/>
      <c r="O803" s="204"/>
      <c r="P803" s="203"/>
      <c r="Q803" s="203"/>
      <c r="R803" s="112"/>
    </row>
    <row r="804" spans="7:18" x14ac:dyDescent="0.2">
      <c r="G804" s="202"/>
      <c r="L804" s="203"/>
      <c r="O804" s="204"/>
      <c r="P804" s="203"/>
      <c r="Q804" s="203"/>
      <c r="R804" s="112"/>
    </row>
    <row r="805" spans="7:18" x14ac:dyDescent="0.2">
      <c r="G805" s="202"/>
      <c r="L805" s="203"/>
      <c r="O805" s="204"/>
      <c r="P805" s="203"/>
      <c r="Q805" s="203"/>
      <c r="R805" s="112"/>
    </row>
    <row r="806" spans="7:18" x14ac:dyDescent="0.2">
      <c r="G806" s="202"/>
      <c r="L806" s="203"/>
      <c r="O806" s="204"/>
      <c r="P806" s="203"/>
      <c r="Q806" s="203"/>
      <c r="R806" s="112"/>
    </row>
    <row r="807" spans="7:18" x14ac:dyDescent="0.2">
      <c r="G807" s="202"/>
      <c r="L807" s="203"/>
      <c r="O807" s="204"/>
      <c r="P807" s="203"/>
      <c r="Q807" s="203"/>
      <c r="R807" s="112"/>
    </row>
    <row r="808" spans="7:18" x14ac:dyDescent="0.2">
      <c r="G808" s="202"/>
      <c r="L808" s="203"/>
      <c r="O808" s="204"/>
      <c r="P808" s="203"/>
      <c r="Q808" s="203"/>
      <c r="R808" s="112"/>
    </row>
    <row r="809" spans="7:18" x14ac:dyDescent="0.2">
      <c r="G809" s="202"/>
      <c r="L809" s="203"/>
      <c r="O809" s="204"/>
      <c r="P809" s="203"/>
      <c r="Q809" s="203"/>
      <c r="R809" s="112"/>
    </row>
    <row r="810" spans="7:18" x14ac:dyDescent="0.2">
      <c r="G810" s="202"/>
      <c r="L810" s="203"/>
      <c r="O810" s="204"/>
      <c r="P810" s="203"/>
      <c r="Q810" s="203"/>
      <c r="R810" s="112"/>
    </row>
    <row r="811" spans="7:18" x14ac:dyDescent="0.2">
      <c r="G811" s="202"/>
      <c r="L811" s="203"/>
      <c r="O811" s="204"/>
      <c r="P811" s="203"/>
      <c r="Q811" s="203"/>
      <c r="R811" s="112"/>
    </row>
    <row r="812" spans="7:18" x14ac:dyDescent="0.2">
      <c r="G812" s="202"/>
      <c r="L812" s="203"/>
      <c r="O812" s="204"/>
      <c r="P812" s="203"/>
      <c r="Q812" s="203"/>
      <c r="R812" s="112"/>
    </row>
    <row r="813" spans="7:18" x14ac:dyDescent="0.2">
      <c r="G813" s="202"/>
      <c r="L813" s="203"/>
      <c r="O813" s="204"/>
      <c r="P813" s="203"/>
      <c r="Q813" s="203"/>
      <c r="R813" s="112"/>
    </row>
    <row r="814" spans="7:18" x14ac:dyDescent="0.2">
      <c r="G814" s="202"/>
      <c r="L814" s="203"/>
      <c r="O814" s="204"/>
      <c r="P814" s="203"/>
      <c r="Q814" s="203"/>
      <c r="R814" s="112"/>
    </row>
    <row r="815" spans="7:18" x14ac:dyDescent="0.2">
      <c r="G815" s="202"/>
      <c r="L815" s="203"/>
      <c r="O815" s="204"/>
      <c r="P815" s="203"/>
      <c r="Q815" s="203"/>
      <c r="R815" s="112"/>
    </row>
    <row r="816" spans="7:18" x14ac:dyDescent="0.2">
      <c r="G816" s="202"/>
      <c r="L816" s="203"/>
      <c r="O816" s="204"/>
      <c r="P816" s="203"/>
      <c r="Q816" s="203"/>
      <c r="R816" s="112"/>
    </row>
    <row r="817" spans="7:18" x14ac:dyDescent="0.2">
      <c r="G817" s="202"/>
      <c r="L817" s="203"/>
      <c r="O817" s="204"/>
      <c r="P817" s="203"/>
      <c r="Q817" s="203"/>
      <c r="R817" s="112"/>
    </row>
    <row r="818" spans="7:18" x14ac:dyDescent="0.2">
      <c r="G818" s="202"/>
      <c r="L818" s="203"/>
      <c r="O818" s="204"/>
      <c r="P818" s="203"/>
      <c r="Q818" s="203"/>
      <c r="R818" s="112"/>
    </row>
    <row r="819" spans="7:18" x14ac:dyDescent="0.2">
      <c r="G819" s="202"/>
      <c r="L819" s="203"/>
      <c r="O819" s="204"/>
      <c r="P819" s="203"/>
      <c r="Q819" s="203"/>
      <c r="R819" s="112"/>
    </row>
    <row r="820" spans="7:18" x14ac:dyDescent="0.2">
      <c r="G820" s="202"/>
      <c r="L820" s="203"/>
      <c r="O820" s="204"/>
      <c r="P820" s="203"/>
      <c r="Q820" s="203"/>
      <c r="R820" s="112"/>
    </row>
    <row r="821" spans="7:18" x14ac:dyDescent="0.2">
      <c r="G821" s="202"/>
      <c r="L821" s="203"/>
      <c r="O821" s="204"/>
      <c r="P821" s="203"/>
      <c r="Q821" s="203"/>
      <c r="R821" s="112"/>
    </row>
    <row r="822" spans="7:18" x14ac:dyDescent="0.2">
      <c r="G822" s="202"/>
      <c r="L822" s="203"/>
      <c r="O822" s="204"/>
      <c r="P822" s="203"/>
      <c r="Q822" s="203"/>
      <c r="R822" s="112"/>
    </row>
    <row r="823" spans="7:18" x14ac:dyDescent="0.2">
      <c r="G823" s="202"/>
      <c r="L823" s="203"/>
      <c r="O823" s="204"/>
      <c r="P823" s="203"/>
      <c r="Q823" s="203"/>
      <c r="R823" s="112"/>
    </row>
    <row r="824" spans="7:18" x14ac:dyDescent="0.2">
      <c r="G824" s="202"/>
      <c r="L824" s="203"/>
      <c r="O824" s="204"/>
      <c r="P824" s="203"/>
      <c r="Q824" s="203"/>
      <c r="R824" s="112"/>
    </row>
    <row r="825" spans="7:18" x14ac:dyDescent="0.2">
      <c r="G825" s="202"/>
      <c r="L825" s="203"/>
      <c r="O825" s="204"/>
      <c r="P825" s="203"/>
      <c r="Q825" s="203"/>
      <c r="R825" s="112"/>
    </row>
    <row r="826" spans="7:18" x14ac:dyDescent="0.2">
      <c r="G826" s="202"/>
      <c r="L826" s="203"/>
      <c r="O826" s="204"/>
      <c r="P826" s="203"/>
      <c r="Q826" s="203"/>
      <c r="R826" s="112"/>
    </row>
    <row r="827" spans="7:18" x14ac:dyDescent="0.2">
      <c r="G827" s="202"/>
      <c r="L827" s="203"/>
      <c r="O827" s="204"/>
      <c r="P827" s="203"/>
      <c r="Q827" s="203"/>
      <c r="R827" s="112"/>
    </row>
    <row r="828" spans="7:18" x14ac:dyDescent="0.2">
      <c r="G828" s="202"/>
      <c r="L828" s="203"/>
      <c r="O828" s="204"/>
      <c r="P828" s="203"/>
      <c r="Q828" s="203"/>
      <c r="R828" s="112"/>
    </row>
    <row r="829" spans="7:18" x14ac:dyDescent="0.2">
      <c r="G829" s="202"/>
      <c r="L829" s="203"/>
      <c r="O829" s="204"/>
      <c r="P829" s="203"/>
      <c r="Q829" s="203"/>
      <c r="R829" s="112"/>
    </row>
    <row r="830" spans="7:18" x14ac:dyDescent="0.2">
      <c r="G830" s="202"/>
      <c r="L830" s="203"/>
      <c r="O830" s="204"/>
      <c r="P830" s="203"/>
      <c r="Q830" s="203"/>
      <c r="R830" s="112"/>
    </row>
    <row r="831" spans="7:18" x14ac:dyDescent="0.2">
      <c r="G831" s="202"/>
      <c r="L831" s="203"/>
      <c r="O831" s="204"/>
      <c r="P831" s="203"/>
      <c r="Q831" s="203"/>
      <c r="R831" s="112"/>
    </row>
    <row r="832" spans="7:18" x14ac:dyDescent="0.2">
      <c r="G832" s="202"/>
      <c r="L832" s="203"/>
      <c r="O832" s="204"/>
      <c r="P832" s="203"/>
      <c r="Q832" s="203"/>
      <c r="R832" s="112"/>
    </row>
    <row r="833" spans="7:18" x14ac:dyDescent="0.2">
      <c r="G833" s="202"/>
      <c r="L833" s="203"/>
      <c r="O833" s="204"/>
      <c r="P833" s="203"/>
      <c r="Q833" s="203"/>
      <c r="R833" s="112"/>
    </row>
    <row r="834" spans="7:18" x14ac:dyDescent="0.2">
      <c r="G834" s="202"/>
      <c r="L834" s="203"/>
      <c r="O834" s="204"/>
      <c r="P834" s="203"/>
      <c r="Q834" s="203"/>
      <c r="R834" s="112"/>
    </row>
    <row r="835" spans="7:18" x14ac:dyDescent="0.2">
      <c r="G835" s="202"/>
      <c r="L835" s="203"/>
      <c r="O835" s="204"/>
      <c r="P835" s="203"/>
      <c r="Q835" s="203"/>
      <c r="R835" s="112"/>
    </row>
    <row r="836" spans="7:18" x14ac:dyDescent="0.2">
      <c r="G836" s="202"/>
      <c r="L836" s="203"/>
      <c r="O836" s="204"/>
      <c r="P836" s="203"/>
      <c r="Q836" s="203"/>
      <c r="R836" s="112"/>
    </row>
    <row r="837" spans="7:18" x14ac:dyDescent="0.2">
      <c r="G837" s="202"/>
      <c r="L837" s="203"/>
      <c r="O837" s="204"/>
      <c r="P837" s="203"/>
      <c r="Q837" s="203"/>
      <c r="R837" s="112"/>
    </row>
    <row r="838" spans="7:18" x14ac:dyDescent="0.2">
      <c r="G838" s="202"/>
      <c r="L838" s="203"/>
      <c r="O838" s="204"/>
      <c r="P838" s="203"/>
      <c r="Q838" s="203"/>
      <c r="R838" s="112"/>
    </row>
    <row r="839" spans="7:18" x14ac:dyDescent="0.2">
      <c r="G839" s="202"/>
      <c r="L839" s="203"/>
      <c r="O839" s="204"/>
      <c r="P839" s="203"/>
      <c r="Q839" s="203"/>
      <c r="R839" s="112"/>
    </row>
    <row r="840" spans="7:18" x14ac:dyDescent="0.2">
      <c r="G840" s="202"/>
      <c r="L840" s="203"/>
      <c r="O840" s="204"/>
      <c r="P840" s="203"/>
      <c r="Q840" s="203"/>
      <c r="R840" s="112"/>
    </row>
    <row r="841" spans="7:18" x14ac:dyDescent="0.2">
      <c r="G841" s="202"/>
      <c r="L841" s="203"/>
      <c r="O841" s="204"/>
      <c r="P841" s="203"/>
      <c r="Q841" s="203"/>
      <c r="R841" s="112"/>
    </row>
    <row r="842" spans="7:18" x14ac:dyDescent="0.2">
      <c r="G842" s="202"/>
      <c r="L842" s="203"/>
      <c r="O842" s="204"/>
      <c r="P842" s="203"/>
      <c r="Q842" s="203"/>
      <c r="R842" s="112"/>
    </row>
    <row r="843" spans="7:18" x14ac:dyDescent="0.2">
      <c r="G843" s="202"/>
      <c r="L843" s="203"/>
      <c r="O843" s="204"/>
      <c r="P843" s="203"/>
      <c r="Q843" s="203"/>
      <c r="R843" s="112"/>
    </row>
    <row r="844" spans="7:18" x14ac:dyDescent="0.2">
      <c r="G844" s="202"/>
      <c r="L844" s="203"/>
      <c r="O844" s="204"/>
      <c r="P844" s="203"/>
      <c r="Q844" s="203"/>
      <c r="R844" s="112"/>
    </row>
    <row r="845" spans="7:18" x14ac:dyDescent="0.2">
      <c r="G845" s="202"/>
      <c r="L845" s="203"/>
      <c r="O845" s="204"/>
      <c r="P845" s="203"/>
      <c r="Q845" s="203"/>
      <c r="R845" s="112"/>
    </row>
    <row r="846" spans="7:18" x14ac:dyDescent="0.2">
      <c r="G846" s="202"/>
      <c r="L846" s="203"/>
      <c r="O846" s="204"/>
      <c r="P846" s="203"/>
      <c r="Q846" s="203"/>
      <c r="R846" s="112"/>
    </row>
    <row r="847" spans="7:18" x14ac:dyDescent="0.2">
      <c r="G847" s="202"/>
      <c r="L847" s="203"/>
      <c r="O847" s="204"/>
      <c r="P847" s="203"/>
      <c r="Q847" s="203"/>
      <c r="R847" s="112"/>
    </row>
    <row r="848" spans="7:18" x14ac:dyDescent="0.2">
      <c r="G848" s="202"/>
      <c r="L848" s="203"/>
      <c r="O848" s="204"/>
      <c r="P848" s="203"/>
      <c r="Q848" s="203"/>
      <c r="R848" s="112"/>
    </row>
    <row r="849" spans="7:18" x14ac:dyDescent="0.2">
      <c r="G849" s="202"/>
      <c r="L849" s="203"/>
      <c r="O849" s="204"/>
      <c r="P849" s="203"/>
      <c r="Q849" s="203"/>
      <c r="R849" s="112"/>
    </row>
    <row r="850" spans="7:18" x14ac:dyDescent="0.2">
      <c r="G850" s="202"/>
      <c r="L850" s="203"/>
      <c r="O850" s="204"/>
      <c r="P850" s="203"/>
      <c r="Q850" s="203"/>
      <c r="R850" s="112"/>
    </row>
    <row r="851" spans="7:18" x14ac:dyDescent="0.2">
      <c r="G851" s="202"/>
      <c r="L851" s="203"/>
      <c r="O851" s="204"/>
      <c r="P851" s="203"/>
      <c r="Q851" s="203"/>
      <c r="R851" s="112"/>
    </row>
    <row r="852" spans="7:18" x14ac:dyDescent="0.2">
      <c r="G852" s="202"/>
      <c r="L852" s="203"/>
      <c r="O852" s="204"/>
      <c r="P852" s="203"/>
      <c r="Q852" s="203"/>
      <c r="R852" s="112"/>
    </row>
    <row r="853" spans="7:18" x14ac:dyDescent="0.2">
      <c r="G853" s="202"/>
      <c r="L853" s="203"/>
      <c r="O853" s="204"/>
      <c r="P853" s="203"/>
      <c r="Q853" s="203"/>
      <c r="R853" s="112"/>
    </row>
    <row r="854" spans="7:18" x14ac:dyDescent="0.2">
      <c r="G854" s="202"/>
      <c r="L854" s="203"/>
      <c r="O854" s="204"/>
      <c r="P854" s="203"/>
      <c r="Q854" s="203"/>
      <c r="R854" s="112"/>
    </row>
    <row r="855" spans="7:18" x14ac:dyDescent="0.2">
      <c r="G855" s="202"/>
      <c r="L855" s="203"/>
      <c r="O855" s="204"/>
      <c r="P855" s="203"/>
      <c r="Q855" s="203"/>
      <c r="R855" s="112"/>
    </row>
    <row r="856" spans="7:18" x14ac:dyDescent="0.2">
      <c r="G856" s="202"/>
      <c r="L856" s="203"/>
      <c r="O856" s="204"/>
      <c r="P856" s="203"/>
      <c r="Q856" s="203"/>
      <c r="R856" s="112"/>
    </row>
    <row r="857" spans="7:18" x14ac:dyDescent="0.2">
      <c r="G857" s="202"/>
      <c r="L857" s="203"/>
      <c r="O857" s="204"/>
      <c r="P857" s="203"/>
      <c r="Q857" s="203"/>
      <c r="R857" s="112"/>
    </row>
    <row r="858" spans="7:18" x14ac:dyDescent="0.2">
      <c r="G858" s="202"/>
      <c r="L858" s="203"/>
      <c r="O858" s="204"/>
      <c r="P858" s="203"/>
      <c r="Q858" s="203"/>
      <c r="R858" s="112"/>
    </row>
    <row r="859" spans="7:18" x14ac:dyDescent="0.2">
      <c r="G859" s="202"/>
      <c r="L859" s="203"/>
      <c r="O859" s="204"/>
      <c r="P859" s="203"/>
      <c r="Q859" s="203"/>
      <c r="R859" s="112"/>
    </row>
    <row r="860" spans="7:18" x14ac:dyDescent="0.2">
      <c r="G860" s="202"/>
      <c r="L860" s="203"/>
      <c r="O860" s="204"/>
      <c r="P860" s="203"/>
      <c r="Q860" s="203"/>
      <c r="R860" s="112"/>
    </row>
    <row r="861" spans="7:18" x14ac:dyDescent="0.2">
      <c r="G861" s="202"/>
      <c r="L861" s="203"/>
      <c r="O861" s="204"/>
      <c r="P861" s="203"/>
      <c r="Q861" s="203"/>
      <c r="R861" s="112"/>
    </row>
    <row r="862" spans="7:18" x14ac:dyDescent="0.2">
      <c r="G862" s="202"/>
      <c r="L862" s="203"/>
      <c r="O862" s="204"/>
      <c r="P862" s="203"/>
      <c r="Q862" s="203"/>
      <c r="R862" s="112"/>
    </row>
    <row r="863" spans="7:18" x14ac:dyDescent="0.2">
      <c r="G863" s="202"/>
      <c r="L863" s="203"/>
      <c r="O863" s="204"/>
      <c r="P863" s="203"/>
      <c r="Q863" s="203"/>
      <c r="R863" s="112"/>
    </row>
    <row r="864" spans="7:18" x14ac:dyDescent="0.2">
      <c r="G864" s="202"/>
      <c r="L864" s="203"/>
      <c r="O864" s="204"/>
      <c r="P864" s="203"/>
      <c r="Q864" s="203"/>
      <c r="R864" s="112"/>
    </row>
    <row r="865" spans="7:18" x14ac:dyDescent="0.2">
      <c r="G865" s="202"/>
      <c r="L865" s="203"/>
      <c r="O865" s="204"/>
      <c r="P865" s="203"/>
      <c r="Q865" s="203"/>
      <c r="R865" s="112"/>
    </row>
    <row r="866" spans="7:18" x14ac:dyDescent="0.2">
      <c r="G866" s="202"/>
      <c r="L866" s="203"/>
      <c r="O866" s="204"/>
      <c r="P866" s="203"/>
      <c r="Q866" s="203"/>
      <c r="R866" s="112"/>
    </row>
    <row r="867" spans="7:18" x14ac:dyDescent="0.2">
      <c r="G867" s="202"/>
      <c r="L867" s="203"/>
      <c r="O867" s="204"/>
      <c r="P867" s="203"/>
      <c r="Q867" s="203"/>
      <c r="R867" s="112"/>
    </row>
    <row r="868" spans="7:18" x14ac:dyDescent="0.2">
      <c r="G868" s="202"/>
      <c r="L868" s="203"/>
      <c r="O868" s="204"/>
      <c r="P868" s="203"/>
      <c r="Q868" s="203"/>
      <c r="R868" s="112"/>
    </row>
    <row r="869" spans="7:18" x14ac:dyDescent="0.2">
      <c r="G869" s="202"/>
      <c r="L869" s="203"/>
      <c r="O869" s="204"/>
      <c r="P869" s="203"/>
      <c r="Q869" s="203"/>
      <c r="R869" s="112"/>
    </row>
    <row r="870" spans="7:18" x14ac:dyDescent="0.2">
      <c r="G870" s="202"/>
      <c r="L870" s="203"/>
      <c r="O870" s="204"/>
      <c r="P870" s="203"/>
      <c r="Q870" s="203"/>
      <c r="R870" s="112"/>
    </row>
    <row r="871" spans="7:18" x14ac:dyDescent="0.2">
      <c r="G871" s="202"/>
      <c r="L871" s="203"/>
      <c r="O871" s="204"/>
      <c r="P871" s="203"/>
      <c r="Q871" s="203"/>
      <c r="R871" s="112"/>
    </row>
    <row r="872" spans="7:18" x14ac:dyDescent="0.2">
      <c r="G872" s="202"/>
      <c r="L872" s="203"/>
      <c r="O872" s="204"/>
      <c r="P872" s="203"/>
      <c r="Q872" s="203"/>
      <c r="R872" s="112"/>
    </row>
    <row r="873" spans="7:18" x14ac:dyDescent="0.2">
      <c r="G873" s="202"/>
      <c r="L873" s="203"/>
      <c r="O873" s="204"/>
      <c r="P873" s="203"/>
      <c r="Q873" s="203"/>
      <c r="R873" s="112"/>
    </row>
    <row r="874" spans="7:18" x14ac:dyDescent="0.2">
      <c r="G874" s="202"/>
      <c r="L874" s="203"/>
      <c r="O874" s="204"/>
      <c r="P874" s="203"/>
      <c r="Q874" s="203"/>
      <c r="R874" s="112"/>
    </row>
    <row r="875" spans="7:18" x14ac:dyDescent="0.2">
      <c r="G875" s="202"/>
      <c r="L875" s="203"/>
      <c r="O875" s="204"/>
      <c r="P875" s="203"/>
      <c r="Q875" s="203"/>
      <c r="R875" s="112"/>
    </row>
    <row r="876" spans="7:18" x14ac:dyDescent="0.2">
      <c r="G876" s="202"/>
      <c r="L876" s="203"/>
      <c r="O876" s="204"/>
      <c r="P876" s="203"/>
      <c r="Q876" s="203"/>
      <c r="R876" s="112"/>
    </row>
    <row r="877" spans="7:18" x14ac:dyDescent="0.2">
      <c r="G877" s="202"/>
      <c r="L877" s="203"/>
      <c r="O877" s="204"/>
      <c r="P877" s="203"/>
      <c r="Q877" s="203"/>
      <c r="R877" s="112"/>
    </row>
    <row r="878" spans="7:18" x14ac:dyDescent="0.2">
      <c r="G878" s="202"/>
      <c r="L878" s="203"/>
      <c r="O878" s="204"/>
      <c r="P878" s="203"/>
      <c r="Q878" s="203"/>
      <c r="R878" s="112"/>
    </row>
    <row r="879" spans="7:18" x14ac:dyDescent="0.2">
      <c r="G879" s="202"/>
      <c r="L879" s="203"/>
      <c r="O879" s="204"/>
      <c r="P879" s="203"/>
      <c r="Q879" s="203"/>
      <c r="R879" s="112"/>
    </row>
    <row r="880" spans="7:18" x14ac:dyDescent="0.2">
      <c r="G880" s="202"/>
      <c r="L880" s="203"/>
      <c r="O880" s="204"/>
      <c r="P880" s="203"/>
      <c r="Q880" s="203"/>
      <c r="R880" s="112"/>
    </row>
    <row r="881" spans="7:18" x14ac:dyDescent="0.2">
      <c r="G881" s="202"/>
      <c r="L881" s="203"/>
      <c r="O881" s="204"/>
      <c r="P881" s="203"/>
      <c r="Q881" s="203"/>
      <c r="R881" s="112"/>
    </row>
    <row r="882" spans="7:18" x14ac:dyDescent="0.2">
      <c r="G882" s="202"/>
      <c r="L882" s="203"/>
      <c r="O882" s="204"/>
      <c r="P882" s="203"/>
      <c r="Q882" s="203"/>
      <c r="R882" s="112"/>
    </row>
    <row r="883" spans="7:18" x14ac:dyDescent="0.2">
      <c r="G883" s="202"/>
      <c r="L883" s="203"/>
      <c r="O883" s="204"/>
      <c r="P883" s="203"/>
      <c r="Q883" s="203"/>
      <c r="R883" s="112"/>
    </row>
    <row r="884" spans="7:18" x14ac:dyDescent="0.2">
      <c r="G884" s="202"/>
      <c r="L884" s="203"/>
      <c r="O884" s="204"/>
      <c r="P884" s="203"/>
      <c r="Q884" s="203"/>
      <c r="R884" s="112"/>
    </row>
    <row r="885" spans="7:18" x14ac:dyDescent="0.2">
      <c r="G885" s="202"/>
      <c r="L885" s="203"/>
      <c r="O885" s="204"/>
      <c r="P885" s="203"/>
      <c r="Q885" s="203"/>
      <c r="R885" s="112"/>
    </row>
    <row r="886" spans="7:18" x14ac:dyDescent="0.2">
      <c r="G886" s="202"/>
      <c r="L886" s="203"/>
      <c r="O886" s="204"/>
      <c r="P886" s="203"/>
      <c r="Q886" s="203"/>
      <c r="R886" s="112"/>
    </row>
    <row r="887" spans="7:18" x14ac:dyDescent="0.2">
      <c r="G887" s="202"/>
      <c r="L887" s="203"/>
      <c r="O887" s="204"/>
      <c r="P887" s="203"/>
      <c r="Q887" s="203"/>
      <c r="R887" s="112"/>
    </row>
    <row r="888" spans="7:18" x14ac:dyDescent="0.2">
      <c r="G888" s="202"/>
      <c r="L888" s="203"/>
      <c r="O888" s="204"/>
      <c r="P888" s="203"/>
      <c r="Q888" s="203"/>
      <c r="R888" s="112"/>
    </row>
    <row r="889" spans="7:18" x14ac:dyDescent="0.2">
      <c r="G889" s="202"/>
      <c r="L889" s="203"/>
      <c r="O889" s="204"/>
      <c r="P889" s="203"/>
      <c r="Q889" s="203"/>
      <c r="R889" s="112"/>
    </row>
    <row r="890" spans="7:18" x14ac:dyDescent="0.2">
      <c r="G890" s="202"/>
      <c r="L890" s="203"/>
      <c r="O890" s="204"/>
      <c r="P890" s="203"/>
      <c r="Q890" s="203"/>
      <c r="R890" s="112"/>
    </row>
    <row r="891" spans="7:18" x14ac:dyDescent="0.2">
      <c r="G891" s="202"/>
      <c r="L891" s="203"/>
      <c r="O891" s="204"/>
      <c r="P891" s="203"/>
      <c r="Q891" s="203"/>
      <c r="R891" s="112"/>
    </row>
    <row r="892" spans="7:18" x14ac:dyDescent="0.2">
      <c r="G892" s="202"/>
      <c r="L892" s="203"/>
      <c r="O892" s="204"/>
      <c r="P892" s="203"/>
      <c r="Q892" s="203"/>
      <c r="R892" s="112"/>
    </row>
    <row r="893" spans="7:18" x14ac:dyDescent="0.2">
      <c r="G893" s="202"/>
      <c r="L893" s="203"/>
      <c r="O893" s="204"/>
      <c r="P893" s="203"/>
      <c r="Q893" s="203"/>
      <c r="R893" s="112"/>
    </row>
    <row r="894" spans="7:18" x14ac:dyDescent="0.2">
      <c r="G894" s="202"/>
      <c r="L894" s="203"/>
      <c r="O894" s="204"/>
      <c r="P894" s="203"/>
      <c r="Q894" s="203"/>
      <c r="R894" s="112"/>
    </row>
    <row r="895" spans="7:18" x14ac:dyDescent="0.2">
      <c r="G895" s="202"/>
      <c r="L895" s="203"/>
      <c r="O895" s="204"/>
      <c r="P895" s="203"/>
      <c r="Q895" s="203"/>
      <c r="R895" s="112"/>
    </row>
    <row r="896" spans="7:18" x14ac:dyDescent="0.2">
      <c r="G896" s="202"/>
      <c r="L896" s="203"/>
      <c r="O896" s="204"/>
      <c r="P896" s="203"/>
      <c r="Q896" s="203"/>
      <c r="R896" s="112"/>
    </row>
    <row r="897" spans="7:18" x14ac:dyDescent="0.2">
      <c r="G897" s="202"/>
      <c r="L897" s="203"/>
      <c r="O897" s="204"/>
      <c r="P897" s="203"/>
      <c r="Q897" s="203"/>
      <c r="R897" s="112"/>
    </row>
    <row r="898" spans="7:18" x14ac:dyDescent="0.2">
      <c r="G898" s="202"/>
      <c r="L898" s="203"/>
      <c r="O898" s="204"/>
      <c r="P898" s="203"/>
      <c r="Q898" s="203"/>
      <c r="R898" s="112"/>
    </row>
    <row r="899" spans="7:18" x14ac:dyDescent="0.2">
      <c r="G899" s="202"/>
      <c r="L899" s="203"/>
      <c r="O899" s="204"/>
      <c r="P899" s="203"/>
      <c r="Q899" s="203"/>
      <c r="R899" s="112"/>
    </row>
    <row r="900" spans="7:18" x14ac:dyDescent="0.2">
      <c r="G900" s="202"/>
      <c r="L900" s="203"/>
      <c r="O900" s="204"/>
      <c r="P900" s="203"/>
      <c r="Q900" s="203"/>
      <c r="R900" s="112"/>
    </row>
    <row r="901" spans="7:18" x14ac:dyDescent="0.2">
      <c r="G901" s="202"/>
      <c r="L901" s="203"/>
      <c r="O901" s="204"/>
      <c r="P901" s="203"/>
      <c r="Q901" s="203"/>
      <c r="R901" s="112"/>
    </row>
    <row r="902" spans="7:18" x14ac:dyDescent="0.2">
      <c r="G902" s="202"/>
      <c r="L902" s="203"/>
      <c r="O902" s="204"/>
      <c r="P902" s="203"/>
      <c r="Q902" s="203"/>
      <c r="R902" s="112"/>
    </row>
    <row r="903" spans="7:18" x14ac:dyDescent="0.2">
      <c r="G903" s="202"/>
      <c r="L903" s="203"/>
      <c r="O903" s="204"/>
      <c r="P903" s="203"/>
      <c r="Q903" s="203"/>
      <c r="R903" s="112"/>
    </row>
    <row r="904" spans="7:18" x14ac:dyDescent="0.2">
      <c r="G904" s="202"/>
      <c r="L904" s="203"/>
      <c r="O904" s="204"/>
      <c r="P904" s="203"/>
      <c r="Q904" s="203"/>
      <c r="R904" s="112"/>
    </row>
    <row r="905" spans="7:18" x14ac:dyDescent="0.2">
      <c r="G905" s="202"/>
      <c r="L905" s="203"/>
      <c r="O905" s="204"/>
      <c r="P905" s="203"/>
      <c r="Q905" s="203"/>
      <c r="R905" s="112"/>
    </row>
    <row r="906" spans="7:18" x14ac:dyDescent="0.2">
      <c r="G906" s="202"/>
      <c r="L906" s="203"/>
      <c r="O906" s="204"/>
      <c r="P906" s="203"/>
      <c r="Q906" s="203"/>
      <c r="R906" s="112"/>
    </row>
    <row r="907" spans="7:18" x14ac:dyDescent="0.2">
      <c r="G907" s="202"/>
      <c r="L907" s="203"/>
      <c r="O907" s="204"/>
      <c r="P907" s="203"/>
      <c r="Q907" s="203"/>
      <c r="R907" s="112"/>
    </row>
    <row r="908" spans="7:18" x14ac:dyDescent="0.2">
      <c r="G908" s="202"/>
      <c r="L908" s="203"/>
      <c r="O908" s="204"/>
      <c r="P908" s="203"/>
      <c r="Q908" s="203"/>
      <c r="R908" s="112"/>
    </row>
    <row r="909" spans="7:18" x14ac:dyDescent="0.2">
      <c r="G909" s="202"/>
      <c r="L909" s="203"/>
      <c r="O909" s="204"/>
      <c r="P909" s="203"/>
      <c r="Q909" s="203"/>
      <c r="R909" s="112"/>
    </row>
    <row r="910" spans="7:18" x14ac:dyDescent="0.2">
      <c r="G910" s="202"/>
      <c r="L910" s="203"/>
      <c r="O910" s="204"/>
      <c r="P910" s="203"/>
      <c r="Q910" s="203"/>
      <c r="R910" s="112"/>
    </row>
    <row r="911" spans="7:18" x14ac:dyDescent="0.2">
      <c r="G911" s="202"/>
      <c r="L911" s="203"/>
      <c r="O911" s="204"/>
      <c r="P911" s="203"/>
      <c r="Q911" s="203"/>
      <c r="R911" s="112"/>
    </row>
    <row r="912" spans="7:18" x14ac:dyDescent="0.2">
      <c r="G912" s="202"/>
      <c r="L912" s="203"/>
      <c r="O912" s="204"/>
      <c r="P912" s="203"/>
      <c r="Q912" s="203"/>
      <c r="R912" s="112"/>
    </row>
    <row r="913" spans="7:18" x14ac:dyDescent="0.2">
      <c r="G913" s="202"/>
      <c r="L913" s="203"/>
      <c r="O913" s="204"/>
      <c r="P913" s="203"/>
      <c r="Q913" s="203"/>
      <c r="R913" s="112"/>
    </row>
    <row r="914" spans="7:18" x14ac:dyDescent="0.2">
      <c r="G914" s="202"/>
      <c r="L914" s="203"/>
      <c r="O914" s="204"/>
      <c r="P914" s="203"/>
      <c r="Q914" s="203"/>
      <c r="R914" s="112"/>
    </row>
    <row r="915" spans="7:18" x14ac:dyDescent="0.2">
      <c r="G915" s="202"/>
      <c r="L915" s="203"/>
      <c r="O915" s="204"/>
      <c r="P915" s="203"/>
      <c r="Q915" s="203"/>
      <c r="R915" s="112"/>
    </row>
    <row r="916" spans="7:18" x14ac:dyDescent="0.2">
      <c r="G916" s="202"/>
      <c r="L916" s="203"/>
      <c r="O916" s="204"/>
      <c r="P916" s="203"/>
      <c r="Q916" s="203"/>
      <c r="R916" s="112"/>
    </row>
    <row r="917" spans="7:18" x14ac:dyDescent="0.2">
      <c r="G917" s="202"/>
      <c r="L917" s="203"/>
      <c r="O917" s="204"/>
      <c r="P917" s="203"/>
      <c r="Q917" s="203"/>
      <c r="R917" s="112"/>
    </row>
    <row r="918" spans="7:18" x14ac:dyDescent="0.2">
      <c r="G918" s="202"/>
      <c r="L918" s="203"/>
      <c r="O918" s="204"/>
      <c r="P918" s="203"/>
      <c r="Q918" s="203"/>
      <c r="R918" s="112"/>
    </row>
    <row r="919" spans="7:18" x14ac:dyDescent="0.2">
      <c r="G919" s="202"/>
      <c r="L919" s="203"/>
      <c r="O919" s="204"/>
      <c r="P919" s="203"/>
      <c r="Q919" s="203"/>
      <c r="R919" s="112"/>
    </row>
    <row r="920" spans="7:18" x14ac:dyDescent="0.2">
      <c r="G920" s="202"/>
      <c r="L920" s="203"/>
      <c r="O920" s="204"/>
      <c r="P920" s="203"/>
      <c r="Q920" s="203"/>
      <c r="R920" s="112"/>
    </row>
    <row r="921" spans="7:18" x14ac:dyDescent="0.2">
      <c r="G921" s="202"/>
      <c r="L921" s="203"/>
      <c r="O921" s="204"/>
      <c r="P921" s="203"/>
      <c r="Q921" s="203"/>
      <c r="R921" s="112"/>
    </row>
    <row r="922" spans="7:18" x14ac:dyDescent="0.2">
      <c r="G922" s="202"/>
      <c r="L922" s="203"/>
      <c r="O922" s="204"/>
      <c r="P922" s="203"/>
      <c r="Q922" s="203"/>
      <c r="R922" s="112"/>
    </row>
    <row r="923" spans="7:18" x14ac:dyDescent="0.2">
      <c r="G923" s="202"/>
      <c r="L923" s="203"/>
      <c r="O923" s="204"/>
      <c r="P923" s="203"/>
      <c r="Q923" s="203"/>
      <c r="R923" s="112"/>
    </row>
    <row r="924" spans="7:18" x14ac:dyDescent="0.2">
      <c r="G924" s="202"/>
      <c r="L924" s="203"/>
      <c r="O924" s="204"/>
      <c r="P924" s="203"/>
      <c r="Q924" s="203"/>
      <c r="R924" s="112"/>
    </row>
    <row r="925" spans="7:18" x14ac:dyDescent="0.2">
      <c r="G925" s="202"/>
      <c r="L925" s="203"/>
      <c r="O925" s="204"/>
      <c r="P925" s="203"/>
      <c r="Q925" s="203"/>
      <c r="R925" s="112"/>
    </row>
    <row r="926" spans="7:18" x14ac:dyDescent="0.2">
      <c r="G926" s="202"/>
      <c r="L926" s="203"/>
      <c r="O926" s="204"/>
      <c r="P926" s="203"/>
      <c r="Q926" s="203"/>
      <c r="R926" s="112"/>
    </row>
    <row r="927" spans="7:18" x14ac:dyDescent="0.2">
      <c r="G927" s="202"/>
      <c r="L927" s="203"/>
      <c r="O927" s="204"/>
      <c r="P927" s="203"/>
      <c r="Q927" s="203"/>
      <c r="R927" s="112"/>
    </row>
    <row r="928" spans="7:18" x14ac:dyDescent="0.2">
      <c r="G928" s="202"/>
      <c r="L928" s="203"/>
      <c r="O928" s="204"/>
      <c r="P928" s="203"/>
      <c r="Q928" s="203"/>
      <c r="R928" s="112"/>
    </row>
    <row r="929" spans="7:18" x14ac:dyDescent="0.2">
      <c r="G929" s="202"/>
      <c r="L929" s="203"/>
      <c r="O929" s="204"/>
      <c r="P929" s="203"/>
      <c r="Q929" s="203"/>
      <c r="R929" s="112"/>
    </row>
    <row r="930" spans="7:18" x14ac:dyDescent="0.2">
      <c r="G930" s="202"/>
      <c r="L930" s="203"/>
      <c r="O930" s="204"/>
      <c r="P930" s="203"/>
      <c r="Q930" s="203"/>
      <c r="R930" s="112"/>
    </row>
    <row r="931" spans="7:18" x14ac:dyDescent="0.2">
      <c r="G931" s="202"/>
      <c r="L931" s="203"/>
      <c r="O931" s="204"/>
      <c r="P931" s="203"/>
      <c r="Q931" s="203"/>
      <c r="R931" s="112"/>
    </row>
    <row r="932" spans="7:18" x14ac:dyDescent="0.2">
      <c r="G932" s="202"/>
      <c r="L932" s="203"/>
      <c r="O932" s="204"/>
      <c r="P932" s="203"/>
      <c r="Q932" s="203"/>
      <c r="R932" s="112"/>
    </row>
    <row r="933" spans="7:18" x14ac:dyDescent="0.2">
      <c r="G933" s="202"/>
      <c r="L933" s="203"/>
      <c r="O933" s="204"/>
      <c r="P933" s="203"/>
      <c r="Q933" s="203"/>
      <c r="R933" s="112"/>
    </row>
    <row r="934" spans="7:18" x14ac:dyDescent="0.2">
      <c r="G934" s="202"/>
      <c r="L934" s="203"/>
      <c r="O934" s="204"/>
      <c r="P934" s="203"/>
      <c r="Q934" s="203"/>
      <c r="R934" s="112"/>
    </row>
    <row r="935" spans="7:18" x14ac:dyDescent="0.2">
      <c r="G935" s="202"/>
      <c r="L935" s="203"/>
      <c r="O935" s="204"/>
      <c r="P935" s="203"/>
      <c r="Q935" s="203"/>
      <c r="R935" s="112"/>
    </row>
    <row r="936" spans="7:18" x14ac:dyDescent="0.2">
      <c r="G936" s="202"/>
      <c r="L936" s="203"/>
      <c r="O936" s="204"/>
      <c r="P936" s="203"/>
      <c r="Q936" s="203"/>
      <c r="R936" s="112"/>
    </row>
    <row r="937" spans="7:18" x14ac:dyDescent="0.2">
      <c r="G937" s="202"/>
      <c r="L937" s="203"/>
      <c r="O937" s="204"/>
      <c r="P937" s="203"/>
      <c r="Q937" s="203"/>
      <c r="R937" s="112"/>
    </row>
    <row r="938" spans="7:18" x14ac:dyDescent="0.2">
      <c r="G938" s="202"/>
      <c r="L938" s="203"/>
      <c r="O938" s="204"/>
      <c r="P938" s="203"/>
      <c r="Q938" s="203"/>
      <c r="R938" s="112"/>
    </row>
    <row r="939" spans="7:18" x14ac:dyDescent="0.2">
      <c r="G939" s="202"/>
      <c r="L939" s="203"/>
      <c r="O939" s="204"/>
      <c r="P939" s="203"/>
      <c r="Q939" s="203"/>
      <c r="R939" s="112"/>
    </row>
    <row r="940" spans="7:18" x14ac:dyDescent="0.2">
      <c r="G940" s="202"/>
      <c r="L940" s="203"/>
      <c r="O940" s="204"/>
      <c r="P940" s="203"/>
      <c r="Q940" s="203"/>
      <c r="R940" s="112"/>
    </row>
    <row r="941" spans="7:18" x14ac:dyDescent="0.2">
      <c r="G941" s="202"/>
      <c r="L941" s="203"/>
      <c r="O941" s="204"/>
      <c r="P941" s="203"/>
      <c r="Q941" s="203"/>
      <c r="R941" s="112"/>
    </row>
    <row r="942" spans="7:18" x14ac:dyDescent="0.2">
      <c r="G942" s="202"/>
      <c r="L942" s="203"/>
      <c r="O942" s="204"/>
      <c r="P942" s="203"/>
      <c r="Q942" s="203"/>
      <c r="R942" s="112"/>
    </row>
    <row r="943" spans="7:18" x14ac:dyDescent="0.2">
      <c r="G943" s="202"/>
      <c r="L943" s="203"/>
      <c r="O943" s="204"/>
      <c r="P943" s="203"/>
      <c r="Q943" s="203"/>
      <c r="R943" s="112"/>
    </row>
    <row r="944" spans="7:18" x14ac:dyDescent="0.2">
      <c r="G944" s="202"/>
      <c r="L944" s="203"/>
      <c r="O944" s="204"/>
      <c r="P944" s="203"/>
      <c r="Q944" s="203"/>
      <c r="R944" s="112"/>
    </row>
    <row r="945" spans="7:18" x14ac:dyDescent="0.2">
      <c r="G945" s="202"/>
      <c r="L945" s="203"/>
      <c r="O945" s="204"/>
      <c r="P945" s="203"/>
      <c r="Q945" s="203"/>
      <c r="R945" s="112"/>
    </row>
    <row r="946" spans="7:18" x14ac:dyDescent="0.2">
      <c r="G946" s="202"/>
      <c r="L946" s="203"/>
      <c r="O946" s="204"/>
      <c r="P946" s="203"/>
      <c r="Q946" s="203"/>
      <c r="R946" s="112"/>
    </row>
    <row r="947" spans="7:18" x14ac:dyDescent="0.2">
      <c r="G947" s="202"/>
      <c r="L947" s="203"/>
      <c r="O947" s="204"/>
      <c r="P947" s="203"/>
      <c r="Q947" s="203"/>
      <c r="R947" s="112"/>
    </row>
    <row r="948" spans="7:18" x14ac:dyDescent="0.2">
      <c r="G948" s="202"/>
      <c r="L948" s="203"/>
      <c r="O948" s="204"/>
      <c r="P948" s="203"/>
      <c r="Q948" s="203"/>
      <c r="R948" s="112"/>
    </row>
    <row r="949" spans="7:18" x14ac:dyDescent="0.2">
      <c r="G949" s="202"/>
      <c r="L949" s="203"/>
      <c r="O949" s="204"/>
      <c r="P949" s="203"/>
      <c r="Q949" s="203"/>
      <c r="R949" s="112"/>
    </row>
    <row r="950" spans="7:18" x14ac:dyDescent="0.2">
      <c r="G950" s="202"/>
      <c r="L950" s="203"/>
      <c r="O950" s="204"/>
      <c r="P950" s="203"/>
      <c r="Q950" s="203"/>
      <c r="R950" s="112"/>
    </row>
    <row r="951" spans="7:18" x14ac:dyDescent="0.2">
      <c r="G951" s="202"/>
      <c r="L951" s="203"/>
      <c r="O951" s="204"/>
      <c r="P951" s="203"/>
      <c r="Q951" s="203"/>
      <c r="R951" s="112"/>
    </row>
    <row r="952" spans="7:18" x14ac:dyDescent="0.2">
      <c r="G952" s="202"/>
      <c r="L952" s="203"/>
      <c r="O952" s="204"/>
      <c r="P952" s="203"/>
      <c r="Q952" s="203"/>
      <c r="R952" s="112"/>
    </row>
    <row r="953" spans="7:18" x14ac:dyDescent="0.2">
      <c r="G953" s="202"/>
      <c r="L953" s="203"/>
      <c r="O953" s="204"/>
      <c r="P953" s="203"/>
      <c r="Q953" s="203"/>
      <c r="R953" s="112"/>
    </row>
    <row r="954" spans="7:18" x14ac:dyDescent="0.2">
      <c r="G954" s="202"/>
      <c r="L954" s="203"/>
      <c r="O954" s="204"/>
      <c r="P954" s="203"/>
      <c r="Q954" s="203"/>
      <c r="R954" s="112"/>
    </row>
    <row r="955" spans="7:18" x14ac:dyDescent="0.2">
      <c r="G955" s="202"/>
      <c r="L955" s="203"/>
      <c r="O955" s="204"/>
      <c r="P955" s="203"/>
      <c r="Q955" s="203"/>
      <c r="R955" s="112"/>
    </row>
    <row r="956" spans="7:18" x14ac:dyDescent="0.2">
      <c r="G956" s="202"/>
      <c r="L956" s="203"/>
      <c r="O956" s="204"/>
      <c r="P956" s="203"/>
      <c r="Q956" s="203"/>
      <c r="R956" s="112"/>
    </row>
    <row r="957" spans="7:18" x14ac:dyDescent="0.2">
      <c r="G957" s="202"/>
      <c r="L957" s="203"/>
      <c r="O957" s="204"/>
      <c r="P957" s="203"/>
      <c r="Q957" s="203"/>
      <c r="R957" s="112"/>
    </row>
    <row r="958" spans="7:18" x14ac:dyDescent="0.2">
      <c r="G958" s="202"/>
      <c r="L958" s="203"/>
      <c r="O958" s="204"/>
      <c r="P958" s="203"/>
      <c r="Q958" s="203"/>
      <c r="R958" s="112"/>
    </row>
    <row r="959" spans="7:18" x14ac:dyDescent="0.2">
      <c r="G959" s="202"/>
      <c r="L959" s="203"/>
      <c r="O959" s="204"/>
      <c r="P959" s="203"/>
      <c r="Q959" s="203"/>
      <c r="R959" s="112"/>
    </row>
    <row r="960" spans="7:18" x14ac:dyDescent="0.2">
      <c r="G960" s="202"/>
      <c r="L960" s="203"/>
      <c r="O960" s="204"/>
      <c r="P960" s="203"/>
      <c r="Q960" s="203"/>
      <c r="R960" s="112"/>
    </row>
    <row r="961" spans="7:18" x14ac:dyDescent="0.2">
      <c r="G961" s="202"/>
      <c r="L961" s="203"/>
      <c r="O961" s="204"/>
      <c r="P961" s="203"/>
      <c r="Q961" s="203"/>
      <c r="R961" s="112"/>
    </row>
    <row r="962" spans="7:18" x14ac:dyDescent="0.2">
      <c r="G962" s="202"/>
      <c r="L962" s="203"/>
      <c r="O962" s="204"/>
      <c r="P962" s="203"/>
      <c r="Q962" s="203"/>
      <c r="R962" s="112"/>
    </row>
    <row r="963" spans="7:18" x14ac:dyDescent="0.2">
      <c r="G963" s="202"/>
      <c r="L963" s="203"/>
      <c r="O963" s="204"/>
      <c r="P963" s="203"/>
      <c r="Q963" s="203"/>
      <c r="R963" s="112"/>
    </row>
    <row r="964" spans="7:18" x14ac:dyDescent="0.2">
      <c r="G964" s="202"/>
      <c r="L964" s="203"/>
      <c r="O964" s="204"/>
      <c r="P964" s="203"/>
      <c r="Q964" s="203"/>
      <c r="R964" s="112"/>
    </row>
    <row r="965" spans="7:18" x14ac:dyDescent="0.2">
      <c r="G965" s="202"/>
      <c r="L965" s="203"/>
      <c r="O965" s="204"/>
      <c r="P965" s="203"/>
      <c r="Q965" s="203"/>
      <c r="R965" s="112"/>
    </row>
    <row r="966" spans="7:18" x14ac:dyDescent="0.2">
      <c r="G966" s="202"/>
      <c r="L966" s="203"/>
      <c r="O966" s="204"/>
      <c r="P966" s="203"/>
      <c r="Q966" s="203"/>
      <c r="R966" s="112"/>
    </row>
    <row r="967" spans="7:18" x14ac:dyDescent="0.2">
      <c r="G967" s="202"/>
      <c r="L967" s="203"/>
      <c r="O967" s="204"/>
      <c r="P967" s="203"/>
      <c r="Q967" s="203"/>
      <c r="R967" s="112"/>
    </row>
    <row r="968" spans="7:18" x14ac:dyDescent="0.2">
      <c r="G968" s="202"/>
      <c r="L968" s="203"/>
      <c r="O968" s="204"/>
      <c r="P968" s="203"/>
      <c r="Q968" s="203"/>
      <c r="R968" s="112"/>
    </row>
    <row r="969" spans="7:18" x14ac:dyDescent="0.2">
      <c r="G969" s="202"/>
      <c r="L969" s="203"/>
      <c r="O969" s="204"/>
      <c r="P969" s="203"/>
      <c r="Q969" s="203"/>
      <c r="R969" s="112"/>
    </row>
    <row r="970" spans="7:18" x14ac:dyDescent="0.2">
      <c r="G970" s="202"/>
      <c r="L970" s="203"/>
      <c r="O970" s="204"/>
      <c r="P970" s="203"/>
      <c r="Q970" s="203"/>
      <c r="R970" s="112"/>
    </row>
    <row r="971" spans="7:18" x14ac:dyDescent="0.2">
      <c r="G971" s="202"/>
      <c r="L971" s="203"/>
      <c r="O971" s="204"/>
      <c r="P971" s="203"/>
      <c r="Q971" s="203"/>
      <c r="R971" s="112"/>
    </row>
    <row r="972" spans="7:18" x14ac:dyDescent="0.2">
      <c r="G972" s="202"/>
      <c r="L972" s="203"/>
      <c r="O972" s="204"/>
      <c r="P972" s="203"/>
      <c r="Q972" s="203"/>
      <c r="R972" s="112"/>
    </row>
    <row r="973" spans="7:18" x14ac:dyDescent="0.2">
      <c r="G973" s="202"/>
      <c r="L973" s="203"/>
      <c r="O973" s="204"/>
      <c r="P973" s="203"/>
      <c r="Q973" s="203"/>
      <c r="R973" s="112"/>
    </row>
    <row r="974" spans="7:18" x14ac:dyDescent="0.2">
      <c r="G974" s="202"/>
      <c r="L974" s="203"/>
      <c r="O974" s="204"/>
      <c r="P974" s="203"/>
      <c r="Q974" s="203"/>
      <c r="R974" s="112"/>
    </row>
    <row r="975" spans="7:18" x14ac:dyDescent="0.2">
      <c r="G975" s="202"/>
      <c r="L975" s="203"/>
      <c r="O975" s="204"/>
      <c r="P975" s="203"/>
      <c r="Q975" s="203"/>
      <c r="R975" s="112"/>
    </row>
    <row r="976" spans="7:18" x14ac:dyDescent="0.2">
      <c r="G976" s="202"/>
      <c r="L976" s="203"/>
      <c r="O976" s="204"/>
      <c r="P976" s="203"/>
      <c r="Q976" s="203"/>
      <c r="R976" s="112"/>
    </row>
    <row r="977" spans="7:18" x14ac:dyDescent="0.2">
      <c r="G977" s="202"/>
      <c r="L977" s="203"/>
      <c r="O977" s="204"/>
      <c r="P977" s="203"/>
      <c r="Q977" s="203"/>
      <c r="R977" s="112"/>
    </row>
    <row r="978" spans="7:18" x14ac:dyDescent="0.2">
      <c r="G978" s="202"/>
      <c r="L978" s="203"/>
      <c r="O978" s="204"/>
      <c r="P978" s="203"/>
      <c r="Q978" s="203"/>
      <c r="R978" s="112"/>
    </row>
    <row r="979" spans="7:18" x14ac:dyDescent="0.2">
      <c r="G979" s="202"/>
      <c r="L979" s="203"/>
      <c r="O979" s="204"/>
      <c r="P979" s="203"/>
      <c r="Q979" s="203"/>
      <c r="R979" s="112"/>
    </row>
    <row r="980" spans="7:18" x14ac:dyDescent="0.2">
      <c r="G980" s="202"/>
      <c r="L980" s="203"/>
      <c r="O980" s="204"/>
      <c r="P980" s="203"/>
      <c r="Q980" s="203"/>
      <c r="R980" s="112"/>
    </row>
    <row r="981" spans="7:18" x14ac:dyDescent="0.2">
      <c r="G981" s="202"/>
      <c r="L981" s="203"/>
      <c r="O981" s="204"/>
      <c r="P981" s="203"/>
      <c r="Q981" s="203"/>
      <c r="R981" s="112"/>
    </row>
    <row r="982" spans="7:18" x14ac:dyDescent="0.2">
      <c r="G982" s="202"/>
      <c r="L982" s="203"/>
      <c r="O982" s="204"/>
      <c r="P982" s="203"/>
      <c r="Q982" s="203"/>
      <c r="R982" s="112"/>
    </row>
    <row r="983" spans="7:18" x14ac:dyDescent="0.2">
      <c r="G983" s="202"/>
      <c r="L983" s="203"/>
      <c r="O983" s="204"/>
      <c r="P983" s="203"/>
      <c r="Q983" s="203"/>
      <c r="R983" s="112"/>
    </row>
    <row r="984" spans="7:18" x14ac:dyDescent="0.2">
      <c r="G984" s="202"/>
      <c r="L984" s="203"/>
      <c r="O984" s="204"/>
      <c r="P984" s="203"/>
      <c r="Q984" s="203"/>
      <c r="R984" s="112"/>
    </row>
    <row r="985" spans="7:18" x14ac:dyDescent="0.2">
      <c r="G985" s="202"/>
      <c r="L985" s="203"/>
      <c r="O985" s="204"/>
      <c r="P985" s="203"/>
      <c r="Q985" s="203"/>
      <c r="R985" s="112"/>
    </row>
    <row r="986" spans="7:18" x14ac:dyDescent="0.2">
      <c r="G986" s="202"/>
      <c r="L986" s="203"/>
      <c r="O986" s="204"/>
      <c r="P986" s="203"/>
      <c r="Q986" s="203"/>
      <c r="R986" s="112"/>
    </row>
    <row r="987" spans="7:18" x14ac:dyDescent="0.2">
      <c r="G987" s="202"/>
      <c r="L987" s="203"/>
      <c r="O987" s="204"/>
      <c r="P987" s="203"/>
      <c r="Q987" s="203"/>
      <c r="R987" s="112"/>
    </row>
    <row r="988" spans="7:18" x14ac:dyDescent="0.2">
      <c r="G988" s="202"/>
      <c r="L988" s="203"/>
      <c r="O988" s="204"/>
      <c r="P988" s="203"/>
      <c r="Q988" s="203"/>
      <c r="R988" s="112"/>
    </row>
    <row r="989" spans="7:18" x14ac:dyDescent="0.2">
      <c r="G989" s="202"/>
      <c r="L989" s="203"/>
      <c r="O989" s="204"/>
      <c r="P989" s="203"/>
      <c r="Q989" s="203"/>
      <c r="R989" s="112"/>
    </row>
    <row r="990" spans="7:18" x14ac:dyDescent="0.2">
      <c r="G990" s="202"/>
      <c r="L990" s="203"/>
      <c r="O990" s="204"/>
      <c r="P990" s="203"/>
      <c r="Q990" s="203"/>
      <c r="R990" s="112"/>
    </row>
    <row r="991" spans="7:18" x14ac:dyDescent="0.2">
      <c r="G991" s="202"/>
      <c r="L991" s="203"/>
      <c r="O991" s="204"/>
      <c r="P991" s="203"/>
      <c r="Q991" s="203"/>
      <c r="R991" s="112"/>
    </row>
    <row r="992" spans="7:18" x14ac:dyDescent="0.2">
      <c r="G992" s="202"/>
      <c r="L992" s="203"/>
      <c r="O992" s="204"/>
      <c r="P992" s="203"/>
      <c r="Q992" s="203"/>
      <c r="R992" s="112"/>
    </row>
    <row r="993" spans="7:18" x14ac:dyDescent="0.2">
      <c r="G993" s="202"/>
      <c r="L993" s="203"/>
      <c r="O993" s="204"/>
      <c r="P993" s="203"/>
      <c r="Q993" s="203"/>
      <c r="R993" s="112"/>
    </row>
    <row r="994" spans="7:18" x14ac:dyDescent="0.2">
      <c r="G994" s="202"/>
      <c r="L994" s="203"/>
      <c r="O994" s="204"/>
      <c r="P994" s="203"/>
      <c r="Q994" s="203"/>
      <c r="R994" s="112"/>
    </row>
    <row r="995" spans="7:18" x14ac:dyDescent="0.2">
      <c r="G995" s="202"/>
      <c r="L995" s="203"/>
      <c r="O995" s="204"/>
      <c r="P995" s="203"/>
      <c r="Q995" s="203"/>
      <c r="R995" s="112"/>
    </row>
    <row r="996" spans="7:18" x14ac:dyDescent="0.2">
      <c r="G996" s="202"/>
      <c r="L996" s="203"/>
      <c r="O996" s="204"/>
      <c r="P996" s="203"/>
      <c r="Q996" s="203"/>
      <c r="R996" s="112"/>
    </row>
    <row r="997" spans="7:18" x14ac:dyDescent="0.2">
      <c r="G997" s="202"/>
      <c r="L997" s="203"/>
      <c r="O997" s="204"/>
      <c r="P997" s="203"/>
      <c r="Q997" s="203"/>
      <c r="R997" s="112"/>
    </row>
    <row r="998" spans="7:18" x14ac:dyDescent="0.2">
      <c r="G998" s="202"/>
      <c r="L998" s="203"/>
      <c r="O998" s="204"/>
      <c r="P998" s="203"/>
      <c r="Q998" s="203"/>
      <c r="R998" s="112"/>
    </row>
    <row r="999" spans="7:18" x14ac:dyDescent="0.2">
      <c r="G999" s="202"/>
      <c r="L999" s="203"/>
      <c r="O999" s="204"/>
      <c r="P999" s="203"/>
      <c r="Q999" s="203"/>
      <c r="R999" s="112"/>
    </row>
    <row r="1000" spans="7:18" x14ac:dyDescent="0.2">
      <c r="G1000" s="202"/>
      <c r="L1000" s="203"/>
      <c r="O1000" s="204"/>
      <c r="P1000" s="203"/>
      <c r="Q1000" s="203"/>
      <c r="R1000" s="112"/>
    </row>
    <row r="1001" spans="7:18" x14ac:dyDescent="0.2">
      <c r="G1001" s="202"/>
      <c r="L1001" s="203"/>
      <c r="O1001" s="204"/>
      <c r="P1001" s="203"/>
      <c r="Q1001" s="203"/>
      <c r="R1001" s="112"/>
    </row>
    <row r="1002" spans="7:18" x14ac:dyDescent="0.2">
      <c r="G1002" s="202"/>
      <c r="L1002" s="203"/>
      <c r="O1002" s="204"/>
      <c r="P1002" s="203"/>
      <c r="Q1002" s="203"/>
      <c r="R1002" s="112"/>
    </row>
    <row r="1003" spans="7:18" x14ac:dyDescent="0.2">
      <c r="G1003" s="202"/>
      <c r="L1003" s="203"/>
      <c r="O1003" s="204"/>
      <c r="P1003" s="203"/>
      <c r="Q1003" s="203"/>
      <c r="R1003" s="112"/>
    </row>
    <row r="1004" spans="7:18" x14ac:dyDescent="0.2">
      <c r="G1004" s="202"/>
      <c r="L1004" s="203"/>
      <c r="O1004" s="204"/>
      <c r="P1004" s="203"/>
      <c r="Q1004" s="203"/>
      <c r="R1004" s="112"/>
    </row>
    <row r="1005" spans="7:18" x14ac:dyDescent="0.2">
      <c r="G1005" s="202"/>
      <c r="L1005" s="203"/>
      <c r="O1005" s="204"/>
      <c r="P1005" s="203"/>
      <c r="Q1005" s="203"/>
      <c r="R1005" s="112"/>
    </row>
    <row r="1006" spans="7:18" x14ac:dyDescent="0.2">
      <c r="G1006" s="202"/>
      <c r="L1006" s="203"/>
      <c r="O1006" s="204"/>
      <c r="P1006" s="203"/>
      <c r="Q1006" s="203"/>
      <c r="R1006" s="112"/>
    </row>
    <row r="1007" spans="7:18" x14ac:dyDescent="0.2">
      <c r="G1007" s="202"/>
      <c r="L1007" s="203"/>
      <c r="O1007" s="204"/>
      <c r="P1007" s="203"/>
      <c r="Q1007" s="203"/>
      <c r="R1007" s="112"/>
    </row>
    <row r="1008" spans="7:18" x14ac:dyDescent="0.2">
      <c r="G1008" s="202"/>
      <c r="L1008" s="203"/>
      <c r="O1008" s="204"/>
      <c r="P1008" s="203"/>
      <c r="Q1008" s="203"/>
      <c r="R1008" s="112"/>
    </row>
    <row r="1009" spans="7:18" x14ac:dyDescent="0.2">
      <c r="G1009" s="202"/>
      <c r="L1009" s="203"/>
      <c r="O1009" s="204"/>
      <c r="P1009" s="203"/>
      <c r="Q1009" s="203"/>
      <c r="R1009" s="112"/>
    </row>
    <row r="1010" spans="7:18" x14ac:dyDescent="0.2">
      <c r="G1010" s="202"/>
      <c r="L1010" s="203"/>
      <c r="O1010" s="204"/>
      <c r="P1010" s="203"/>
      <c r="Q1010" s="203"/>
      <c r="R1010" s="112"/>
    </row>
    <row r="1011" spans="7:18" x14ac:dyDescent="0.2">
      <c r="G1011" s="202"/>
      <c r="L1011" s="203"/>
      <c r="O1011" s="204"/>
      <c r="P1011" s="203"/>
      <c r="Q1011" s="203"/>
      <c r="R1011" s="112"/>
    </row>
    <row r="1012" spans="7:18" x14ac:dyDescent="0.2">
      <c r="G1012" s="202"/>
      <c r="L1012" s="203"/>
      <c r="O1012" s="204"/>
      <c r="P1012" s="203"/>
      <c r="Q1012" s="203"/>
      <c r="R1012" s="112"/>
    </row>
    <row r="1013" spans="7:18" x14ac:dyDescent="0.2">
      <c r="G1013" s="202"/>
      <c r="L1013" s="203"/>
      <c r="O1013" s="204"/>
      <c r="P1013" s="203"/>
      <c r="Q1013" s="203"/>
      <c r="R1013" s="112"/>
    </row>
    <row r="1014" spans="7:18" x14ac:dyDescent="0.2">
      <c r="G1014" s="202"/>
      <c r="L1014" s="203"/>
      <c r="O1014" s="204"/>
      <c r="P1014" s="203"/>
      <c r="Q1014" s="203"/>
      <c r="R1014" s="112"/>
    </row>
    <row r="1015" spans="7:18" x14ac:dyDescent="0.2">
      <c r="G1015" s="202"/>
      <c r="L1015" s="203"/>
      <c r="O1015" s="204"/>
      <c r="P1015" s="203"/>
      <c r="Q1015" s="203"/>
      <c r="R1015" s="112"/>
    </row>
    <row r="1016" spans="7:18" x14ac:dyDescent="0.2">
      <c r="G1016" s="202"/>
      <c r="L1016" s="203"/>
      <c r="O1016" s="204"/>
      <c r="P1016" s="203"/>
      <c r="Q1016" s="203"/>
      <c r="R1016" s="112"/>
    </row>
    <row r="1017" spans="7:18" x14ac:dyDescent="0.2">
      <c r="G1017" s="202"/>
      <c r="L1017" s="203"/>
      <c r="O1017" s="204"/>
      <c r="P1017" s="203"/>
      <c r="Q1017" s="203"/>
      <c r="R1017" s="112"/>
    </row>
    <row r="1018" spans="7:18" x14ac:dyDescent="0.2">
      <c r="G1018" s="202"/>
      <c r="L1018" s="203"/>
      <c r="O1018" s="204"/>
      <c r="P1018" s="203"/>
      <c r="Q1018" s="203"/>
      <c r="R1018" s="112"/>
    </row>
    <row r="1019" spans="7:18" x14ac:dyDescent="0.2">
      <c r="G1019" s="202"/>
      <c r="L1019" s="203"/>
      <c r="O1019" s="204"/>
      <c r="P1019" s="203"/>
      <c r="Q1019" s="203"/>
      <c r="R1019" s="112"/>
    </row>
    <row r="1020" spans="7:18" x14ac:dyDescent="0.2">
      <c r="G1020" s="202"/>
      <c r="L1020" s="203"/>
      <c r="O1020" s="204"/>
      <c r="P1020" s="203"/>
      <c r="Q1020" s="203"/>
      <c r="R1020" s="112"/>
    </row>
    <row r="1021" spans="7:18" x14ac:dyDescent="0.2">
      <c r="G1021" s="202"/>
      <c r="L1021" s="203"/>
      <c r="O1021" s="204"/>
      <c r="P1021" s="203"/>
      <c r="Q1021" s="203"/>
      <c r="R1021" s="112"/>
    </row>
    <row r="1022" spans="7:18" x14ac:dyDescent="0.2">
      <c r="G1022" s="202"/>
      <c r="L1022" s="203"/>
      <c r="O1022" s="204"/>
      <c r="P1022" s="203"/>
      <c r="Q1022" s="203"/>
      <c r="R1022" s="112"/>
    </row>
    <row r="1023" spans="7:18" x14ac:dyDescent="0.2">
      <c r="G1023" s="202"/>
      <c r="L1023" s="203"/>
      <c r="O1023" s="204"/>
      <c r="P1023" s="203"/>
      <c r="Q1023" s="203"/>
      <c r="R1023" s="112"/>
    </row>
    <row r="1024" spans="7:18" x14ac:dyDescent="0.2">
      <c r="G1024" s="202"/>
      <c r="L1024" s="203"/>
      <c r="O1024" s="204"/>
      <c r="P1024" s="203"/>
      <c r="Q1024" s="203"/>
      <c r="R1024" s="112"/>
    </row>
    <row r="1025" spans="7:18" x14ac:dyDescent="0.2">
      <c r="G1025" s="202"/>
      <c r="L1025" s="203"/>
      <c r="O1025" s="204"/>
      <c r="P1025" s="203"/>
      <c r="Q1025" s="203"/>
      <c r="R1025" s="112"/>
    </row>
    <row r="1026" spans="7:18" x14ac:dyDescent="0.2">
      <c r="G1026" s="202"/>
      <c r="L1026" s="203"/>
      <c r="O1026" s="204"/>
      <c r="P1026" s="203"/>
      <c r="Q1026" s="203"/>
      <c r="R1026" s="112"/>
    </row>
    <row r="1027" spans="7:18" x14ac:dyDescent="0.2">
      <c r="G1027" s="202"/>
      <c r="L1027" s="203"/>
      <c r="O1027" s="204"/>
      <c r="P1027" s="203"/>
      <c r="Q1027" s="203"/>
      <c r="R1027" s="112"/>
    </row>
    <row r="1028" spans="7:18" x14ac:dyDescent="0.2">
      <c r="G1028" s="202"/>
      <c r="L1028" s="203"/>
      <c r="O1028" s="204"/>
      <c r="P1028" s="203"/>
      <c r="Q1028" s="203"/>
      <c r="R1028" s="112"/>
    </row>
    <row r="1029" spans="7:18" x14ac:dyDescent="0.2">
      <c r="G1029" s="202"/>
      <c r="L1029" s="203"/>
      <c r="O1029" s="204"/>
      <c r="P1029" s="203"/>
      <c r="Q1029" s="203"/>
      <c r="R1029" s="112"/>
    </row>
    <row r="1030" spans="7:18" x14ac:dyDescent="0.2">
      <c r="G1030" s="202"/>
      <c r="L1030" s="203"/>
      <c r="O1030" s="204"/>
      <c r="P1030" s="203"/>
      <c r="Q1030" s="203"/>
      <c r="R1030" s="112"/>
    </row>
    <row r="1031" spans="7:18" x14ac:dyDescent="0.2">
      <c r="G1031" s="202"/>
      <c r="L1031" s="203"/>
      <c r="O1031" s="204"/>
      <c r="P1031" s="203"/>
      <c r="Q1031" s="203"/>
      <c r="R1031" s="112"/>
    </row>
    <row r="1032" spans="7:18" x14ac:dyDescent="0.2">
      <c r="G1032" s="202"/>
      <c r="L1032" s="203"/>
      <c r="O1032" s="204"/>
      <c r="P1032" s="203"/>
      <c r="Q1032" s="203"/>
      <c r="R1032" s="112"/>
    </row>
    <row r="1033" spans="7:18" x14ac:dyDescent="0.2">
      <c r="G1033" s="202"/>
      <c r="L1033" s="203"/>
      <c r="O1033" s="204"/>
      <c r="P1033" s="203"/>
      <c r="Q1033" s="203"/>
      <c r="R1033" s="112"/>
    </row>
    <row r="1034" spans="7:18" x14ac:dyDescent="0.2">
      <c r="G1034" s="202"/>
      <c r="L1034" s="203"/>
      <c r="O1034" s="204"/>
      <c r="P1034" s="203"/>
      <c r="Q1034" s="203"/>
      <c r="R1034" s="112"/>
    </row>
    <row r="1035" spans="7:18" x14ac:dyDescent="0.2">
      <c r="G1035" s="202"/>
      <c r="L1035" s="203"/>
      <c r="O1035" s="204"/>
      <c r="P1035" s="203"/>
      <c r="Q1035" s="203"/>
      <c r="R1035" s="112"/>
    </row>
    <row r="1036" spans="7:18" x14ac:dyDescent="0.2">
      <c r="G1036" s="202"/>
      <c r="L1036" s="203"/>
      <c r="O1036" s="204"/>
      <c r="P1036" s="203"/>
      <c r="Q1036" s="203"/>
      <c r="R1036" s="112"/>
    </row>
    <row r="1037" spans="7:18" x14ac:dyDescent="0.2">
      <c r="G1037" s="202"/>
      <c r="L1037" s="203"/>
      <c r="O1037" s="204"/>
      <c r="P1037" s="203"/>
      <c r="Q1037" s="203"/>
      <c r="R1037" s="112"/>
    </row>
    <row r="1038" spans="7:18" x14ac:dyDescent="0.2">
      <c r="G1038" s="202"/>
      <c r="L1038" s="203"/>
      <c r="O1038" s="204"/>
      <c r="P1038" s="203"/>
      <c r="Q1038" s="203"/>
      <c r="R1038" s="112"/>
    </row>
    <row r="1039" spans="7:18" x14ac:dyDescent="0.2">
      <c r="G1039" s="202"/>
      <c r="L1039" s="203"/>
      <c r="O1039" s="204"/>
      <c r="P1039" s="203"/>
      <c r="Q1039" s="203"/>
      <c r="R1039" s="112"/>
    </row>
    <row r="1040" spans="7:18" x14ac:dyDescent="0.2">
      <c r="G1040" s="202"/>
      <c r="L1040" s="203"/>
      <c r="O1040" s="204"/>
      <c r="P1040" s="203"/>
      <c r="Q1040" s="203"/>
      <c r="R1040" s="112"/>
    </row>
    <row r="1041" spans="7:18" x14ac:dyDescent="0.2">
      <c r="G1041" s="202"/>
      <c r="L1041" s="203"/>
      <c r="O1041" s="204"/>
      <c r="P1041" s="203"/>
      <c r="Q1041" s="203"/>
      <c r="R1041" s="112"/>
    </row>
    <row r="1042" spans="7:18" x14ac:dyDescent="0.2">
      <c r="G1042" s="202"/>
      <c r="L1042" s="203"/>
      <c r="O1042" s="204"/>
      <c r="P1042" s="203"/>
      <c r="Q1042" s="203"/>
      <c r="R1042" s="112"/>
    </row>
    <row r="1043" spans="7:18" x14ac:dyDescent="0.2">
      <c r="G1043" s="202"/>
      <c r="L1043" s="203"/>
      <c r="O1043" s="204"/>
      <c r="P1043" s="203"/>
      <c r="Q1043" s="203"/>
      <c r="R1043" s="112"/>
    </row>
    <row r="1044" spans="7:18" x14ac:dyDescent="0.2">
      <c r="G1044" s="202"/>
      <c r="L1044" s="203"/>
      <c r="O1044" s="204"/>
      <c r="P1044" s="203"/>
      <c r="Q1044" s="203"/>
      <c r="R1044" s="112"/>
    </row>
    <row r="1045" spans="7:18" x14ac:dyDescent="0.2">
      <c r="G1045" s="202"/>
      <c r="L1045" s="203"/>
      <c r="O1045" s="204"/>
      <c r="P1045" s="203"/>
      <c r="Q1045" s="203"/>
      <c r="R1045" s="112"/>
    </row>
    <row r="1046" spans="7:18" x14ac:dyDescent="0.2">
      <c r="G1046" s="202"/>
      <c r="L1046" s="203"/>
      <c r="O1046" s="204"/>
      <c r="P1046" s="203"/>
      <c r="Q1046" s="203"/>
      <c r="R1046" s="112"/>
    </row>
    <row r="1047" spans="7:18" x14ac:dyDescent="0.2">
      <c r="G1047" s="202"/>
      <c r="L1047" s="203"/>
      <c r="O1047" s="204"/>
      <c r="P1047" s="203"/>
      <c r="Q1047" s="203"/>
      <c r="R1047" s="112"/>
    </row>
    <row r="1048" spans="7:18" x14ac:dyDescent="0.2">
      <c r="G1048" s="202"/>
      <c r="L1048" s="203"/>
      <c r="O1048" s="204"/>
      <c r="P1048" s="203"/>
      <c r="Q1048" s="203"/>
      <c r="R1048" s="112"/>
    </row>
    <row r="1049" spans="7:18" x14ac:dyDescent="0.2">
      <c r="G1049" s="202"/>
      <c r="L1049" s="203"/>
      <c r="O1049" s="204"/>
      <c r="P1049" s="203"/>
      <c r="Q1049" s="203"/>
      <c r="R1049" s="112"/>
    </row>
    <row r="1050" spans="7:18" x14ac:dyDescent="0.2">
      <c r="G1050" s="202"/>
      <c r="L1050" s="203"/>
      <c r="O1050" s="204"/>
      <c r="P1050" s="203"/>
      <c r="Q1050" s="203"/>
      <c r="R1050" s="112"/>
    </row>
    <row r="1051" spans="7:18" x14ac:dyDescent="0.2">
      <c r="G1051" s="202"/>
      <c r="L1051" s="203"/>
      <c r="O1051" s="204"/>
      <c r="P1051" s="203"/>
      <c r="Q1051" s="203"/>
      <c r="R1051" s="112"/>
    </row>
    <row r="1052" spans="7:18" x14ac:dyDescent="0.2">
      <c r="G1052" s="202"/>
      <c r="L1052" s="203"/>
      <c r="O1052" s="204"/>
      <c r="P1052" s="203"/>
      <c r="Q1052" s="203"/>
      <c r="R1052" s="112"/>
    </row>
    <row r="1053" spans="7:18" x14ac:dyDescent="0.2">
      <c r="G1053" s="202"/>
      <c r="L1053" s="203"/>
      <c r="O1053" s="204"/>
      <c r="P1053" s="203"/>
      <c r="Q1053" s="203"/>
      <c r="R1053" s="112"/>
    </row>
    <row r="1054" spans="7:18" x14ac:dyDescent="0.2">
      <c r="G1054" s="202"/>
      <c r="L1054" s="203"/>
      <c r="O1054" s="204"/>
      <c r="P1054" s="203"/>
      <c r="Q1054" s="203"/>
      <c r="R1054" s="112"/>
    </row>
    <row r="1055" spans="7:18" x14ac:dyDescent="0.2">
      <c r="G1055" s="202"/>
      <c r="L1055" s="203"/>
      <c r="O1055" s="204"/>
      <c r="P1055" s="203"/>
      <c r="Q1055" s="203"/>
      <c r="R1055" s="112"/>
    </row>
    <row r="1056" spans="7:18" x14ac:dyDescent="0.2">
      <c r="G1056" s="202"/>
      <c r="L1056" s="203"/>
      <c r="O1056" s="204"/>
      <c r="P1056" s="203"/>
      <c r="Q1056" s="203"/>
      <c r="R1056" s="112"/>
    </row>
    <row r="1057" spans="7:18" x14ac:dyDescent="0.2">
      <c r="G1057" s="202"/>
      <c r="L1057" s="203"/>
      <c r="O1057" s="204"/>
      <c r="P1057" s="203"/>
      <c r="Q1057" s="203"/>
      <c r="R1057" s="112"/>
    </row>
    <row r="1058" spans="7:18" x14ac:dyDescent="0.2">
      <c r="G1058" s="202"/>
      <c r="L1058" s="203"/>
      <c r="O1058" s="204"/>
      <c r="P1058" s="203"/>
      <c r="Q1058" s="203"/>
      <c r="R1058" s="112"/>
    </row>
    <row r="1059" spans="7:18" x14ac:dyDescent="0.2">
      <c r="G1059" s="202"/>
      <c r="L1059" s="203"/>
      <c r="O1059" s="204"/>
      <c r="P1059" s="203"/>
      <c r="Q1059" s="203"/>
      <c r="R1059" s="112"/>
    </row>
    <row r="1060" spans="7:18" x14ac:dyDescent="0.2">
      <c r="G1060" s="202"/>
      <c r="L1060" s="203"/>
      <c r="O1060" s="204"/>
      <c r="P1060" s="203"/>
      <c r="Q1060" s="203"/>
      <c r="R1060" s="112"/>
    </row>
    <row r="1061" spans="7:18" x14ac:dyDescent="0.2">
      <c r="G1061" s="202"/>
      <c r="L1061" s="203"/>
      <c r="O1061" s="204"/>
      <c r="P1061" s="203"/>
      <c r="Q1061" s="203"/>
      <c r="R1061" s="112"/>
    </row>
    <row r="1062" spans="7:18" x14ac:dyDescent="0.2">
      <c r="G1062" s="202"/>
      <c r="L1062" s="203"/>
      <c r="O1062" s="204"/>
      <c r="P1062" s="203"/>
      <c r="Q1062" s="203"/>
      <c r="R1062" s="112"/>
    </row>
    <row r="1063" spans="7:18" x14ac:dyDescent="0.2">
      <c r="G1063" s="202"/>
      <c r="L1063" s="203"/>
      <c r="O1063" s="204"/>
      <c r="P1063" s="203"/>
      <c r="Q1063" s="203"/>
      <c r="R1063" s="112"/>
    </row>
    <row r="1064" spans="7:18" x14ac:dyDescent="0.2">
      <c r="G1064" s="202"/>
      <c r="L1064" s="203"/>
      <c r="O1064" s="204"/>
      <c r="P1064" s="203"/>
      <c r="Q1064" s="203"/>
      <c r="R1064" s="112"/>
    </row>
    <row r="1065" spans="7:18" x14ac:dyDescent="0.2">
      <c r="G1065" s="202"/>
      <c r="L1065" s="203"/>
      <c r="O1065" s="204"/>
      <c r="P1065" s="203"/>
      <c r="Q1065" s="203"/>
      <c r="R1065" s="112"/>
    </row>
    <row r="1066" spans="7:18" x14ac:dyDescent="0.2">
      <c r="G1066" s="202"/>
      <c r="L1066" s="203"/>
      <c r="O1066" s="204"/>
      <c r="P1066" s="203"/>
      <c r="Q1066" s="203"/>
      <c r="R1066" s="112"/>
    </row>
    <row r="1067" spans="7:18" x14ac:dyDescent="0.2">
      <c r="G1067" s="202"/>
      <c r="L1067" s="203"/>
      <c r="O1067" s="204"/>
      <c r="P1067" s="203"/>
      <c r="Q1067" s="203"/>
      <c r="R1067" s="112"/>
    </row>
    <row r="1068" spans="7:18" x14ac:dyDescent="0.2">
      <c r="G1068" s="202"/>
      <c r="L1068" s="203"/>
      <c r="O1068" s="204"/>
      <c r="P1068" s="203"/>
      <c r="Q1068" s="203"/>
      <c r="R1068" s="112"/>
    </row>
    <row r="1069" spans="7:18" x14ac:dyDescent="0.2">
      <c r="G1069" s="202"/>
      <c r="L1069" s="203"/>
      <c r="O1069" s="204"/>
      <c r="P1069" s="203"/>
      <c r="Q1069" s="203"/>
      <c r="R1069" s="112"/>
    </row>
    <row r="1070" spans="7:18" x14ac:dyDescent="0.2">
      <c r="G1070" s="202"/>
      <c r="L1070" s="203"/>
      <c r="O1070" s="204"/>
      <c r="P1070" s="203"/>
      <c r="Q1070" s="203"/>
      <c r="R1070" s="112"/>
    </row>
    <row r="1071" spans="7:18" x14ac:dyDescent="0.2">
      <c r="G1071" s="202"/>
      <c r="L1071" s="203"/>
      <c r="O1071" s="204"/>
      <c r="P1071" s="203"/>
      <c r="Q1071" s="203"/>
      <c r="R1071" s="112"/>
    </row>
    <row r="1072" spans="7:18" x14ac:dyDescent="0.2">
      <c r="G1072" s="202"/>
      <c r="L1072" s="203"/>
      <c r="O1072" s="204"/>
      <c r="P1072" s="203"/>
      <c r="Q1072" s="203"/>
      <c r="R1072" s="112"/>
    </row>
    <row r="1073" spans="7:18" x14ac:dyDescent="0.2">
      <c r="G1073" s="202"/>
      <c r="L1073" s="203"/>
      <c r="O1073" s="204"/>
      <c r="P1073" s="203"/>
      <c r="Q1073" s="203"/>
      <c r="R1073" s="112"/>
    </row>
    <row r="1074" spans="7:18" x14ac:dyDescent="0.2">
      <c r="G1074" s="202"/>
      <c r="L1074" s="203"/>
      <c r="O1074" s="204"/>
      <c r="P1074" s="203"/>
      <c r="Q1074" s="203"/>
      <c r="R1074" s="112"/>
    </row>
    <row r="1075" spans="7:18" x14ac:dyDescent="0.2">
      <c r="G1075" s="202"/>
      <c r="L1075" s="203"/>
      <c r="O1075" s="204"/>
      <c r="P1075" s="203"/>
      <c r="Q1075" s="203"/>
      <c r="R1075" s="112"/>
    </row>
    <row r="1076" spans="7:18" x14ac:dyDescent="0.2">
      <c r="G1076" s="202"/>
      <c r="L1076" s="203"/>
      <c r="O1076" s="204"/>
      <c r="P1076" s="203"/>
      <c r="Q1076" s="203"/>
      <c r="R1076" s="112"/>
    </row>
    <row r="1077" spans="7:18" x14ac:dyDescent="0.2">
      <c r="G1077" s="202"/>
      <c r="L1077" s="203"/>
      <c r="O1077" s="204"/>
      <c r="P1077" s="203"/>
      <c r="Q1077" s="203"/>
      <c r="R1077" s="112"/>
    </row>
    <row r="1078" spans="7:18" x14ac:dyDescent="0.2">
      <c r="G1078" s="202"/>
      <c r="L1078" s="203"/>
      <c r="O1078" s="204"/>
      <c r="P1078" s="203"/>
      <c r="Q1078" s="203"/>
      <c r="R1078" s="112"/>
    </row>
    <row r="1079" spans="7:18" x14ac:dyDescent="0.2">
      <c r="G1079" s="202"/>
      <c r="L1079" s="203"/>
      <c r="O1079" s="204"/>
      <c r="P1079" s="203"/>
      <c r="Q1079" s="203"/>
      <c r="R1079" s="112"/>
    </row>
    <row r="1080" spans="7:18" x14ac:dyDescent="0.2">
      <c r="G1080" s="202"/>
      <c r="L1080" s="203"/>
      <c r="O1080" s="204"/>
      <c r="P1080" s="203"/>
      <c r="Q1080" s="203"/>
      <c r="R1080" s="112"/>
    </row>
    <row r="1081" spans="7:18" x14ac:dyDescent="0.2">
      <c r="G1081" s="202"/>
      <c r="L1081" s="203"/>
      <c r="O1081" s="204"/>
      <c r="P1081" s="203"/>
      <c r="Q1081" s="203"/>
      <c r="R1081" s="112"/>
    </row>
    <row r="1082" spans="7:18" x14ac:dyDescent="0.2">
      <c r="G1082" s="202"/>
      <c r="L1082" s="203"/>
      <c r="O1082" s="204"/>
      <c r="P1082" s="203"/>
      <c r="Q1082" s="203"/>
      <c r="R1082" s="112"/>
    </row>
    <row r="1083" spans="7:18" x14ac:dyDescent="0.2">
      <c r="G1083" s="202"/>
      <c r="L1083" s="203"/>
      <c r="O1083" s="204"/>
      <c r="P1083" s="203"/>
      <c r="Q1083" s="203"/>
      <c r="R1083" s="112"/>
    </row>
    <row r="1084" spans="7:18" x14ac:dyDescent="0.2">
      <c r="G1084" s="202"/>
      <c r="L1084" s="203"/>
      <c r="O1084" s="204"/>
      <c r="P1084" s="203"/>
      <c r="Q1084" s="203"/>
      <c r="R1084" s="112"/>
    </row>
    <row r="1085" spans="7:18" x14ac:dyDescent="0.2">
      <c r="G1085" s="202"/>
      <c r="L1085" s="203"/>
      <c r="O1085" s="204"/>
      <c r="P1085" s="203"/>
      <c r="Q1085" s="203"/>
      <c r="R1085" s="112"/>
    </row>
    <row r="1086" spans="7:18" x14ac:dyDescent="0.2">
      <c r="G1086" s="202"/>
      <c r="L1086" s="203"/>
      <c r="O1086" s="204"/>
      <c r="P1086" s="203"/>
      <c r="Q1086" s="203"/>
      <c r="R1086" s="112"/>
    </row>
    <row r="1087" spans="7:18" x14ac:dyDescent="0.2">
      <c r="G1087" s="202"/>
      <c r="L1087" s="203"/>
      <c r="O1087" s="204"/>
      <c r="P1087" s="203"/>
      <c r="Q1087" s="203"/>
      <c r="R1087" s="112"/>
    </row>
    <row r="1088" spans="7:18" x14ac:dyDescent="0.2">
      <c r="G1088" s="202"/>
      <c r="L1088" s="203"/>
      <c r="O1088" s="204"/>
      <c r="P1088" s="203"/>
      <c r="Q1088" s="203"/>
      <c r="R1088" s="112"/>
    </row>
    <row r="1089" spans="7:18" x14ac:dyDescent="0.2">
      <c r="G1089" s="202"/>
      <c r="L1089" s="203"/>
      <c r="O1089" s="204"/>
      <c r="P1089" s="203"/>
      <c r="Q1089" s="203"/>
      <c r="R1089" s="112"/>
    </row>
    <row r="1090" spans="7:18" x14ac:dyDescent="0.2">
      <c r="G1090" s="202"/>
      <c r="L1090" s="203"/>
      <c r="O1090" s="204"/>
      <c r="P1090" s="203"/>
      <c r="Q1090" s="203"/>
      <c r="R1090" s="112"/>
    </row>
    <row r="1091" spans="7:18" x14ac:dyDescent="0.2">
      <c r="G1091" s="202"/>
      <c r="L1091" s="203"/>
      <c r="O1091" s="204"/>
      <c r="P1091" s="203"/>
      <c r="Q1091" s="203"/>
      <c r="R1091" s="112"/>
    </row>
    <row r="1092" spans="7:18" x14ac:dyDescent="0.2">
      <c r="G1092" s="202"/>
      <c r="L1092" s="203"/>
      <c r="O1092" s="204"/>
      <c r="P1092" s="203"/>
      <c r="Q1092" s="203"/>
      <c r="R1092" s="112"/>
    </row>
    <row r="1093" spans="7:18" x14ac:dyDescent="0.2">
      <c r="G1093" s="202"/>
      <c r="L1093" s="203"/>
      <c r="O1093" s="204"/>
      <c r="P1093" s="203"/>
      <c r="Q1093" s="203"/>
      <c r="R1093" s="112"/>
    </row>
    <row r="1094" spans="7:18" x14ac:dyDescent="0.2">
      <c r="G1094" s="202"/>
      <c r="L1094" s="203"/>
      <c r="O1094" s="204"/>
      <c r="P1094" s="203"/>
      <c r="Q1094" s="203"/>
      <c r="R1094" s="112"/>
    </row>
    <row r="1095" spans="7:18" x14ac:dyDescent="0.2">
      <c r="G1095" s="202"/>
      <c r="L1095" s="203"/>
      <c r="O1095" s="204"/>
      <c r="P1095" s="203"/>
      <c r="Q1095" s="203"/>
      <c r="R1095" s="112"/>
    </row>
    <row r="1096" spans="7:18" x14ac:dyDescent="0.2">
      <c r="G1096" s="202"/>
      <c r="L1096" s="203"/>
      <c r="O1096" s="204"/>
      <c r="P1096" s="203"/>
      <c r="Q1096" s="203"/>
      <c r="R1096" s="112"/>
    </row>
    <row r="1097" spans="7:18" x14ac:dyDescent="0.2">
      <c r="G1097" s="202"/>
      <c r="L1097" s="203"/>
      <c r="O1097" s="204"/>
      <c r="P1097" s="203"/>
      <c r="Q1097" s="203"/>
      <c r="R1097" s="112"/>
    </row>
    <row r="1098" spans="7:18" x14ac:dyDescent="0.2">
      <c r="G1098" s="202"/>
      <c r="L1098" s="203"/>
      <c r="O1098" s="204"/>
      <c r="P1098" s="203"/>
      <c r="Q1098" s="203"/>
      <c r="R1098" s="112"/>
    </row>
    <row r="1099" spans="7:18" x14ac:dyDescent="0.2">
      <c r="G1099" s="202"/>
      <c r="L1099" s="203"/>
      <c r="O1099" s="204"/>
      <c r="P1099" s="203"/>
      <c r="Q1099" s="203"/>
      <c r="R1099" s="112"/>
    </row>
    <row r="1100" spans="7:18" x14ac:dyDescent="0.2">
      <c r="G1100" s="202"/>
      <c r="L1100" s="203"/>
      <c r="O1100" s="204"/>
      <c r="P1100" s="203"/>
      <c r="Q1100" s="203"/>
      <c r="R1100" s="112"/>
    </row>
    <row r="1101" spans="7:18" x14ac:dyDescent="0.2">
      <c r="G1101" s="202"/>
      <c r="L1101" s="203"/>
      <c r="O1101" s="204"/>
      <c r="P1101" s="203"/>
      <c r="Q1101" s="203"/>
      <c r="R1101" s="112"/>
    </row>
    <row r="1102" spans="7:18" x14ac:dyDescent="0.2">
      <c r="G1102" s="202"/>
      <c r="L1102" s="203"/>
      <c r="O1102" s="204"/>
      <c r="P1102" s="203"/>
      <c r="Q1102" s="203"/>
      <c r="R1102" s="112"/>
    </row>
    <row r="1103" spans="7:18" x14ac:dyDescent="0.2">
      <c r="G1103" s="202"/>
      <c r="L1103" s="203"/>
      <c r="O1103" s="204"/>
      <c r="P1103" s="203"/>
      <c r="Q1103" s="203"/>
      <c r="R1103" s="112"/>
    </row>
    <row r="1104" spans="7:18" x14ac:dyDescent="0.2">
      <c r="G1104" s="202"/>
      <c r="L1104" s="203"/>
      <c r="O1104" s="204"/>
      <c r="P1104" s="203"/>
      <c r="Q1104" s="203"/>
      <c r="R1104" s="112"/>
    </row>
    <row r="1105" spans="7:18" x14ac:dyDescent="0.2">
      <c r="G1105" s="202"/>
      <c r="L1105" s="203"/>
      <c r="O1105" s="204"/>
      <c r="P1105" s="203"/>
      <c r="Q1105" s="203"/>
      <c r="R1105" s="112"/>
    </row>
    <row r="1106" spans="7:18" x14ac:dyDescent="0.2">
      <c r="G1106" s="202"/>
      <c r="L1106" s="203"/>
      <c r="O1106" s="204"/>
      <c r="P1106" s="203"/>
      <c r="Q1106" s="203"/>
      <c r="R1106" s="112"/>
    </row>
    <row r="1107" spans="7:18" x14ac:dyDescent="0.2">
      <c r="G1107" s="202"/>
      <c r="L1107" s="203"/>
      <c r="O1107" s="204"/>
      <c r="P1107" s="203"/>
      <c r="Q1107" s="203"/>
      <c r="R1107" s="112"/>
    </row>
    <row r="1108" spans="7:18" x14ac:dyDescent="0.2">
      <c r="G1108" s="202"/>
      <c r="L1108" s="203"/>
      <c r="O1108" s="204"/>
      <c r="P1108" s="203"/>
      <c r="Q1108" s="203"/>
      <c r="R1108" s="112"/>
    </row>
    <row r="1109" spans="7:18" x14ac:dyDescent="0.2">
      <c r="G1109" s="202"/>
      <c r="L1109" s="203"/>
      <c r="O1109" s="204"/>
      <c r="P1109" s="203"/>
      <c r="Q1109" s="203"/>
      <c r="R1109" s="112"/>
    </row>
    <row r="1110" spans="7:18" x14ac:dyDescent="0.2">
      <c r="G1110" s="202"/>
      <c r="L1110" s="203"/>
      <c r="O1110" s="204"/>
      <c r="P1110" s="203"/>
      <c r="Q1110" s="203"/>
      <c r="R1110" s="112"/>
    </row>
    <row r="1111" spans="7:18" x14ac:dyDescent="0.2">
      <c r="G1111" s="202"/>
      <c r="L1111" s="203"/>
      <c r="O1111" s="204"/>
      <c r="P1111" s="203"/>
      <c r="Q1111" s="203"/>
      <c r="R1111" s="112"/>
    </row>
    <row r="1112" spans="7:18" x14ac:dyDescent="0.2">
      <c r="G1112" s="202"/>
      <c r="L1112" s="203"/>
      <c r="O1112" s="204"/>
      <c r="P1112" s="203"/>
      <c r="Q1112" s="203"/>
      <c r="R1112" s="112"/>
    </row>
    <row r="1113" spans="7:18" x14ac:dyDescent="0.2">
      <c r="G1113" s="202"/>
      <c r="L1113" s="203"/>
      <c r="O1113" s="204"/>
      <c r="P1113" s="203"/>
      <c r="Q1113" s="203"/>
      <c r="R1113" s="112"/>
    </row>
    <row r="1114" spans="7:18" x14ac:dyDescent="0.2">
      <c r="G1114" s="202"/>
      <c r="L1114" s="203"/>
      <c r="O1114" s="204"/>
      <c r="P1114" s="203"/>
      <c r="Q1114" s="203"/>
      <c r="R1114" s="112"/>
    </row>
    <row r="1115" spans="7:18" x14ac:dyDescent="0.2">
      <c r="G1115" s="202"/>
      <c r="L1115" s="203"/>
      <c r="O1115" s="204"/>
      <c r="P1115" s="203"/>
      <c r="Q1115" s="203"/>
      <c r="R1115" s="112"/>
    </row>
    <row r="1116" spans="7:18" x14ac:dyDescent="0.2">
      <c r="G1116" s="202"/>
      <c r="L1116" s="203"/>
      <c r="O1116" s="204"/>
      <c r="P1116" s="203"/>
      <c r="Q1116" s="203"/>
      <c r="R1116" s="112"/>
    </row>
    <row r="1117" spans="7:18" x14ac:dyDescent="0.2">
      <c r="G1117" s="202"/>
      <c r="L1117" s="203"/>
      <c r="O1117" s="204"/>
      <c r="P1117" s="203"/>
      <c r="Q1117" s="203"/>
      <c r="R1117" s="112"/>
    </row>
    <row r="1118" spans="7:18" x14ac:dyDescent="0.2">
      <c r="G1118" s="202"/>
      <c r="L1118" s="203"/>
      <c r="O1118" s="204"/>
      <c r="P1118" s="203"/>
      <c r="Q1118" s="203"/>
      <c r="R1118" s="112"/>
    </row>
    <row r="1119" spans="7:18" x14ac:dyDescent="0.2">
      <c r="G1119" s="202"/>
      <c r="L1119" s="203"/>
      <c r="O1119" s="204"/>
      <c r="P1119" s="203"/>
      <c r="Q1119" s="203"/>
      <c r="R1119" s="112"/>
    </row>
    <row r="1120" spans="7:18" x14ac:dyDescent="0.2">
      <c r="G1120" s="202"/>
      <c r="L1120" s="203"/>
      <c r="O1120" s="204"/>
      <c r="P1120" s="203"/>
      <c r="Q1120" s="203"/>
      <c r="R1120" s="112"/>
    </row>
    <row r="1121" spans="7:18" x14ac:dyDescent="0.2">
      <c r="G1121" s="202"/>
      <c r="L1121" s="203"/>
      <c r="O1121" s="204"/>
      <c r="P1121" s="203"/>
      <c r="Q1121" s="203"/>
      <c r="R1121" s="112"/>
    </row>
    <row r="1122" spans="7:18" x14ac:dyDescent="0.2">
      <c r="G1122" s="202"/>
      <c r="L1122" s="203"/>
      <c r="O1122" s="204"/>
      <c r="P1122" s="203"/>
      <c r="Q1122" s="203"/>
      <c r="R1122" s="112"/>
    </row>
    <row r="1123" spans="7:18" x14ac:dyDescent="0.2">
      <c r="G1123" s="202"/>
      <c r="L1123" s="203"/>
      <c r="O1123" s="204"/>
      <c r="P1123" s="203"/>
      <c r="Q1123" s="203"/>
      <c r="R1123" s="112"/>
    </row>
    <row r="1124" spans="7:18" x14ac:dyDescent="0.2">
      <c r="G1124" s="202"/>
      <c r="L1124" s="203"/>
      <c r="O1124" s="204"/>
      <c r="P1124" s="203"/>
      <c r="Q1124" s="203"/>
      <c r="R1124" s="112"/>
    </row>
    <row r="1125" spans="7:18" x14ac:dyDescent="0.2">
      <c r="G1125" s="202"/>
      <c r="L1125" s="203"/>
      <c r="O1125" s="204"/>
      <c r="P1125" s="203"/>
      <c r="Q1125" s="203"/>
      <c r="R1125" s="112"/>
    </row>
    <row r="1126" spans="7:18" x14ac:dyDescent="0.2">
      <c r="G1126" s="202"/>
      <c r="L1126" s="203"/>
      <c r="O1126" s="204"/>
      <c r="P1126" s="203"/>
      <c r="Q1126" s="203"/>
      <c r="R1126" s="112"/>
    </row>
    <row r="1127" spans="7:18" x14ac:dyDescent="0.2">
      <c r="G1127" s="202"/>
      <c r="L1127" s="203"/>
      <c r="O1127" s="204"/>
      <c r="P1127" s="203"/>
      <c r="Q1127" s="203"/>
      <c r="R1127" s="112"/>
    </row>
    <row r="1128" spans="7:18" x14ac:dyDescent="0.2">
      <c r="G1128" s="202"/>
      <c r="L1128" s="203"/>
      <c r="O1128" s="204"/>
      <c r="P1128" s="203"/>
      <c r="Q1128" s="203"/>
      <c r="R1128" s="112"/>
    </row>
    <row r="1129" spans="7:18" x14ac:dyDescent="0.2">
      <c r="G1129" s="202"/>
      <c r="L1129" s="203"/>
      <c r="O1129" s="204"/>
      <c r="P1129" s="203"/>
      <c r="Q1129" s="203"/>
      <c r="R1129" s="112"/>
    </row>
    <row r="1130" spans="7:18" x14ac:dyDescent="0.2">
      <c r="G1130" s="202"/>
      <c r="L1130" s="203"/>
      <c r="O1130" s="204"/>
      <c r="P1130" s="203"/>
      <c r="Q1130" s="203"/>
      <c r="R1130" s="112"/>
    </row>
    <row r="1131" spans="7:18" x14ac:dyDescent="0.2">
      <c r="G1131" s="202"/>
      <c r="L1131" s="203"/>
      <c r="O1131" s="204"/>
      <c r="P1131" s="203"/>
      <c r="Q1131" s="203"/>
      <c r="R1131" s="112"/>
    </row>
    <row r="1132" spans="7:18" x14ac:dyDescent="0.2">
      <c r="G1132" s="202"/>
      <c r="L1132" s="203"/>
      <c r="O1132" s="204"/>
      <c r="P1132" s="203"/>
      <c r="Q1132" s="203"/>
      <c r="R1132" s="112"/>
    </row>
    <row r="1133" spans="7:18" x14ac:dyDescent="0.2">
      <c r="G1133" s="202"/>
      <c r="L1133" s="203"/>
      <c r="O1133" s="204"/>
      <c r="P1133" s="203"/>
      <c r="Q1133" s="203"/>
      <c r="R1133" s="112"/>
    </row>
    <row r="1134" spans="7:18" x14ac:dyDescent="0.2">
      <c r="G1134" s="202"/>
      <c r="L1134" s="203"/>
      <c r="O1134" s="204"/>
      <c r="P1134" s="203"/>
      <c r="Q1134" s="203"/>
      <c r="R1134" s="112"/>
    </row>
    <row r="1135" spans="7:18" x14ac:dyDescent="0.2">
      <c r="G1135" s="202"/>
      <c r="L1135" s="203"/>
      <c r="O1135" s="204"/>
      <c r="P1135" s="203"/>
      <c r="Q1135" s="203"/>
      <c r="R1135" s="112"/>
    </row>
    <row r="1136" spans="7:18" x14ac:dyDescent="0.2">
      <c r="G1136" s="202"/>
      <c r="L1136" s="203"/>
      <c r="O1136" s="204"/>
      <c r="P1136" s="203"/>
      <c r="Q1136" s="203"/>
      <c r="R1136" s="112"/>
    </row>
    <row r="1137" spans="7:18" x14ac:dyDescent="0.2">
      <c r="G1137" s="202"/>
      <c r="L1137" s="203"/>
      <c r="O1137" s="204"/>
      <c r="P1137" s="203"/>
      <c r="Q1137" s="203"/>
      <c r="R1137" s="112"/>
    </row>
    <row r="1138" spans="7:18" x14ac:dyDescent="0.2">
      <c r="G1138" s="202"/>
      <c r="L1138" s="203"/>
      <c r="O1138" s="204"/>
      <c r="P1138" s="203"/>
      <c r="Q1138" s="203"/>
      <c r="R1138" s="112"/>
    </row>
    <row r="1139" spans="7:18" x14ac:dyDescent="0.2">
      <c r="G1139" s="202"/>
      <c r="L1139" s="203"/>
      <c r="O1139" s="204"/>
      <c r="P1139" s="203"/>
      <c r="Q1139" s="203"/>
      <c r="R1139" s="112"/>
    </row>
    <row r="1140" spans="7:18" x14ac:dyDescent="0.2">
      <c r="G1140" s="202"/>
      <c r="L1140" s="203"/>
      <c r="O1140" s="204"/>
      <c r="P1140" s="203"/>
      <c r="Q1140" s="203"/>
      <c r="R1140" s="112"/>
    </row>
    <row r="1141" spans="7:18" x14ac:dyDescent="0.2">
      <c r="G1141" s="202"/>
      <c r="L1141" s="203"/>
      <c r="O1141" s="204"/>
      <c r="P1141" s="203"/>
      <c r="Q1141" s="203"/>
      <c r="R1141" s="112"/>
    </row>
    <row r="1142" spans="7:18" x14ac:dyDescent="0.2">
      <c r="G1142" s="202"/>
      <c r="L1142" s="203"/>
      <c r="O1142" s="204"/>
      <c r="P1142" s="203"/>
      <c r="Q1142" s="203"/>
      <c r="R1142" s="112"/>
    </row>
    <row r="1143" spans="7:18" x14ac:dyDescent="0.2">
      <c r="G1143" s="202"/>
      <c r="L1143" s="203"/>
      <c r="O1143" s="204"/>
      <c r="P1143" s="203"/>
      <c r="Q1143" s="203"/>
      <c r="R1143" s="112"/>
    </row>
    <row r="1144" spans="7:18" x14ac:dyDescent="0.2">
      <c r="G1144" s="202"/>
      <c r="L1144" s="203"/>
      <c r="O1144" s="204"/>
      <c r="P1144" s="203"/>
      <c r="Q1144" s="203"/>
      <c r="R1144" s="112"/>
    </row>
    <row r="1145" spans="7:18" x14ac:dyDescent="0.2">
      <c r="G1145" s="202"/>
      <c r="L1145" s="203"/>
      <c r="O1145" s="204"/>
      <c r="P1145" s="203"/>
      <c r="Q1145" s="203"/>
      <c r="R1145" s="112"/>
    </row>
    <row r="1146" spans="7:18" x14ac:dyDescent="0.2">
      <c r="G1146" s="202"/>
      <c r="L1146" s="203"/>
      <c r="O1146" s="204"/>
      <c r="P1146" s="203"/>
      <c r="Q1146" s="203"/>
      <c r="R1146" s="112"/>
    </row>
    <row r="1147" spans="7:18" x14ac:dyDescent="0.2">
      <c r="G1147" s="202"/>
      <c r="L1147" s="203"/>
      <c r="O1147" s="204"/>
      <c r="P1147" s="203"/>
      <c r="Q1147" s="203"/>
      <c r="R1147" s="112"/>
    </row>
    <row r="1148" spans="7:18" x14ac:dyDescent="0.2">
      <c r="G1148" s="202"/>
      <c r="L1148" s="203"/>
      <c r="O1148" s="204"/>
      <c r="P1148" s="203"/>
      <c r="Q1148" s="203"/>
      <c r="R1148" s="112"/>
    </row>
    <row r="1149" spans="7:18" x14ac:dyDescent="0.2">
      <c r="G1149" s="202"/>
      <c r="L1149" s="203"/>
      <c r="O1149" s="204"/>
      <c r="P1149" s="203"/>
      <c r="Q1149" s="203"/>
      <c r="R1149" s="112"/>
    </row>
    <row r="1150" spans="7:18" x14ac:dyDescent="0.2">
      <c r="G1150" s="202"/>
      <c r="L1150" s="203"/>
      <c r="O1150" s="204"/>
      <c r="P1150" s="203"/>
      <c r="Q1150" s="203"/>
      <c r="R1150" s="112"/>
    </row>
    <row r="1151" spans="7:18" x14ac:dyDescent="0.2">
      <c r="G1151" s="202"/>
      <c r="L1151" s="203"/>
      <c r="O1151" s="204"/>
      <c r="P1151" s="203"/>
      <c r="Q1151" s="203"/>
      <c r="R1151" s="112"/>
    </row>
    <row r="1152" spans="7:18" x14ac:dyDescent="0.2">
      <c r="G1152" s="202"/>
      <c r="L1152" s="203"/>
      <c r="O1152" s="204"/>
      <c r="P1152" s="203"/>
      <c r="Q1152" s="203"/>
      <c r="R1152" s="112"/>
    </row>
    <row r="1153" spans="7:18" x14ac:dyDescent="0.2">
      <c r="G1153" s="202"/>
      <c r="L1153" s="203"/>
      <c r="O1153" s="204"/>
      <c r="P1153" s="203"/>
      <c r="Q1153" s="203"/>
      <c r="R1153" s="112"/>
    </row>
    <row r="1154" spans="7:18" x14ac:dyDescent="0.2">
      <c r="G1154" s="202"/>
      <c r="L1154" s="203"/>
      <c r="O1154" s="204"/>
      <c r="P1154" s="203"/>
      <c r="Q1154" s="203"/>
      <c r="R1154" s="112"/>
    </row>
    <row r="1155" spans="7:18" x14ac:dyDescent="0.2">
      <c r="G1155" s="202"/>
      <c r="L1155" s="203"/>
      <c r="O1155" s="204"/>
      <c r="P1155" s="203"/>
      <c r="Q1155" s="203"/>
      <c r="R1155" s="112"/>
    </row>
    <row r="1156" spans="7:18" x14ac:dyDescent="0.2">
      <c r="G1156" s="202"/>
      <c r="L1156" s="203"/>
      <c r="O1156" s="204"/>
      <c r="P1156" s="203"/>
      <c r="Q1156" s="203"/>
      <c r="R1156" s="112"/>
    </row>
    <row r="1157" spans="7:18" x14ac:dyDescent="0.2">
      <c r="G1157" s="202"/>
      <c r="L1157" s="203"/>
      <c r="O1157" s="204"/>
      <c r="P1157" s="203"/>
      <c r="Q1157" s="203"/>
      <c r="R1157" s="112"/>
    </row>
    <row r="1158" spans="7:18" x14ac:dyDescent="0.2">
      <c r="G1158" s="202"/>
      <c r="L1158" s="203"/>
      <c r="O1158" s="204"/>
      <c r="P1158" s="203"/>
      <c r="Q1158" s="203"/>
      <c r="R1158" s="112"/>
    </row>
    <row r="1159" spans="7:18" x14ac:dyDescent="0.2">
      <c r="G1159" s="202"/>
      <c r="L1159" s="203"/>
      <c r="O1159" s="204"/>
      <c r="P1159" s="203"/>
      <c r="Q1159" s="203"/>
      <c r="R1159" s="112"/>
    </row>
    <row r="1160" spans="7:18" x14ac:dyDescent="0.2">
      <c r="G1160" s="202"/>
      <c r="L1160" s="203"/>
      <c r="O1160" s="204"/>
      <c r="P1160" s="203"/>
      <c r="Q1160" s="203"/>
      <c r="R1160" s="112"/>
    </row>
    <row r="1161" spans="7:18" x14ac:dyDescent="0.2">
      <c r="G1161" s="202"/>
      <c r="L1161" s="203"/>
      <c r="O1161" s="204"/>
      <c r="P1161" s="203"/>
      <c r="Q1161" s="203"/>
      <c r="R1161" s="112"/>
    </row>
    <row r="1162" spans="7:18" x14ac:dyDescent="0.2">
      <c r="G1162" s="202"/>
      <c r="L1162" s="203"/>
      <c r="O1162" s="204"/>
      <c r="P1162" s="203"/>
      <c r="Q1162" s="203"/>
      <c r="R1162" s="112"/>
    </row>
    <row r="1163" spans="7:18" x14ac:dyDescent="0.2">
      <c r="G1163" s="202"/>
      <c r="L1163" s="203"/>
      <c r="O1163" s="204"/>
      <c r="P1163" s="203"/>
      <c r="Q1163" s="203"/>
      <c r="R1163" s="112"/>
    </row>
    <row r="1164" spans="7:18" x14ac:dyDescent="0.2">
      <c r="G1164" s="202"/>
      <c r="L1164" s="203"/>
      <c r="O1164" s="204"/>
      <c r="P1164" s="203"/>
      <c r="Q1164" s="203"/>
      <c r="R1164" s="112"/>
    </row>
    <row r="1165" spans="7:18" x14ac:dyDescent="0.2">
      <c r="G1165" s="202"/>
      <c r="L1165" s="203"/>
      <c r="O1165" s="204"/>
      <c r="P1165" s="203"/>
      <c r="Q1165" s="203"/>
      <c r="R1165" s="112"/>
    </row>
    <row r="1166" spans="7:18" x14ac:dyDescent="0.2">
      <c r="G1166" s="202"/>
      <c r="L1166" s="203"/>
      <c r="O1166" s="204"/>
      <c r="P1166" s="203"/>
      <c r="Q1166" s="203"/>
      <c r="R1166" s="112"/>
    </row>
    <row r="1167" spans="7:18" x14ac:dyDescent="0.2">
      <c r="G1167" s="202"/>
      <c r="L1167" s="203"/>
      <c r="O1167" s="204"/>
      <c r="P1167" s="203"/>
      <c r="Q1167" s="203"/>
      <c r="R1167" s="112"/>
    </row>
    <row r="1168" spans="7:18" x14ac:dyDescent="0.2">
      <c r="G1168" s="202"/>
      <c r="L1168" s="203"/>
      <c r="O1168" s="204"/>
      <c r="P1168" s="203"/>
      <c r="Q1168" s="203"/>
      <c r="R1168" s="112"/>
    </row>
    <row r="1169" spans="7:18" x14ac:dyDescent="0.2">
      <c r="G1169" s="202"/>
      <c r="L1169" s="203"/>
      <c r="O1169" s="204"/>
      <c r="P1169" s="203"/>
      <c r="Q1169" s="203"/>
      <c r="R1169" s="112"/>
    </row>
    <row r="1170" spans="7:18" x14ac:dyDescent="0.2">
      <c r="G1170" s="202"/>
      <c r="L1170" s="203"/>
      <c r="O1170" s="204"/>
      <c r="P1170" s="203"/>
      <c r="Q1170" s="203"/>
      <c r="R1170" s="112"/>
    </row>
    <row r="1171" spans="7:18" x14ac:dyDescent="0.2">
      <c r="G1171" s="202"/>
      <c r="L1171" s="203"/>
      <c r="O1171" s="204"/>
      <c r="P1171" s="203"/>
      <c r="Q1171" s="203"/>
      <c r="R1171" s="112"/>
    </row>
    <row r="1172" spans="7:18" x14ac:dyDescent="0.2">
      <c r="G1172" s="202"/>
      <c r="L1172" s="203"/>
      <c r="O1172" s="204"/>
      <c r="P1172" s="203"/>
      <c r="Q1172" s="203"/>
      <c r="R1172" s="112"/>
    </row>
    <row r="1173" spans="7:18" x14ac:dyDescent="0.2">
      <c r="G1173" s="202"/>
      <c r="L1173" s="203"/>
      <c r="O1173" s="204"/>
      <c r="P1173" s="203"/>
      <c r="Q1173" s="203"/>
      <c r="R1173" s="112"/>
    </row>
    <row r="1174" spans="7:18" x14ac:dyDescent="0.2">
      <c r="G1174" s="202"/>
      <c r="L1174" s="203"/>
      <c r="O1174" s="204"/>
      <c r="P1174" s="203"/>
      <c r="Q1174" s="203"/>
      <c r="R1174" s="112"/>
    </row>
    <row r="1175" spans="7:18" x14ac:dyDescent="0.2">
      <c r="G1175" s="202"/>
      <c r="L1175" s="203"/>
      <c r="O1175" s="204"/>
      <c r="P1175" s="203"/>
      <c r="Q1175" s="203"/>
      <c r="R1175" s="112"/>
    </row>
    <row r="1176" spans="7:18" x14ac:dyDescent="0.2">
      <c r="G1176" s="202"/>
      <c r="L1176" s="203"/>
      <c r="O1176" s="204"/>
      <c r="P1176" s="203"/>
      <c r="Q1176" s="203"/>
      <c r="R1176" s="112"/>
    </row>
    <row r="1177" spans="7:18" x14ac:dyDescent="0.2">
      <c r="G1177" s="202"/>
      <c r="L1177" s="203"/>
      <c r="O1177" s="204"/>
      <c r="P1177" s="203"/>
      <c r="Q1177" s="203"/>
      <c r="R1177" s="112"/>
    </row>
    <row r="1178" spans="7:18" x14ac:dyDescent="0.2">
      <c r="G1178" s="202"/>
      <c r="L1178" s="203"/>
      <c r="O1178" s="204"/>
      <c r="P1178" s="203"/>
      <c r="Q1178" s="203"/>
      <c r="R1178" s="112"/>
    </row>
    <row r="1179" spans="7:18" x14ac:dyDescent="0.2">
      <c r="G1179" s="202"/>
      <c r="L1179" s="203"/>
      <c r="O1179" s="204"/>
      <c r="P1179" s="203"/>
      <c r="Q1179" s="203"/>
      <c r="R1179" s="112"/>
    </row>
    <row r="1180" spans="7:18" x14ac:dyDescent="0.2">
      <c r="G1180" s="202"/>
      <c r="L1180" s="203"/>
      <c r="O1180" s="204"/>
      <c r="P1180" s="203"/>
      <c r="Q1180" s="203"/>
      <c r="R1180" s="112"/>
    </row>
    <row r="1181" spans="7:18" x14ac:dyDescent="0.2">
      <c r="G1181" s="202"/>
      <c r="L1181" s="203"/>
      <c r="O1181" s="204"/>
      <c r="P1181" s="203"/>
      <c r="Q1181" s="203"/>
      <c r="R1181" s="112"/>
    </row>
    <row r="1182" spans="7:18" x14ac:dyDescent="0.2">
      <c r="G1182" s="202"/>
      <c r="L1182" s="203"/>
      <c r="O1182" s="204"/>
      <c r="P1182" s="203"/>
      <c r="Q1182" s="203"/>
      <c r="R1182" s="112"/>
    </row>
    <row r="1183" spans="7:18" x14ac:dyDescent="0.2">
      <c r="G1183" s="202"/>
      <c r="L1183" s="203"/>
      <c r="O1183" s="204"/>
      <c r="P1183" s="203"/>
      <c r="Q1183" s="203"/>
      <c r="R1183" s="112"/>
    </row>
    <row r="1184" spans="7:18" x14ac:dyDescent="0.2">
      <c r="G1184" s="202"/>
      <c r="L1184" s="203"/>
      <c r="O1184" s="204"/>
      <c r="P1184" s="203"/>
      <c r="Q1184" s="203"/>
      <c r="R1184" s="112"/>
    </row>
    <row r="1185" spans="7:18" x14ac:dyDescent="0.2">
      <c r="G1185" s="202"/>
      <c r="L1185" s="203"/>
      <c r="O1185" s="204"/>
      <c r="P1185" s="203"/>
      <c r="Q1185" s="203"/>
      <c r="R1185" s="112"/>
    </row>
    <row r="1186" spans="7:18" x14ac:dyDescent="0.2">
      <c r="G1186" s="202"/>
      <c r="L1186" s="203"/>
      <c r="O1186" s="204"/>
      <c r="P1186" s="203"/>
      <c r="Q1186" s="203"/>
      <c r="R1186" s="112"/>
    </row>
    <row r="1187" spans="7:18" x14ac:dyDescent="0.2">
      <c r="G1187" s="202"/>
      <c r="L1187" s="203"/>
      <c r="O1187" s="204"/>
      <c r="P1187" s="203"/>
      <c r="Q1187" s="203"/>
      <c r="R1187" s="112"/>
    </row>
    <row r="1188" spans="7:18" x14ac:dyDescent="0.2">
      <c r="G1188" s="202"/>
      <c r="L1188" s="203"/>
      <c r="O1188" s="204"/>
      <c r="P1188" s="203"/>
      <c r="Q1188" s="203"/>
      <c r="R1188" s="112"/>
    </row>
    <row r="1189" spans="7:18" x14ac:dyDescent="0.2">
      <c r="G1189" s="202"/>
      <c r="L1189" s="203"/>
      <c r="O1189" s="204"/>
      <c r="P1189" s="203"/>
      <c r="Q1189" s="203"/>
      <c r="R1189" s="112"/>
    </row>
    <row r="1190" spans="7:18" x14ac:dyDescent="0.2">
      <c r="G1190" s="202"/>
      <c r="L1190" s="203"/>
      <c r="O1190" s="204"/>
      <c r="P1190" s="203"/>
      <c r="Q1190" s="203"/>
      <c r="R1190" s="112"/>
    </row>
    <row r="1191" spans="7:18" x14ac:dyDescent="0.2">
      <c r="G1191" s="202"/>
      <c r="L1191" s="203"/>
      <c r="O1191" s="204"/>
      <c r="P1191" s="203"/>
      <c r="Q1191" s="203"/>
      <c r="R1191" s="112"/>
    </row>
    <row r="1192" spans="7:18" x14ac:dyDescent="0.2">
      <c r="G1192" s="202"/>
      <c r="L1192" s="203"/>
      <c r="O1192" s="204"/>
      <c r="P1192" s="203"/>
      <c r="Q1192" s="203"/>
      <c r="R1192" s="112"/>
    </row>
    <row r="1193" spans="7:18" x14ac:dyDescent="0.2">
      <c r="G1193" s="202"/>
      <c r="L1193" s="203"/>
      <c r="O1193" s="204"/>
      <c r="P1193" s="203"/>
      <c r="Q1193" s="203"/>
      <c r="R1193" s="112"/>
    </row>
    <row r="1194" spans="7:18" x14ac:dyDescent="0.2">
      <c r="G1194" s="202"/>
      <c r="L1194" s="203"/>
      <c r="O1194" s="204"/>
      <c r="P1194" s="203"/>
      <c r="Q1194" s="203"/>
      <c r="R1194" s="112"/>
    </row>
    <row r="1195" spans="7:18" x14ac:dyDescent="0.2">
      <c r="G1195" s="202"/>
      <c r="L1195" s="203"/>
      <c r="O1195" s="204"/>
      <c r="P1195" s="203"/>
      <c r="Q1195" s="203"/>
      <c r="R1195" s="112"/>
    </row>
    <row r="1196" spans="7:18" x14ac:dyDescent="0.2">
      <c r="G1196" s="202"/>
      <c r="L1196" s="203"/>
      <c r="O1196" s="204"/>
      <c r="P1196" s="203"/>
      <c r="Q1196" s="203"/>
      <c r="R1196" s="112"/>
    </row>
    <row r="1197" spans="7:18" x14ac:dyDescent="0.2">
      <c r="G1197" s="202"/>
      <c r="L1197" s="203"/>
      <c r="O1197" s="204"/>
      <c r="P1197" s="203"/>
      <c r="Q1197" s="203"/>
      <c r="R1197" s="112"/>
    </row>
    <row r="1198" spans="7:18" x14ac:dyDescent="0.2">
      <c r="G1198" s="202"/>
      <c r="L1198" s="203"/>
      <c r="O1198" s="204"/>
      <c r="P1198" s="203"/>
      <c r="Q1198" s="203"/>
      <c r="R1198" s="112"/>
    </row>
    <row r="1199" spans="7:18" x14ac:dyDescent="0.2">
      <c r="G1199" s="202"/>
      <c r="L1199" s="203"/>
      <c r="O1199" s="204"/>
      <c r="P1199" s="203"/>
      <c r="Q1199" s="203"/>
      <c r="R1199" s="112"/>
    </row>
    <row r="1200" spans="7:18" x14ac:dyDescent="0.2">
      <c r="G1200" s="202"/>
      <c r="L1200" s="203"/>
      <c r="O1200" s="204"/>
      <c r="P1200" s="203"/>
      <c r="Q1200" s="203"/>
      <c r="R1200" s="112"/>
    </row>
    <row r="1201" spans="7:18" x14ac:dyDescent="0.2">
      <c r="G1201" s="202"/>
      <c r="L1201" s="203"/>
      <c r="O1201" s="204"/>
      <c r="P1201" s="203"/>
      <c r="Q1201" s="203"/>
      <c r="R1201" s="112"/>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501"/>
  <sheetViews>
    <sheetView topLeftCell="A131" workbookViewId="0">
      <selection activeCell="E139" sqref="E139"/>
    </sheetView>
  </sheetViews>
  <sheetFormatPr defaultRowHeight="12.75" x14ac:dyDescent="0.2"/>
  <cols>
    <col min="1" max="1" width="16" customWidth="1"/>
    <col min="2" max="2" width="10" customWidth="1"/>
    <col min="3" max="3" width="16" customWidth="1"/>
    <col min="4" max="4" width="14" customWidth="1"/>
    <col min="5" max="5" width="55" customWidth="1"/>
    <col min="6" max="8" width="16" customWidth="1"/>
    <col min="9" max="9" width="18" customWidth="1"/>
    <col min="10" max="10" width="60" hidden="1" customWidth="1"/>
  </cols>
  <sheetData>
    <row r="1" spans="1:10" ht="58.5" customHeight="1" x14ac:dyDescent="0.2"/>
    <row r="2" spans="1:10" s="197" customFormat="1" x14ac:dyDescent="0.2">
      <c r="A2" s="259" t="s">
        <v>2316</v>
      </c>
      <c r="B2" s="259" t="s">
        <v>8</v>
      </c>
      <c r="C2" s="259" t="s">
        <v>9</v>
      </c>
      <c r="D2" s="259" t="s">
        <v>10</v>
      </c>
      <c r="E2" s="259" t="s">
        <v>11</v>
      </c>
      <c r="F2" s="259" t="s">
        <v>4535</v>
      </c>
      <c r="G2" s="259" t="s">
        <v>4536</v>
      </c>
      <c r="H2" s="259" t="s">
        <v>2330</v>
      </c>
      <c r="I2" s="259" t="s">
        <v>1300</v>
      </c>
      <c r="J2" s="259" t="s">
        <v>4537</v>
      </c>
    </row>
    <row r="3" spans="1:10" s="197" customFormat="1" x14ac:dyDescent="0.2">
      <c r="A3" s="197" t="s">
        <v>3953</v>
      </c>
      <c r="B3" s="197" t="s">
        <v>165</v>
      </c>
      <c r="C3" s="197" t="s">
        <v>1373</v>
      </c>
      <c r="D3" s="197" t="s">
        <v>56</v>
      </c>
      <c r="E3" s="197" t="s">
        <v>166</v>
      </c>
      <c r="F3" s="198">
        <v>462288.78</v>
      </c>
      <c r="G3" s="198">
        <f>CPU_ABERTA_FINAL!R8</f>
        <v>462288.78854271543</v>
      </c>
      <c r="H3" s="198">
        <f t="shared" ref="H3:H34" si="0">F3-G3</f>
        <v>-8.5427153971977532E-3</v>
      </c>
      <c r="I3" s="197" t="str">
        <f t="shared" ref="I3:I34" si="1">IF(ABS(H3)&lt;=1,"OK - FECHA","REVISAR")</f>
        <v>OK - FECHA</v>
      </c>
      <c r="J3" s="197" t="s">
        <v>3957</v>
      </c>
    </row>
    <row r="4" spans="1:10" s="197" customFormat="1" x14ac:dyDescent="0.2">
      <c r="A4" s="197" t="s">
        <v>3971</v>
      </c>
      <c r="B4" s="197" t="s">
        <v>2067</v>
      </c>
      <c r="C4" s="197" t="s">
        <v>979</v>
      </c>
      <c r="D4" s="197" t="s">
        <v>209</v>
      </c>
      <c r="E4" s="197" t="s">
        <v>2068</v>
      </c>
      <c r="F4" s="198">
        <v>261643.44</v>
      </c>
      <c r="G4" s="198">
        <f>CPU_ABERTA_FINAL!R13</f>
        <v>261643.44609613178</v>
      </c>
      <c r="H4" s="198">
        <f t="shared" si="0"/>
        <v>-6.0961317794863135E-3</v>
      </c>
      <c r="I4" s="197" t="str">
        <f t="shared" si="1"/>
        <v>OK - FECHA</v>
      </c>
      <c r="J4" s="197" t="s">
        <v>3974</v>
      </c>
    </row>
    <row r="5" spans="1:10" s="197" customFormat="1" x14ac:dyDescent="0.2">
      <c r="A5" s="197" t="s">
        <v>3981</v>
      </c>
      <c r="B5" s="197" t="s">
        <v>372</v>
      </c>
      <c r="C5" s="197" t="s">
        <v>1472</v>
      </c>
      <c r="D5" s="197" t="s">
        <v>24</v>
      </c>
      <c r="E5" s="197" t="s">
        <v>374</v>
      </c>
      <c r="F5" s="198">
        <v>217888.44</v>
      </c>
      <c r="G5" s="198">
        <f>CPU_ABERTA_FINAL!R18</f>
        <v>217888.44379068946</v>
      </c>
      <c r="H5" s="198">
        <f t="shared" si="0"/>
        <v>-3.7906894576735795E-3</v>
      </c>
      <c r="I5" s="197" t="str">
        <f t="shared" si="1"/>
        <v>OK - FECHA</v>
      </c>
      <c r="J5" s="197" t="s">
        <v>3984</v>
      </c>
    </row>
    <row r="6" spans="1:10" s="197" customFormat="1" x14ac:dyDescent="0.2">
      <c r="A6" s="197" t="s">
        <v>3990</v>
      </c>
      <c r="B6" s="197" t="s">
        <v>213</v>
      </c>
      <c r="C6" s="197" t="s">
        <v>1399</v>
      </c>
      <c r="D6" s="197" t="s">
        <v>56</v>
      </c>
      <c r="E6" s="197" t="s">
        <v>214</v>
      </c>
      <c r="F6" s="198">
        <v>202728.79</v>
      </c>
      <c r="G6" s="198">
        <f>CPU_ABERTA_FINAL!R23</f>
        <v>202728.79879851165</v>
      </c>
      <c r="H6" s="198">
        <f t="shared" si="0"/>
        <v>-8.7985116406343877E-3</v>
      </c>
      <c r="I6" s="197" t="str">
        <f t="shared" si="1"/>
        <v>OK - FECHA</v>
      </c>
      <c r="J6" s="197" t="s">
        <v>3993</v>
      </c>
    </row>
    <row r="7" spans="1:10" s="197" customFormat="1" x14ac:dyDescent="0.2">
      <c r="A7" s="197" t="s">
        <v>3998</v>
      </c>
      <c r="B7" s="197" t="s">
        <v>66</v>
      </c>
      <c r="C7" s="197" t="s">
        <v>1337</v>
      </c>
      <c r="D7" s="197" t="s">
        <v>24</v>
      </c>
      <c r="E7" s="197" t="s">
        <v>68</v>
      </c>
      <c r="F7" s="198">
        <v>197320.83</v>
      </c>
      <c r="G7" s="198">
        <f>CPU_ABERTA_FINAL!R27</f>
        <v>197320.83749988448</v>
      </c>
      <c r="H7" s="198">
        <f t="shared" si="0"/>
        <v>-7.4998844938818365E-3</v>
      </c>
      <c r="I7" s="197" t="str">
        <f t="shared" si="1"/>
        <v>OK - FECHA</v>
      </c>
      <c r="J7" s="197" t="s">
        <v>4001</v>
      </c>
    </row>
    <row r="8" spans="1:10" s="197" customFormat="1" x14ac:dyDescent="0.2">
      <c r="A8" s="197" t="s">
        <v>4007</v>
      </c>
      <c r="B8" s="197" t="s">
        <v>59</v>
      </c>
      <c r="C8" s="197" t="s">
        <v>1332</v>
      </c>
      <c r="D8" s="197" t="s">
        <v>56</v>
      </c>
      <c r="E8" s="197" t="s">
        <v>60</v>
      </c>
      <c r="F8" s="198">
        <v>192877.2</v>
      </c>
      <c r="G8" s="198">
        <f>CPU_ABERTA_FINAL!R31</f>
        <v>192877.20042264002</v>
      </c>
      <c r="H8" s="198">
        <f t="shared" si="0"/>
        <v>-4.226400051265955E-4</v>
      </c>
      <c r="I8" s="197" t="str">
        <f t="shared" si="1"/>
        <v>OK - FECHA</v>
      </c>
      <c r="J8" s="197" t="s">
        <v>4009</v>
      </c>
    </row>
    <row r="9" spans="1:10" s="197" customFormat="1" x14ac:dyDescent="0.2">
      <c r="A9" s="197" t="s">
        <v>4011</v>
      </c>
      <c r="B9" s="197" t="s">
        <v>2194</v>
      </c>
      <c r="C9" s="197" t="s">
        <v>2195</v>
      </c>
      <c r="D9" s="197" t="s">
        <v>56</v>
      </c>
      <c r="E9" s="197" t="s">
        <v>1077</v>
      </c>
      <c r="F9" s="198">
        <v>190644.92</v>
      </c>
      <c r="G9" s="198">
        <f>CPU_ABERTA_FINAL!R36</f>
        <v>190644.9249253938</v>
      </c>
      <c r="H9" s="198">
        <f t="shared" si="0"/>
        <v>-4.9253937904722989E-3</v>
      </c>
      <c r="I9" s="197" t="str">
        <f t="shared" si="1"/>
        <v>OK - FECHA</v>
      </c>
      <c r="J9" s="197" t="s">
        <v>4014</v>
      </c>
    </row>
    <row r="10" spans="1:10" s="197" customFormat="1" x14ac:dyDescent="0.2">
      <c r="A10" s="197" t="s">
        <v>4020</v>
      </c>
      <c r="B10" s="197" t="s">
        <v>215</v>
      </c>
      <c r="C10" s="197" t="s">
        <v>1400</v>
      </c>
      <c r="D10" s="197" t="s">
        <v>56</v>
      </c>
      <c r="E10" s="197" t="s">
        <v>216</v>
      </c>
      <c r="F10" s="198">
        <v>184944.08</v>
      </c>
      <c r="G10" s="198">
        <f>CPU_ABERTA_FINAL!R41</f>
        <v>184944.08231206998</v>
      </c>
      <c r="H10" s="198">
        <f t="shared" si="0"/>
        <v>-2.3120699916034937E-3</v>
      </c>
      <c r="I10" s="197" t="str">
        <f t="shared" si="1"/>
        <v>OK - FECHA</v>
      </c>
      <c r="J10" s="197" t="s">
        <v>4022</v>
      </c>
    </row>
    <row r="11" spans="1:10" s="197" customFormat="1" x14ac:dyDescent="0.2">
      <c r="A11" s="197" t="s">
        <v>4024</v>
      </c>
      <c r="B11" s="197" t="s">
        <v>356</v>
      </c>
      <c r="C11" s="197" t="s">
        <v>1465</v>
      </c>
      <c r="D11" s="197" t="s">
        <v>56</v>
      </c>
      <c r="E11" s="197" t="s">
        <v>357</v>
      </c>
      <c r="F11" s="198">
        <v>150664.87</v>
      </c>
      <c r="G11" s="198">
        <f>CPU_ABERTA_FINAL!R46</f>
        <v>150664.87652615859</v>
      </c>
      <c r="H11" s="198">
        <f t="shared" si="0"/>
        <v>-6.5261585987173021E-3</v>
      </c>
      <c r="I11" s="197" t="str">
        <f t="shared" si="1"/>
        <v>OK - FECHA</v>
      </c>
      <c r="J11" s="197" t="s">
        <v>4026</v>
      </c>
    </row>
    <row r="12" spans="1:10" s="197" customFormat="1" x14ac:dyDescent="0.2">
      <c r="A12" s="197" t="s">
        <v>4028</v>
      </c>
      <c r="B12" s="197" t="s">
        <v>97</v>
      </c>
      <c r="C12" s="197" t="s">
        <v>1348</v>
      </c>
      <c r="D12" s="197" t="s">
        <v>56</v>
      </c>
      <c r="E12" s="197" t="s">
        <v>98</v>
      </c>
      <c r="F12" s="198">
        <v>147623.76999999999</v>
      </c>
      <c r="G12" s="198">
        <f>CPU_ABERTA_FINAL!R51</f>
        <v>147623.77547803603</v>
      </c>
      <c r="H12" s="198">
        <f t="shared" si="0"/>
        <v>-5.4780360369477421E-3</v>
      </c>
      <c r="I12" s="197" t="str">
        <f t="shared" si="1"/>
        <v>OK - FECHA</v>
      </c>
      <c r="J12" s="197" t="s">
        <v>4030</v>
      </c>
    </row>
    <row r="13" spans="1:10" s="197" customFormat="1" x14ac:dyDescent="0.2">
      <c r="A13" s="197" t="s">
        <v>4032</v>
      </c>
      <c r="B13" s="197" t="s">
        <v>55</v>
      </c>
      <c r="C13" s="197" t="s">
        <v>1331</v>
      </c>
      <c r="D13" s="197" t="s">
        <v>56</v>
      </c>
      <c r="E13" s="197" t="s">
        <v>57</v>
      </c>
      <c r="F13" s="198">
        <v>144250.76</v>
      </c>
      <c r="G13" s="198">
        <f>CPU_ABERTA_FINAL!R55</f>
        <v>144250.76250319197</v>
      </c>
      <c r="H13" s="198">
        <f t="shared" si="0"/>
        <v>-2.5031919649336487E-3</v>
      </c>
      <c r="I13" s="197" t="str">
        <f t="shared" si="1"/>
        <v>OK - FECHA</v>
      </c>
      <c r="J13" s="197" t="s">
        <v>4034</v>
      </c>
    </row>
    <row r="14" spans="1:10" s="197" customFormat="1" x14ac:dyDescent="0.2">
      <c r="A14" s="197" t="s">
        <v>4036</v>
      </c>
      <c r="B14" s="197" t="s">
        <v>394</v>
      </c>
      <c r="C14" s="197" t="s">
        <v>1487</v>
      </c>
      <c r="D14" s="197" t="s">
        <v>56</v>
      </c>
      <c r="E14" s="197" t="s">
        <v>1488</v>
      </c>
      <c r="F14" s="198">
        <v>144137.93</v>
      </c>
      <c r="G14" s="198">
        <f>CPU_ABERTA_FINAL!R60</f>
        <v>144137.93623496976</v>
      </c>
      <c r="H14" s="198">
        <f t="shared" si="0"/>
        <v>-6.2349697691388428E-3</v>
      </c>
      <c r="I14" s="197" t="str">
        <f t="shared" si="1"/>
        <v>OK - FECHA</v>
      </c>
      <c r="J14" s="197" t="s">
        <v>4038</v>
      </c>
    </row>
    <row r="15" spans="1:10" s="197" customFormat="1" x14ac:dyDescent="0.2">
      <c r="A15" s="197" t="s">
        <v>4040</v>
      </c>
      <c r="B15" s="197" t="s">
        <v>1946</v>
      </c>
      <c r="C15" s="197" t="s">
        <v>1947</v>
      </c>
      <c r="D15" s="197" t="s">
        <v>24</v>
      </c>
      <c r="E15" s="197" t="s">
        <v>897</v>
      </c>
      <c r="F15" s="198">
        <v>140493.88</v>
      </c>
      <c r="G15" s="198">
        <f>CPU_ABERTA_FINAL!R65</f>
        <v>140493.88500082641</v>
      </c>
      <c r="H15" s="198">
        <f t="shared" si="0"/>
        <v>-5.0008264079224318E-3</v>
      </c>
      <c r="I15" s="197" t="str">
        <f t="shared" si="1"/>
        <v>OK - FECHA</v>
      </c>
      <c r="J15" s="197" t="s">
        <v>4042</v>
      </c>
    </row>
    <row r="16" spans="1:10" s="197" customFormat="1" x14ac:dyDescent="0.2">
      <c r="A16" s="197" t="s">
        <v>4044</v>
      </c>
      <c r="B16" s="197" t="s">
        <v>328</v>
      </c>
      <c r="C16" s="197" t="s">
        <v>1456</v>
      </c>
      <c r="D16" s="197" t="s">
        <v>56</v>
      </c>
      <c r="E16" s="197" t="s">
        <v>329</v>
      </c>
      <c r="F16" s="198">
        <v>131161.07999999999</v>
      </c>
      <c r="G16" s="198">
        <f>CPU_ABERTA_FINAL!R70</f>
        <v>131161.08516228129</v>
      </c>
      <c r="H16" s="198">
        <f t="shared" si="0"/>
        <v>-5.162281304365024E-3</v>
      </c>
      <c r="I16" s="197" t="str">
        <f t="shared" si="1"/>
        <v>OK - FECHA</v>
      </c>
      <c r="J16" s="197" t="s">
        <v>4046</v>
      </c>
    </row>
    <row r="17" spans="1:10" s="197" customFormat="1" x14ac:dyDescent="0.2">
      <c r="A17" s="197" t="s">
        <v>4048</v>
      </c>
      <c r="B17" s="197" t="s">
        <v>348</v>
      </c>
      <c r="C17" s="197" t="s">
        <v>349</v>
      </c>
      <c r="D17" s="197" t="s">
        <v>209</v>
      </c>
      <c r="E17" s="197" t="s">
        <v>350</v>
      </c>
      <c r="F17" s="198">
        <v>127178.07</v>
      </c>
      <c r="G17" s="198">
        <f>CPU_ABERTA_FINAL!R75</f>
        <v>127178.07973350349</v>
      </c>
      <c r="H17" s="198">
        <f t="shared" si="0"/>
        <v>-9.7335034806746989E-3</v>
      </c>
      <c r="I17" s="197" t="str">
        <f t="shared" si="1"/>
        <v>OK - FECHA</v>
      </c>
      <c r="J17" s="197" t="s">
        <v>4051</v>
      </c>
    </row>
    <row r="18" spans="1:10" s="197" customFormat="1" x14ac:dyDescent="0.2">
      <c r="A18" s="197" t="s">
        <v>4057</v>
      </c>
      <c r="B18" s="197" t="s">
        <v>62</v>
      </c>
      <c r="C18" s="197" t="s">
        <v>1333</v>
      </c>
      <c r="D18" s="197" t="s">
        <v>56</v>
      </c>
      <c r="E18" s="197" t="s">
        <v>1334</v>
      </c>
      <c r="F18" s="198">
        <v>117463.38</v>
      </c>
      <c r="G18" s="198">
        <f>CPU_ABERTA_FINAL!R79</f>
        <v>117463.3874921925</v>
      </c>
      <c r="H18" s="198">
        <f t="shared" si="0"/>
        <v>-7.4921924970112741E-3</v>
      </c>
      <c r="I18" s="197" t="str">
        <f t="shared" si="1"/>
        <v>OK - FECHA</v>
      </c>
      <c r="J18" s="197" t="s">
        <v>4059</v>
      </c>
    </row>
    <row r="19" spans="1:10" s="197" customFormat="1" x14ac:dyDescent="0.2">
      <c r="A19" s="197" t="s">
        <v>4061</v>
      </c>
      <c r="B19" s="197" t="s">
        <v>488</v>
      </c>
      <c r="C19" s="197" t="s">
        <v>1533</v>
      </c>
      <c r="D19" s="197" t="s">
        <v>24</v>
      </c>
      <c r="E19" s="197" t="s">
        <v>490</v>
      </c>
      <c r="F19" s="198">
        <v>114250.12</v>
      </c>
      <c r="G19" s="198">
        <f>CPU_ABERTA_FINAL!R84</f>
        <v>114250.1242461668</v>
      </c>
      <c r="H19" s="198">
        <f t="shared" si="0"/>
        <v>-4.2461668053874746E-3</v>
      </c>
      <c r="I19" s="197" t="str">
        <f t="shared" si="1"/>
        <v>OK - FECHA</v>
      </c>
      <c r="J19" s="197" t="s">
        <v>4063</v>
      </c>
    </row>
    <row r="20" spans="1:10" s="197" customFormat="1" x14ac:dyDescent="0.2">
      <c r="A20" s="197" t="s">
        <v>4065</v>
      </c>
      <c r="B20" s="197" t="s">
        <v>22</v>
      </c>
      <c r="C20" s="197" t="s">
        <v>1317</v>
      </c>
      <c r="D20" s="197" t="s">
        <v>24</v>
      </c>
      <c r="E20" s="197" t="s">
        <v>1318</v>
      </c>
      <c r="F20" s="198">
        <v>111230.61</v>
      </c>
      <c r="G20" s="198">
        <f>CPU_ABERTA_FINAL!R88</f>
        <v>111230.61839595481</v>
      </c>
      <c r="H20" s="198">
        <f t="shared" si="0"/>
        <v>-8.3959548064740375E-3</v>
      </c>
      <c r="I20" s="197" t="str">
        <f t="shared" si="1"/>
        <v>OK - FECHA</v>
      </c>
      <c r="J20" s="197" t="s">
        <v>4069</v>
      </c>
    </row>
    <row r="21" spans="1:10" s="197" customFormat="1" x14ac:dyDescent="0.2">
      <c r="A21" s="197" t="s">
        <v>4075</v>
      </c>
      <c r="B21" s="197" t="s">
        <v>217</v>
      </c>
      <c r="C21" s="197" t="s">
        <v>1401</v>
      </c>
      <c r="D21" s="197" t="s">
        <v>56</v>
      </c>
      <c r="E21" s="197" t="s">
        <v>218</v>
      </c>
      <c r="F21" s="198">
        <v>104938.27</v>
      </c>
      <c r="G21" s="198">
        <f>CPU_ABERTA_FINAL!R93</f>
        <v>104938.27573593763</v>
      </c>
      <c r="H21" s="198">
        <f t="shared" si="0"/>
        <v>-5.7359376223757863E-3</v>
      </c>
      <c r="I21" s="197" t="str">
        <f t="shared" si="1"/>
        <v>OK - FECHA</v>
      </c>
      <c r="J21" s="197" t="s">
        <v>4077</v>
      </c>
    </row>
    <row r="22" spans="1:10" s="197" customFormat="1" x14ac:dyDescent="0.2">
      <c r="A22" s="197" t="s">
        <v>4079</v>
      </c>
      <c r="B22" s="197" t="s">
        <v>2126</v>
      </c>
      <c r="C22" s="197" t="s">
        <v>2127</v>
      </c>
      <c r="D22" s="197" t="s">
        <v>24</v>
      </c>
      <c r="E22" s="197" t="s">
        <v>2128</v>
      </c>
      <c r="F22" s="198">
        <v>103848.42</v>
      </c>
      <c r="G22" s="198">
        <f>CPU_ABERTA_FINAL!R98</f>
        <v>103848.4198079562</v>
      </c>
      <c r="H22" s="198">
        <f t="shared" si="0"/>
        <v>1.9204379350412637E-4</v>
      </c>
      <c r="I22" s="197" t="str">
        <f t="shared" si="1"/>
        <v>OK - FECHA</v>
      </c>
      <c r="J22" s="197" t="s">
        <v>4081</v>
      </c>
    </row>
    <row r="23" spans="1:10" s="197" customFormat="1" x14ac:dyDescent="0.2">
      <c r="A23" s="197" t="s">
        <v>4083</v>
      </c>
      <c r="B23" s="197" t="s">
        <v>517</v>
      </c>
      <c r="C23" s="197" t="s">
        <v>1544</v>
      </c>
      <c r="D23" s="197" t="s">
        <v>24</v>
      </c>
      <c r="E23" s="197" t="s">
        <v>519</v>
      </c>
      <c r="F23" s="198">
        <v>100821.48</v>
      </c>
      <c r="G23" s="198">
        <f>CPU_ABERTA_FINAL!R103</f>
        <v>100821.48556310138</v>
      </c>
      <c r="H23" s="198">
        <f t="shared" si="0"/>
        <v>-5.5631013819947839E-3</v>
      </c>
      <c r="I23" s="197" t="str">
        <f t="shared" si="1"/>
        <v>OK - FECHA</v>
      </c>
      <c r="J23" s="197" t="s">
        <v>4085</v>
      </c>
    </row>
    <row r="24" spans="1:10" s="197" customFormat="1" x14ac:dyDescent="0.2">
      <c r="A24" s="197" t="s">
        <v>4087</v>
      </c>
      <c r="B24" s="197" t="s">
        <v>1938</v>
      </c>
      <c r="C24" s="197" t="s">
        <v>1939</v>
      </c>
      <c r="D24" s="197" t="s">
        <v>56</v>
      </c>
      <c r="E24" s="197" t="s">
        <v>887</v>
      </c>
      <c r="F24" s="198">
        <v>100460.22</v>
      </c>
      <c r="G24" s="198">
        <f>CPU_ABERTA_FINAL!R108</f>
        <v>100460.22000740601</v>
      </c>
      <c r="H24" s="198">
        <f t="shared" si="0"/>
        <v>-7.4060080805793405E-6</v>
      </c>
      <c r="I24" s="197" t="str">
        <f t="shared" si="1"/>
        <v>OK - FECHA</v>
      </c>
      <c r="J24" s="197" t="s">
        <v>4090</v>
      </c>
    </row>
    <row r="25" spans="1:10" s="197" customFormat="1" x14ac:dyDescent="0.2">
      <c r="A25" s="197" t="s">
        <v>4097</v>
      </c>
      <c r="B25" s="197" t="s">
        <v>315</v>
      </c>
      <c r="C25" s="197" t="s">
        <v>316</v>
      </c>
      <c r="D25" s="197" t="s">
        <v>317</v>
      </c>
      <c r="E25" s="197" t="s">
        <v>318</v>
      </c>
      <c r="F25" s="198">
        <v>100251.8</v>
      </c>
      <c r="G25" s="198">
        <f>CPU_ABERTA_FINAL!R112</f>
        <v>100251.8070143998</v>
      </c>
      <c r="H25" s="198">
        <f t="shared" si="0"/>
        <v>-7.0143998018465936E-3</v>
      </c>
      <c r="I25" s="197" t="str">
        <f t="shared" si="1"/>
        <v>OK - FECHA</v>
      </c>
      <c r="J25" s="197" t="s">
        <v>4099</v>
      </c>
    </row>
    <row r="26" spans="1:10" s="197" customFormat="1" x14ac:dyDescent="0.2">
      <c r="A26" s="197" t="s">
        <v>4101</v>
      </c>
      <c r="B26" s="197" t="s">
        <v>1936</v>
      </c>
      <c r="C26" s="197" t="s">
        <v>1937</v>
      </c>
      <c r="D26" s="197" t="s">
        <v>56</v>
      </c>
      <c r="E26" s="197" t="s">
        <v>885</v>
      </c>
      <c r="F26" s="198">
        <v>99320.84</v>
      </c>
      <c r="G26" s="198">
        <f>CPU_ABERTA_FINAL!R117</f>
        <v>99320.842496844794</v>
      </c>
      <c r="H26" s="198">
        <f t="shared" si="0"/>
        <v>-2.496844797860831E-3</v>
      </c>
      <c r="I26" s="197" t="str">
        <f t="shared" si="1"/>
        <v>OK - FECHA</v>
      </c>
      <c r="J26" s="197" t="s">
        <v>4103</v>
      </c>
    </row>
    <row r="27" spans="1:10" s="197" customFormat="1" x14ac:dyDescent="0.2">
      <c r="A27" s="197" t="s">
        <v>4105</v>
      </c>
      <c r="B27" s="197" t="s">
        <v>1416</v>
      </c>
      <c r="C27" s="197" t="s">
        <v>236</v>
      </c>
      <c r="D27" s="197" t="s">
        <v>209</v>
      </c>
      <c r="E27" s="197" t="s">
        <v>271</v>
      </c>
      <c r="F27" s="198">
        <v>94069.42</v>
      </c>
      <c r="G27" s="198">
        <f>CPU_ABERTA_FINAL!R122</f>
        <v>94069.420918126343</v>
      </c>
      <c r="H27" s="198">
        <f t="shared" si="0"/>
        <v>-9.1812634491361678E-4</v>
      </c>
      <c r="I27" s="197" t="str">
        <f t="shared" si="1"/>
        <v>OK - FECHA</v>
      </c>
      <c r="J27" s="197" t="s">
        <v>4107</v>
      </c>
    </row>
    <row r="28" spans="1:10" s="197" customFormat="1" x14ac:dyDescent="0.2">
      <c r="A28" s="197" t="s">
        <v>4109</v>
      </c>
      <c r="B28" s="197" t="s">
        <v>2206</v>
      </c>
      <c r="C28" s="197" t="s">
        <v>2207</v>
      </c>
      <c r="D28" s="197" t="s">
        <v>56</v>
      </c>
      <c r="E28" s="197" t="s">
        <v>2208</v>
      </c>
      <c r="F28" s="198">
        <v>93485.03</v>
      </c>
      <c r="G28" s="198">
        <f>CPU_ABERTA_FINAL!R127</f>
        <v>93485.031953861879</v>
      </c>
      <c r="H28" s="198">
        <f t="shared" si="0"/>
        <v>-1.953861879883334E-3</v>
      </c>
      <c r="I28" s="197" t="str">
        <f t="shared" si="1"/>
        <v>OK - FECHA</v>
      </c>
      <c r="J28" s="197" t="s">
        <v>4112</v>
      </c>
    </row>
    <row r="29" spans="1:10" s="197" customFormat="1" x14ac:dyDescent="0.2">
      <c r="A29" s="197" t="s">
        <v>4117</v>
      </c>
      <c r="B29" s="197" t="s">
        <v>1408</v>
      </c>
      <c r="C29" s="197" t="s">
        <v>1409</v>
      </c>
      <c r="D29" s="197" t="s">
        <v>56</v>
      </c>
      <c r="E29" s="197" t="s">
        <v>232</v>
      </c>
      <c r="F29" s="198">
        <v>90410.76</v>
      </c>
      <c r="G29" s="198">
        <f>CPU_ABERTA_FINAL!R132</f>
        <v>90410.770100891808</v>
      </c>
      <c r="H29" s="198">
        <f t="shared" si="0"/>
        <v>-1.0100891813635826E-2</v>
      </c>
      <c r="I29" s="197" t="str">
        <f t="shared" si="1"/>
        <v>OK - FECHA</v>
      </c>
      <c r="J29" s="197" t="s">
        <v>4119</v>
      </c>
    </row>
    <row r="30" spans="1:10" s="197" customFormat="1" x14ac:dyDescent="0.2">
      <c r="A30" s="197" t="s">
        <v>4121</v>
      </c>
      <c r="B30" s="197" t="s">
        <v>428</v>
      </c>
      <c r="C30" s="197" t="s">
        <v>1503</v>
      </c>
      <c r="D30" s="197" t="s">
        <v>56</v>
      </c>
      <c r="E30" s="197" t="s">
        <v>429</v>
      </c>
      <c r="F30" s="198">
        <v>84198.81</v>
      </c>
      <c r="G30" s="198">
        <f>CPU_ABERTA_FINAL!R136</f>
        <v>84198.815246942744</v>
      </c>
      <c r="H30" s="198">
        <f t="shared" si="0"/>
        <v>-5.2469427464529872E-3</v>
      </c>
      <c r="I30" s="197" t="str">
        <f t="shared" si="1"/>
        <v>OK - FECHA</v>
      </c>
      <c r="J30" s="197" t="s">
        <v>4124</v>
      </c>
    </row>
    <row r="31" spans="1:10" s="197" customFormat="1" x14ac:dyDescent="0.2">
      <c r="A31" s="197" t="s">
        <v>4129</v>
      </c>
      <c r="B31" s="197" t="s">
        <v>400</v>
      </c>
      <c r="C31" s="197" t="s">
        <v>1491</v>
      </c>
      <c r="D31" s="197" t="s">
        <v>335</v>
      </c>
      <c r="E31" s="197" t="s">
        <v>401</v>
      </c>
      <c r="F31" s="198">
        <v>82070.070000000007</v>
      </c>
      <c r="G31" s="198">
        <f>CPU_ABERTA_FINAL!R141</f>
        <v>82070.079280047416</v>
      </c>
      <c r="H31" s="198">
        <f t="shared" si="0"/>
        <v>-9.2800474085379392E-3</v>
      </c>
      <c r="I31" s="197" t="str">
        <f t="shared" si="1"/>
        <v>OK - FECHA</v>
      </c>
      <c r="J31" s="197" t="s">
        <v>4131</v>
      </c>
    </row>
    <row r="32" spans="1:10" s="197" customFormat="1" x14ac:dyDescent="0.2">
      <c r="A32" s="197" t="s">
        <v>4133</v>
      </c>
      <c r="B32" s="197" t="s">
        <v>307</v>
      </c>
      <c r="C32" s="197" t="s">
        <v>1451</v>
      </c>
      <c r="D32" s="197" t="s">
        <v>56</v>
      </c>
      <c r="E32" s="197" t="s">
        <v>308</v>
      </c>
      <c r="F32" s="198">
        <v>81841.83</v>
      </c>
      <c r="G32" s="198">
        <f>CPU_ABERTA_FINAL!R146</f>
        <v>81841.836639579662</v>
      </c>
      <c r="H32" s="198">
        <f t="shared" si="0"/>
        <v>-6.6395796602591872E-3</v>
      </c>
      <c r="I32" s="197" t="str">
        <f t="shared" si="1"/>
        <v>OK - FECHA</v>
      </c>
      <c r="J32" s="197" t="s">
        <v>4135</v>
      </c>
    </row>
    <row r="33" spans="1:10" s="197" customFormat="1" x14ac:dyDescent="0.2">
      <c r="A33" s="197" t="s">
        <v>4137</v>
      </c>
      <c r="B33" s="197" t="s">
        <v>1524</v>
      </c>
      <c r="C33" s="197" t="s">
        <v>1525</v>
      </c>
      <c r="D33" s="197" t="s">
        <v>24</v>
      </c>
      <c r="E33" s="197" t="s">
        <v>473</v>
      </c>
      <c r="F33" s="198">
        <v>78667.22</v>
      </c>
      <c r="G33" s="198">
        <f>CPU_ABERTA_FINAL!R151</f>
        <v>78667.225684022618</v>
      </c>
      <c r="H33" s="198">
        <f t="shared" si="0"/>
        <v>-5.6840226170606911E-3</v>
      </c>
      <c r="I33" s="197" t="str">
        <f t="shared" si="1"/>
        <v>OK - FECHA</v>
      </c>
      <c r="J33" s="197" t="s">
        <v>4139</v>
      </c>
    </row>
    <row r="34" spans="1:10" s="197" customFormat="1" x14ac:dyDescent="0.2">
      <c r="A34" s="197" t="s">
        <v>4141</v>
      </c>
      <c r="B34" s="197" t="s">
        <v>541</v>
      </c>
      <c r="C34" s="197" t="s">
        <v>1556</v>
      </c>
      <c r="D34" s="197" t="s">
        <v>335</v>
      </c>
      <c r="E34" s="197" t="s">
        <v>542</v>
      </c>
      <c r="F34" s="198">
        <v>78369.48</v>
      </c>
      <c r="G34" s="198">
        <f>CPU_ABERTA_FINAL!R156</f>
        <v>78369.485469003688</v>
      </c>
      <c r="H34" s="198">
        <f t="shared" si="0"/>
        <v>-5.4690036922693253E-3</v>
      </c>
      <c r="I34" s="197" t="str">
        <f t="shared" si="1"/>
        <v>OK - FECHA</v>
      </c>
      <c r="J34" s="197" t="s">
        <v>4143</v>
      </c>
    </row>
    <row r="35" spans="1:10" s="197" customFormat="1" x14ac:dyDescent="0.2">
      <c r="A35" s="197" t="s">
        <v>4145</v>
      </c>
      <c r="B35" s="197" t="s">
        <v>1969</v>
      </c>
      <c r="C35" s="197" t="s">
        <v>1970</v>
      </c>
      <c r="D35" s="197" t="s">
        <v>24</v>
      </c>
      <c r="E35" s="197" t="s">
        <v>918</v>
      </c>
      <c r="F35" s="198">
        <v>77537.009999999995</v>
      </c>
      <c r="G35" s="198">
        <f>CPU_ABERTA_FINAL!R162</f>
        <v>77537.017499868001</v>
      </c>
      <c r="H35" s="198">
        <f t="shared" ref="H35:H66" si="2">F35-G35</f>
        <v>-7.4998680065618828E-3</v>
      </c>
      <c r="I35" s="197" t="str">
        <f t="shared" ref="I35:I66" si="3">IF(ABS(H35)&lt;=1,"OK - FECHA","REVISAR")</f>
        <v>OK - FECHA</v>
      </c>
      <c r="J35" s="197" t="s">
        <v>4147</v>
      </c>
    </row>
    <row r="36" spans="1:10" s="197" customFormat="1" x14ac:dyDescent="0.2">
      <c r="A36" s="197" t="s">
        <v>4149</v>
      </c>
      <c r="B36" s="197" t="s">
        <v>392</v>
      </c>
      <c r="C36" s="197" t="s">
        <v>1485</v>
      </c>
      <c r="D36" s="197" t="s">
        <v>56</v>
      </c>
      <c r="E36" s="197" t="s">
        <v>1486</v>
      </c>
      <c r="F36" s="198">
        <v>75161.63</v>
      </c>
      <c r="G36" s="198">
        <f>CPU_ABERTA_FINAL!R167</f>
        <v>75161.636894563839</v>
      </c>
      <c r="H36" s="198">
        <f t="shared" si="2"/>
        <v>-6.8945638340665027E-3</v>
      </c>
      <c r="I36" s="197" t="str">
        <f t="shared" si="3"/>
        <v>OK - FECHA</v>
      </c>
      <c r="J36" s="197" t="s">
        <v>4151</v>
      </c>
    </row>
    <row r="37" spans="1:10" s="197" customFormat="1" x14ac:dyDescent="0.2">
      <c r="A37" s="197" t="s">
        <v>4153</v>
      </c>
      <c r="B37" s="197" t="s">
        <v>295</v>
      </c>
      <c r="C37" s="197" t="s">
        <v>1443</v>
      </c>
      <c r="D37" s="197" t="s">
        <v>56</v>
      </c>
      <c r="E37" s="197" t="s">
        <v>296</v>
      </c>
      <c r="F37" s="198">
        <v>74929.960000000006</v>
      </c>
      <c r="G37" s="198">
        <f>CPU_ABERTA_FINAL!R172</f>
        <v>74929.961456459103</v>
      </c>
      <c r="H37" s="198">
        <f t="shared" si="2"/>
        <v>-1.4564590965164825E-3</v>
      </c>
      <c r="I37" s="197" t="str">
        <f t="shared" si="3"/>
        <v>OK - FECHA</v>
      </c>
      <c r="J37" s="197" t="s">
        <v>4155</v>
      </c>
    </row>
    <row r="38" spans="1:10" s="197" customFormat="1" x14ac:dyDescent="0.2">
      <c r="A38" s="197" t="s">
        <v>4157</v>
      </c>
      <c r="B38" s="197" t="s">
        <v>309</v>
      </c>
      <c r="C38" s="197" t="s">
        <v>310</v>
      </c>
      <c r="D38" s="197" t="s">
        <v>209</v>
      </c>
      <c r="E38" s="197" t="s">
        <v>311</v>
      </c>
      <c r="F38" s="198">
        <v>74500.69</v>
      </c>
      <c r="G38" s="198">
        <f>CPU_ABERTA_FINAL!R177</f>
        <v>74500.692555748814</v>
      </c>
      <c r="H38" s="198">
        <f t="shared" si="2"/>
        <v>-2.5557488115737215E-3</v>
      </c>
      <c r="I38" s="197" t="str">
        <f t="shared" si="3"/>
        <v>OK - FECHA</v>
      </c>
      <c r="J38" s="197" t="s">
        <v>4159</v>
      </c>
    </row>
    <row r="39" spans="1:10" s="197" customFormat="1" x14ac:dyDescent="0.2">
      <c r="A39" s="197" t="s">
        <v>4161</v>
      </c>
      <c r="B39" s="197" t="s">
        <v>345</v>
      </c>
      <c r="C39" s="197" t="s">
        <v>346</v>
      </c>
      <c r="D39" s="197" t="s">
        <v>209</v>
      </c>
      <c r="E39" s="197" t="s">
        <v>1462</v>
      </c>
      <c r="F39" s="198">
        <v>74168.58</v>
      </c>
      <c r="G39" s="198">
        <f>CPU_ABERTA_FINAL!R182</f>
        <v>74168.580835059649</v>
      </c>
      <c r="H39" s="198">
        <f t="shared" si="2"/>
        <v>-8.3505964721553028E-4</v>
      </c>
      <c r="I39" s="197" t="str">
        <f t="shared" si="3"/>
        <v>OK - FECHA</v>
      </c>
      <c r="J39" s="197" t="s">
        <v>4163</v>
      </c>
    </row>
    <row r="40" spans="1:10" s="197" customFormat="1" x14ac:dyDescent="0.2">
      <c r="A40" s="197" t="s">
        <v>4165</v>
      </c>
      <c r="B40" s="197" t="s">
        <v>2038</v>
      </c>
      <c r="C40" s="197" t="s">
        <v>2039</v>
      </c>
      <c r="D40" s="197" t="s">
        <v>56</v>
      </c>
      <c r="E40" s="197" t="s">
        <v>966</v>
      </c>
      <c r="F40" s="198">
        <v>69485.39</v>
      </c>
      <c r="G40" s="198">
        <f>CPU_ABERTA_FINAL!R187</f>
        <v>69485.400563326213</v>
      </c>
      <c r="H40" s="198">
        <f t="shared" si="2"/>
        <v>-1.0563326213741675E-2</v>
      </c>
      <c r="I40" s="197" t="str">
        <f t="shared" si="3"/>
        <v>OK - FECHA</v>
      </c>
      <c r="J40" s="197" t="s">
        <v>4167</v>
      </c>
    </row>
    <row r="41" spans="1:10" s="197" customFormat="1" x14ac:dyDescent="0.2">
      <c r="A41" s="197" t="s">
        <v>4169</v>
      </c>
      <c r="B41" s="197" t="s">
        <v>197</v>
      </c>
      <c r="C41" s="197" t="s">
        <v>1394</v>
      </c>
      <c r="D41" s="197" t="s">
        <v>56</v>
      </c>
      <c r="E41" s="197" t="s">
        <v>198</v>
      </c>
      <c r="F41" s="198">
        <v>69482.100000000006</v>
      </c>
      <c r="G41" s="198">
        <f>CPU_ABERTA_FINAL!R192</f>
        <v>69482.101748843212</v>
      </c>
      <c r="H41" s="198">
        <f t="shared" si="2"/>
        <v>-1.7488432058598846E-3</v>
      </c>
      <c r="I41" s="197" t="str">
        <f t="shared" si="3"/>
        <v>OK - FECHA</v>
      </c>
      <c r="J41" s="197" t="s">
        <v>4171</v>
      </c>
    </row>
    <row r="42" spans="1:10" s="197" customFormat="1" x14ac:dyDescent="0.2">
      <c r="A42" s="197" t="s">
        <v>4173</v>
      </c>
      <c r="B42" s="197" t="s">
        <v>1406</v>
      </c>
      <c r="C42" s="197" t="s">
        <v>1407</v>
      </c>
      <c r="D42" s="197" t="s">
        <v>56</v>
      </c>
      <c r="E42" s="197" t="s">
        <v>231</v>
      </c>
      <c r="F42" s="198">
        <v>68060.87</v>
      </c>
      <c r="G42" s="198">
        <f>CPU_ABERTA_FINAL!R197</f>
        <v>68060.875433820533</v>
      </c>
      <c r="H42" s="198">
        <f t="shared" si="2"/>
        <v>-5.4338205372914672E-3</v>
      </c>
      <c r="I42" s="197" t="str">
        <f t="shared" si="3"/>
        <v>OK - FECHA</v>
      </c>
      <c r="J42" s="197" t="s">
        <v>4175</v>
      </c>
    </row>
    <row r="43" spans="1:10" s="197" customFormat="1" x14ac:dyDescent="0.2">
      <c r="A43" s="197" t="s">
        <v>4177</v>
      </c>
      <c r="B43" s="197" t="s">
        <v>334</v>
      </c>
      <c r="C43" s="197" t="s">
        <v>1459</v>
      </c>
      <c r="D43" s="197" t="s">
        <v>335</v>
      </c>
      <c r="E43" s="197" t="s">
        <v>336</v>
      </c>
      <c r="F43" s="198">
        <v>62513.96</v>
      </c>
      <c r="G43" s="198">
        <f>CPU_ABERTA_FINAL!R202</f>
        <v>62513.967195544072</v>
      </c>
      <c r="H43" s="198">
        <f t="shared" si="2"/>
        <v>-7.1955440726014785E-3</v>
      </c>
      <c r="I43" s="197" t="str">
        <f t="shared" si="3"/>
        <v>OK - FECHA</v>
      </c>
      <c r="J43" s="197" t="s">
        <v>4179</v>
      </c>
    </row>
    <row r="44" spans="1:10" s="197" customFormat="1" x14ac:dyDescent="0.2">
      <c r="A44" s="197" t="s">
        <v>4181</v>
      </c>
      <c r="B44" s="197" t="s">
        <v>27</v>
      </c>
      <c r="C44" s="197" t="s">
        <v>1321</v>
      </c>
      <c r="D44" s="197" t="s">
        <v>24</v>
      </c>
      <c r="E44" s="197" t="s">
        <v>29</v>
      </c>
      <c r="F44" s="198">
        <v>62236.05</v>
      </c>
      <c r="G44" s="198">
        <f>CPU_ABERTA_FINAL!R206</f>
        <v>62236.052808811342</v>
      </c>
      <c r="H44" s="198">
        <f t="shared" si="2"/>
        <v>-2.8088113394915126E-3</v>
      </c>
      <c r="I44" s="197" t="str">
        <f t="shared" si="3"/>
        <v>OK - FECHA</v>
      </c>
      <c r="J44" s="197" t="s">
        <v>4183</v>
      </c>
    </row>
    <row r="45" spans="1:10" s="197" customFormat="1" x14ac:dyDescent="0.2">
      <c r="A45" s="197" t="s">
        <v>4185</v>
      </c>
      <c r="B45" s="197" t="s">
        <v>291</v>
      </c>
      <c r="C45" s="197" t="s">
        <v>1441</v>
      </c>
      <c r="D45" s="197" t="s">
        <v>56</v>
      </c>
      <c r="E45" s="197" t="s">
        <v>292</v>
      </c>
      <c r="F45" s="198">
        <v>61039.07</v>
      </c>
      <c r="G45" s="198">
        <f>CPU_ABERTA_FINAL!R211</f>
        <v>61039.071272678251</v>
      </c>
      <c r="H45" s="198">
        <f t="shared" si="2"/>
        <v>-1.2726782515528612E-3</v>
      </c>
      <c r="I45" s="197" t="str">
        <f t="shared" si="3"/>
        <v>OK - FECHA</v>
      </c>
      <c r="J45" s="197" t="s">
        <v>4187</v>
      </c>
    </row>
    <row r="46" spans="1:10" s="197" customFormat="1" x14ac:dyDescent="0.2">
      <c r="A46" s="197" t="s">
        <v>4189</v>
      </c>
      <c r="B46" s="197" t="s">
        <v>312</v>
      </c>
      <c r="C46" s="197" t="s">
        <v>1452</v>
      </c>
      <c r="D46" s="197" t="s">
        <v>24</v>
      </c>
      <c r="E46" s="197" t="s">
        <v>314</v>
      </c>
      <c r="F46" s="198">
        <v>60817.25</v>
      </c>
      <c r="G46" s="198">
        <f>CPU_ABERTA_FINAL!R216</f>
        <v>60817.257265843982</v>
      </c>
      <c r="H46" s="198">
        <f t="shared" si="2"/>
        <v>-7.2658439821680076E-3</v>
      </c>
      <c r="I46" s="197" t="str">
        <f t="shared" si="3"/>
        <v>OK - FECHA</v>
      </c>
      <c r="J46" s="197" t="s">
        <v>4191</v>
      </c>
    </row>
    <row r="47" spans="1:10" s="197" customFormat="1" x14ac:dyDescent="0.2">
      <c r="A47" s="197" t="s">
        <v>4193</v>
      </c>
      <c r="B47" s="197" t="s">
        <v>491</v>
      </c>
      <c r="C47" s="197" t="s">
        <v>1534</v>
      </c>
      <c r="D47" s="197" t="s">
        <v>24</v>
      </c>
      <c r="E47" s="197" t="s">
        <v>493</v>
      </c>
      <c r="F47" s="198">
        <v>55397.98</v>
      </c>
      <c r="G47" s="198">
        <f>CPU_ABERTA_FINAL!R221</f>
        <v>55397.98142681281</v>
      </c>
      <c r="H47" s="198">
        <f t="shared" si="2"/>
        <v>-1.4268128070398234E-3</v>
      </c>
      <c r="I47" s="197" t="str">
        <f t="shared" si="3"/>
        <v>OK - FECHA</v>
      </c>
      <c r="J47" s="197" t="s">
        <v>4195</v>
      </c>
    </row>
    <row r="48" spans="1:10" s="197" customFormat="1" x14ac:dyDescent="0.2">
      <c r="A48" s="197" t="s">
        <v>4197</v>
      </c>
      <c r="B48" s="197" t="s">
        <v>546</v>
      </c>
      <c r="C48" s="197" t="s">
        <v>1558</v>
      </c>
      <c r="D48" s="197" t="s">
        <v>335</v>
      </c>
      <c r="E48" s="197" t="s">
        <v>547</v>
      </c>
      <c r="F48" s="198">
        <v>55095.7</v>
      </c>
      <c r="G48" s="198">
        <f>CPU_ABERTA_FINAL!R226</f>
        <v>55095.707082599067</v>
      </c>
      <c r="H48" s="198">
        <f t="shared" si="2"/>
        <v>-7.0825990696903318E-3</v>
      </c>
      <c r="I48" s="197" t="str">
        <f t="shared" si="3"/>
        <v>OK - FECHA</v>
      </c>
      <c r="J48" s="197" t="s">
        <v>4199</v>
      </c>
    </row>
    <row r="49" spans="1:10" s="197" customFormat="1" x14ac:dyDescent="0.2">
      <c r="A49" s="197" t="s">
        <v>4201</v>
      </c>
      <c r="B49" s="197" t="s">
        <v>406</v>
      </c>
      <c r="C49" s="197" t="s">
        <v>1493</v>
      </c>
      <c r="D49" s="197" t="s">
        <v>56</v>
      </c>
      <c r="E49" s="197" t="s">
        <v>407</v>
      </c>
      <c r="F49" s="198">
        <v>54232.29</v>
      </c>
      <c r="G49" s="198">
        <f>CPU_ABERTA_FINAL!R231</f>
        <v>54232.2997308513</v>
      </c>
      <c r="H49" s="198">
        <f t="shared" si="2"/>
        <v>-9.7308512995368801E-3</v>
      </c>
      <c r="I49" s="197" t="str">
        <f t="shared" si="3"/>
        <v>OK - FECHA</v>
      </c>
      <c r="J49" s="197" t="s">
        <v>4203</v>
      </c>
    </row>
    <row r="50" spans="1:10" s="197" customFormat="1" x14ac:dyDescent="0.2">
      <c r="A50" s="197" t="s">
        <v>4205</v>
      </c>
      <c r="B50" s="197" t="s">
        <v>1410</v>
      </c>
      <c r="C50" s="197" t="s">
        <v>1411</v>
      </c>
      <c r="D50" s="197" t="s">
        <v>56</v>
      </c>
      <c r="E50" s="197" t="s">
        <v>233</v>
      </c>
      <c r="F50" s="198">
        <v>53836.959999999999</v>
      </c>
      <c r="G50" s="198">
        <f>CPU_ABERTA_FINAL!R236</f>
        <v>53836.963012138403</v>
      </c>
      <c r="H50" s="198">
        <f t="shared" si="2"/>
        <v>-3.0121384043013677E-3</v>
      </c>
      <c r="I50" s="197" t="str">
        <f t="shared" si="3"/>
        <v>OK - FECHA</v>
      </c>
      <c r="J50" s="197" t="s">
        <v>4207</v>
      </c>
    </row>
    <row r="51" spans="1:10" s="197" customFormat="1" x14ac:dyDescent="0.2">
      <c r="A51" s="197" t="s">
        <v>4209</v>
      </c>
      <c r="B51" s="197" t="s">
        <v>1944</v>
      </c>
      <c r="C51" s="197" t="s">
        <v>1945</v>
      </c>
      <c r="D51" s="197" t="s">
        <v>24</v>
      </c>
      <c r="E51" s="197" t="s">
        <v>894</v>
      </c>
      <c r="F51" s="198">
        <v>51757.77</v>
      </c>
      <c r="G51" s="198">
        <f>CPU_ABERTA_FINAL!R241</f>
        <v>51757.777499943499</v>
      </c>
      <c r="H51" s="198">
        <f t="shared" si="2"/>
        <v>-7.4999435018980876E-3</v>
      </c>
      <c r="I51" s="197" t="str">
        <f t="shared" si="3"/>
        <v>OK - FECHA</v>
      </c>
      <c r="J51" s="197" t="s">
        <v>4211</v>
      </c>
    </row>
    <row r="52" spans="1:10" s="197" customFormat="1" x14ac:dyDescent="0.2">
      <c r="A52" s="197" t="s">
        <v>4213</v>
      </c>
      <c r="B52" s="197" t="s">
        <v>332</v>
      </c>
      <c r="C52" s="197" t="s">
        <v>1458</v>
      </c>
      <c r="D52" s="197" t="s">
        <v>56</v>
      </c>
      <c r="E52" s="197" t="s">
        <v>333</v>
      </c>
      <c r="F52" s="198">
        <v>50172.27</v>
      </c>
      <c r="G52" s="198">
        <f>CPU_ABERTA_FINAL!R246</f>
        <v>50172.273853307677</v>
      </c>
      <c r="H52" s="198">
        <f t="shared" si="2"/>
        <v>-3.8533076804014854E-3</v>
      </c>
      <c r="I52" s="197" t="str">
        <f t="shared" si="3"/>
        <v>OK - FECHA</v>
      </c>
      <c r="J52" s="197" t="s">
        <v>4215</v>
      </c>
    </row>
    <row r="53" spans="1:10" s="197" customFormat="1" x14ac:dyDescent="0.2">
      <c r="A53" s="197" t="s">
        <v>4217</v>
      </c>
      <c r="B53" s="197" t="s">
        <v>418</v>
      </c>
      <c r="C53" s="197" t="s">
        <v>1498</v>
      </c>
      <c r="D53" s="197" t="s">
        <v>56</v>
      </c>
      <c r="E53" s="197" t="s">
        <v>419</v>
      </c>
      <c r="F53" s="198">
        <v>49768.480000000003</v>
      </c>
      <c r="G53" s="198">
        <f>CPU_ABERTA_FINAL!R250</f>
        <v>49768.481918100682</v>
      </c>
      <c r="H53" s="198">
        <f t="shared" si="2"/>
        <v>-1.9181006791768596E-3</v>
      </c>
      <c r="I53" s="197" t="str">
        <f t="shared" si="3"/>
        <v>OK - FECHA</v>
      </c>
      <c r="J53" s="197" t="s">
        <v>4219</v>
      </c>
    </row>
    <row r="54" spans="1:10" s="197" customFormat="1" x14ac:dyDescent="0.2">
      <c r="A54" s="197" t="s">
        <v>4221</v>
      </c>
      <c r="B54" s="197" t="s">
        <v>319</v>
      </c>
      <c r="C54" s="197" t="s">
        <v>1453</v>
      </c>
      <c r="D54" s="197" t="s">
        <v>56</v>
      </c>
      <c r="E54" s="197" t="s">
        <v>320</v>
      </c>
      <c r="F54" s="198">
        <v>47658.57</v>
      </c>
      <c r="G54" s="198">
        <f>CPU_ABERTA_FINAL!R255</f>
        <v>47658.572052842304</v>
      </c>
      <c r="H54" s="198">
        <f t="shared" si="2"/>
        <v>-2.0528423046926036E-3</v>
      </c>
      <c r="I54" s="197" t="str">
        <f t="shared" si="3"/>
        <v>OK - FECHA</v>
      </c>
      <c r="J54" s="197" t="s">
        <v>4223</v>
      </c>
    </row>
    <row r="55" spans="1:10" s="197" customFormat="1" x14ac:dyDescent="0.2">
      <c r="A55" s="197" t="s">
        <v>4225</v>
      </c>
      <c r="B55" s="197" t="s">
        <v>364</v>
      </c>
      <c r="C55" s="197" t="s">
        <v>1469</v>
      </c>
      <c r="D55" s="197" t="s">
        <v>56</v>
      </c>
      <c r="E55" s="197" t="s">
        <v>365</v>
      </c>
      <c r="F55" s="198">
        <v>47133.56</v>
      </c>
      <c r="G55" s="198">
        <f>CPU_ABERTA_FINAL!R260</f>
        <v>47133.565180644</v>
      </c>
      <c r="H55" s="198">
        <f t="shared" si="2"/>
        <v>-5.1806440023938194E-3</v>
      </c>
      <c r="I55" s="197" t="str">
        <f t="shared" si="3"/>
        <v>OK - FECHA</v>
      </c>
      <c r="J55" s="197" t="s">
        <v>4227</v>
      </c>
    </row>
    <row r="56" spans="1:10" s="197" customFormat="1" x14ac:dyDescent="0.2">
      <c r="A56" s="197" t="s">
        <v>4229</v>
      </c>
      <c r="B56" s="197" t="s">
        <v>351</v>
      </c>
      <c r="C56" s="197" t="s">
        <v>1463</v>
      </c>
      <c r="D56" s="197" t="s">
        <v>209</v>
      </c>
      <c r="E56" s="197" t="s">
        <v>1464</v>
      </c>
      <c r="F56" s="198">
        <v>46910.99</v>
      </c>
      <c r="G56" s="198">
        <f>CPU_ABERTA_FINAL!R265</f>
        <v>46910.997952987549</v>
      </c>
      <c r="H56" s="198">
        <f t="shared" si="2"/>
        <v>-7.9529875511070713E-3</v>
      </c>
      <c r="I56" s="197" t="str">
        <f t="shared" si="3"/>
        <v>OK - FECHA</v>
      </c>
      <c r="J56" s="197" t="s">
        <v>4231</v>
      </c>
    </row>
    <row r="57" spans="1:10" s="197" customFormat="1" x14ac:dyDescent="0.2">
      <c r="A57" s="197" t="s">
        <v>4233</v>
      </c>
      <c r="B57" s="197" t="s">
        <v>330</v>
      </c>
      <c r="C57" s="197" t="s">
        <v>1457</v>
      </c>
      <c r="D57" s="197" t="s">
        <v>56</v>
      </c>
      <c r="E57" s="197" t="s">
        <v>331</v>
      </c>
      <c r="F57" s="198">
        <v>45702.55</v>
      </c>
      <c r="G57" s="198">
        <f>CPU_ABERTA_FINAL!R270</f>
        <v>45702.553860744803</v>
      </c>
      <c r="H57" s="198">
        <f t="shared" si="2"/>
        <v>-3.860744800476823E-3</v>
      </c>
      <c r="I57" s="197" t="str">
        <f t="shared" si="3"/>
        <v>OK - FECHA</v>
      </c>
      <c r="J57" s="197" t="s">
        <v>4235</v>
      </c>
    </row>
    <row r="58" spans="1:10" s="197" customFormat="1" x14ac:dyDescent="0.2">
      <c r="A58" s="197" t="s">
        <v>4237</v>
      </c>
      <c r="B58" s="197" t="s">
        <v>279</v>
      </c>
      <c r="C58" s="197" t="s">
        <v>1399</v>
      </c>
      <c r="D58" s="197" t="s">
        <v>56</v>
      </c>
      <c r="E58" s="197" t="s">
        <v>214</v>
      </c>
      <c r="F58" s="198">
        <v>45363.33</v>
      </c>
      <c r="G58" s="198">
        <f>CPU_ABERTA_FINAL!R275</f>
        <v>45363.337793240491</v>
      </c>
      <c r="H58" s="198">
        <f t="shared" si="2"/>
        <v>-7.7932404892635532E-3</v>
      </c>
      <c r="I58" s="197" t="str">
        <f t="shared" si="3"/>
        <v>OK - FECHA</v>
      </c>
      <c r="J58" s="197" t="s">
        <v>4238</v>
      </c>
    </row>
    <row r="59" spans="1:10" s="197" customFormat="1" x14ac:dyDescent="0.2">
      <c r="A59" s="197" t="s">
        <v>4239</v>
      </c>
      <c r="B59" s="197" t="s">
        <v>2063</v>
      </c>
      <c r="C59" s="197" t="s">
        <v>2064</v>
      </c>
      <c r="D59" s="197" t="s">
        <v>56</v>
      </c>
      <c r="E59" s="197" t="s">
        <v>977</v>
      </c>
      <c r="F59" s="198">
        <v>44450.83</v>
      </c>
      <c r="G59" s="198">
        <f>CPU_ABERTA_FINAL!R280</f>
        <v>44450.835104443919</v>
      </c>
      <c r="H59" s="198">
        <f t="shared" si="2"/>
        <v>-5.1044439169345424E-3</v>
      </c>
      <c r="I59" s="197" t="str">
        <f t="shared" si="3"/>
        <v>OK - FECHA</v>
      </c>
      <c r="J59" s="197" t="s">
        <v>4241</v>
      </c>
    </row>
    <row r="60" spans="1:10" s="197" customFormat="1" x14ac:dyDescent="0.2">
      <c r="A60" s="197" t="s">
        <v>4243</v>
      </c>
      <c r="B60" s="197" t="s">
        <v>2065</v>
      </c>
      <c r="C60" s="197" t="s">
        <v>2066</v>
      </c>
      <c r="D60" s="197" t="s">
        <v>56</v>
      </c>
      <c r="E60" s="197" t="s">
        <v>978</v>
      </c>
      <c r="F60" s="198">
        <v>43003.32</v>
      </c>
      <c r="G60" s="198">
        <f>CPU_ABERTA_FINAL!R285</f>
        <v>43003.320101580968</v>
      </c>
      <c r="H60" s="198">
        <f t="shared" si="2"/>
        <v>-1.0158096847590059E-4</v>
      </c>
      <c r="I60" s="197" t="str">
        <f t="shared" si="3"/>
        <v>OK - FECHA</v>
      </c>
      <c r="J60" s="197" t="s">
        <v>4245</v>
      </c>
    </row>
    <row r="61" spans="1:10" s="197" customFormat="1" x14ac:dyDescent="0.2">
      <c r="A61" s="197" t="s">
        <v>4247</v>
      </c>
      <c r="B61" s="197" t="s">
        <v>1388</v>
      </c>
      <c r="C61" s="197" t="s">
        <v>1389</v>
      </c>
      <c r="D61" s="197" t="s">
        <v>56</v>
      </c>
      <c r="E61" s="197" t="s">
        <v>191</v>
      </c>
      <c r="F61" s="198">
        <v>42865.07</v>
      </c>
      <c r="G61" s="198">
        <f>CPU_ABERTA_FINAL!R290</f>
        <v>42865.078196457274</v>
      </c>
      <c r="H61" s="198">
        <f t="shared" si="2"/>
        <v>-8.1964572746073827E-3</v>
      </c>
      <c r="I61" s="197" t="str">
        <f t="shared" si="3"/>
        <v>OK - FECHA</v>
      </c>
      <c r="J61" s="197" t="s">
        <v>4249</v>
      </c>
    </row>
    <row r="62" spans="1:10" s="197" customFormat="1" x14ac:dyDescent="0.2">
      <c r="A62" s="197" t="s">
        <v>4251</v>
      </c>
      <c r="B62" s="197" t="s">
        <v>95</v>
      </c>
      <c r="C62" s="197" t="s">
        <v>1347</v>
      </c>
      <c r="D62" s="197" t="s">
        <v>56</v>
      </c>
      <c r="E62" s="197" t="s">
        <v>96</v>
      </c>
      <c r="F62" s="198">
        <v>41354.04</v>
      </c>
      <c r="G62" s="198">
        <f>CPU_ABERTA_FINAL!R295</f>
        <v>41354.039328783998</v>
      </c>
      <c r="H62" s="198">
        <f t="shared" si="2"/>
        <v>6.7121600295649841E-4</v>
      </c>
      <c r="I62" s="197" t="str">
        <f t="shared" si="3"/>
        <v>OK - FECHA</v>
      </c>
      <c r="J62" s="197" t="s">
        <v>4253</v>
      </c>
    </row>
    <row r="63" spans="1:10" s="197" customFormat="1" x14ac:dyDescent="0.2">
      <c r="A63" s="197" t="s">
        <v>4255</v>
      </c>
      <c r="B63" s="197" t="s">
        <v>396</v>
      </c>
      <c r="C63" s="197" t="s">
        <v>1489</v>
      </c>
      <c r="D63" s="197" t="s">
        <v>56</v>
      </c>
      <c r="E63" s="197" t="s">
        <v>397</v>
      </c>
      <c r="F63" s="198">
        <v>40492.06</v>
      </c>
      <c r="G63" s="198">
        <f>CPU_ABERTA_FINAL!R300</f>
        <v>40492.06743555401</v>
      </c>
      <c r="H63" s="198">
        <f t="shared" si="2"/>
        <v>-7.4355540127726272E-3</v>
      </c>
      <c r="I63" s="197" t="str">
        <f t="shared" si="3"/>
        <v>OK - FECHA</v>
      </c>
      <c r="J63" s="197" t="s">
        <v>4257</v>
      </c>
    </row>
    <row r="64" spans="1:10" s="197" customFormat="1" x14ac:dyDescent="0.2">
      <c r="A64" s="197" t="s">
        <v>4259</v>
      </c>
      <c r="B64" s="197" t="s">
        <v>2044</v>
      </c>
      <c r="C64" s="197" t="s">
        <v>2045</v>
      </c>
      <c r="D64" s="197" t="s">
        <v>56</v>
      </c>
      <c r="E64" s="197" t="s">
        <v>2046</v>
      </c>
      <c r="F64" s="198">
        <v>39709.620000000003</v>
      </c>
      <c r="G64" s="198">
        <f>CPU_ABERTA_FINAL!R305</f>
        <v>39709.620519476128</v>
      </c>
      <c r="H64" s="198">
        <f t="shared" si="2"/>
        <v>-5.1947612519143149E-4</v>
      </c>
      <c r="I64" s="197" t="str">
        <f t="shared" si="3"/>
        <v>OK - FECHA</v>
      </c>
      <c r="J64" s="197" t="s">
        <v>4261</v>
      </c>
    </row>
    <row r="65" spans="1:10" s="197" customFormat="1" x14ac:dyDescent="0.2">
      <c r="A65" s="197" t="s">
        <v>4263</v>
      </c>
      <c r="B65" s="197" t="s">
        <v>2019</v>
      </c>
      <c r="C65" s="197" t="s">
        <v>2020</v>
      </c>
      <c r="D65" s="197" t="s">
        <v>24</v>
      </c>
      <c r="E65" s="197" t="s">
        <v>954</v>
      </c>
      <c r="F65" s="198">
        <v>38106.75</v>
      </c>
      <c r="G65" s="198">
        <f>CPU_ABERTA_FINAL!R310</f>
        <v>38106.750011249504</v>
      </c>
      <c r="H65" s="198">
        <f t="shared" si="2"/>
        <v>-1.1249503586441278E-5</v>
      </c>
      <c r="I65" s="197" t="str">
        <f t="shared" si="3"/>
        <v>OK - FECHA</v>
      </c>
      <c r="J65" s="197" t="s">
        <v>4265</v>
      </c>
    </row>
    <row r="66" spans="1:10" s="197" customFormat="1" x14ac:dyDescent="0.2">
      <c r="A66" s="197" t="s">
        <v>4267</v>
      </c>
      <c r="B66" s="197" t="s">
        <v>2189</v>
      </c>
      <c r="C66" s="197" t="s">
        <v>2190</v>
      </c>
      <c r="D66" s="197" t="s">
        <v>56</v>
      </c>
      <c r="E66" s="197" t="s">
        <v>1075</v>
      </c>
      <c r="F66" s="198">
        <v>37737.300000000003</v>
      </c>
      <c r="G66" s="198">
        <f>CPU_ABERTA_FINAL!R315</f>
        <v>37737.303859509295</v>
      </c>
      <c r="H66" s="198">
        <f t="shared" si="2"/>
        <v>-3.8595092919422314E-3</v>
      </c>
      <c r="I66" s="197" t="str">
        <f t="shared" si="3"/>
        <v>OK - FECHA</v>
      </c>
      <c r="J66" s="197" t="s">
        <v>4269</v>
      </c>
    </row>
    <row r="67" spans="1:10" s="197" customFormat="1" x14ac:dyDescent="0.2">
      <c r="A67" s="197" t="s">
        <v>4271</v>
      </c>
      <c r="B67" s="197" t="s">
        <v>1392</v>
      </c>
      <c r="C67" s="197" t="s">
        <v>1393</v>
      </c>
      <c r="D67" s="197" t="s">
        <v>24</v>
      </c>
      <c r="E67" s="197" t="s">
        <v>194</v>
      </c>
      <c r="F67" s="198">
        <v>35920.639999999999</v>
      </c>
      <c r="G67" s="198">
        <f>CPU_ABERTA_FINAL!R320</f>
        <v>35920.643167169466</v>
      </c>
      <c r="H67" s="198">
        <f t="shared" ref="H67:H98" si="4">F67-G67</f>
        <v>-3.1671694669057615E-3</v>
      </c>
      <c r="I67" s="197" t="str">
        <f t="shared" ref="I67:I98" si="5">IF(ABS(H67)&lt;=1,"OK - FECHA","REVISAR")</f>
        <v>OK - FECHA</v>
      </c>
      <c r="J67" s="197" t="s">
        <v>4273</v>
      </c>
    </row>
    <row r="68" spans="1:10" s="197" customFormat="1" x14ac:dyDescent="0.2">
      <c r="A68" s="197" t="s">
        <v>4275</v>
      </c>
      <c r="B68" s="197" t="s">
        <v>337</v>
      </c>
      <c r="C68" s="197" t="s">
        <v>1460</v>
      </c>
      <c r="D68" s="197" t="s">
        <v>56</v>
      </c>
      <c r="E68" s="197" t="s">
        <v>338</v>
      </c>
      <c r="F68" s="198">
        <v>35521.4</v>
      </c>
      <c r="G68" s="198">
        <f>CPU_ABERTA_FINAL!R324</f>
        <v>35521.401667959348</v>
      </c>
      <c r="H68" s="198">
        <f t="shared" si="4"/>
        <v>-1.6679593463777564E-3</v>
      </c>
      <c r="I68" s="197" t="str">
        <f t="shared" si="5"/>
        <v>OK - FECHA</v>
      </c>
      <c r="J68" s="197" t="s">
        <v>4277</v>
      </c>
    </row>
    <row r="69" spans="1:10" s="197" customFormat="1" x14ac:dyDescent="0.2">
      <c r="A69" s="197" t="s">
        <v>4279</v>
      </c>
      <c r="B69" s="197" t="s">
        <v>326</v>
      </c>
      <c r="C69" s="197" t="s">
        <v>1454</v>
      </c>
      <c r="D69" s="197" t="s">
        <v>56</v>
      </c>
      <c r="E69" s="197" t="s">
        <v>1455</v>
      </c>
      <c r="F69" s="198">
        <v>34854.1</v>
      </c>
      <c r="G69" s="198">
        <f>CPU_ABERTA_FINAL!R329</f>
        <v>34854.099917276835</v>
      </c>
      <c r="H69" s="198">
        <f t="shared" si="4"/>
        <v>8.272316335933283E-5</v>
      </c>
      <c r="I69" s="197" t="str">
        <f t="shared" si="5"/>
        <v>OK - FECHA</v>
      </c>
      <c r="J69" s="197" t="s">
        <v>4281</v>
      </c>
    </row>
    <row r="70" spans="1:10" s="197" customFormat="1" x14ac:dyDescent="0.2">
      <c r="A70" s="197" t="s">
        <v>4283</v>
      </c>
      <c r="B70" s="197" t="s">
        <v>2187</v>
      </c>
      <c r="C70" s="197" t="s">
        <v>2188</v>
      </c>
      <c r="D70" s="197" t="s">
        <v>56</v>
      </c>
      <c r="E70" s="197" t="s">
        <v>1074</v>
      </c>
      <c r="F70" s="198">
        <v>34724.089999999997</v>
      </c>
      <c r="G70" s="198">
        <f>CPU_ABERTA_FINAL!R334</f>
        <v>34724.090643971889</v>
      </c>
      <c r="H70" s="198">
        <f t="shared" si="4"/>
        <v>-6.4397189271403477E-4</v>
      </c>
      <c r="I70" s="197" t="str">
        <f t="shared" si="5"/>
        <v>OK - FECHA</v>
      </c>
      <c r="J70" s="197" t="s">
        <v>4285</v>
      </c>
    </row>
    <row r="71" spans="1:10" s="197" customFormat="1" x14ac:dyDescent="0.2">
      <c r="A71" s="197" t="s">
        <v>4287</v>
      </c>
      <c r="B71" s="197" t="s">
        <v>225</v>
      </c>
      <c r="C71" s="197" t="s">
        <v>1397</v>
      </c>
      <c r="D71" s="197" t="s">
        <v>56</v>
      </c>
      <c r="E71" s="197" t="s">
        <v>204</v>
      </c>
      <c r="F71" s="198">
        <v>34417.83</v>
      </c>
      <c r="G71" s="198">
        <f>CPU_ABERTA_FINAL!R339</f>
        <v>34417.835996655136</v>
      </c>
      <c r="H71" s="198">
        <f t="shared" si="4"/>
        <v>-5.9966551343677565E-3</v>
      </c>
      <c r="I71" s="197" t="str">
        <f t="shared" si="5"/>
        <v>OK - FECHA</v>
      </c>
      <c r="J71" s="197" t="s">
        <v>4289</v>
      </c>
    </row>
    <row r="72" spans="1:10" s="197" customFormat="1" x14ac:dyDescent="0.2">
      <c r="A72" s="197" t="s">
        <v>4291</v>
      </c>
      <c r="B72" s="197" t="s">
        <v>420</v>
      </c>
      <c r="C72" s="197" t="s">
        <v>1499</v>
      </c>
      <c r="D72" s="197" t="s">
        <v>56</v>
      </c>
      <c r="E72" s="197" t="s">
        <v>1500</v>
      </c>
      <c r="F72" s="198">
        <v>34138.57</v>
      </c>
      <c r="G72" s="198">
        <f>CPU_ABERTA_FINAL!R343</f>
        <v>34138.571312295746</v>
      </c>
      <c r="H72" s="198">
        <f t="shared" si="4"/>
        <v>-1.312295746174641E-3</v>
      </c>
      <c r="I72" s="197" t="str">
        <f t="shared" si="5"/>
        <v>OK - FECHA</v>
      </c>
      <c r="J72" s="197" t="s">
        <v>4293</v>
      </c>
    </row>
    <row r="73" spans="1:10" s="197" customFormat="1" x14ac:dyDescent="0.2">
      <c r="A73" s="197" t="s">
        <v>4295</v>
      </c>
      <c r="B73" s="197" t="s">
        <v>207</v>
      </c>
      <c r="C73" s="197" t="s">
        <v>208</v>
      </c>
      <c r="D73" s="197" t="s">
        <v>209</v>
      </c>
      <c r="E73" s="197" t="s">
        <v>210</v>
      </c>
      <c r="F73" s="198">
        <v>33517.730000000003</v>
      </c>
      <c r="G73" s="198">
        <f>CPU_ABERTA_FINAL!R348</f>
        <v>33517.730413423204</v>
      </c>
      <c r="H73" s="198">
        <f t="shared" si="4"/>
        <v>-4.1342320037074387E-4</v>
      </c>
      <c r="I73" s="197" t="str">
        <f t="shared" si="5"/>
        <v>OK - FECHA</v>
      </c>
      <c r="J73" s="197" t="s">
        <v>4297</v>
      </c>
    </row>
    <row r="74" spans="1:10" s="197" customFormat="1" x14ac:dyDescent="0.2">
      <c r="A74" s="197" t="s">
        <v>4299</v>
      </c>
      <c r="B74" s="197" t="s">
        <v>174</v>
      </c>
      <c r="C74" s="197" t="s">
        <v>1378</v>
      </c>
      <c r="D74" s="197" t="s">
        <v>56</v>
      </c>
      <c r="E74" s="197" t="s">
        <v>175</v>
      </c>
      <c r="F74" s="198">
        <v>31177.52</v>
      </c>
      <c r="G74" s="198">
        <f>CPU_ABERTA_FINAL!R353</f>
        <v>31177.522278696964</v>
      </c>
      <c r="H74" s="198">
        <f t="shared" si="4"/>
        <v>-2.2786969639128074E-3</v>
      </c>
      <c r="I74" s="197" t="str">
        <f t="shared" si="5"/>
        <v>OK - FECHA</v>
      </c>
      <c r="J74" s="197" t="s">
        <v>4301</v>
      </c>
    </row>
    <row r="75" spans="1:10" s="197" customFormat="1" x14ac:dyDescent="0.2">
      <c r="A75" s="197" t="s">
        <v>4303</v>
      </c>
      <c r="B75" s="197" t="s">
        <v>64</v>
      </c>
      <c r="C75" s="197" t="s">
        <v>1335</v>
      </c>
      <c r="D75" s="197" t="s">
        <v>56</v>
      </c>
      <c r="E75" s="197" t="s">
        <v>1336</v>
      </c>
      <c r="F75" s="198">
        <v>31104</v>
      </c>
      <c r="G75" s="198">
        <f>CPU_ABERTA_FINAL!R357</f>
        <v>31104.000352860003</v>
      </c>
      <c r="H75" s="198">
        <f t="shared" si="4"/>
        <v>-3.5286000274936669E-4</v>
      </c>
      <c r="I75" s="197" t="str">
        <f t="shared" si="5"/>
        <v>OK - FECHA</v>
      </c>
      <c r="J75" s="197" t="s">
        <v>4305</v>
      </c>
    </row>
    <row r="76" spans="1:10" s="197" customFormat="1" x14ac:dyDescent="0.2">
      <c r="A76" s="197" t="s">
        <v>4307</v>
      </c>
      <c r="B76" s="197" t="s">
        <v>142</v>
      </c>
      <c r="C76" s="197" t="s">
        <v>1364</v>
      </c>
      <c r="D76" s="197" t="s">
        <v>56</v>
      </c>
      <c r="E76" s="197" t="s">
        <v>143</v>
      </c>
      <c r="F76" s="198">
        <v>30113.55</v>
      </c>
      <c r="G76" s="198">
        <f>CPU_ABERTA_FINAL!R362</f>
        <v>30113.550981197161</v>
      </c>
      <c r="H76" s="198">
        <f t="shared" si="4"/>
        <v>-9.811971613089554E-4</v>
      </c>
      <c r="I76" s="197" t="str">
        <f t="shared" si="5"/>
        <v>OK - FECHA</v>
      </c>
      <c r="J76" s="197" t="s">
        <v>4310</v>
      </c>
    </row>
    <row r="77" spans="1:10" s="197" customFormat="1" x14ac:dyDescent="0.2">
      <c r="A77" s="197" t="s">
        <v>4315</v>
      </c>
      <c r="B77" s="197" t="s">
        <v>109</v>
      </c>
      <c r="C77" s="197" t="s">
        <v>1352</v>
      </c>
      <c r="D77" s="197" t="s">
        <v>24</v>
      </c>
      <c r="E77" s="197" t="s">
        <v>111</v>
      </c>
      <c r="F77" s="198">
        <v>29372.17</v>
      </c>
      <c r="G77" s="198">
        <f>CPU_ABERTA_FINAL!R368</f>
        <v>29372.175112812005</v>
      </c>
      <c r="H77" s="198">
        <f t="shared" si="4"/>
        <v>-5.1128120067005511E-3</v>
      </c>
      <c r="I77" s="197" t="str">
        <f t="shared" si="5"/>
        <v>OK - FECHA</v>
      </c>
      <c r="J77" s="197" t="s">
        <v>4317</v>
      </c>
    </row>
    <row r="78" spans="1:10" s="197" customFormat="1" x14ac:dyDescent="0.2">
      <c r="A78" s="197" t="s">
        <v>4319</v>
      </c>
      <c r="B78" s="197" t="s">
        <v>219</v>
      </c>
      <c r="C78" s="197" t="s">
        <v>1395</v>
      </c>
      <c r="D78" s="197" t="s">
        <v>56</v>
      </c>
      <c r="E78" s="197" t="s">
        <v>200</v>
      </c>
      <c r="F78" s="198">
        <v>28476.48</v>
      </c>
      <c r="G78" s="198">
        <f>CPU_ABERTA_FINAL!R373</f>
        <v>28476.486896264552</v>
      </c>
      <c r="H78" s="198">
        <f t="shared" si="4"/>
        <v>-6.8962645527790301E-3</v>
      </c>
      <c r="I78" s="197" t="str">
        <f t="shared" si="5"/>
        <v>OK - FECHA</v>
      </c>
      <c r="J78" s="197" t="s">
        <v>4321</v>
      </c>
    </row>
    <row r="79" spans="1:10" s="197" customFormat="1" x14ac:dyDescent="0.2">
      <c r="A79" s="197" t="s">
        <v>4323</v>
      </c>
      <c r="B79" s="197" t="s">
        <v>454</v>
      </c>
      <c r="C79" s="197" t="s">
        <v>1513</v>
      </c>
      <c r="D79" s="197" t="s">
        <v>335</v>
      </c>
      <c r="E79" s="197" t="s">
        <v>455</v>
      </c>
      <c r="F79" s="198">
        <v>27999.84</v>
      </c>
      <c r="G79" s="198">
        <f>CPU_ABERTA_FINAL!R378</f>
        <v>27999.840006286497</v>
      </c>
      <c r="H79" s="198">
        <f t="shared" si="4"/>
        <v>-6.2864965002518147E-6</v>
      </c>
      <c r="I79" s="197" t="str">
        <f t="shared" si="5"/>
        <v>OK - FECHA</v>
      </c>
      <c r="J79" s="197" t="s">
        <v>4325</v>
      </c>
    </row>
    <row r="80" spans="1:10" s="197" customFormat="1" x14ac:dyDescent="0.2">
      <c r="A80" s="197" t="s">
        <v>4327</v>
      </c>
      <c r="B80" s="197" t="s">
        <v>1390</v>
      </c>
      <c r="C80" s="197" t="s">
        <v>1391</v>
      </c>
      <c r="D80" s="197" t="s">
        <v>56</v>
      </c>
      <c r="E80" s="197" t="s">
        <v>192</v>
      </c>
      <c r="F80" s="198">
        <v>27737.439999999999</v>
      </c>
      <c r="G80" s="198">
        <f>CPU_ABERTA_FINAL!R383</f>
        <v>27737.448958464876</v>
      </c>
      <c r="H80" s="198">
        <f t="shared" si="4"/>
        <v>-8.9584648776508402E-3</v>
      </c>
      <c r="I80" s="197" t="str">
        <f t="shared" si="5"/>
        <v>OK - FECHA</v>
      </c>
      <c r="J80" s="197" t="s">
        <v>4329</v>
      </c>
    </row>
    <row r="81" spans="1:10" s="197" customFormat="1" x14ac:dyDescent="0.2">
      <c r="A81" s="197" t="s">
        <v>4331</v>
      </c>
      <c r="B81" s="197" t="s">
        <v>456</v>
      </c>
      <c r="C81" s="197" t="s">
        <v>457</v>
      </c>
      <c r="D81" s="197" t="s">
        <v>209</v>
      </c>
      <c r="E81" s="197" t="s">
        <v>458</v>
      </c>
      <c r="F81" s="198">
        <v>27021.39</v>
      </c>
      <c r="G81" s="198">
        <f>CPU_ABERTA_FINAL!R387</f>
        <v>27021.390002803899</v>
      </c>
      <c r="H81" s="198">
        <f t="shared" si="4"/>
        <v>-2.8038994059897959E-6</v>
      </c>
      <c r="I81" s="197" t="str">
        <f t="shared" si="5"/>
        <v>OK - FECHA</v>
      </c>
      <c r="J81" s="197" t="s">
        <v>4333</v>
      </c>
    </row>
    <row r="82" spans="1:10" s="197" customFormat="1" x14ac:dyDescent="0.2">
      <c r="A82" s="197" t="s">
        <v>4335</v>
      </c>
      <c r="B82" s="197" t="s">
        <v>181</v>
      </c>
      <c r="C82" s="197" t="s">
        <v>1381</v>
      </c>
      <c r="D82" s="197" t="s">
        <v>56</v>
      </c>
      <c r="E82" s="197" t="s">
        <v>1382</v>
      </c>
      <c r="F82" s="198">
        <v>26070.94</v>
      </c>
      <c r="G82" s="198">
        <f>CPU_ABERTA_FINAL!R392</f>
        <v>26070.942864917335</v>
      </c>
      <c r="H82" s="198">
        <f t="shared" si="4"/>
        <v>-2.8649173364101443E-3</v>
      </c>
      <c r="I82" s="197" t="str">
        <f t="shared" si="5"/>
        <v>OK - FECHA</v>
      </c>
      <c r="J82" s="197" t="s">
        <v>4337</v>
      </c>
    </row>
    <row r="83" spans="1:10" s="197" customFormat="1" x14ac:dyDescent="0.2">
      <c r="A83" s="197" t="s">
        <v>4339</v>
      </c>
      <c r="B83" s="197" t="s">
        <v>176</v>
      </c>
      <c r="C83" s="197" t="s">
        <v>1379</v>
      </c>
      <c r="D83" s="197" t="s">
        <v>56</v>
      </c>
      <c r="E83" s="197" t="s">
        <v>177</v>
      </c>
      <c r="F83" s="198">
        <v>25125.84</v>
      </c>
      <c r="G83" s="198">
        <f>CPU_ABERTA_FINAL!R397</f>
        <v>25125.845587200529</v>
      </c>
      <c r="H83" s="198">
        <f t="shared" si="4"/>
        <v>-5.5872005286801141E-3</v>
      </c>
      <c r="I83" s="197" t="str">
        <f t="shared" si="5"/>
        <v>OK - FECHA</v>
      </c>
      <c r="J83" s="197" t="s">
        <v>4341</v>
      </c>
    </row>
    <row r="84" spans="1:10" s="197" customFormat="1" x14ac:dyDescent="0.2">
      <c r="A84" s="197" t="s">
        <v>4343</v>
      </c>
      <c r="B84" s="197" t="s">
        <v>823</v>
      </c>
      <c r="C84" s="197" t="s">
        <v>824</v>
      </c>
      <c r="D84" s="197" t="s">
        <v>209</v>
      </c>
      <c r="E84" s="197" t="s">
        <v>825</v>
      </c>
      <c r="F84" s="198">
        <v>24600.91</v>
      </c>
      <c r="G84" s="198">
        <f>CPU_ABERTA_FINAL!R402</f>
        <v>24600.915001155605</v>
      </c>
      <c r="H84" s="198">
        <f t="shared" si="4"/>
        <v>-5.0011556049867067E-3</v>
      </c>
      <c r="I84" s="197" t="str">
        <f t="shared" si="5"/>
        <v>OK - FECHA</v>
      </c>
      <c r="J84" s="197" t="s">
        <v>4345</v>
      </c>
    </row>
    <row r="85" spans="1:10" s="197" customFormat="1" x14ac:dyDescent="0.2">
      <c r="A85" s="197" t="s">
        <v>4347</v>
      </c>
      <c r="B85" s="197" t="s">
        <v>450</v>
      </c>
      <c r="C85" s="197" t="s">
        <v>1511</v>
      </c>
      <c r="D85" s="197" t="s">
        <v>56</v>
      </c>
      <c r="E85" s="197" t="s">
        <v>451</v>
      </c>
      <c r="F85" s="198">
        <v>23533.18</v>
      </c>
      <c r="G85" s="198">
        <f>CPU_ABERTA_FINAL!R407</f>
        <v>23533.185015470001</v>
      </c>
      <c r="H85" s="198">
        <f t="shared" si="4"/>
        <v>-5.0154700002167374E-3</v>
      </c>
      <c r="I85" s="197" t="str">
        <f t="shared" si="5"/>
        <v>OK - FECHA</v>
      </c>
      <c r="J85" s="197" t="s">
        <v>4349</v>
      </c>
    </row>
    <row r="86" spans="1:10" s="197" customFormat="1" x14ac:dyDescent="0.2">
      <c r="A86" s="197" t="s">
        <v>4351</v>
      </c>
      <c r="B86" s="197" t="s">
        <v>2211</v>
      </c>
      <c r="C86" s="197" t="s">
        <v>2212</v>
      </c>
      <c r="D86" s="197" t="s">
        <v>56</v>
      </c>
      <c r="E86" s="197" t="s">
        <v>1090</v>
      </c>
      <c r="F86" s="198">
        <v>23164.81</v>
      </c>
      <c r="G86" s="198">
        <f>CPU_ABERTA_FINAL!R412</f>
        <v>23164.811219084473</v>
      </c>
      <c r="H86" s="198">
        <f t="shared" si="4"/>
        <v>-1.2190844718134031E-3</v>
      </c>
      <c r="I86" s="197" t="str">
        <f t="shared" si="5"/>
        <v>OK - FECHA</v>
      </c>
      <c r="J86" s="197" t="s">
        <v>4353</v>
      </c>
    </row>
    <row r="87" spans="1:10" s="197" customFormat="1" x14ac:dyDescent="0.2">
      <c r="A87" s="197" t="s">
        <v>4355</v>
      </c>
      <c r="B87" s="197" t="s">
        <v>1942</v>
      </c>
      <c r="C87" s="197" t="s">
        <v>1943</v>
      </c>
      <c r="D87" s="197" t="s">
        <v>56</v>
      </c>
      <c r="E87" s="197" t="s">
        <v>891</v>
      </c>
      <c r="F87" s="198">
        <v>22424.34</v>
      </c>
      <c r="G87" s="198">
        <f>CPU_ABERTA_FINAL!R417</f>
        <v>22424.339999095402</v>
      </c>
      <c r="H87" s="198">
        <f t="shared" si="4"/>
        <v>9.0459798229858279E-7</v>
      </c>
      <c r="I87" s="197" t="str">
        <f t="shared" si="5"/>
        <v>OK - FECHA</v>
      </c>
      <c r="J87" s="197" t="s">
        <v>4357</v>
      </c>
    </row>
    <row r="88" spans="1:10" s="197" customFormat="1" x14ac:dyDescent="0.2">
      <c r="A88" s="197" t="s">
        <v>4359</v>
      </c>
      <c r="B88" s="197" t="s">
        <v>78</v>
      </c>
      <c r="C88" s="197" t="s">
        <v>1341</v>
      </c>
      <c r="D88" s="197" t="s">
        <v>24</v>
      </c>
      <c r="E88" s="197" t="s">
        <v>80</v>
      </c>
      <c r="F88" s="198">
        <v>22252.85</v>
      </c>
      <c r="G88" s="198">
        <f>CPU_ABERTA_FINAL!R422</f>
        <v>22252.857167041486</v>
      </c>
      <c r="H88" s="198">
        <f t="shared" si="4"/>
        <v>-7.1670414872642141E-3</v>
      </c>
      <c r="I88" s="197" t="str">
        <f t="shared" si="5"/>
        <v>OK - FECHA</v>
      </c>
      <c r="J88" s="197" t="s">
        <v>4361</v>
      </c>
    </row>
    <row r="89" spans="1:10" s="197" customFormat="1" x14ac:dyDescent="0.2">
      <c r="A89" s="197" t="s">
        <v>4363</v>
      </c>
      <c r="B89" s="197" t="s">
        <v>103</v>
      </c>
      <c r="C89" s="197" t="s">
        <v>1350</v>
      </c>
      <c r="D89" s="197" t="s">
        <v>56</v>
      </c>
      <c r="E89" s="197" t="s">
        <v>1351</v>
      </c>
      <c r="F89" s="198">
        <v>21354.06</v>
      </c>
      <c r="G89" s="198">
        <f>CPU_ABERTA_FINAL!R427</f>
        <v>21354.059955810404</v>
      </c>
      <c r="H89" s="198">
        <f t="shared" si="4"/>
        <v>4.4189597247168422E-5</v>
      </c>
      <c r="I89" s="197" t="str">
        <f t="shared" si="5"/>
        <v>OK - FECHA</v>
      </c>
      <c r="J89" s="197" t="s">
        <v>4365</v>
      </c>
    </row>
    <row r="90" spans="1:10" s="197" customFormat="1" x14ac:dyDescent="0.2">
      <c r="A90" s="197" t="s">
        <v>4367</v>
      </c>
      <c r="B90" s="197" t="s">
        <v>256</v>
      </c>
      <c r="C90" s="197" t="s">
        <v>1426</v>
      </c>
      <c r="D90" s="197" t="s">
        <v>24</v>
      </c>
      <c r="E90" s="197" t="s">
        <v>1427</v>
      </c>
      <c r="F90" s="198">
        <v>21286.52</v>
      </c>
      <c r="G90" s="198">
        <f>CPU_ABERTA_FINAL!R432</f>
        <v>21286.529735540644</v>
      </c>
      <c r="H90" s="198">
        <f t="shared" si="4"/>
        <v>-9.7355406433052849E-3</v>
      </c>
      <c r="I90" s="197" t="str">
        <f t="shared" si="5"/>
        <v>OK - FECHA</v>
      </c>
      <c r="J90" s="197" t="s">
        <v>4369</v>
      </c>
    </row>
    <row r="91" spans="1:10" s="197" customFormat="1" x14ac:dyDescent="0.2">
      <c r="A91" s="197" t="s">
        <v>4371</v>
      </c>
      <c r="B91" s="197" t="s">
        <v>1940</v>
      </c>
      <c r="C91" s="197" t="s">
        <v>1941</v>
      </c>
      <c r="D91" s="197" t="s">
        <v>56</v>
      </c>
      <c r="E91" s="197" t="s">
        <v>889</v>
      </c>
      <c r="F91" s="198">
        <v>21089.11</v>
      </c>
      <c r="G91" s="198">
        <f>CPU_ABERTA_FINAL!R437</f>
        <v>21089.114999860798</v>
      </c>
      <c r="H91" s="198">
        <f t="shared" si="4"/>
        <v>-4.9998607973975595E-3</v>
      </c>
      <c r="I91" s="197" t="str">
        <f t="shared" si="5"/>
        <v>OK - FECHA</v>
      </c>
      <c r="J91" s="197" t="s">
        <v>4373</v>
      </c>
    </row>
    <row r="92" spans="1:10" s="197" customFormat="1" x14ac:dyDescent="0.2">
      <c r="A92" s="197" t="s">
        <v>4375</v>
      </c>
      <c r="B92" s="197" t="s">
        <v>203</v>
      </c>
      <c r="C92" s="197" t="s">
        <v>1397</v>
      </c>
      <c r="D92" s="197" t="s">
        <v>56</v>
      </c>
      <c r="E92" s="197" t="s">
        <v>204</v>
      </c>
      <c r="F92" s="198">
        <v>20850.169999999998</v>
      </c>
      <c r="G92" s="198">
        <f>CPU_ABERTA_FINAL!R442</f>
        <v>20850.170129454036</v>
      </c>
      <c r="H92" s="198">
        <f t="shared" si="4"/>
        <v>-1.294540379603859E-4</v>
      </c>
      <c r="I92" s="197" t="str">
        <f t="shared" si="5"/>
        <v>OK - FECHA</v>
      </c>
      <c r="J92" s="197" t="s">
        <v>4376</v>
      </c>
    </row>
    <row r="93" spans="1:10" s="197" customFormat="1" x14ac:dyDescent="0.2">
      <c r="A93" s="197" t="s">
        <v>4377</v>
      </c>
      <c r="B93" s="197" t="s">
        <v>2021</v>
      </c>
      <c r="C93" s="197" t="s">
        <v>2022</v>
      </c>
      <c r="D93" s="197" t="s">
        <v>24</v>
      </c>
      <c r="E93" s="197" t="s">
        <v>956</v>
      </c>
      <c r="F93" s="198">
        <v>20613.66</v>
      </c>
      <c r="G93" s="198">
        <f>CPU_ABERTA_FINAL!R447</f>
        <v>20613.663780854953</v>
      </c>
      <c r="H93" s="198">
        <f t="shared" si="4"/>
        <v>-3.7808549532201141E-3</v>
      </c>
      <c r="I93" s="197" t="str">
        <f t="shared" si="5"/>
        <v>OK - FECHA</v>
      </c>
      <c r="J93" s="197" t="s">
        <v>4379</v>
      </c>
    </row>
    <row r="94" spans="1:10" s="197" customFormat="1" x14ac:dyDescent="0.2">
      <c r="A94" s="197" t="s">
        <v>4381</v>
      </c>
      <c r="B94" s="197" t="s">
        <v>100</v>
      </c>
      <c r="C94" s="197" t="s">
        <v>1349</v>
      </c>
      <c r="D94" s="197" t="s">
        <v>56</v>
      </c>
      <c r="E94" s="197" t="s">
        <v>101</v>
      </c>
      <c r="F94" s="198">
        <v>20017.72</v>
      </c>
      <c r="G94" s="198">
        <f>CPU_ABERTA_FINAL!R452</f>
        <v>20017.724673036999</v>
      </c>
      <c r="H94" s="198">
        <f t="shared" si="4"/>
        <v>-4.6730369977012742E-3</v>
      </c>
      <c r="I94" s="197" t="str">
        <f t="shared" si="5"/>
        <v>OK - FECHA</v>
      </c>
      <c r="J94" s="197" t="s">
        <v>4383</v>
      </c>
    </row>
    <row r="95" spans="1:10" s="197" customFormat="1" x14ac:dyDescent="0.2">
      <c r="A95" s="197" t="s">
        <v>4385</v>
      </c>
      <c r="B95" s="197" t="s">
        <v>550</v>
      </c>
      <c r="C95" s="197" t="s">
        <v>551</v>
      </c>
      <c r="D95" s="197" t="s">
        <v>209</v>
      </c>
      <c r="E95" s="197" t="s">
        <v>552</v>
      </c>
      <c r="F95" s="198">
        <v>18176.43</v>
      </c>
      <c r="G95" s="198">
        <f>CPU_ABERTA_FINAL!R457</f>
        <v>18176.431719748958</v>
      </c>
      <c r="H95" s="198">
        <f t="shared" si="4"/>
        <v>-1.7197489578393288E-3</v>
      </c>
      <c r="I95" s="197" t="str">
        <f t="shared" si="5"/>
        <v>OK - FECHA</v>
      </c>
      <c r="J95" s="197" t="s">
        <v>4387</v>
      </c>
    </row>
    <row r="96" spans="1:10" s="197" customFormat="1" x14ac:dyDescent="0.2">
      <c r="A96" s="197" t="s">
        <v>4389</v>
      </c>
      <c r="B96" s="197" t="s">
        <v>543</v>
      </c>
      <c r="C96" s="197" t="s">
        <v>544</v>
      </c>
      <c r="D96" s="197" t="s">
        <v>209</v>
      </c>
      <c r="E96" s="197" t="s">
        <v>1557</v>
      </c>
      <c r="F96" s="198">
        <v>17011.36</v>
      </c>
      <c r="G96" s="198">
        <f>CPU_ABERTA_FINAL!R462</f>
        <v>17011.361689826619</v>
      </c>
      <c r="H96" s="198">
        <f t="shared" si="4"/>
        <v>-1.6898266185307875E-3</v>
      </c>
      <c r="I96" s="197" t="str">
        <f t="shared" si="5"/>
        <v>OK - FECHA</v>
      </c>
      <c r="J96" s="197" t="s">
        <v>4391</v>
      </c>
    </row>
    <row r="97" spans="1:10" s="197" customFormat="1" x14ac:dyDescent="0.2">
      <c r="A97" s="197" t="s">
        <v>4393</v>
      </c>
      <c r="B97" s="197" t="s">
        <v>1523</v>
      </c>
      <c r="C97" s="197" t="s">
        <v>470</v>
      </c>
      <c r="D97" s="197" t="s">
        <v>209</v>
      </c>
      <c r="E97" s="197" t="s">
        <v>471</v>
      </c>
      <c r="F97" s="198">
        <v>16601.759999999998</v>
      </c>
      <c r="G97" s="198">
        <f>CPU_ABERTA_FINAL!R467</f>
        <v>16601.760000410402</v>
      </c>
      <c r="H97" s="198">
        <f t="shared" si="4"/>
        <v>-4.1040402720682323E-7</v>
      </c>
      <c r="I97" s="197" t="str">
        <f t="shared" si="5"/>
        <v>OK - FECHA</v>
      </c>
      <c r="J97" s="197" t="s">
        <v>4395</v>
      </c>
    </row>
    <row r="98" spans="1:10" s="197" customFormat="1" x14ac:dyDescent="0.2">
      <c r="A98" s="197" t="s">
        <v>4397</v>
      </c>
      <c r="B98" s="197" t="s">
        <v>2201</v>
      </c>
      <c r="C98" s="197" t="s">
        <v>1081</v>
      </c>
      <c r="D98" s="197" t="s">
        <v>209</v>
      </c>
      <c r="E98" s="197" t="s">
        <v>1082</v>
      </c>
      <c r="F98" s="198">
        <v>13872.58</v>
      </c>
      <c r="G98" s="198">
        <f>CPU_ABERTA_FINAL!R472</f>
        <v>13872.589665505408</v>
      </c>
      <c r="H98" s="198">
        <f t="shared" si="4"/>
        <v>-9.6655054076109082E-3</v>
      </c>
      <c r="I98" s="197" t="str">
        <f t="shared" si="5"/>
        <v>OK - FECHA</v>
      </c>
      <c r="J98" s="197" t="s">
        <v>4399</v>
      </c>
    </row>
    <row r="99" spans="1:10" s="197" customFormat="1" x14ac:dyDescent="0.2">
      <c r="A99" s="197" t="s">
        <v>4401</v>
      </c>
      <c r="B99" s="197" t="s">
        <v>2167</v>
      </c>
      <c r="C99" s="197" t="s">
        <v>1051</v>
      </c>
      <c r="D99" s="197" t="s">
        <v>209</v>
      </c>
      <c r="E99" s="197" t="s">
        <v>1052</v>
      </c>
      <c r="F99" s="198">
        <v>13175.08</v>
      </c>
      <c r="G99" s="198">
        <f>CPU_ABERTA_FINAL!R477</f>
        <v>13175.0850193732</v>
      </c>
      <c r="H99" s="198">
        <f t="shared" ref="H99:H130" si="6">F99-G99</f>
        <v>-5.0193732004117919E-3</v>
      </c>
      <c r="I99" s="197" t="str">
        <f t="shared" ref="I99:I130" si="7">IF(ABS(H99)&lt;=1,"OK - FECHA","REVISAR")</f>
        <v>OK - FECHA</v>
      </c>
      <c r="J99" s="197" t="s">
        <v>4403</v>
      </c>
    </row>
    <row r="100" spans="1:10" s="197" customFormat="1" x14ac:dyDescent="0.2">
      <c r="A100" s="197" t="s">
        <v>4405</v>
      </c>
      <c r="B100" s="197" t="s">
        <v>1434</v>
      </c>
      <c r="C100" s="197" t="s">
        <v>236</v>
      </c>
      <c r="D100" s="197" t="s">
        <v>209</v>
      </c>
      <c r="E100" s="197" t="s">
        <v>271</v>
      </c>
      <c r="F100" s="198">
        <v>12971.88</v>
      </c>
      <c r="G100" s="198">
        <f>CPU_ABERTA_FINAL!R482</f>
        <v>12971.881471810084</v>
      </c>
      <c r="H100" s="198">
        <f t="shared" si="6"/>
        <v>-1.4718100846948801E-3</v>
      </c>
      <c r="I100" s="197" t="str">
        <f t="shared" si="7"/>
        <v>OK - FECHA</v>
      </c>
      <c r="J100" s="197" t="s">
        <v>4406</v>
      </c>
    </row>
    <row r="101" spans="1:10" s="197" customFormat="1" x14ac:dyDescent="0.2">
      <c r="A101" s="197" t="s">
        <v>4407</v>
      </c>
      <c r="B101" s="197" t="s">
        <v>1952</v>
      </c>
      <c r="C101" s="197" t="s">
        <v>1953</v>
      </c>
      <c r="D101" s="197" t="s">
        <v>209</v>
      </c>
      <c r="E101" s="197" t="s">
        <v>1954</v>
      </c>
      <c r="F101" s="198">
        <v>12812.73</v>
      </c>
      <c r="G101" s="198">
        <f>CPU_ABERTA_FINAL!R487</f>
        <v>12812.730000440301</v>
      </c>
      <c r="H101" s="198">
        <f t="shared" si="6"/>
        <v>-4.4030093704350293E-7</v>
      </c>
      <c r="I101" s="197" t="str">
        <f t="shared" si="7"/>
        <v>OK - FECHA</v>
      </c>
      <c r="J101" s="197" t="s">
        <v>4409</v>
      </c>
    </row>
    <row r="102" spans="1:10" s="197" customFormat="1" x14ac:dyDescent="0.2">
      <c r="A102" s="197" t="s">
        <v>4411</v>
      </c>
      <c r="B102" s="197" t="s">
        <v>537</v>
      </c>
      <c r="C102" s="197" t="s">
        <v>538</v>
      </c>
      <c r="D102" s="197" t="s">
        <v>209</v>
      </c>
      <c r="E102" s="197" t="s">
        <v>539</v>
      </c>
      <c r="F102" s="198">
        <v>12775.86</v>
      </c>
      <c r="G102" s="198">
        <f>CPU_ABERTA_FINAL!R492</f>
        <v>12775.866254248815</v>
      </c>
      <c r="H102" s="198">
        <f t="shared" si="6"/>
        <v>-6.2542488140024943E-3</v>
      </c>
      <c r="I102" s="197" t="str">
        <f t="shared" si="7"/>
        <v>OK - FECHA</v>
      </c>
      <c r="J102" s="197" t="s">
        <v>4413</v>
      </c>
    </row>
    <row r="103" spans="1:10" s="197" customFormat="1" x14ac:dyDescent="0.2">
      <c r="A103" s="197" t="s">
        <v>4415</v>
      </c>
      <c r="B103" s="197" t="s">
        <v>1439</v>
      </c>
      <c r="C103" s="197" t="s">
        <v>236</v>
      </c>
      <c r="D103" s="197" t="s">
        <v>209</v>
      </c>
      <c r="E103" s="197" t="s">
        <v>271</v>
      </c>
      <c r="F103" s="198">
        <v>11829.55</v>
      </c>
      <c r="G103" s="198">
        <f>CPU_ABERTA_FINAL!R497</f>
        <v>11829.554806650684</v>
      </c>
      <c r="H103" s="198">
        <f t="shared" si="6"/>
        <v>-4.8066506842587842E-3</v>
      </c>
      <c r="I103" s="197" t="str">
        <f t="shared" si="7"/>
        <v>OK - FECHA</v>
      </c>
      <c r="J103" s="197" t="s">
        <v>4416</v>
      </c>
    </row>
    <row r="104" spans="1:10" s="197" customFormat="1" x14ac:dyDescent="0.2">
      <c r="A104" s="197" t="s">
        <v>4417</v>
      </c>
      <c r="B104" s="197" t="s">
        <v>321</v>
      </c>
      <c r="C104" s="197" t="s">
        <v>322</v>
      </c>
      <c r="D104" s="197" t="s">
        <v>209</v>
      </c>
      <c r="E104" s="197" t="s">
        <v>323</v>
      </c>
      <c r="F104" s="198">
        <v>11134.89</v>
      </c>
      <c r="G104" s="198">
        <f>CPU_ABERTA_FINAL!R502</f>
        <v>11134.89782672629</v>
      </c>
      <c r="H104" s="198">
        <f t="shared" si="6"/>
        <v>-7.8267262906592805E-3</v>
      </c>
      <c r="I104" s="197" t="str">
        <f t="shared" si="7"/>
        <v>OK - FECHA</v>
      </c>
      <c r="J104" s="197" t="s">
        <v>4419</v>
      </c>
    </row>
    <row r="105" spans="1:10" s="197" customFormat="1" x14ac:dyDescent="0.2">
      <c r="A105" s="197" t="s">
        <v>4421</v>
      </c>
      <c r="B105" s="197" t="s">
        <v>514</v>
      </c>
      <c r="C105" s="197" t="s">
        <v>515</v>
      </c>
      <c r="D105" s="197" t="s">
        <v>209</v>
      </c>
      <c r="E105" s="197" t="s">
        <v>516</v>
      </c>
      <c r="F105" s="198">
        <v>10091.19</v>
      </c>
      <c r="G105" s="198">
        <f>CPU_ABERTA_FINAL!R507</f>
        <v>10091.1974998066</v>
      </c>
      <c r="H105" s="198">
        <f t="shared" si="6"/>
        <v>-7.4998065992986085E-3</v>
      </c>
      <c r="I105" s="197" t="str">
        <f t="shared" si="7"/>
        <v>OK - FECHA</v>
      </c>
      <c r="J105" s="197" t="s">
        <v>4423</v>
      </c>
    </row>
    <row r="106" spans="1:10" s="197" customFormat="1" x14ac:dyDescent="0.2">
      <c r="A106" s="197" t="s">
        <v>4425</v>
      </c>
      <c r="B106" s="197" t="s">
        <v>1526</v>
      </c>
      <c r="C106" s="197" t="s">
        <v>474</v>
      </c>
      <c r="D106" s="197" t="s">
        <v>209</v>
      </c>
      <c r="E106" s="197" t="s">
        <v>475</v>
      </c>
      <c r="F106" s="198">
        <v>10030.64</v>
      </c>
      <c r="G106" s="198">
        <f>CPU_ABERTA_FINAL!R512</f>
        <v>10030.642500218499</v>
      </c>
      <c r="H106" s="198">
        <f t="shared" si="6"/>
        <v>-2.5002184993354604E-3</v>
      </c>
      <c r="I106" s="197" t="str">
        <f t="shared" si="7"/>
        <v>OK - FECHA</v>
      </c>
      <c r="J106" s="197" t="s">
        <v>4427</v>
      </c>
    </row>
    <row r="107" spans="1:10" s="197" customFormat="1" x14ac:dyDescent="0.2">
      <c r="A107" s="197" t="s">
        <v>4429</v>
      </c>
      <c r="B107" s="197" t="s">
        <v>1910</v>
      </c>
      <c r="C107" s="197" t="s">
        <v>856</v>
      </c>
      <c r="D107" s="197" t="s">
        <v>209</v>
      </c>
      <c r="E107" s="197" t="s">
        <v>857</v>
      </c>
      <c r="F107" s="198">
        <v>9792.3700000000008</v>
      </c>
      <c r="G107" s="198">
        <f>CPU_ABERTA_FINAL!R517</f>
        <v>9792.3749837050018</v>
      </c>
      <c r="H107" s="198">
        <f t="shared" si="6"/>
        <v>-4.9837050009955419E-3</v>
      </c>
      <c r="I107" s="197" t="str">
        <f t="shared" si="7"/>
        <v>OK - FECHA</v>
      </c>
      <c r="J107" s="197" t="s">
        <v>4431</v>
      </c>
    </row>
    <row r="108" spans="1:10" s="197" customFormat="1" x14ac:dyDescent="0.2">
      <c r="A108" s="197" t="s">
        <v>4433</v>
      </c>
      <c r="B108" s="197" t="s">
        <v>1911</v>
      </c>
      <c r="C108" s="197" t="s">
        <v>858</v>
      </c>
      <c r="D108" s="197" t="s">
        <v>209</v>
      </c>
      <c r="E108" s="197" t="s">
        <v>859</v>
      </c>
      <c r="F108" s="198">
        <v>9778.7999999999993</v>
      </c>
      <c r="G108" s="198">
        <f>CPU_ABERTA_FINAL!R522</f>
        <v>9778.7999854520003</v>
      </c>
      <c r="H108" s="198">
        <f t="shared" si="6"/>
        <v>1.4547998944181018E-5</v>
      </c>
      <c r="I108" s="197" t="str">
        <f t="shared" si="7"/>
        <v>OK - FECHA</v>
      </c>
      <c r="J108" s="197" t="s">
        <v>4435</v>
      </c>
    </row>
    <row r="109" spans="1:10" s="197" customFormat="1" x14ac:dyDescent="0.2">
      <c r="A109" s="197" t="s">
        <v>4437</v>
      </c>
      <c r="B109" s="197" t="s">
        <v>1435</v>
      </c>
      <c r="C109" s="197" t="s">
        <v>272</v>
      </c>
      <c r="D109" s="197" t="s">
        <v>209</v>
      </c>
      <c r="E109" s="197" t="s">
        <v>273</v>
      </c>
      <c r="F109" s="198">
        <v>9622.68</v>
      </c>
      <c r="G109" s="198">
        <f>CPU_ABERTA_FINAL!R527</f>
        <v>9622.6804855851351</v>
      </c>
      <c r="H109" s="198">
        <f t="shared" si="6"/>
        <v>-4.8558513481111731E-4</v>
      </c>
      <c r="I109" s="197" t="str">
        <f t="shared" si="7"/>
        <v>OK - FECHA</v>
      </c>
      <c r="J109" s="197" t="s">
        <v>4439</v>
      </c>
    </row>
    <row r="110" spans="1:10" s="197" customFormat="1" x14ac:dyDescent="0.2">
      <c r="A110" s="197" t="s">
        <v>4441</v>
      </c>
      <c r="B110" s="197" t="s">
        <v>1913</v>
      </c>
      <c r="C110" s="197" t="s">
        <v>862</v>
      </c>
      <c r="D110" s="197" t="s">
        <v>209</v>
      </c>
      <c r="E110" s="197" t="s">
        <v>863</v>
      </c>
      <c r="F110" s="198">
        <v>8332.35</v>
      </c>
      <c r="G110" s="198">
        <f>CPU_ABERTA_FINAL!R532</f>
        <v>8332.3499911579984</v>
      </c>
      <c r="H110" s="198">
        <f t="shared" si="6"/>
        <v>8.8420019892510027E-6</v>
      </c>
      <c r="I110" s="197" t="str">
        <f t="shared" si="7"/>
        <v>OK - FECHA</v>
      </c>
      <c r="J110" s="197" t="s">
        <v>4443</v>
      </c>
    </row>
    <row r="111" spans="1:10" s="197" customFormat="1" x14ac:dyDescent="0.2">
      <c r="A111" s="197" t="s">
        <v>4445</v>
      </c>
      <c r="B111" s="197" t="s">
        <v>1955</v>
      </c>
      <c r="C111" s="197" t="s">
        <v>907</v>
      </c>
      <c r="D111" s="197" t="s">
        <v>209</v>
      </c>
      <c r="E111" s="197" t="s">
        <v>908</v>
      </c>
      <c r="F111" s="198">
        <v>8206.94</v>
      </c>
      <c r="G111" s="198">
        <f>CPU_ABERTA_FINAL!R537</f>
        <v>8206.9425000779993</v>
      </c>
      <c r="H111" s="198">
        <f t="shared" si="6"/>
        <v>-2.5000779987749411E-3</v>
      </c>
      <c r="I111" s="197" t="str">
        <f t="shared" si="7"/>
        <v>OK - FECHA</v>
      </c>
      <c r="J111" s="197" t="s">
        <v>4447</v>
      </c>
    </row>
    <row r="112" spans="1:10" s="197" customFormat="1" x14ac:dyDescent="0.2">
      <c r="A112" s="197" t="s">
        <v>4449</v>
      </c>
      <c r="B112" s="197" t="s">
        <v>1993</v>
      </c>
      <c r="C112" s="197" t="s">
        <v>940</v>
      </c>
      <c r="D112" s="197" t="s">
        <v>209</v>
      </c>
      <c r="E112" s="197" t="s">
        <v>941</v>
      </c>
      <c r="F112" s="198">
        <v>7801.04</v>
      </c>
      <c r="G112" s="198">
        <f>CPU_ABERTA_FINAL!R542</f>
        <v>7801.0402269769829</v>
      </c>
      <c r="H112" s="198">
        <f t="shared" si="6"/>
        <v>-2.2697698295814916E-4</v>
      </c>
      <c r="I112" s="197" t="str">
        <f t="shared" si="7"/>
        <v>OK - FECHA</v>
      </c>
      <c r="J112" s="197" t="s">
        <v>4451</v>
      </c>
    </row>
    <row r="113" spans="1:10" s="197" customFormat="1" x14ac:dyDescent="0.2">
      <c r="A113" s="197" t="s">
        <v>4453</v>
      </c>
      <c r="B113" s="197" t="s">
        <v>1907</v>
      </c>
      <c r="C113" s="197" t="s">
        <v>852</v>
      </c>
      <c r="D113" s="197" t="s">
        <v>209</v>
      </c>
      <c r="E113" s="197" t="s">
        <v>1908</v>
      </c>
      <c r="F113" s="198">
        <v>7211.92</v>
      </c>
      <c r="G113" s="198">
        <f>CPU_ABERTA_FINAL!R547</f>
        <v>7211.9249681429983</v>
      </c>
      <c r="H113" s="198">
        <f t="shared" si="6"/>
        <v>-4.968142998222902E-3</v>
      </c>
      <c r="I113" s="197" t="str">
        <f t="shared" si="7"/>
        <v>OK - FECHA</v>
      </c>
      <c r="J113" s="197" t="s">
        <v>4455</v>
      </c>
    </row>
    <row r="114" spans="1:10" s="197" customFormat="1" x14ac:dyDescent="0.2">
      <c r="A114" s="197" t="s">
        <v>4457</v>
      </c>
      <c r="B114" s="197" t="s">
        <v>2076</v>
      </c>
      <c r="C114" s="197" t="s">
        <v>989</v>
      </c>
      <c r="D114" s="197" t="s">
        <v>209</v>
      </c>
      <c r="E114" s="197" t="s">
        <v>990</v>
      </c>
      <c r="F114" s="198">
        <v>6224.71</v>
      </c>
      <c r="G114" s="198">
        <f>CPU_ABERTA_FINAL!R552</f>
        <v>6224.7149996879998</v>
      </c>
      <c r="H114" s="198">
        <f t="shared" si="6"/>
        <v>-4.9996879997706856E-3</v>
      </c>
      <c r="I114" s="197" t="str">
        <f t="shared" si="7"/>
        <v>OK - FECHA</v>
      </c>
      <c r="J114" s="197" t="s">
        <v>4459</v>
      </c>
    </row>
    <row r="115" spans="1:10" s="197" customFormat="1" x14ac:dyDescent="0.2">
      <c r="A115" s="197" t="s">
        <v>4461</v>
      </c>
      <c r="B115" s="197" t="s">
        <v>2074</v>
      </c>
      <c r="C115" s="197" t="s">
        <v>987</v>
      </c>
      <c r="D115" s="197" t="s">
        <v>209</v>
      </c>
      <c r="E115" s="197" t="s">
        <v>2075</v>
      </c>
      <c r="F115" s="198">
        <v>5990.28</v>
      </c>
      <c r="G115" s="198">
        <f>CPU_ABERTA_FINAL!R557</f>
        <v>5990.2799999352992</v>
      </c>
      <c r="H115" s="198">
        <f t="shared" si="6"/>
        <v>6.4700543589424342E-8</v>
      </c>
      <c r="I115" s="197" t="str">
        <f t="shared" si="7"/>
        <v>OK - FECHA</v>
      </c>
      <c r="J115" s="197" t="s">
        <v>4463</v>
      </c>
    </row>
    <row r="116" spans="1:10" s="197" customFormat="1" x14ac:dyDescent="0.2">
      <c r="A116" s="197" t="s">
        <v>4465</v>
      </c>
      <c r="B116" s="197" t="s">
        <v>500</v>
      </c>
      <c r="C116" s="197" t="s">
        <v>1538</v>
      </c>
      <c r="D116" s="197" t="s">
        <v>209</v>
      </c>
      <c r="E116" s="197" t="s">
        <v>1539</v>
      </c>
      <c r="F116" s="198">
        <v>5901</v>
      </c>
      <c r="G116" s="198">
        <f>CPU_ABERTA_FINAL!R562</f>
        <v>5901.0074994306005</v>
      </c>
      <c r="H116" s="198">
        <f t="shared" si="6"/>
        <v>-7.499430600546475E-3</v>
      </c>
      <c r="I116" s="197" t="str">
        <f t="shared" si="7"/>
        <v>OK - FECHA</v>
      </c>
      <c r="J116" s="197" t="s">
        <v>4467</v>
      </c>
    </row>
    <row r="117" spans="1:10" s="197" customFormat="1" x14ac:dyDescent="0.2">
      <c r="A117" s="197" t="s">
        <v>4469</v>
      </c>
      <c r="B117" s="197" t="s">
        <v>368</v>
      </c>
      <c r="C117" s="197" t="s">
        <v>369</v>
      </c>
      <c r="D117" s="197" t="s">
        <v>209</v>
      </c>
      <c r="E117" s="197" t="s">
        <v>370</v>
      </c>
      <c r="F117" s="198">
        <v>5874.99</v>
      </c>
      <c r="G117" s="198">
        <f>CPU_ABERTA_FINAL!R567</f>
        <v>5874.9900840560249</v>
      </c>
      <c r="H117" s="198">
        <f t="shared" si="6"/>
        <v>-8.4056025116296951E-5</v>
      </c>
      <c r="I117" s="197" t="str">
        <f t="shared" si="7"/>
        <v>OK - FECHA</v>
      </c>
      <c r="J117" s="197" t="s">
        <v>4471</v>
      </c>
    </row>
    <row r="118" spans="1:10" s="197" customFormat="1" x14ac:dyDescent="0.2">
      <c r="A118" s="197" t="s">
        <v>4473</v>
      </c>
      <c r="B118" s="197" t="s">
        <v>287</v>
      </c>
      <c r="C118" s="197" t="s">
        <v>208</v>
      </c>
      <c r="D118" s="197" t="s">
        <v>209</v>
      </c>
      <c r="E118" s="197" t="s">
        <v>210</v>
      </c>
      <c r="F118" s="198">
        <v>4832.8100000000004</v>
      </c>
      <c r="G118" s="198">
        <f>CPU_ABERTA_FINAL!R572</f>
        <v>4832.8186519354504</v>
      </c>
      <c r="H118" s="198">
        <f t="shared" si="6"/>
        <v>-8.6519354499614565E-3</v>
      </c>
      <c r="I118" s="197" t="str">
        <f t="shared" si="7"/>
        <v>OK - FECHA</v>
      </c>
      <c r="J118" s="197" t="s">
        <v>4474</v>
      </c>
    </row>
    <row r="119" spans="1:10" s="197" customFormat="1" x14ac:dyDescent="0.2">
      <c r="A119" s="197" t="s">
        <v>4475</v>
      </c>
      <c r="B119" s="197" t="s">
        <v>2184</v>
      </c>
      <c r="C119" s="197" t="s">
        <v>2185</v>
      </c>
      <c r="D119" s="197" t="s">
        <v>209</v>
      </c>
      <c r="E119" s="197" t="s">
        <v>1068</v>
      </c>
      <c r="F119" s="198">
        <v>4553.26</v>
      </c>
      <c r="G119" s="198">
        <f>CPU_ABERTA_FINAL!R577</f>
        <v>4553.2687180817502</v>
      </c>
      <c r="H119" s="198">
        <f t="shared" si="6"/>
        <v>-8.7180817499756813E-3</v>
      </c>
      <c r="I119" s="197" t="str">
        <f t="shared" si="7"/>
        <v>OK - FECHA</v>
      </c>
      <c r="J119" s="197" t="s">
        <v>4477</v>
      </c>
    </row>
    <row r="120" spans="1:10" s="197" customFormat="1" x14ac:dyDescent="0.2">
      <c r="A120" s="197" t="s">
        <v>4479</v>
      </c>
      <c r="B120" s="197" t="s">
        <v>1909</v>
      </c>
      <c r="C120" s="197" t="s">
        <v>854</v>
      </c>
      <c r="D120" s="197" t="s">
        <v>209</v>
      </c>
      <c r="E120" s="197" t="s">
        <v>855</v>
      </c>
      <c r="F120" s="198">
        <v>4245.07</v>
      </c>
      <c r="G120" s="198">
        <f>CPU_ABERTA_FINAL!R582</f>
        <v>4245.0750106140003</v>
      </c>
      <c r="H120" s="198">
        <f t="shared" si="6"/>
        <v>-5.0106140006391797E-3</v>
      </c>
      <c r="I120" s="197" t="str">
        <f t="shared" si="7"/>
        <v>OK - FECHA</v>
      </c>
      <c r="J120" s="197" t="s">
        <v>4481</v>
      </c>
    </row>
    <row r="121" spans="1:10" s="197" customFormat="1" x14ac:dyDescent="0.2">
      <c r="A121" s="197" t="s">
        <v>4483</v>
      </c>
      <c r="B121" s="197" t="s">
        <v>511</v>
      </c>
      <c r="C121" s="197" t="s">
        <v>512</v>
      </c>
      <c r="D121" s="197" t="s">
        <v>209</v>
      </c>
      <c r="E121" s="197" t="s">
        <v>513</v>
      </c>
      <c r="F121" s="198">
        <v>4193.55</v>
      </c>
      <c r="G121" s="198">
        <f>CPU_ABERTA_FINAL!R587</f>
        <v>4193.5500052919997</v>
      </c>
      <c r="H121" s="198">
        <f t="shared" si="6"/>
        <v>-5.2919995141564868E-6</v>
      </c>
      <c r="I121" s="197" t="str">
        <f t="shared" si="7"/>
        <v>OK - FECHA</v>
      </c>
      <c r="J121" s="197" t="s">
        <v>4485</v>
      </c>
    </row>
    <row r="122" spans="1:10" s="197" customFormat="1" x14ac:dyDescent="0.2">
      <c r="A122" s="197" t="s">
        <v>4487</v>
      </c>
      <c r="B122" s="197" t="s">
        <v>1927</v>
      </c>
      <c r="C122" s="197" t="s">
        <v>876</v>
      </c>
      <c r="D122" s="197" t="s">
        <v>209</v>
      </c>
      <c r="E122" s="197" t="s">
        <v>877</v>
      </c>
      <c r="F122" s="198">
        <v>3745.98</v>
      </c>
      <c r="G122" s="198">
        <f>CPU_ABERTA_FINAL!R592</f>
        <v>3745.9799913761999</v>
      </c>
      <c r="H122" s="198">
        <f t="shared" si="6"/>
        <v>8.6238001131277997E-6</v>
      </c>
      <c r="I122" s="197" t="str">
        <f t="shared" si="7"/>
        <v>OK - FECHA</v>
      </c>
      <c r="J122" s="197" t="s">
        <v>4489</v>
      </c>
    </row>
    <row r="123" spans="1:10" s="197" customFormat="1" x14ac:dyDescent="0.2">
      <c r="A123" s="197" t="s">
        <v>4491</v>
      </c>
      <c r="B123" s="197" t="s">
        <v>1928</v>
      </c>
      <c r="C123" s="197" t="s">
        <v>1929</v>
      </c>
      <c r="D123" s="197" t="s">
        <v>209</v>
      </c>
      <c r="E123" s="197" t="s">
        <v>1930</v>
      </c>
      <c r="F123" s="198">
        <v>3634.51</v>
      </c>
      <c r="G123" s="198">
        <f>CPU_ABERTA_FINAL!R597</f>
        <v>3634.5149989340998</v>
      </c>
      <c r="H123" s="198">
        <f t="shared" si="6"/>
        <v>-4.9989340996035025E-3</v>
      </c>
      <c r="I123" s="197" t="str">
        <f t="shared" si="7"/>
        <v>OK - FECHA</v>
      </c>
      <c r="J123" s="197" t="s">
        <v>4493</v>
      </c>
    </row>
    <row r="124" spans="1:10" s="197" customFormat="1" x14ac:dyDescent="0.2">
      <c r="A124" s="197" t="s">
        <v>4495</v>
      </c>
      <c r="B124" s="197" t="s">
        <v>1926</v>
      </c>
      <c r="C124" s="197" t="s">
        <v>874</v>
      </c>
      <c r="D124" s="197" t="s">
        <v>209</v>
      </c>
      <c r="E124" s="197" t="s">
        <v>875</v>
      </c>
      <c r="F124" s="198">
        <v>3495.03</v>
      </c>
      <c r="G124" s="198">
        <f>CPU_ABERTA_FINAL!R602</f>
        <v>3495.0299915135997</v>
      </c>
      <c r="H124" s="198">
        <f t="shared" si="6"/>
        <v>8.486400474794209E-6</v>
      </c>
      <c r="I124" s="197" t="str">
        <f t="shared" si="7"/>
        <v>OK - FECHA</v>
      </c>
      <c r="J124" s="197" t="s">
        <v>4497</v>
      </c>
    </row>
    <row r="125" spans="1:10" s="197" customFormat="1" x14ac:dyDescent="0.2">
      <c r="A125" s="197" t="s">
        <v>4499</v>
      </c>
      <c r="B125" s="197" t="s">
        <v>1925</v>
      </c>
      <c r="C125" s="197" t="s">
        <v>872</v>
      </c>
      <c r="D125" s="197" t="s">
        <v>209</v>
      </c>
      <c r="E125" s="197" t="s">
        <v>873</v>
      </c>
      <c r="F125" s="198">
        <v>3267.6</v>
      </c>
      <c r="G125" s="198">
        <f>CPU_ABERTA_FINAL!R607</f>
        <v>3267.5999942831995</v>
      </c>
      <c r="H125" s="198">
        <f t="shared" si="6"/>
        <v>5.7168003877450246E-6</v>
      </c>
      <c r="I125" s="197" t="str">
        <f t="shared" si="7"/>
        <v>OK - FECHA</v>
      </c>
      <c r="J125" s="197" t="s">
        <v>4501</v>
      </c>
    </row>
    <row r="126" spans="1:10" s="197" customFormat="1" x14ac:dyDescent="0.2">
      <c r="A126" s="197" t="s">
        <v>4503</v>
      </c>
      <c r="B126" s="197" t="s">
        <v>1912</v>
      </c>
      <c r="C126" s="197" t="s">
        <v>860</v>
      </c>
      <c r="D126" s="197" t="s">
        <v>209</v>
      </c>
      <c r="E126" s="197" t="s">
        <v>861</v>
      </c>
      <c r="F126" s="198">
        <v>3170.47</v>
      </c>
      <c r="G126" s="198">
        <f>CPU_ABERTA_FINAL!R612</f>
        <v>3170.4750046619993</v>
      </c>
      <c r="H126" s="198">
        <f t="shared" si="6"/>
        <v>-5.004661999464588E-3</v>
      </c>
      <c r="I126" s="197" t="str">
        <f t="shared" si="7"/>
        <v>OK - FECHA</v>
      </c>
      <c r="J126" s="197" t="s">
        <v>4505</v>
      </c>
    </row>
    <row r="127" spans="1:10" s="197" customFormat="1" x14ac:dyDescent="0.2">
      <c r="A127" s="197" t="s">
        <v>4507</v>
      </c>
      <c r="B127" s="197" t="s">
        <v>2071</v>
      </c>
      <c r="C127" s="197" t="s">
        <v>984</v>
      </c>
      <c r="D127" s="197" t="s">
        <v>209</v>
      </c>
      <c r="E127" s="197" t="s">
        <v>985</v>
      </c>
      <c r="F127" s="198">
        <v>2477.3200000000002</v>
      </c>
      <c r="G127" s="198">
        <f>CPU_ABERTA_FINAL!R617</f>
        <v>2477.3249997008002</v>
      </c>
      <c r="H127" s="198">
        <f t="shared" si="6"/>
        <v>-4.9997007999991183E-3</v>
      </c>
      <c r="I127" s="197" t="str">
        <f t="shared" si="7"/>
        <v>OK - FECHA</v>
      </c>
      <c r="J127" s="197" t="s">
        <v>4509</v>
      </c>
    </row>
    <row r="128" spans="1:10" s="197" customFormat="1" x14ac:dyDescent="0.2">
      <c r="A128" s="197" t="s">
        <v>4511</v>
      </c>
      <c r="B128" s="197" t="s">
        <v>815</v>
      </c>
      <c r="C128" s="197" t="s">
        <v>816</v>
      </c>
      <c r="D128" s="197" t="s">
        <v>209</v>
      </c>
      <c r="E128" s="197" t="s">
        <v>1868</v>
      </c>
      <c r="F128" s="198">
        <v>1840.66</v>
      </c>
      <c r="G128" s="198">
        <f>CPU_ABERTA_FINAL!R622</f>
        <v>1840.6649997738</v>
      </c>
      <c r="H128" s="198">
        <f t="shared" si="6"/>
        <v>-4.9997737999092351E-3</v>
      </c>
      <c r="I128" s="197" t="str">
        <f t="shared" si="7"/>
        <v>OK - FECHA</v>
      </c>
      <c r="J128" s="197" t="s">
        <v>4513</v>
      </c>
    </row>
    <row r="129" spans="1:10" s="197" customFormat="1" x14ac:dyDescent="0.2">
      <c r="A129" s="197" t="s">
        <v>4515</v>
      </c>
      <c r="B129" s="197" t="s">
        <v>1992</v>
      </c>
      <c r="C129" s="197" t="s">
        <v>938</v>
      </c>
      <c r="D129" s="197" t="s">
        <v>209</v>
      </c>
      <c r="E129" s="197" t="s">
        <v>939</v>
      </c>
      <c r="F129" s="198">
        <v>1441.63</v>
      </c>
      <c r="G129" s="198">
        <f>CPU_ABERTA_FINAL!R627</f>
        <v>1441.6394920794999</v>
      </c>
      <c r="H129" s="198">
        <f t="shared" si="6"/>
        <v>-9.4920794997506164E-3</v>
      </c>
      <c r="I129" s="197" t="str">
        <f t="shared" si="7"/>
        <v>OK - FECHA</v>
      </c>
      <c r="J129" s="197" t="s">
        <v>4517</v>
      </c>
    </row>
    <row r="130" spans="1:10" s="197" customFormat="1" x14ac:dyDescent="0.2">
      <c r="A130" s="197" t="s">
        <v>4519</v>
      </c>
      <c r="B130" s="197" t="s">
        <v>820</v>
      </c>
      <c r="C130" s="197" t="s">
        <v>821</v>
      </c>
      <c r="D130" s="197" t="s">
        <v>209</v>
      </c>
      <c r="E130" s="197" t="s">
        <v>822</v>
      </c>
      <c r="F130" s="198">
        <v>1333.9</v>
      </c>
      <c r="G130" s="198">
        <f>CPU_ABERTA_FINAL!R632</f>
        <v>1333.9050007956</v>
      </c>
      <c r="H130" s="198">
        <f t="shared" si="6"/>
        <v>-5.0007955999262776E-3</v>
      </c>
      <c r="I130" s="197" t="str">
        <f t="shared" si="7"/>
        <v>OK - FECHA</v>
      </c>
      <c r="J130" s="197" t="s">
        <v>4521</v>
      </c>
    </row>
    <row r="131" spans="1:10" s="197" customFormat="1" x14ac:dyDescent="0.2">
      <c r="A131" s="197" t="s">
        <v>4523</v>
      </c>
      <c r="B131" s="197" t="s">
        <v>2186</v>
      </c>
      <c r="C131" s="197" t="s">
        <v>1069</v>
      </c>
      <c r="D131" s="197" t="s">
        <v>209</v>
      </c>
      <c r="E131" s="197" t="s">
        <v>1070</v>
      </c>
      <c r="F131" s="198">
        <v>594.17999999999995</v>
      </c>
      <c r="G131" s="198">
        <f>CPU_ABERTA_FINAL!R637</f>
        <v>594.18749997019995</v>
      </c>
      <c r="H131" s="198">
        <f t="shared" ref="H131:H162" si="8">F131-G131</f>
        <v>-7.4999702000013713E-3</v>
      </c>
      <c r="I131" s="197" t="str">
        <f t="shared" ref="I131:I162" si="9">IF(ABS(H131)&lt;=1,"OK - FECHA","REVISAR")</f>
        <v>OK - FECHA</v>
      </c>
      <c r="J131" s="197" t="s">
        <v>4525</v>
      </c>
    </row>
    <row r="132" spans="1:10" s="197" customFormat="1" x14ac:dyDescent="0.2">
      <c r="A132" s="197" t="s">
        <v>4527</v>
      </c>
      <c r="B132" s="197" t="s">
        <v>1931</v>
      </c>
      <c r="C132" s="197" t="s">
        <v>1932</v>
      </c>
      <c r="D132" s="197" t="s">
        <v>209</v>
      </c>
      <c r="E132" s="197" t="s">
        <v>1933</v>
      </c>
      <c r="F132" s="198">
        <v>570.52</v>
      </c>
      <c r="G132" s="198">
        <f>CPU_ABERTA_FINAL!R642</f>
        <v>570.52499915939995</v>
      </c>
      <c r="H132" s="198">
        <f t="shared" si="8"/>
        <v>-4.9991593999720862E-3</v>
      </c>
      <c r="I132" s="197" t="str">
        <f t="shared" si="9"/>
        <v>OK - FECHA</v>
      </c>
      <c r="J132" s="197" t="s">
        <v>4529</v>
      </c>
    </row>
    <row r="133" spans="1:10" s="197" customFormat="1" x14ac:dyDescent="0.2">
      <c r="A133" s="197" t="s">
        <v>4531</v>
      </c>
      <c r="B133" s="197" t="s">
        <v>1624</v>
      </c>
      <c r="C133" s="197" t="s">
        <v>600</v>
      </c>
      <c r="D133" s="197" t="s">
        <v>209</v>
      </c>
      <c r="E133" s="197" t="s">
        <v>601</v>
      </c>
      <c r="F133" s="198">
        <v>374.67</v>
      </c>
      <c r="G133" s="198">
        <f>CPU_ABERTA_FINAL!R647</f>
        <v>374.67749948530007</v>
      </c>
      <c r="H133" s="198">
        <f t="shared" si="8"/>
        <v>-7.4994853000589501E-3</v>
      </c>
      <c r="I133" s="197" t="str">
        <f t="shared" si="9"/>
        <v>OK - FECHA</v>
      </c>
      <c r="J133" s="197" t="s">
        <v>4533</v>
      </c>
    </row>
    <row r="134" spans="1:10" s="197" customFormat="1" x14ac:dyDescent="0.2">
      <c r="F134" s="198"/>
      <c r="G134" s="198"/>
      <c r="H134" s="198"/>
    </row>
    <row r="135" spans="1:10" x14ac:dyDescent="0.2">
      <c r="F135" s="112"/>
      <c r="G135" s="112"/>
      <c r="H135" s="112"/>
    </row>
    <row r="136" spans="1:10" x14ac:dyDescent="0.2">
      <c r="F136" s="112"/>
      <c r="G136" s="112"/>
      <c r="H136" s="112"/>
    </row>
    <row r="137" spans="1:10" x14ac:dyDescent="0.2">
      <c r="F137" s="112"/>
      <c r="G137" s="112"/>
      <c r="H137" s="112"/>
    </row>
    <row r="138" spans="1:10" x14ac:dyDescent="0.2">
      <c r="F138" s="112"/>
      <c r="G138" s="112"/>
      <c r="H138" s="112"/>
    </row>
    <row r="139" spans="1:10" x14ac:dyDescent="0.2">
      <c r="F139" s="112"/>
      <c r="G139" s="112"/>
      <c r="H139" s="112"/>
    </row>
    <row r="140" spans="1:10" x14ac:dyDescent="0.2">
      <c r="F140" s="112"/>
      <c r="G140" s="112"/>
      <c r="H140" s="112"/>
    </row>
    <row r="141" spans="1:10" x14ac:dyDescent="0.2">
      <c r="F141" s="112"/>
      <c r="G141" s="112"/>
      <c r="H141" s="112"/>
    </row>
    <row r="142" spans="1:10" x14ac:dyDescent="0.2">
      <c r="F142" s="112"/>
      <c r="G142" s="112"/>
      <c r="H142" s="112"/>
    </row>
    <row r="143" spans="1:10" x14ac:dyDescent="0.2">
      <c r="F143" s="112"/>
      <c r="G143" s="112"/>
      <c r="H143" s="112"/>
    </row>
    <row r="144" spans="1:10" x14ac:dyDescent="0.2">
      <c r="F144" s="112"/>
      <c r="G144" s="112"/>
      <c r="H144" s="112"/>
    </row>
    <row r="145" spans="6:8" x14ac:dyDescent="0.2">
      <c r="F145" s="112"/>
      <c r="G145" s="112"/>
      <c r="H145" s="112"/>
    </row>
    <row r="146" spans="6:8" x14ac:dyDescent="0.2">
      <c r="F146" s="112"/>
      <c r="G146" s="112"/>
      <c r="H146" s="112"/>
    </row>
    <row r="147" spans="6:8" x14ac:dyDescent="0.2">
      <c r="F147" s="112"/>
      <c r="G147" s="112"/>
      <c r="H147" s="112"/>
    </row>
    <row r="148" spans="6:8" x14ac:dyDescent="0.2">
      <c r="F148" s="112"/>
      <c r="G148" s="112"/>
      <c r="H148" s="112"/>
    </row>
    <row r="149" spans="6:8" x14ac:dyDescent="0.2">
      <c r="F149" s="112"/>
      <c r="G149" s="112"/>
      <c r="H149" s="112"/>
    </row>
    <row r="150" spans="6:8" x14ac:dyDescent="0.2">
      <c r="F150" s="112"/>
      <c r="G150" s="112"/>
      <c r="H150" s="112"/>
    </row>
    <row r="151" spans="6:8" x14ac:dyDescent="0.2">
      <c r="F151" s="112"/>
      <c r="G151" s="112"/>
      <c r="H151" s="112"/>
    </row>
    <row r="152" spans="6:8" x14ac:dyDescent="0.2">
      <c r="F152" s="112"/>
      <c r="G152" s="112"/>
      <c r="H152" s="112"/>
    </row>
    <row r="153" spans="6:8" x14ac:dyDescent="0.2">
      <c r="F153" s="112"/>
      <c r="G153" s="112"/>
      <c r="H153" s="112"/>
    </row>
    <row r="154" spans="6:8" x14ac:dyDescent="0.2">
      <c r="F154" s="112"/>
      <c r="G154" s="112"/>
      <c r="H154" s="112"/>
    </row>
    <row r="155" spans="6:8" x14ac:dyDescent="0.2">
      <c r="F155" s="112"/>
      <c r="G155" s="112"/>
      <c r="H155" s="112"/>
    </row>
    <row r="156" spans="6:8" x14ac:dyDescent="0.2">
      <c r="F156" s="112"/>
      <c r="G156" s="112"/>
      <c r="H156" s="112"/>
    </row>
    <row r="157" spans="6:8" x14ac:dyDescent="0.2">
      <c r="F157" s="112"/>
      <c r="G157" s="112"/>
      <c r="H157" s="112"/>
    </row>
    <row r="158" spans="6:8" x14ac:dyDescent="0.2">
      <c r="F158" s="112"/>
      <c r="G158" s="112"/>
      <c r="H158" s="112"/>
    </row>
    <row r="159" spans="6:8" x14ac:dyDescent="0.2">
      <c r="F159" s="112"/>
      <c r="G159" s="112"/>
      <c r="H159" s="112"/>
    </row>
    <row r="160" spans="6:8" x14ac:dyDescent="0.2">
      <c r="F160" s="112"/>
      <c r="G160" s="112"/>
      <c r="H160" s="112"/>
    </row>
    <row r="161" spans="6:8" x14ac:dyDescent="0.2">
      <c r="F161" s="112"/>
      <c r="G161" s="112"/>
      <c r="H161" s="112"/>
    </row>
    <row r="162" spans="6:8" x14ac:dyDescent="0.2">
      <c r="F162" s="112"/>
      <c r="G162" s="112"/>
      <c r="H162" s="112"/>
    </row>
    <row r="163" spans="6:8" x14ac:dyDescent="0.2">
      <c r="F163" s="112"/>
      <c r="G163" s="112"/>
      <c r="H163" s="112"/>
    </row>
    <row r="164" spans="6:8" x14ac:dyDescent="0.2">
      <c r="F164" s="112"/>
      <c r="G164" s="112"/>
      <c r="H164" s="112"/>
    </row>
    <row r="165" spans="6:8" x14ac:dyDescent="0.2">
      <c r="F165" s="112"/>
      <c r="G165" s="112"/>
      <c r="H165" s="112"/>
    </row>
    <row r="166" spans="6:8" x14ac:dyDescent="0.2">
      <c r="F166" s="112"/>
      <c r="G166" s="112"/>
      <c r="H166" s="112"/>
    </row>
    <row r="167" spans="6:8" x14ac:dyDescent="0.2">
      <c r="F167" s="112"/>
      <c r="G167" s="112"/>
      <c r="H167" s="112"/>
    </row>
    <row r="168" spans="6:8" x14ac:dyDescent="0.2">
      <c r="F168" s="112"/>
      <c r="G168" s="112"/>
      <c r="H168" s="112"/>
    </row>
    <row r="169" spans="6:8" x14ac:dyDescent="0.2">
      <c r="F169" s="112"/>
      <c r="G169" s="112"/>
      <c r="H169" s="112"/>
    </row>
    <row r="170" spans="6:8" x14ac:dyDescent="0.2">
      <c r="F170" s="112"/>
      <c r="G170" s="112"/>
      <c r="H170" s="112"/>
    </row>
    <row r="171" spans="6:8" x14ac:dyDescent="0.2">
      <c r="F171" s="112"/>
      <c r="G171" s="112"/>
      <c r="H171" s="112"/>
    </row>
    <row r="172" spans="6:8" x14ac:dyDescent="0.2">
      <c r="F172" s="112"/>
      <c r="G172" s="112"/>
      <c r="H172" s="112"/>
    </row>
    <row r="173" spans="6:8" x14ac:dyDescent="0.2">
      <c r="F173" s="112"/>
      <c r="G173" s="112"/>
      <c r="H173" s="112"/>
    </row>
    <row r="174" spans="6:8" x14ac:dyDescent="0.2">
      <c r="F174" s="112"/>
      <c r="G174" s="112"/>
      <c r="H174" s="112"/>
    </row>
    <row r="175" spans="6:8" x14ac:dyDescent="0.2">
      <c r="F175" s="112"/>
      <c r="G175" s="112"/>
      <c r="H175" s="112"/>
    </row>
    <row r="176" spans="6:8" x14ac:dyDescent="0.2">
      <c r="F176" s="112"/>
      <c r="G176" s="112"/>
      <c r="H176" s="112"/>
    </row>
    <row r="177" spans="6:8" x14ac:dyDescent="0.2">
      <c r="F177" s="112"/>
      <c r="G177" s="112"/>
      <c r="H177" s="112"/>
    </row>
    <row r="178" spans="6:8" x14ac:dyDescent="0.2">
      <c r="F178" s="112"/>
      <c r="G178" s="112"/>
      <c r="H178" s="112"/>
    </row>
    <row r="179" spans="6:8" x14ac:dyDescent="0.2">
      <c r="F179" s="112"/>
      <c r="G179" s="112"/>
      <c r="H179" s="112"/>
    </row>
    <row r="180" spans="6:8" x14ac:dyDescent="0.2">
      <c r="F180" s="112"/>
      <c r="G180" s="112"/>
      <c r="H180" s="112"/>
    </row>
    <row r="181" spans="6:8" x14ac:dyDescent="0.2">
      <c r="F181" s="112"/>
      <c r="G181" s="112"/>
      <c r="H181" s="112"/>
    </row>
    <row r="182" spans="6:8" x14ac:dyDescent="0.2">
      <c r="F182" s="112"/>
      <c r="G182" s="112"/>
      <c r="H182" s="112"/>
    </row>
    <row r="183" spans="6:8" x14ac:dyDescent="0.2">
      <c r="F183" s="112"/>
      <c r="G183" s="112"/>
      <c r="H183" s="112"/>
    </row>
    <row r="184" spans="6:8" x14ac:dyDescent="0.2">
      <c r="F184" s="112"/>
      <c r="G184" s="112"/>
      <c r="H184" s="112"/>
    </row>
    <row r="185" spans="6:8" x14ac:dyDescent="0.2">
      <c r="F185" s="112"/>
      <c r="G185" s="112"/>
      <c r="H185" s="112"/>
    </row>
    <row r="186" spans="6:8" x14ac:dyDescent="0.2">
      <c r="F186" s="112"/>
      <c r="G186" s="112"/>
      <c r="H186" s="112"/>
    </row>
    <row r="187" spans="6:8" x14ac:dyDescent="0.2">
      <c r="F187" s="112"/>
      <c r="G187" s="112"/>
      <c r="H187" s="112"/>
    </row>
    <row r="188" spans="6:8" x14ac:dyDescent="0.2">
      <c r="F188" s="112"/>
      <c r="G188" s="112"/>
      <c r="H188" s="112"/>
    </row>
    <row r="189" spans="6:8" x14ac:dyDescent="0.2">
      <c r="F189" s="112"/>
      <c r="G189" s="112"/>
      <c r="H189" s="112"/>
    </row>
    <row r="190" spans="6:8" x14ac:dyDescent="0.2">
      <c r="F190" s="112"/>
      <c r="G190" s="112"/>
      <c r="H190" s="112"/>
    </row>
    <row r="191" spans="6:8" x14ac:dyDescent="0.2">
      <c r="F191" s="112"/>
      <c r="G191" s="112"/>
      <c r="H191" s="112"/>
    </row>
    <row r="192" spans="6:8" x14ac:dyDescent="0.2">
      <c r="F192" s="112"/>
      <c r="G192" s="112"/>
      <c r="H192" s="112"/>
    </row>
    <row r="193" spans="6:8" x14ac:dyDescent="0.2">
      <c r="F193" s="112"/>
      <c r="G193" s="112"/>
      <c r="H193" s="112"/>
    </row>
    <row r="194" spans="6:8" x14ac:dyDescent="0.2">
      <c r="F194" s="112"/>
      <c r="G194" s="112"/>
      <c r="H194" s="112"/>
    </row>
    <row r="195" spans="6:8" x14ac:dyDescent="0.2">
      <c r="F195" s="112"/>
      <c r="G195" s="112"/>
      <c r="H195" s="112"/>
    </row>
    <row r="196" spans="6:8" x14ac:dyDescent="0.2">
      <c r="F196" s="112"/>
      <c r="G196" s="112"/>
      <c r="H196" s="112"/>
    </row>
    <row r="197" spans="6:8" x14ac:dyDescent="0.2">
      <c r="F197" s="112"/>
      <c r="G197" s="112"/>
      <c r="H197" s="112"/>
    </row>
    <row r="198" spans="6:8" x14ac:dyDescent="0.2">
      <c r="F198" s="112"/>
      <c r="G198" s="112"/>
      <c r="H198" s="112"/>
    </row>
    <row r="199" spans="6:8" x14ac:dyDescent="0.2">
      <c r="F199" s="112"/>
      <c r="G199" s="112"/>
      <c r="H199" s="112"/>
    </row>
    <row r="200" spans="6:8" x14ac:dyDescent="0.2">
      <c r="F200" s="112"/>
      <c r="G200" s="112"/>
      <c r="H200" s="112"/>
    </row>
    <row r="201" spans="6:8" x14ac:dyDescent="0.2">
      <c r="F201" s="112"/>
      <c r="G201" s="112"/>
      <c r="H201" s="112"/>
    </row>
    <row r="202" spans="6:8" x14ac:dyDescent="0.2">
      <c r="F202" s="112"/>
      <c r="G202" s="112"/>
      <c r="H202" s="112"/>
    </row>
    <row r="203" spans="6:8" x14ac:dyDescent="0.2">
      <c r="F203" s="112"/>
      <c r="G203" s="112"/>
      <c r="H203" s="112"/>
    </row>
    <row r="204" spans="6:8" x14ac:dyDescent="0.2">
      <c r="F204" s="112"/>
      <c r="G204" s="112"/>
      <c r="H204" s="112"/>
    </row>
    <row r="205" spans="6:8" x14ac:dyDescent="0.2">
      <c r="F205" s="112"/>
      <c r="G205" s="112"/>
      <c r="H205" s="112"/>
    </row>
    <row r="206" spans="6:8" x14ac:dyDescent="0.2">
      <c r="F206" s="112"/>
      <c r="G206" s="112"/>
      <c r="H206" s="112"/>
    </row>
    <row r="207" spans="6:8" x14ac:dyDescent="0.2">
      <c r="F207" s="112"/>
      <c r="G207" s="112"/>
      <c r="H207" s="112"/>
    </row>
    <row r="208" spans="6:8" x14ac:dyDescent="0.2">
      <c r="F208" s="112"/>
      <c r="G208" s="112"/>
      <c r="H208" s="112"/>
    </row>
    <row r="209" spans="6:8" x14ac:dyDescent="0.2">
      <c r="F209" s="112"/>
      <c r="G209" s="112"/>
      <c r="H209" s="112"/>
    </row>
    <row r="210" spans="6:8" x14ac:dyDescent="0.2">
      <c r="F210" s="112"/>
      <c r="G210" s="112"/>
      <c r="H210" s="112"/>
    </row>
    <row r="211" spans="6:8" x14ac:dyDescent="0.2">
      <c r="F211" s="112"/>
      <c r="G211" s="112"/>
      <c r="H211" s="112"/>
    </row>
    <row r="212" spans="6:8" x14ac:dyDescent="0.2">
      <c r="F212" s="112"/>
      <c r="G212" s="112"/>
      <c r="H212" s="112"/>
    </row>
    <row r="213" spans="6:8" x14ac:dyDescent="0.2">
      <c r="F213" s="112"/>
      <c r="G213" s="112"/>
      <c r="H213" s="112"/>
    </row>
    <row r="214" spans="6:8" x14ac:dyDescent="0.2">
      <c r="F214" s="112"/>
      <c r="G214" s="112"/>
      <c r="H214" s="112"/>
    </row>
    <row r="215" spans="6:8" x14ac:dyDescent="0.2">
      <c r="F215" s="112"/>
      <c r="G215" s="112"/>
      <c r="H215" s="112"/>
    </row>
    <row r="216" spans="6:8" x14ac:dyDescent="0.2">
      <c r="F216" s="112"/>
      <c r="G216" s="112"/>
      <c r="H216" s="112"/>
    </row>
    <row r="217" spans="6:8" x14ac:dyDescent="0.2">
      <c r="F217" s="112"/>
      <c r="G217" s="112"/>
      <c r="H217" s="112"/>
    </row>
    <row r="218" spans="6:8" x14ac:dyDescent="0.2">
      <c r="F218" s="112"/>
      <c r="G218" s="112"/>
      <c r="H218" s="112"/>
    </row>
    <row r="219" spans="6:8" x14ac:dyDescent="0.2">
      <c r="F219" s="112"/>
      <c r="G219" s="112"/>
      <c r="H219" s="112"/>
    </row>
    <row r="220" spans="6:8" x14ac:dyDescent="0.2">
      <c r="F220" s="112"/>
      <c r="G220" s="112"/>
      <c r="H220" s="112"/>
    </row>
    <row r="221" spans="6:8" x14ac:dyDescent="0.2">
      <c r="F221" s="112"/>
      <c r="G221" s="112"/>
      <c r="H221" s="112"/>
    </row>
    <row r="222" spans="6:8" x14ac:dyDescent="0.2">
      <c r="F222" s="112"/>
      <c r="G222" s="112"/>
      <c r="H222" s="112"/>
    </row>
    <row r="223" spans="6:8" x14ac:dyDescent="0.2">
      <c r="F223" s="112"/>
      <c r="G223" s="112"/>
      <c r="H223" s="112"/>
    </row>
    <row r="224" spans="6:8" x14ac:dyDescent="0.2">
      <c r="F224" s="112"/>
      <c r="G224" s="112"/>
      <c r="H224" s="112"/>
    </row>
    <row r="225" spans="6:8" x14ac:dyDescent="0.2">
      <c r="F225" s="112"/>
      <c r="G225" s="112"/>
      <c r="H225" s="112"/>
    </row>
    <row r="226" spans="6:8" x14ac:dyDescent="0.2">
      <c r="F226" s="112"/>
      <c r="G226" s="112"/>
      <c r="H226" s="112"/>
    </row>
    <row r="227" spans="6:8" x14ac:dyDescent="0.2">
      <c r="F227" s="112"/>
      <c r="G227" s="112"/>
      <c r="H227" s="112"/>
    </row>
    <row r="228" spans="6:8" x14ac:dyDescent="0.2">
      <c r="F228" s="112"/>
      <c r="G228" s="112"/>
      <c r="H228" s="112"/>
    </row>
    <row r="229" spans="6:8" x14ac:dyDescent="0.2">
      <c r="F229" s="112"/>
      <c r="G229" s="112"/>
      <c r="H229" s="112"/>
    </row>
    <row r="230" spans="6:8" x14ac:dyDescent="0.2">
      <c r="F230" s="112"/>
      <c r="G230" s="112"/>
      <c r="H230" s="112"/>
    </row>
    <row r="231" spans="6:8" x14ac:dyDescent="0.2">
      <c r="F231" s="112"/>
      <c r="G231" s="112"/>
      <c r="H231" s="112"/>
    </row>
    <row r="232" spans="6:8" x14ac:dyDescent="0.2">
      <c r="F232" s="112"/>
      <c r="G232" s="112"/>
      <c r="H232" s="112"/>
    </row>
    <row r="233" spans="6:8" x14ac:dyDescent="0.2">
      <c r="F233" s="112"/>
      <c r="G233" s="112"/>
      <c r="H233" s="112"/>
    </row>
    <row r="234" spans="6:8" x14ac:dyDescent="0.2">
      <c r="F234" s="112"/>
      <c r="G234" s="112"/>
      <c r="H234" s="112"/>
    </row>
    <row r="235" spans="6:8" x14ac:dyDescent="0.2">
      <c r="F235" s="112"/>
      <c r="G235" s="112"/>
      <c r="H235" s="112"/>
    </row>
    <row r="236" spans="6:8" x14ac:dyDescent="0.2">
      <c r="F236" s="112"/>
      <c r="G236" s="112"/>
      <c r="H236" s="112"/>
    </row>
    <row r="237" spans="6:8" x14ac:dyDescent="0.2">
      <c r="F237" s="112"/>
      <c r="G237" s="112"/>
      <c r="H237" s="112"/>
    </row>
    <row r="238" spans="6:8" x14ac:dyDescent="0.2">
      <c r="F238" s="112"/>
      <c r="G238" s="112"/>
      <c r="H238" s="112"/>
    </row>
    <row r="239" spans="6:8" x14ac:dyDescent="0.2">
      <c r="F239" s="112"/>
      <c r="G239" s="112"/>
      <c r="H239" s="112"/>
    </row>
    <row r="240" spans="6:8" x14ac:dyDescent="0.2">
      <c r="F240" s="112"/>
      <c r="G240" s="112"/>
      <c r="H240" s="112"/>
    </row>
    <row r="241" spans="6:8" x14ac:dyDescent="0.2">
      <c r="F241" s="112"/>
      <c r="G241" s="112"/>
      <c r="H241" s="112"/>
    </row>
    <row r="242" spans="6:8" x14ac:dyDescent="0.2">
      <c r="F242" s="112"/>
      <c r="G242" s="112"/>
      <c r="H242" s="112"/>
    </row>
    <row r="243" spans="6:8" x14ac:dyDescent="0.2">
      <c r="F243" s="112"/>
      <c r="G243" s="112"/>
      <c r="H243" s="112"/>
    </row>
    <row r="244" spans="6:8" x14ac:dyDescent="0.2">
      <c r="F244" s="112"/>
      <c r="G244" s="112"/>
      <c r="H244" s="112"/>
    </row>
    <row r="245" spans="6:8" x14ac:dyDescent="0.2">
      <c r="F245" s="112"/>
      <c r="G245" s="112"/>
      <c r="H245" s="112"/>
    </row>
    <row r="246" spans="6:8" x14ac:dyDescent="0.2">
      <c r="F246" s="112"/>
      <c r="G246" s="112"/>
      <c r="H246" s="112"/>
    </row>
    <row r="247" spans="6:8" x14ac:dyDescent="0.2">
      <c r="F247" s="112"/>
      <c r="G247" s="112"/>
      <c r="H247" s="112"/>
    </row>
    <row r="248" spans="6:8" x14ac:dyDescent="0.2">
      <c r="F248" s="112"/>
      <c r="G248" s="112"/>
      <c r="H248" s="112"/>
    </row>
    <row r="249" spans="6:8" x14ac:dyDescent="0.2">
      <c r="F249" s="112"/>
      <c r="G249" s="112"/>
      <c r="H249" s="112"/>
    </row>
    <row r="250" spans="6:8" x14ac:dyDescent="0.2">
      <c r="F250" s="112"/>
      <c r="G250" s="112"/>
      <c r="H250" s="112"/>
    </row>
    <row r="251" spans="6:8" x14ac:dyDescent="0.2">
      <c r="F251" s="112"/>
      <c r="G251" s="112"/>
      <c r="H251" s="112"/>
    </row>
    <row r="252" spans="6:8" x14ac:dyDescent="0.2">
      <c r="F252" s="112"/>
      <c r="G252" s="112"/>
      <c r="H252" s="112"/>
    </row>
    <row r="253" spans="6:8" x14ac:dyDescent="0.2">
      <c r="F253" s="112"/>
      <c r="G253" s="112"/>
      <c r="H253" s="112"/>
    </row>
    <row r="254" spans="6:8" x14ac:dyDescent="0.2">
      <c r="F254" s="112"/>
      <c r="G254" s="112"/>
      <c r="H254" s="112"/>
    </row>
    <row r="255" spans="6:8" x14ac:dyDescent="0.2">
      <c r="F255" s="112"/>
      <c r="G255" s="112"/>
      <c r="H255" s="112"/>
    </row>
    <row r="256" spans="6:8" x14ac:dyDescent="0.2">
      <c r="F256" s="112"/>
      <c r="G256" s="112"/>
      <c r="H256" s="112"/>
    </row>
    <row r="257" spans="6:8" x14ac:dyDescent="0.2">
      <c r="F257" s="112"/>
      <c r="G257" s="112"/>
      <c r="H257" s="112"/>
    </row>
    <row r="258" spans="6:8" x14ac:dyDescent="0.2">
      <c r="F258" s="112"/>
      <c r="G258" s="112"/>
      <c r="H258" s="112"/>
    </row>
    <row r="259" spans="6:8" x14ac:dyDescent="0.2">
      <c r="F259" s="112"/>
      <c r="G259" s="112"/>
      <c r="H259" s="112"/>
    </row>
    <row r="260" spans="6:8" x14ac:dyDescent="0.2">
      <c r="F260" s="112"/>
      <c r="G260" s="112"/>
      <c r="H260" s="112"/>
    </row>
    <row r="261" spans="6:8" x14ac:dyDescent="0.2">
      <c r="F261" s="112"/>
      <c r="G261" s="112"/>
      <c r="H261" s="112"/>
    </row>
    <row r="262" spans="6:8" x14ac:dyDescent="0.2">
      <c r="F262" s="112"/>
      <c r="G262" s="112"/>
      <c r="H262" s="112"/>
    </row>
    <row r="263" spans="6:8" x14ac:dyDescent="0.2">
      <c r="F263" s="112"/>
      <c r="G263" s="112"/>
      <c r="H263" s="112"/>
    </row>
    <row r="264" spans="6:8" x14ac:dyDescent="0.2">
      <c r="F264" s="112"/>
      <c r="G264" s="112"/>
      <c r="H264" s="112"/>
    </row>
    <row r="265" spans="6:8" x14ac:dyDescent="0.2">
      <c r="F265" s="112"/>
      <c r="G265" s="112"/>
      <c r="H265" s="112"/>
    </row>
    <row r="266" spans="6:8" x14ac:dyDescent="0.2">
      <c r="F266" s="112"/>
      <c r="G266" s="112"/>
      <c r="H266" s="112"/>
    </row>
    <row r="267" spans="6:8" x14ac:dyDescent="0.2">
      <c r="F267" s="112"/>
      <c r="G267" s="112"/>
      <c r="H267" s="112"/>
    </row>
    <row r="268" spans="6:8" x14ac:dyDescent="0.2">
      <c r="F268" s="112"/>
      <c r="G268" s="112"/>
      <c r="H268" s="112"/>
    </row>
    <row r="269" spans="6:8" x14ac:dyDescent="0.2">
      <c r="F269" s="112"/>
      <c r="G269" s="112"/>
      <c r="H269" s="112"/>
    </row>
    <row r="270" spans="6:8" x14ac:dyDescent="0.2">
      <c r="F270" s="112"/>
      <c r="G270" s="112"/>
      <c r="H270" s="112"/>
    </row>
    <row r="271" spans="6:8" x14ac:dyDescent="0.2">
      <c r="F271" s="112"/>
      <c r="G271" s="112"/>
      <c r="H271" s="112"/>
    </row>
    <row r="272" spans="6:8" x14ac:dyDescent="0.2">
      <c r="F272" s="112"/>
      <c r="G272" s="112"/>
      <c r="H272" s="112"/>
    </row>
    <row r="273" spans="6:8" x14ac:dyDescent="0.2">
      <c r="F273" s="112"/>
      <c r="G273" s="112"/>
      <c r="H273" s="112"/>
    </row>
    <row r="274" spans="6:8" x14ac:dyDescent="0.2">
      <c r="F274" s="112"/>
      <c r="G274" s="112"/>
      <c r="H274" s="112"/>
    </row>
    <row r="275" spans="6:8" x14ac:dyDescent="0.2">
      <c r="F275" s="112"/>
      <c r="G275" s="112"/>
      <c r="H275" s="112"/>
    </row>
    <row r="276" spans="6:8" x14ac:dyDescent="0.2">
      <c r="F276" s="112"/>
      <c r="G276" s="112"/>
      <c r="H276" s="112"/>
    </row>
    <row r="277" spans="6:8" x14ac:dyDescent="0.2">
      <c r="F277" s="112"/>
      <c r="G277" s="112"/>
      <c r="H277" s="112"/>
    </row>
    <row r="278" spans="6:8" x14ac:dyDescent="0.2">
      <c r="F278" s="112"/>
      <c r="G278" s="112"/>
      <c r="H278" s="112"/>
    </row>
    <row r="279" spans="6:8" x14ac:dyDescent="0.2">
      <c r="F279" s="112"/>
      <c r="G279" s="112"/>
      <c r="H279" s="112"/>
    </row>
    <row r="280" spans="6:8" x14ac:dyDescent="0.2">
      <c r="F280" s="112"/>
      <c r="G280" s="112"/>
      <c r="H280" s="112"/>
    </row>
    <row r="281" spans="6:8" x14ac:dyDescent="0.2">
      <c r="F281" s="112"/>
      <c r="G281" s="112"/>
      <c r="H281" s="112"/>
    </row>
    <row r="282" spans="6:8" x14ac:dyDescent="0.2">
      <c r="F282" s="112"/>
      <c r="G282" s="112"/>
      <c r="H282" s="112"/>
    </row>
    <row r="283" spans="6:8" x14ac:dyDescent="0.2">
      <c r="F283" s="112"/>
      <c r="G283" s="112"/>
      <c r="H283" s="112"/>
    </row>
    <row r="284" spans="6:8" x14ac:dyDescent="0.2">
      <c r="F284" s="112"/>
      <c r="G284" s="112"/>
      <c r="H284" s="112"/>
    </row>
    <row r="285" spans="6:8" x14ac:dyDescent="0.2">
      <c r="F285" s="112"/>
      <c r="G285" s="112"/>
      <c r="H285" s="112"/>
    </row>
    <row r="286" spans="6:8" x14ac:dyDescent="0.2">
      <c r="F286" s="112"/>
      <c r="G286" s="112"/>
      <c r="H286" s="112"/>
    </row>
    <row r="287" spans="6:8" x14ac:dyDescent="0.2">
      <c r="F287" s="112"/>
      <c r="G287" s="112"/>
      <c r="H287" s="112"/>
    </row>
    <row r="288" spans="6:8" x14ac:dyDescent="0.2">
      <c r="F288" s="112"/>
      <c r="G288" s="112"/>
      <c r="H288" s="112"/>
    </row>
    <row r="289" spans="6:8" x14ac:dyDescent="0.2">
      <c r="F289" s="112"/>
      <c r="G289" s="112"/>
      <c r="H289" s="112"/>
    </row>
    <row r="290" spans="6:8" x14ac:dyDescent="0.2">
      <c r="F290" s="112"/>
      <c r="G290" s="112"/>
      <c r="H290" s="112"/>
    </row>
    <row r="291" spans="6:8" x14ac:dyDescent="0.2">
      <c r="F291" s="112"/>
      <c r="G291" s="112"/>
      <c r="H291" s="112"/>
    </row>
    <row r="292" spans="6:8" x14ac:dyDescent="0.2">
      <c r="F292" s="112"/>
      <c r="G292" s="112"/>
      <c r="H292" s="112"/>
    </row>
    <row r="293" spans="6:8" x14ac:dyDescent="0.2">
      <c r="F293" s="112"/>
      <c r="G293" s="112"/>
      <c r="H293" s="112"/>
    </row>
    <row r="294" spans="6:8" x14ac:dyDescent="0.2">
      <c r="F294" s="112"/>
      <c r="G294" s="112"/>
      <c r="H294" s="112"/>
    </row>
    <row r="295" spans="6:8" x14ac:dyDescent="0.2">
      <c r="F295" s="112"/>
      <c r="G295" s="112"/>
      <c r="H295" s="112"/>
    </row>
    <row r="296" spans="6:8" x14ac:dyDescent="0.2">
      <c r="F296" s="112"/>
      <c r="G296" s="112"/>
      <c r="H296" s="112"/>
    </row>
    <row r="297" spans="6:8" x14ac:dyDescent="0.2">
      <c r="F297" s="112"/>
      <c r="G297" s="112"/>
      <c r="H297" s="112"/>
    </row>
    <row r="298" spans="6:8" x14ac:dyDescent="0.2">
      <c r="F298" s="112"/>
      <c r="G298" s="112"/>
      <c r="H298" s="112"/>
    </row>
    <row r="299" spans="6:8" x14ac:dyDescent="0.2">
      <c r="F299" s="112"/>
      <c r="G299" s="112"/>
      <c r="H299" s="112"/>
    </row>
    <row r="300" spans="6:8" x14ac:dyDescent="0.2">
      <c r="F300" s="112"/>
      <c r="G300" s="112"/>
      <c r="H300" s="112"/>
    </row>
    <row r="301" spans="6:8" x14ac:dyDescent="0.2">
      <c r="F301" s="112"/>
      <c r="G301" s="112"/>
      <c r="H301" s="112"/>
    </row>
    <row r="302" spans="6:8" x14ac:dyDescent="0.2">
      <c r="F302" s="112"/>
      <c r="G302" s="112"/>
      <c r="H302" s="112"/>
    </row>
    <row r="303" spans="6:8" x14ac:dyDescent="0.2">
      <c r="F303" s="112"/>
      <c r="G303" s="112"/>
      <c r="H303" s="112"/>
    </row>
    <row r="304" spans="6:8" x14ac:dyDescent="0.2">
      <c r="F304" s="112"/>
      <c r="G304" s="112"/>
      <c r="H304" s="112"/>
    </row>
    <row r="305" spans="6:8" x14ac:dyDescent="0.2">
      <c r="F305" s="112"/>
      <c r="G305" s="112"/>
      <c r="H305" s="112"/>
    </row>
    <row r="306" spans="6:8" x14ac:dyDescent="0.2">
      <c r="F306" s="112"/>
      <c r="G306" s="112"/>
      <c r="H306" s="112"/>
    </row>
    <row r="307" spans="6:8" x14ac:dyDescent="0.2">
      <c r="F307" s="112"/>
      <c r="G307" s="112"/>
      <c r="H307" s="112"/>
    </row>
    <row r="308" spans="6:8" x14ac:dyDescent="0.2">
      <c r="F308" s="112"/>
      <c r="G308" s="112"/>
      <c r="H308" s="112"/>
    </row>
    <row r="309" spans="6:8" x14ac:dyDescent="0.2">
      <c r="F309" s="112"/>
      <c r="G309" s="112"/>
      <c r="H309" s="112"/>
    </row>
    <row r="310" spans="6:8" x14ac:dyDescent="0.2">
      <c r="F310" s="112"/>
      <c r="G310" s="112"/>
      <c r="H310" s="112"/>
    </row>
    <row r="311" spans="6:8" x14ac:dyDescent="0.2">
      <c r="F311" s="112"/>
      <c r="G311" s="112"/>
      <c r="H311" s="112"/>
    </row>
    <row r="312" spans="6:8" x14ac:dyDescent="0.2">
      <c r="F312" s="112"/>
      <c r="G312" s="112"/>
      <c r="H312" s="112"/>
    </row>
    <row r="313" spans="6:8" x14ac:dyDescent="0.2">
      <c r="F313" s="112"/>
      <c r="G313" s="112"/>
      <c r="H313" s="112"/>
    </row>
    <row r="314" spans="6:8" x14ac:dyDescent="0.2">
      <c r="F314" s="112"/>
      <c r="G314" s="112"/>
      <c r="H314" s="112"/>
    </row>
    <row r="315" spans="6:8" x14ac:dyDescent="0.2">
      <c r="F315" s="112"/>
      <c r="G315" s="112"/>
      <c r="H315" s="112"/>
    </row>
    <row r="316" spans="6:8" x14ac:dyDescent="0.2">
      <c r="F316" s="112"/>
      <c r="G316" s="112"/>
      <c r="H316" s="112"/>
    </row>
    <row r="317" spans="6:8" x14ac:dyDescent="0.2">
      <c r="F317" s="112"/>
      <c r="G317" s="112"/>
      <c r="H317" s="112"/>
    </row>
    <row r="318" spans="6:8" x14ac:dyDescent="0.2">
      <c r="F318" s="112"/>
      <c r="G318" s="112"/>
      <c r="H318" s="112"/>
    </row>
    <row r="319" spans="6:8" x14ac:dyDescent="0.2">
      <c r="F319" s="112"/>
      <c r="G319" s="112"/>
      <c r="H319" s="112"/>
    </row>
    <row r="320" spans="6:8" x14ac:dyDescent="0.2">
      <c r="F320" s="112"/>
      <c r="G320" s="112"/>
      <c r="H320" s="112"/>
    </row>
    <row r="321" spans="6:8" x14ac:dyDescent="0.2">
      <c r="F321" s="112"/>
      <c r="G321" s="112"/>
      <c r="H321" s="112"/>
    </row>
    <row r="322" spans="6:8" x14ac:dyDescent="0.2">
      <c r="F322" s="112"/>
      <c r="G322" s="112"/>
      <c r="H322" s="112"/>
    </row>
    <row r="323" spans="6:8" x14ac:dyDescent="0.2">
      <c r="F323" s="112"/>
      <c r="G323" s="112"/>
      <c r="H323" s="112"/>
    </row>
    <row r="324" spans="6:8" x14ac:dyDescent="0.2">
      <c r="F324" s="112"/>
      <c r="G324" s="112"/>
      <c r="H324" s="112"/>
    </row>
    <row r="325" spans="6:8" x14ac:dyDescent="0.2">
      <c r="F325" s="112"/>
      <c r="G325" s="112"/>
      <c r="H325" s="112"/>
    </row>
    <row r="326" spans="6:8" x14ac:dyDescent="0.2">
      <c r="F326" s="112"/>
      <c r="G326" s="112"/>
      <c r="H326" s="112"/>
    </row>
    <row r="327" spans="6:8" x14ac:dyDescent="0.2">
      <c r="F327" s="112"/>
      <c r="G327" s="112"/>
      <c r="H327" s="112"/>
    </row>
    <row r="328" spans="6:8" x14ac:dyDescent="0.2">
      <c r="F328" s="112"/>
      <c r="G328" s="112"/>
      <c r="H328" s="112"/>
    </row>
    <row r="329" spans="6:8" x14ac:dyDescent="0.2">
      <c r="F329" s="112"/>
      <c r="G329" s="112"/>
      <c r="H329" s="112"/>
    </row>
    <row r="330" spans="6:8" x14ac:dyDescent="0.2">
      <c r="F330" s="112"/>
      <c r="G330" s="112"/>
      <c r="H330" s="112"/>
    </row>
    <row r="331" spans="6:8" x14ac:dyDescent="0.2">
      <c r="F331" s="112"/>
      <c r="G331" s="112"/>
      <c r="H331" s="112"/>
    </row>
    <row r="332" spans="6:8" x14ac:dyDescent="0.2">
      <c r="F332" s="112"/>
      <c r="G332" s="112"/>
      <c r="H332" s="112"/>
    </row>
    <row r="333" spans="6:8" x14ac:dyDescent="0.2">
      <c r="F333" s="112"/>
      <c r="G333" s="112"/>
      <c r="H333" s="112"/>
    </row>
    <row r="334" spans="6:8" x14ac:dyDescent="0.2">
      <c r="F334" s="112"/>
      <c r="G334" s="112"/>
      <c r="H334" s="112"/>
    </row>
    <row r="335" spans="6:8" x14ac:dyDescent="0.2">
      <c r="F335" s="112"/>
      <c r="G335" s="112"/>
      <c r="H335" s="112"/>
    </row>
    <row r="336" spans="6:8" x14ac:dyDescent="0.2">
      <c r="F336" s="112"/>
      <c r="G336" s="112"/>
      <c r="H336" s="112"/>
    </row>
    <row r="337" spans="6:8" x14ac:dyDescent="0.2">
      <c r="F337" s="112"/>
      <c r="G337" s="112"/>
      <c r="H337" s="112"/>
    </row>
    <row r="338" spans="6:8" x14ac:dyDescent="0.2">
      <c r="F338" s="112"/>
      <c r="G338" s="112"/>
      <c r="H338" s="112"/>
    </row>
    <row r="339" spans="6:8" x14ac:dyDescent="0.2">
      <c r="F339" s="112"/>
      <c r="G339" s="112"/>
      <c r="H339" s="112"/>
    </row>
    <row r="340" spans="6:8" x14ac:dyDescent="0.2">
      <c r="F340" s="112"/>
      <c r="G340" s="112"/>
      <c r="H340" s="112"/>
    </row>
    <row r="341" spans="6:8" x14ac:dyDescent="0.2">
      <c r="F341" s="112"/>
      <c r="G341" s="112"/>
      <c r="H341" s="112"/>
    </row>
    <row r="342" spans="6:8" x14ac:dyDescent="0.2">
      <c r="F342" s="112"/>
      <c r="G342" s="112"/>
      <c r="H342" s="112"/>
    </row>
    <row r="343" spans="6:8" x14ac:dyDescent="0.2">
      <c r="F343" s="112"/>
      <c r="G343" s="112"/>
      <c r="H343" s="112"/>
    </row>
    <row r="344" spans="6:8" x14ac:dyDescent="0.2">
      <c r="F344" s="112"/>
      <c r="G344" s="112"/>
      <c r="H344" s="112"/>
    </row>
    <row r="345" spans="6:8" x14ac:dyDescent="0.2">
      <c r="F345" s="112"/>
      <c r="G345" s="112"/>
      <c r="H345" s="112"/>
    </row>
    <row r="346" spans="6:8" x14ac:dyDescent="0.2">
      <c r="F346" s="112"/>
      <c r="G346" s="112"/>
      <c r="H346" s="112"/>
    </row>
    <row r="347" spans="6:8" x14ac:dyDescent="0.2">
      <c r="F347" s="112"/>
      <c r="G347" s="112"/>
      <c r="H347" s="112"/>
    </row>
    <row r="348" spans="6:8" x14ac:dyDescent="0.2">
      <c r="F348" s="112"/>
      <c r="G348" s="112"/>
      <c r="H348" s="112"/>
    </row>
    <row r="349" spans="6:8" x14ac:dyDescent="0.2">
      <c r="F349" s="112"/>
      <c r="G349" s="112"/>
      <c r="H349" s="112"/>
    </row>
    <row r="350" spans="6:8" x14ac:dyDescent="0.2">
      <c r="F350" s="112"/>
      <c r="G350" s="112"/>
      <c r="H350" s="112"/>
    </row>
    <row r="351" spans="6:8" x14ac:dyDescent="0.2">
      <c r="F351" s="112"/>
      <c r="G351" s="112"/>
      <c r="H351" s="112"/>
    </row>
    <row r="352" spans="6:8" x14ac:dyDescent="0.2">
      <c r="F352" s="112"/>
      <c r="G352" s="112"/>
      <c r="H352" s="112"/>
    </row>
    <row r="353" spans="6:8" x14ac:dyDescent="0.2">
      <c r="F353" s="112"/>
      <c r="G353" s="112"/>
      <c r="H353" s="112"/>
    </row>
    <row r="354" spans="6:8" x14ac:dyDescent="0.2">
      <c r="F354" s="112"/>
      <c r="G354" s="112"/>
      <c r="H354" s="112"/>
    </row>
    <row r="355" spans="6:8" x14ac:dyDescent="0.2">
      <c r="F355" s="112"/>
      <c r="G355" s="112"/>
      <c r="H355" s="112"/>
    </row>
    <row r="356" spans="6:8" x14ac:dyDescent="0.2">
      <c r="F356" s="112"/>
      <c r="G356" s="112"/>
      <c r="H356" s="112"/>
    </row>
    <row r="357" spans="6:8" x14ac:dyDescent="0.2">
      <c r="F357" s="112"/>
      <c r="G357" s="112"/>
      <c r="H357" s="112"/>
    </row>
    <row r="358" spans="6:8" x14ac:dyDescent="0.2">
      <c r="F358" s="112"/>
      <c r="G358" s="112"/>
      <c r="H358" s="112"/>
    </row>
    <row r="359" spans="6:8" x14ac:dyDescent="0.2">
      <c r="F359" s="112"/>
      <c r="G359" s="112"/>
      <c r="H359" s="112"/>
    </row>
    <row r="360" spans="6:8" x14ac:dyDescent="0.2">
      <c r="F360" s="112"/>
      <c r="G360" s="112"/>
      <c r="H360" s="112"/>
    </row>
    <row r="361" spans="6:8" x14ac:dyDescent="0.2">
      <c r="F361" s="112"/>
      <c r="G361" s="112"/>
      <c r="H361" s="112"/>
    </row>
    <row r="362" spans="6:8" x14ac:dyDescent="0.2">
      <c r="F362" s="112"/>
      <c r="G362" s="112"/>
      <c r="H362" s="112"/>
    </row>
    <row r="363" spans="6:8" x14ac:dyDescent="0.2">
      <c r="F363" s="112"/>
      <c r="G363" s="112"/>
      <c r="H363" s="112"/>
    </row>
    <row r="364" spans="6:8" x14ac:dyDescent="0.2">
      <c r="F364" s="112"/>
      <c r="G364" s="112"/>
      <c r="H364" s="112"/>
    </row>
    <row r="365" spans="6:8" x14ac:dyDescent="0.2">
      <c r="F365" s="112"/>
      <c r="G365" s="112"/>
      <c r="H365" s="112"/>
    </row>
    <row r="366" spans="6:8" x14ac:dyDescent="0.2">
      <c r="F366" s="112"/>
      <c r="G366" s="112"/>
      <c r="H366" s="112"/>
    </row>
    <row r="367" spans="6:8" x14ac:dyDescent="0.2">
      <c r="F367" s="112"/>
      <c r="G367" s="112"/>
      <c r="H367" s="112"/>
    </row>
    <row r="368" spans="6:8" x14ac:dyDescent="0.2">
      <c r="F368" s="112"/>
      <c r="G368" s="112"/>
      <c r="H368" s="112"/>
    </row>
    <row r="369" spans="6:8" x14ac:dyDescent="0.2">
      <c r="F369" s="112"/>
      <c r="G369" s="112"/>
      <c r="H369" s="112"/>
    </row>
    <row r="370" spans="6:8" x14ac:dyDescent="0.2">
      <c r="F370" s="112"/>
      <c r="G370" s="112"/>
      <c r="H370" s="112"/>
    </row>
    <row r="371" spans="6:8" x14ac:dyDescent="0.2">
      <c r="F371" s="112"/>
      <c r="G371" s="112"/>
      <c r="H371" s="112"/>
    </row>
    <row r="372" spans="6:8" x14ac:dyDescent="0.2">
      <c r="F372" s="112"/>
      <c r="G372" s="112"/>
      <c r="H372" s="112"/>
    </row>
    <row r="373" spans="6:8" x14ac:dyDescent="0.2">
      <c r="F373" s="112"/>
      <c r="G373" s="112"/>
      <c r="H373" s="112"/>
    </row>
    <row r="374" spans="6:8" x14ac:dyDescent="0.2">
      <c r="F374" s="112"/>
      <c r="G374" s="112"/>
      <c r="H374" s="112"/>
    </row>
    <row r="375" spans="6:8" x14ac:dyDescent="0.2">
      <c r="F375" s="112"/>
      <c r="G375" s="112"/>
      <c r="H375" s="112"/>
    </row>
    <row r="376" spans="6:8" x14ac:dyDescent="0.2">
      <c r="F376" s="112"/>
      <c r="G376" s="112"/>
      <c r="H376" s="112"/>
    </row>
    <row r="377" spans="6:8" x14ac:dyDescent="0.2">
      <c r="F377" s="112"/>
      <c r="G377" s="112"/>
      <c r="H377" s="112"/>
    </row>
    <row r="378" spans="6:8" x14ac:dyDescent="0.2">
      <c r="F378" s="112"/>
      <c r="G378" s="112"/>
      <c r="H378" s="112"/>
    </row>
    <row r="379" spans="6:8" x14ac:dyDescent="0.2">
      <c r="F379" s="112"/>
      <c r="G379" s="112"/>
      <c r="H379" s="112"/>
    </row>
    <row r="380" spans="6:8" x14ac:dyDescent="0.2">
      <c r="F380" s="112"/>
      <c r="G380" s="112"/>
      <c r="H380" s="112"/>
    </row>
    <row r="381" spans="6:8" x14ac:dyDescent="0.2">
      <c r="F381" s="112"/>
      <c r="G381" s="112"/>
      <c r="H381" s="112"/>
    </row>
    <row r="382" spans="6:8" x14ac:dyDescent="0.2">
      <c r="F382" s="112"/>
      <c r="G382" s="112"/>
      <c r="H382" s="112"/>
    </row>
    <row r="383" spans="6:8" x14ac:dyDescent="0.2">
      <c r="F383" s="112"/>
      <c r="G383" s="112"/>
      <c r="H383" s="112"/>
    </row>
    <row r="384" spans="6:8" x14ac:dyDescent="0.2">
      <c r="F384" s="112"/>
      <c r="G384" s="112"/>
      <c r="H384" s="112"/>
    </row>
    <row r="385" spans="6:8" x14ac:dyDescent="0.2">
      <c r="F385" s="112"/>
      <c r="G385" s="112"/>
      <c r="H385" s="112"/>
    </row>
    <row r="386" spans="6:8" x14ac:dyDescent="0.2">
      <c r="F386" s="112"/>
      <c r="G386" s="112"/>
      <c r="H386" s="112"/>
    </row>
    <row r="387" spans="6:8" x14ac:dyDescent="0.2">
      <c r="F387" s="112"/>
      <c r="G387" s="112"/>
      <c r="H387" s="112"/>
    </row>
    <row r="388" spans="6:8" x14ac:dyDescent="0.2">
      <c r="F388" s="112"/>
      <c r="G388" s="112"/>
      <c r="H388" s="112"/>
    </row>
    <row r="389" spans="6:8" x14ac:dyDescent="0.2">
      <c r="F389" s="112"/>
      <c r="G389" s="112"/>
      <c r="H389" s="112"/>
    </row>
    <row r="390" spans="6:8" x14ac:dyDescent="0.2">
      <c r="F390" s="112"/>
      <c r="G390" s="112"/>
      <c r="H390" s="112"/>
    </row>
    <row r="391" spans="6:8" x14ac:dyDescent="0.2">
      <c r="F391" s="112"/>
      <c r="G391" s="112"/>
      <c r="H391" s="112"/>
    </row>
    <row r="392" spans="6:8" x14ac:dyDescent="0.2">
      <c r="F392" s="112"/>
      <c r="G392" s="112"/>
      <c r="H392" s="112"/>
    </row>
    <row r="393" spans="6:8" x14ac:dyDescent="0.2">
      <c r="F393" s="112"/>
      <c r="G393" s="112"/>
      <c r="H393" s="112"/>
    </row>
    <row r="394" spans="6:8" x14ac:dyDescent="0.2">
      <c r="F394" s="112"/>
      <c r="G394" s="112"/>
      <c r="H394" s="112"/>
    </row>
    <row r="395" spans="6:8" x14ac:dyDescent="0.2">
      <c r="F395" s="112"/>
      <c r="G395" s="112"/>
      <c r="H395" s="112"/>
    </row>
    <row r="396" spans="6:8" x14ac:dyDescent="0.2">
      <c r="F396" s="112"/>
      <c r="G396" s="112"/>
      <c r="H396" s="112"/>
    </row>
    <row r="397" spans="6:8" x14ac:dyDescent="0.2">
      <c r="F397" s="112"/>
      <c r="G397" s="112"/>
      <c r="H397" s="112"/>
    </row>
    <row r="398" spans="6:8" x14ac:dyDescent="0.2">
      <c r="F398" s="112"/>
      <c r="G398" s="112"/>
      <c r="H398" s="112"/>
    </row>
    <row r="399" spans="6:8" x14ac:dyDescent="0.2">
      <c r="F399" s="112"/>
      <c r="G399" s="112"/>
      <c r="H399" s="112"/>
    </row>
    <row r="400" spans="6:8" x14ac:dyDescent="0.2">
      <c r="F400" s="112"/>
      <c r="G400" s="112"/>
      <c r="H400" s="112"/>
    </row>
    <row r="401" spans="6:8" x14ac:dyDescent="0.2">
      <c r="F401" s="112"/>
      <c r="G401" s="112"/>
      <c r="H401" s="112"/>
    </row>
    <row r="402" spans="6:8" x14ac:dyDescent="0.2">
      <c r="F402" s="112"/>
      <c r="G402" s="112"/>
      <c r="H402" s="112"/>
    </row>
    <row r="403" spans="6:8" x14ac:dyDescent="0.2">
      <c r="F403" s="112"/>
      <c r="G403" s="112"/>
      <c r="H403" s="112"/>
    </row>
    <row r="404" spans="6:8" x14ac:dyDescent="0.2">
      <c r="F404" s="112"/>
      <c r="G404" s="112"/>
      <c r="H404" s="112"/>
    </row>
    <row r="405" spans="6:8" x14ac:dyDescent="0.2">
      <c r="F405" s="112"/>
      <c r="G405" s="112"/>
      <c r="H405" s="112"/>
    </row>
    <row r="406" spans="6:8" x14ac:dyDescent="0.2">
      <c r="F406" s="112"/>
      <c r="G406" s="112"/>
      <c r="H406" s="112"/>
    </row>
    <row r="407" spans="6:8" x14ac:dyDescent="0.2">
      <c r="F407" s="112"/>
      <c r="G407" s="112"/>
      <c r="H407" s="112"/>
    </row>
    <row r="408" spans="6:8" x14ac:dyDescent="0.2">
      <c r="F408" s="112"/>
      <c r="G408" s="112"/>
      <c r="H408" s="112"/>
    </row>
    <row r="409" spans="6:8" x14ac:dyDescent="0.2">
      <c r="F409" s="112"/>
      <c r="G409" s="112"/>
      <c r="H409" s="112"/>
    </row>
    <row r="410" spans="6:8" x14ac:dyDescent="0.2">
      <c r="F410" s="112"/>
      <c r="G410" s="112"/>
      <c r="H410" s="112"/>
    </row>
    <row r="411" spans="6:8" x14ac:dyDescent="0.2">
      <c r="F411" s="112"/>
      <c r="G411" s="112"/>
      <c r="H411" s="112"/>
    </row>
    <row r="412" spans="6:8" x14ac:dyDescent="0.2">
      <c r="F412" s="112"/>
      <c r="G412" s="112"/>
      <c r="H412" s="112"/>
    </row>
    <row r="413" spans="6:8" x14ac:dyDescent="0.2">
      <c r="F413" s="112"/>
      <c r="G413" s="112"/>
      <c r="H413" s="112"/>
    </row>
    <row r="414" spans="6:8" x14ac:dyDescent="0.2">
      <c r="F414" s="112"/>
      <c r="G414" s="112"/>
      <c r="H414" s="112"/>
    </row>
    <row r="415" spans="6:8" x14ac:dyDescent="0.2">
      <c r="F415" s="112"/>
      <c r="G415" s="112"/>
      <c r="H415" s="112"/>
    </row>
    <row r="416" spans="6:8" x14ac:dyDescent="0.2">
      <c r="F416" s="112"/>
      <c r="G416" s="112"/>
      <c r="H416" s="112"/>
    </row>
    <row r="417" spans="6:8" x14ac:dyDescent="0.2">
      <c r="F417" s="112"/>
      <c r="G417" s="112"/>
      <c r="H417" s="112"/>
    </row>
    <row r="418" spans="6:8" x14ac:dyDescent="0.2">
      <c r="F418" s="112"/>
      <c r="G418" s="112"/>
      <c r="H418" s="112"/>
    </row>
    <row r="419" spans="6:8" x14ac:dyDescent="0.2">
      <c r="F419" s="112"/>
      <c r="G419" s="112"/>
      <c r="H419" s="112"/>
    </row>
    <row r="420" spans="6:8" x14ac:dyDescent="0.2">
      <c r="F420" s="112"/>
      <c r="G420" s="112"/>
      <c r="H420" s="112"/>
    </row>
    <row r="421" spans="6:8" x14ac:dyDescent="0.2">
      <c r="F421" s="112"/>
      <c r="G421" s="112"/>
      <c r="H421" s="112"/>
    </row>
    <row r="422" spans="6:8" x14ac:dyDescent="0.2">
      <c r="F422" s="112"/>
      <c r="G422" s="112"/>
      <c r="H422" s="112"/>
    </row>
    <row r="423" spans="6:8" x14ac:dyDescent="0.2">
      <c r="F423" s="112"/>
      <c r="G423" s="112"/>
      <c r="H423" s="112"/>
    </row>
    <row r="424" spans="6:8" x14ac:dyDescent="0.2">
      <c r="F424" s="112"/>
      <c r="G424" s="112"/>
      <c r="H424" s="112"/>
    </row>
    <row r="425" spans="6:8" x14ac:dyDescent="0.2">
      <c r="F425" s="112"/>
      <c r="G425" s="112"/>
      <c r="H425" s="112"/>
    </row>
    <row r="426" spans="6:8" x14ac:dyDescent="0.2">
      <c r="F426" s="112"/>
      <c r="G426" s="112"/>
      <c r="H426" s="112"/>
    </row>
    <row r="427" spans="6:8" x14ac:dyDescent="0.2">
      <c r="F427" s="112"/>
      <c r="G427" s="112"/>
      <c r="H427" s="112"/>
    </row>
    <row r="428" spans="6:8" x14ac:dyDescent="0.2">
      <c r="F428" s="112"/>
      <c r="G428" s="112"/>
      <c r="H428" s="112"/>
    </row>
    <row r="429" spans="6:8" x14ac:dyDescent="0.2">
      <c r="F429" s="112"/>
      <c r="G429" s="112"/>
      <c r="H429" s="112"/>
    </row>
    <row r="430" spans="6:8" x14ac:dyDescent="0.2">
      <c r="F430" s="112"/>
      <c r="G430" s="112"/>
      <c r="H430" s="112"/>
    </row>
    <row r="431" spans="6:8" x14ac:dyDescent="0.2">
      <c r="F431" s="112"/>
      <c r="G431" s="112"/>
      <c r="H431" s="112"/>
    </row>
    <row r="432" spans="6:8" x14ac:dyDescent="0.2">
      <c r="F432" s="112"/>
      <c r="G432" s="112"/>
      <c r="H432" s="112"/>
    </row>
    <row r="433" spans="6:8" x14ac:dyDescent="0.2">
      <c r="F433" s="112"/>
      <c r="G433" s="112"/>
      <c r="H433" s="112"/>
    </row>
    <row r="434" spans="6:8" x14ac:dyDescent="0.2">
      <c r="F434" s="112"/>
      <c r="G434" s="112"/>
      <c r="H434" s="112"/>
    </row>
    <row r="435" spans="6:8" x14ac:dyDescent="0.2">
      <c r="F435" s="112"/>
      <c r="G435" s="112"/>
      <c r="H435" s="112"/>
    </row>
    <row r="436" spans="6:8" x14ac:dyDescent="0.2">
      <c r="F436" s="112"/>
      <c r="G436" s="112"/>
      <c r="H436" s="112"/>
    </row>
    <row r="437" spans="6:8" x14ac:dyDescent="0.2">
      <c r="F437" s="112"/>
      <c r="G437" s="112"/>
      <c r="H437" s="112"/>
    </row>
    <row r="438" spans="6:8" x14ac:dyDescent="0.2">
      <c r="F438" s="112"/>
      <c r="G438" s="112"/>
      <c r="H438" s="112"/>
    </row>
    <row r="439" spans="6:8" x14ac:dyDescent="0.2">
      <c r="F439" s="112"/>
      <c r="G439" s="112"/>
      <c r="H439" s="112"/>
    </row>
    <row r="440" spans="6:8" x14ac:dyDescent="0.2">
      <c r="F440" s="112"/>
      <c r="G440" s="112"/>
      <c r="H440" s="112"/>
    </row>
    <row r="441" spans="6:8" x14ac:dyDescent="0.2">
      <c r="F441" s="112"/>
      <c r="G441" s="112"/>
      <c r="H441" s="112"/>
    </row>
    <row r="442" spans="6:8" x14ac:dyDescent="0.2">
      <c r="F442" s="112"/>
      <c r="G442" s="112"/>
      <c r="H442" s="112"/>
    </row>
    <row r="443" spans="6:8" x14ac:dyDescent="0.2">
      <c r="F443" s="112"/>
      <c r="G443" s="112"/>
      <c r="H443" s="112"/>
    </row>
    <row r="444" spans="6:8" x14ac:dyDescent="0.2">
      <c r="F444" s="112"/>
      <c r="G444" s="112"/>
      <c r="H444" s="112"/>
    </row>
    <row r="445" spans="6:8" x14ac:dyDescent="0.2">
      <c r="F445" s="112"/>
      <c r="G445" s="112"/>
      <c r="H445" s="112"/>
    </row>
    <row r="446" spans="6:8" x14ac:dyDescent="0.2">
      <c r="F446" s="112"/>
      <c r="G446" s="112"/>
      <c r="H446" s="112"/>
    </row>
    <row r="447" spans="6:8" x14ac:dyDescent="0.2">
      <c r="F447" s="112"/>
      <c r="G447" s="112"/>
      <c r="H447" s="112"/>
    </row>
    <row r="448" spans="6:8" x14ac:dyDescent="0.2">
      <c r="F448" s="112"/>
      <c r="G448" s="112"/>
      <c r="H448" s="112"/>
    </row>
    <row r="449" spans="6:8" x14ac:dyDescent="0.2">
      <c r="F449" s="112"/>
      <c r="G449" s="112"/>
      <c r="H449" s="112"/>
    </row>
    <row r="450" spans="6:8" x14ac:dyDescent="0.2">
      <c r="F450" s="112"/>
      <c r="G450" s="112"/>
      <c r="H450" s="112"/>
    </row>
    <row r="451" spans="6:8" x14ac:dyDescent="0.2">
      <c r="F451" s="112"/>
      <c r="G451" s="112"/>
      <c r="H451" s="112"/>
    </row>
    <row r="452" spans="6:8" x14ac:dyDescent="0.2">
      <c r="F452" s="112"/>
      <c r="G452" s="112"/>
      <c r="H452" s="112"/>
    </row>
    <row r="453" spans="6:8" x14ac:dyDescent="0.2">
      <c r="F453" s="112"/>
      <c r="G453" s="112"/>
      <c r="H453" s="112"/>
    </row>
    <row r="454" spans="6:8" x14ac:dyDescent="0.2">
      <c r="F454" s="112"/>
      <c r="G454" s="112"/>
      <c r="H454" s="112"/>
    </row>
    <row r="455" spans="6:8" x14ac:dyDescent="0.2">
      <c r="F455" s="112"/>
      <c r="G455" s="112"/>
      <c r="H455" s="112"/>
    </row>
    <row r="456" spans="6:8" x14ac:dyDescent="0.2">
      <c r="F456" s="112"/>
      <c r="G456" s="112"/>
      <c r="H456" s="112"/>
    </row>
    <row r="457" spans="6:8" x14ac:dyDescent="0.2">
      <c r="F457" s="112"/>
      <c r="G457" s="112"/>
      <c r="H457" s="112"/>
    </row>
    <row r="458" spans="6:8" x14ac:dyDescent="0.2">
      <c r="F458" s="112"/>
      <c r="G458" s="112"/>
      <c r="H458" s="112"/>
    </row>
    <row r="459" spans="6:8" x14ac:dyDescent="0.2">
      <c r="F459" s="112"/>
      <c r="G459" s="112"/>
      <c r="H459" s="112"/>
    </row>
    <row r="460" spans="6:8" x14ac:dyDescent="0.2">
      <c r="F460" s="112"/>
      <c r="G460" s="112"/>
      <c r="H460" s="112"/>
    </row>
    <row r="461" spans="6:8" x14ac:dyDescent="0.2">
      <c r="F461" s="112"/>
      <c r="G461" s="112"/>
      <c r="H461" s="112"/>
    </row>
    <row r="462" spans="6:8" x14ac:dyDescent="0.2">
      <c r="F462" s="112"/>
      <c r="G462" s="112"/>
      <c r="H462" s="112"/>
    </row>
    <row r="463" spans="6:8" x14ac:dyDescent="0.2">
      <c r="F463" s="112"/>
      <c r="G463" s="112"/>
      <c r="H463" s="112"/>
    </row>
    <row r="464" spans="6:8" x14ac:dyDescent="0.2">
      <c r="F464" s="112"/>
      <c r="G464" s="112"/>
      <c r="H464" s="112"/>
    </row>
    <row r="465" spans="6:8" x14ac:dyDescent="0.2">
      <c r="F465" s="112"/>
      <c r="G465" s="112"/>
      <c r="H465" s="112"/>
    </row>
    <row r="466" spans="6:8" x14ac:dyDescent="0.2">
      <c r="F466" s="112"/>
      <c r="G466" s="112"/>
      <c r="H466" s="112"/>
    </row>
    <row r="467" spans="6:8" x14ac:dyDescent="0.2">
      <c r="F467" s="112"/>
      <c r="G467" s="112"/>
      <c r="H467" s="112"/>
    </row>
    <row r="468" spans="6:8" x14ac:dyDescent="0.2">
      <c r="F468" s="112"/>
      <c r="G468" s="112"/>
      <c r="H468" s="112"/>
    </row>
    <row r="469" spans="6:8" x14ac:dyDescent="0.2">
      <c r="F469" s="112"/>
      <c r="G469" s="112"/>
      <c r="H469" s="112"/>
    </row>
    <row r="470" spans="6:8" x14ac:dyDescent="0.2">
      <c r="F470" s="112"/>
      <c r="G470" s="112"/>
      <c r="H470" s="112"/>
    </row>
    <row r="471" spans="6:8" x14ac:dyDescent="0.2">
      <c r="F471" s="112"/>
      <c r="G471" s="112"/>
      <c r="H471" s="112"/>
    </row>
    <row r="472" spans="6:8" x14ac:dyDescent="0.2">
      <c r="F472" s="112"/>
      <c r="G472" s="112"/>
      <c r="H472" s="112"/>
    </row>
    <row r="473" spans="6:8" x14ac:dyDescent="0.2">
      <c r="F473" s="112"/>
      <c r="G473" s="112"/>
      <c r="H473" s="112"/>
    </row>
    <row r="474" spans="6:8" x14ac:dyDescent="0.2">
      <c r="F474" s="112"/>
      <c r="G474" s="112"/>
      <c r="H474" s="112"/>
    </row>
    <row r="475" spans="6:8" x14ac:dyDescent="0.2">
      <c r="F475" s="112"/>
      <c r="G475" s="112"/>
      <c r="H475" s="112"/>
    </row>
    <row r="476" spans="6:8" x14ac:dyDescent="0.2">
      <c r="F476" s="112"/>
      <c r="G476" s="112"/>
      <c r="H476" s="112"/>
    </row>
    <row r="477" spans="6:8" x14ac:dyDescent="0.2">
      <c r="F477" s="112"/>
      <c r="G477" s="112"/>
      <c r="H477" s="112"/>
    </row>
    <row r="478" spans="6:8" x14ac:dyDescent="0.2">
      <c r="F478" s="112"/>
      <c r="G478" s="112"/>
      <c r="H478" s="112"/>
    </row>
    <row r="479" spans="6:8" x14ac:dyDescent="0.2">
      <c r="F479" s="112"/>
      <c r="G479" s="112"/>
      <c r="H479" s="112"/>
    </row>
    <row r="480" spans="6:8" x14ac:dyDescent="0.2">
      <c r="F480" s="112"/>
      <c r="G480" s="112"/>
      <c r="H480" s="112"/>
    </row>
    <row r="481" spans="6:8" x14ac:dyDescent="0.2">
      <c r="F481" s="112"/>
      <c r="G481" s="112"/>
      <c r="H481" s="112"/>
    </row>
    <row r="482" spans="6:8" x14ac:dyDescent="0.2">
      <c r="F482" s="112"/>
      <c r="G482" s="112"/>
      <c r="H482" s="112"/>
    </row>
    <row r="483" spans="6:8" x14ac:dyDescent="0.2">
      <c r="F483" s="112"/>
      <c r="G483" s="112"/>
      <c r="H483" s="112"/>
    </row>
    <row r="484" spans="6:8" x14ac:dyDescent="0.2">
      <c r="F484" s="112"/>
      <c r="G484" s="112"/>
      <c r="H484" s="112"/>
    </row>
    <row r="485" spans="6:8" x14ac:dyDescent="0.2">
      <c r="F485" s="112"/>
      <c r="G485" s="112"/>
      <c r="H485" s="112"/>
    </row>
    <row r="486" spans="6:8" x14ac:dyDescent="0.2">
      <c r="F486" s="112"/>
      <c r="G486" s="112"/>
      <c r="H486" s="112"/>
    </row>
    <row r="487" spans="6:8" x14ac:dyDescent="0.2">
      <c r="F487" s="112"/>
      <c r="G487" s="112"/>
      <c r="H487" s="112"/>
    </row>
    <row r="488" spans="6:8" x14ac:dyDescent="0.2">
      <c r="F488" s="112"/>
      <c r="G488" s="112"/>
      <c r="H488" s="112"/>
    </row>
    <row r="489" spans="6:8" x14ac:dyDescent="0.2">
      <c r="F489" s="112"/>
      <c r="G489" s="112"/>
      <c r="H489" s="112"/>
    </row>
    <row r="490" spans="6:8" x14ac:dyDescent="0.2">
      <c r="F490" s="112"/>
      <c r="G490" s="112"/>
      <c r="H490" s="112"/>
    </row>
    <row r="491" spans="6:8" x14ac:dyDescent="0.2">
      <c r="F491" s="112"/>
      <c r="G491" s="112"/>
      <c r="H491" s="112"/>
    </row>
    <row r="492" spans="6:8" x14ac:dyDescent="0.2">
      <c r="F492" s="112"/>
      <c r="G492" s="112"/>
      <c r="H492" s="112"/>
    </row>
    <row r="493" spans="6:8" x14ac:dyDescent="0.2">
      <c r="F493" s="112"/>
      <c r="G493" s="112"/>
      <c r="H493" s="112"/>
    </row>
    <row r="494" spans="6:8" x14ac:dyDescent="0.2">
      <c r="F494" s="112"/>
      <c r="G494" s="112"/>
      <c r="H494" s="112"/>
    </row>
    <row r="495" spans="6:8" x14ac:dyDescent="0.2">
      <c r="F495" s="112"/>
      <c r="G495" s="112"/>
      <c r="H495" s="112"/>
    </row>
    <row r="496" spans="6:8" x14ac:dyDescent="0.2">
      <c r="F496" s="112"/>
      <c r="G496" s="112"/>
      <c r="H496" s="112"/>
    </row>
    <row r="497" spans="6:8" x14ac:dyDescent="0.2">
      <c r="F497" s="112"/>
      <c r="G497" s="112"/>
      <c r="H497" s="112"/>
    </row>
    <row r="498" spans="6:8" x14ac:dyDescent="0.2">
      <c r="F498" s="112"/>
      <c r="G498" s="112"/>
      <c r="H498" s="112"/>
    </row>
    <row r="499" spans="6:8" x14ac:dyDescent="0.2">
      <c r="F499" s="112"/>
      <c r="G499" s="112"/>
      <c r="H499" s="112"/>
    </row>
    <row r="500" spans="6:8" x14ac:dyDescent="0.2">
      <c r="F500" s="112"/>
      <c r="G500" s="112"/>
      <c r="H500" s="112"/>
    </row>
    <row r="501" spans="6:8" x14ac:dyDescent="0.2">
      <c r="F501" s="112"/>
      <c r="G501" s="112"/>
      <c r="H501" s="112"/>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139"/>
  <sheetViews>
    <sheetView topLeftCell="A107" workbookViewId="0">
      <selection activeCell="E144" sqref="E144"/>
    </sheetView>
  </sheetViews>
  <sheetFormatPr defaultRowHeight="12.75" x14ac:dyDescent="0.2"/>
  <cols>
    <col min="1" max="1" width="12" customWidth="1"/>
    <col min="2" max="2" width="16" customWidth="1"/>
    <col min="3" max="3" width="14" customWidth="1"/>
    <col min="4" max="4" width="60" customWidth="1"/>
    <col min="5" max="5" width="16" customWidth="1"/>
    <col min="6" max="6" width="12" customWidth="1"/>
    <col min="7" max="7" width="44.33203125" customWidth="1"/>
    <col min="8" max="9" width="60" hidden="1" customWidth="1"/>
    <col min="10" max="10" width="14" hidden="1" customWidth="1"/>
  </cols>
  <sheetData>
    <row r="1" spans="1:10" ht="48" customHeight="1" x14ac:dyDescent="0.2"/>
    <row r="2" spans="1:10" x14ac:dyDescent="0.2">
      <c r="A2" s="201" t="s">
        <v>8</v>
      </c>
      <c r="B2" s="201" t="s">
        <v>9</v>
      </c>
      <c r="C2" s="201" t="s">
        <v>10</v>
      </c>
      <c r="D2" s="201" t="s">
        <v>11</v>
      </c>
      <c r="E2" s="205" t="s">
        <v>1308</v>
      </c>
      <c r="F2" s="201" t="s">
        <v>1282</v>
      </c>
      <c r="G2" s="201" t="s">
        <v>4538</v>
      </c>
      <c r="H2" s="201" t="s">
        <v>4539</v>
      </c>
      <c r="I2" s="201" t="s">
        <v>4540</v>
      </c>
      <c r="J2" s="201" t="s">
        <v>4541</v>
      </c>
    </row>
    <row r="3" spans="1:10" x14ac:dyDescent="0.2">
      <c r="A3" t="s">
        <v>165</v>
      </c>
      <c r="B3" t="s">
        <v>1373</v>
      </c>
      <c r="C3" t="s">
        <v>56</v>
      </c>
      <c r="D3" t="s">
        <v>166</v>
      </c>
      <c r="E3">
        <v>462288.78</v>
      </c>
      <c r="F3" t="s">
        <v>1287</v>
      </c>
      <c r="G3" t="s">
        <v>4542</v>
      </c>
      <c r="H3" t="s">
        <v>3957</v>
      </c>
      <c r="I3" t="s">
        <v>4543</v>
      </c>
      <c r="J3" t="s">
        <v>4544</v>
      </c>
    </row>
    <row r="4" spans="1:10" x14ac:dyDescent="0.2">
      <c r="A4" t="s">
        <v>2067</v>
      </c>
      <c r="B4" t="s">
        <v>979</v>
      </c>
      <c r="C4" t="s">
        <v>209</v>
      </c>
      <c r="D4" t="s">
        <v>2068</v>
      </c>
      <c r="E4">
        <v>261643.44</v>
      </c>
      <c r="F4" t="s">
        <v>1287</v>
      </c>
      <c r="G4" t="s">
        <v>4545</v>
      </c>
      <c r="H4" t="s">
        <v>3974</v>
      </c>
      <c r="I4" t="s">
        <v>4543</v>
      </c>
      <c r="J4" t="s">
        <v>4544</v>
      </c>
    </row>
    <row r="5" spans="1:10" x14ac:dyDescent="0.2">
      <c r="A5" t="s">
        <v>372</v>
      </c>
      <c r="B5" t="s">
        <v>1472</v>
      </c>
      <c r="C5" t="s">
        <v>24</v>
      </c>
      <c r="D5" t="s">
        <v>374</v>
      </c>
      <c r="E5">
        <v>217888.44</v>
      </c>
      <c r="F5" t="s">
        <v>1287</v>
      </c>
      <c r="G5" t="s">
        <v>4546</v>
      </c>
      <c r="H5" t="s">
        <v>3984</v>
      </c>
      <c r="I5" t="s">
        <v>4543</v>
      </c>
      <c r="J5" t="s">
        <v>4544</v>
      </c>
    </row>
    <row r="6" spans="1:10" x14ac:dyDescent="0.2">
      <c r="A6" t="s">
        <v>213</v>
      </c>
      <c r="B6" t="s">
        <v>1399</v>
      </c>
      <c r="C6" t="s">
        <v>56</v>
      </c>
      <c r="D6" t="s">
        <v>214</v>
      </c>
      <c r="E6">
        <v>202728.79</v>
      </c>
      <c r="F6" t="s">
        <v>1287</v>
      </c>
      <c r="G6" t="s">
        <v>4542</v>
      </c>
      <c r="H6" t="s">
        <v>3993</v>
      </c>
      <c r="I6" t="s">
        <v>4543</v>
      </c>
      <c r="J6" t="s">
        <v>4544</v>
      </c>
    </row>
    <row r="7" spans="1:10" x14ac:dyDescent="0.2">
      <c r="A7" t="s">
        <v>66</v>
      </c>
      <c r="B7" t="s">
        <v>1337</v>
      </c>
      <c r="C7" t="s">
        <v>24</v>
      </c>
      <c r="D7" t="s">
        <v>68</v>
      </c>
      <c r="E7">
        <v>197320.83</v>
      </c>
      <c r="F7" t="s">
        <v>1287</v>
      </c>
      <c r="G7" t="s">
        <v>4546</v>
      </c>
      <c r="H7" t="s">
        <v>4001</v>
      </c>
      <c r="I7" t="s">
        <v>4543</v>
      </c>
      <c r="J7" t="s">
        <v>4544</v>
      </c>
    </row>
    <row r="8" spans="1:10" x14ac:dyDescent="0.2">
      <c r="A8" t="s">
        <v>59</v>
      </c>
      <c r="B8" t="s">
        <v>1332</v>
      </c>
      <c r="C8" t="s">
        <v>56</v>
      </c>
      <c r="D8" t="s">
        <v>60</v>
      </c>
      <c r="E8">
        <v>192877.2</v>
      </c>
      <c r="F8" t="s">
        <v>1287</v>
      </c>
      <c r="G8" t="s">
        <v>4542</v>
      </c>
      <c r="H8" t="s">
        <v>4009</v>
      </c>
      <c r="I8" t="s">
        <v>4543</v>
      </c>
      <c r="J8" t="s">
        <v>4544</v>
      </c>
    </row>
    <row r="9" spans="1:10" x14ac:dyDescent="0.2">
      <c r="A9" t="s">
        <v>2194</v>
      </c>
      <c r="B9" t="s">
        <v>2195</v>
      </c>
      <c r="C9" t="s">
        <v>56</v>
      </c>
      <c r="D9" t="s">
        <v>1077</v>
      </c>
      <c r="E9">
        <v>190644.92</v>
      </c>
      <c r="F9" t="s">
        <v>1287</v>
      </c>
      <c r="G9" t="s">
        <v>4542</v>
      </c>
      <c r="H9" t="s">
        <v>4014</v>
      </c>
      <c r="I9" t="s">
        <v>4543</v>
      </c>
      <c r="J9" t="s">
        <v>4544</v>
      </c>
    </row>
    <row r="10" spans="1:10" x14ac:dyDescent="0.2">
      <c r="A10" t="s">
        <v>215</v>
      </c>
      <c r="B10" t="s">
        <v>1400</v>
      </c>
      <c r="C10" t="s">
        <v>56</v>
      </c>
      <c r="D10" t="s">
        <v>216</v>
      </c>
      <c r="E10">
        <v>184944.08</v>
      </c>
      <c r="F10" t="s">
        <v>1287</v>
      </c>
      <c r="G10" t="s">
        <v>4542</v>
      </c>
      <c r="H10" t="s">
        <v>4022</v>
      </c>
      <c r="I10" t="s">
        <v>4543</v>
      </c>
      <c r="J10" t="s">
        <v>4544</v>
      </c>
    </row>
    <row r="11" spans="1:10" x14ac:dyDescent="0.2">
      <c r="A11" t="s">
        <v>356</v>
      </c>
      <c r="B11" t="s">
        <v>1465</v>
      </c>
      <c r="C11" t="s">
        <v>56</v>
      </c>
      <c r="D11" t="s">
        <v>357</v>
      </c>
      <c r="E11">
        <v>150664.87</v>
      </c>
      <c r="F11" t="s">
        <v>1287</v>
      </c>
      <c r="G11" t="s">
        <v>4542</v>
      </c>
      <c r="H11" t="s">
        <v>4026</v>
      </c>
      <c r="I11" t="s">
        <v>4543</v>
      </c>
      <c r="J11" t="s">
        <v>4544</v>
      </c>
    </row>
    <row r="12" spans="1:10" x14ac:dyDescent="0.2">
      <c r="A12" t="s">
        <v>97</v>
      </c>
      <c r="B12" t="s">
        <v>1348</v>
      </c>
      <c r="C12" t="s">
        <v>56</v>
      </c>
      <c r="D12" t="s">
        <v>98</v>
      </c>
      <c r="E12">
        <v>147623.76999999999</v>
      </c>
      <c r="F12" t="s">
        <v>1287</v>
      </c>
      <c r="G12" t="s">
        <v>4542</v>
      </c>
      <c r="H12" t="s">
        <v>4030</v>
      </c>
      <c r="I12" t="s">
        <v>4543</v>
      </c>
      <c r="J12" t="s">
        <v>4544</v>
      </c>
    </row>
    <row r="13" spans="1:10" x14ac:dyDescent="0.2">
      <c r="A13" t="s">
        <v>55</v>
      </c>
      <c r="B13" t="s">
        <v>1331</v>
      </c>
      <c r="C13" t="s">
        <v>56</v>
      </c>
      <c r="D13" t="s">
        <v>57</v>
      </c>
      <c r="E13">
        <v>144250.76</v>
      </c>
      <c r="F13" t="s">
        <v>1287</v>
      </c>
      <c r="G13" t="s">
        <v>4542</v>
      </c>
      <c r="H13" t="s">
        <v>4034</v>
      </c>
      <c r="I13" t="s">
        <v>4543</v>
      </c>
      <c r="J13" t="s">
        <v>4544</v>
      </c>
    </row>
    <row r="14" spans="1:10" x14ac:dyDescent="0.2">
      <c r="A14" t="s">
        <v>394</v>
      </c>
      <c r="B14" t="s">
        <v>1487</v>
      </c>
      <c r="C14" t="s">
        <v>56</v>
      </c>
      <c r="D14" t="s">
        <v>1488</v>
      </c>
      <c r="E14">
        <v>144137.93</v>
      </c>
      <c r="F14" t="s">
        <v>1287</v>
      </c>
      <c r="G14" t="s">
        <v>4542</v>
      </c>
      <c r="H14" t="s">
        <v>4038</v>
      </c>
      <c r="I14" t="s">
        <v>4543</v>
      </c>
      <c r="J14" t="s">
        <v>4544</v>
      </c>
    </row>
    <row r="15" spans="1:10" x14ac:dyDescent="0.2">
      <c r="A15" t="s">
        <v>1946</v>
      </c>
      <c r="B15" t="s">
        <v>1947</v>
      </c>
      <c r="C15" t="s">
        <v>24</v>
      </c>
      <c r="D15" t="s">
        <v>897</v>
      </c>
      <c r="E15">
        <v>140493.88</v>
      </c>
      <c r="F15" t="s">
        <v>1287</v>
      </c>
      <c r="G15" t="s">
        <v>4546</v>
      </c>
      <c r="H15" t="s">
        <v>4042</v>
      </c>
      <c r="I15" t="s">
        <v>4543</v>
      </c>
      <c r="J15" t="s">
        <v>4544</v>
      </c>
    </row>
    <row r="16" spans="1:10" x14ac:dyDescent="0.2">
      <c r="A16" t="s">
        <v>328</v>
      </c>
      <c r="B16" t="s">
        <v>1456</v>
      </c>
      <c r="C16" t="s">
        <v>56</v>
      </c>
      <c r="D16" t="s">
        <v>329</v>
      </c>
      <c r="E16">
        <v>131161.07999999999</v>
      </c>
      <c r="F16" t="s">
        <v>1287</v>
      </c>
      <c r="G16" t="s">
        <v>4542</v>
      </c>
      <c r="H16" t="s">
        <v>4046</v>
      </c>
      <c r="I16" t="s">
        <v>4543</v>
      </c>
      <c r="J16" t="s">
        <v>4544</v>
      </c>
    </row>
    <row r="17" spans="1:10" x14ac:dyDescent="0.2">
      <c r="A17" t="s">
        <v>348</v>
      </c>
      <c r="B17" t="s">
        <v>349</v>
      </c>
      <c r="C17" t="s">
        <v>209</v>
      </c>
      <c r="D17" t="s">
        <v>350</v>
      </c>
      <c r="E17">
        <v>127178.07</v>
      </c>
      <c r="F17" t="s">
        <v>1287</v>
      </c>
      <c r="G17" t="s">
        <v>4545</v>
      </c>
      <c r="H17" t="s">
        <v>4051</v>
      </c>
      <c r="I17" t="s">
        <v>4543</v>
      </c>
      <c r="J17" t="s">
        <v>4544</v>
      </c>
    </row>
    <row r="18" spans="1:10" x14ac:dyDescent="0.2">
      <c r="A18" t="s">
        <v>62</v>
      </c>
      <c r="B18" t="s">
        <v>1333</v>
      </c>
      <c r="C18" t="s">
        <v>56</v>
      </c>
      <c r="D18" t="s">
        <v>1334</v>
      </c>
      <c r="E18">
        <v>117463.38</v>
      </c>
      <c r="F18" t="s">
        <v>1287</v>
      </c>
      <c r="G18" t="s">
        <v>4542</v>
      </c>
      <c r="H18" t="s">
        <v>4059</v>
      </c>
      <c r="I18" t="s">
        <v>4543</v>
      </c>
      <c r="J18" t="s">
        <v>4544</v>
      </c>
    </row>
    <row r="19" spans="1:10" x14ac:dyDescent="0.2">
      <c r="A19" t="s">
        <v>488</v>
      </c>
      <c r="B19" t="s">
        <v>1533</v>
      </c>
      <c r="C19" t="s">
        <v>24</v>
      </c>
      <c r="D19" t="s">
        <v>490</v>
      </c>
      <c r="E19">
        <v>114250.12</v>
      </c>
      <c r="F19" t="s">
        <v>1287</v>
      </c>
      <c r="G19" t="s">
        <v>4546</v>
      </c>
      <c r="H19" t="s">
        <v>4063</v>
      </c>
      <c r="I19" t="s">
        <v>4543</v>
      </c>
      <c r="J19" t="s">
        <v>4544</v>
      </c>
    </row>
    <row r="20" spans="1:10" x14ac:dyDescent="0.2">
      <c r="A20" t="s">
        <v>22</v>
      </c>
      <c r="B20" t="s">
        <v>1317</v>
      </c>
      <c r="C20" t="s">
        <v>24</v>
      </c>
      <c r="D20" t="s">
        <v>1318</v>
      </c>
      <c r="E20">
        <v>111230.61</v>
      </c>
      <c r="F20" t="s">
        <v>1287</v>
      </c>
      <c r="G20" t="s">
        <v>4546</v>
      </c>
      <c r="H20" t="s">
        <v>4069</v>
      </c>
      <c r="I20" t="s">
        <v>4543</v>
      </c>
      <c r="J20" t="s">
        <v>4544</v>
      </c>
    </row>
    <row r="21" spans="1:10" x14ac:dyDescent="0.2">
      <c r="A21" t="s">
        <v>217</v>
      </c>
      <c r="B21" t="s">
        <v>1401</v>
      </c>
      <c r="C21" t="s">
        <v>56</v>
      </c>
      <c r="D21" t="s">
        <v>218</v>
      </c>
      <c r="E21">
        <v>104938.27</v>
      </c>
      <c r="F21" t="s">
        <v>1287</v>
      </c>
      <c r="G21" t="s">
        <v>4542</v>
      </c>
      <c r="H21" t="s">
        <v>4077</v>
      </c>
      <c r="I21" t="s">
        <v>4543</v>
      </c>
      <c r="J21" t="s">
        <v>4544</v>
      </c>
    </row>
    <row r="22" spans="1:10" x14ac:dyDescent="0.2">
      <c r="A22" t="s">
        <v>2126</v>
      </c>
      <c r="B22" t="s">
        <v>2127</v>
      </c>
      <c r="C22" t="s">
        <v>24</v>
      </c>
      <c r="D22" t="s">
        <v>2128</v>
      </c>
      <c r="E22">
        <v>103848.42</v>
      </c>
      <c r="F22" t="s">
        <v>1287</v>
      </c>
      <c r="G22" t="s">
        <v>4546</v>
      </c>
      <c r="H22" t="s">
        <v>4081</v>
      </c>
      <c r="I22" t="s">
        <v>4543</v>
      </c>
      <c r="J22" t="s">
        <v>4544</v>
      </c>
    </row>
    <row r="23" spans="1:10" x14ac:dyDescent="0.2">
      <c r="A23" t="s">
        <v>517</v>
      </c>
      <c r="B23" t="s">
        <v>1544</v>
      </c>
      <c r="C23" t="s">
        <v>24</v>
      </c>
      <c r="D23" t="s">
        <v>519</v>
      </c>
      <c r="E23">
        <v>100821.48</v>
      </c>
      <c r="F23" t="s">
        <v>1287</v>
      </c>
      <c r="G23" t="s">
        <v>4546</v>
      </c>
      <c r="H23" t="s">
        <v>4085</v>
      </c>
      <c r="I23" t="s">
        <v>4543</v>
      </c>
      <c r="J23" t="s">
        <v>4544</v>
      </c>
    </row>
    <row r="24" spans="1:10" x14ac:dyDescent="0.2">
      <c r="A24" t="s">
        <v>1938</v>
      </c>
      <c r="B24" t="s">
        <v>1939</v>
      </c>
      <c r="C24" t="s">
        <v>56</v>
      </c>
      <c r="D24" t="s">
        <v>887</v>
      </c>
      <c r="E24">
        <v>100460.22</v>
      </c>
      <c r="F24" t="s">
        <v>1287</v>
      </c>
      <c r="G24" t="s">
        <v>4542</v>
      </c>
      <c r="H24" t="s">
        <v>4090</v>
      </c>
      <c r="I24" t="s">
        <v>4543</v>
      </c>
      <c r="J24" t="s">
        <v>4544</v>
      </c>
    </row>
    <row r="25" spans="1:10" x14ac:dyDescent="0.2">
      <c r="A25" t="s">
        <v>315</v>
      </c>
      <c r="B25" t="s">
        <v>316</v>
      </c>
      <c r="C25" t="s">
        <v>317</v>
      </c>
      <c r="D25" t="s">
        <v>318</v>
      </c>
      <c r="E25">
        <v>100251.8</v>
      </c>
      <c r="F25" t="s">
        <v>1287</v>
      </c>
      <c r="G25" t="s">
        <v>4547</v>
      </c>
      <c r="H25" t="s">
        <v>4099</v>
      </c>
      <c r="I25" t="s">
        <v>4543</v>
      </c>
      <c r="J25" t="s">
        <v>4544</v>
      </c>
    </row>
    <row r="26" spans="1:10" x14ac:dyDescent="0.2">
      <c r="A26" t="s">
        <v>1936</v>
      </c>
      <c r="B26" t="s">
        <v>1937</v>
      </c>
      <c r="C26" t="s">
        <v>56</v>
      </c>
      <c r="D26" t="s">
        <v>885</v>
      </c>
      <c r="E26">
        <v>99320.84</v>
      </c>
      <c r="F26" t="s">
        <v>1287</v>
      </c>
      <c r="G26" t="s">
        <v>4542</v>
      </c>
      <c r="H26" t="s">
        <v>4103</v>
      </c>
      <c r="I26" t="s">
        <v>4543</v>
      </c>
      <c r="J26" t="s">
        <v>4544</v>
      </c>
    </row>
    <row r="27" spans="1:10" x14ac:dyDescent="0.2">
      <c r="A27" t="s">
        <v>1416</v>
      </c>
      <c r="B27" t="s">
        <v>236</v>
      </c>
      <c r="C27" t="s">
        <v>209</v>
      </c>
      <c r="D27" t="s">
        <v>271</v>
      </c>
      <c r="E27">
        <v>94069.42</v>
      </c>
      <c r="F27" t="s">
        <v>1287</v>
      </c>
      <c r="G27" t="s">
        <v>4545</v>
      </c>
      <c r="H27" t="s">
        <v>4107</v>
      </c>
      <c r="I27" t="s">
        <v>4543</v>
      </c>
      <c r="J27" t="s">
        <v>4544</v>
      </c>
    </row>
    <row r="28" spans="1:10" x14ac:dyDescent="0.2">
      <c r="A28" t="s">
        <v>2206</v>
      </c>
      <c r="B28" t="s">
        <v>2207</v>
      </c>
      <c r="C28" t="s">
        <v>56</v>
      </c>
      <c r="D28" t="s">
        <v>2208</v>
      </c>
      <c r="E28">
        <v>93485.03</v>
      </c>
      <c r="F28" t="s">
        <v>1287</v>
      </c>
      <c r="G28" t="s">
        <v>4542</v>
      </c>
      <c r="H28" t="s">
        <v>4112</v>
      </c>
      <c r="I28" t="s">
        <v>4543</v>
      </c>
      <c r="J28" t="s">
        <v>4544</v>
      </c>
    </row>
    <row r="29" spans="1:10" x14ac:dyDescent="0.2">
      <c r="A29" t="s">
        <v>1408</v>
      </c>
      <c r="B29" t="s">
        <v>1409</v>
      </c>
      <c r="C29" t="s">
        <v>56</v>
      </c>
      <c r="D29" t="s">
        <v>232</v>
      </c>
      <c r="E29">
        <v>90410.76</v>
      </c>
      <c r="F29" t="s">
        <v>1287</v>
      </c>
      <c r="G29" t="s">
        <v>4542</v>
      </c>
      <c r="H29" t="s">
        <v>4119</v>
      </c>
      <c r="I29" t="s">
        <v>4543</v>
      </c>
      <c r="J29" t="s">
        <v>4544</v>
      </c>
    </row>
    <row r="30" spans="1:10" x14ac:dyDescent="0.2">
      <c r="A30" t="s">
        <v>428</v>
      </c>
      <c r="B30" t="s">
        <v>1503</v>
      </c>
      <c r="C30" t="s">
        <v>56</v>
      </c>
      <c r="D30" t="s">
        <v>429</v>
      </c>
      <c r="E30">
        <v>84198.81</v>
      </c>
      <c r="F30" t="s">
        <v>1287</v>
      </c>
      <c r="G30" t="s">
        <v>4542</v>
      </c>
      <c r="H30" t="s">
        <v>4124</v>
      </c>
      <c r="I30" t="s">
        <v>4543</v>
      </c>
      <c r="J30" t="s">
        <v>4544</v>
      </c>
    </row>
    <row r="31" spans="1:10" x14ac:dyDescent="0.2">
      <c r="A31" t="s">
        <v>400</v>
      </c>
      <c r="B31" t="s">
        <v>1491</v>
      </c>
      <c r="C31" t="s">
        <v>335</v>
      </c>
      <c r="D31" t="s">
        <v>401</v>
      </c>
      <c r="E31">
        <v>82070.070000000007</v>
      </c>
      <c r="F31" t="s">
        <v>1287</v>
      </c>
      <c r="G31" t="s">
        <v>4548</v>
      </c>
      <c r="H31" t="s">
        <v>4131</v>
      </c>
      <c r="I31" t="s">
        <v>4543</v>
      </c>
      <c r="J31" t="s">
        <v>4544</v>
      </c>
    </row>
    <row r="32" spans="1:10" x14ac:dyDescent="0.2">
      <c r="A32" t="s">
        <v>307</v>
      </c>
      <c r="B32" t="s">
        <v>1451</v>
      </c>
      <c r="C32" t="s">
        <v>56</v>
      </c>
      <c r="D32" t="s">
        <v>308</v>
      </c>
      <c r="E32">
        <v>81841.83</v>
      </c>
      <c r="F32" t="s">
        <v>1287</v>
      </c>
      <c r="G32" t="s">
        <v>4542</v>
      </c>
      <c r="H32" t="s">
        <v>4135</v>
      </c>
      <c r="I32" t="s">
        <v>4543</v>
      </c>
      <c r="J32" t="s">
        <v>4544</v>
      </c>
    </row>
    <row r="33" spans="1:10" x14ac:dyDescent="0.2">
      <c r="A33" t="s">
        <v>1524</v>
      </c>
      <c r="B33" t="s">
        <v>1525</v>
      </c>
      <c r="C33" t="s">
        <v>24</v>
      </c>
      <c r="D33" t="s">
        <v>473</v>
      </c>
      <c r="E33">
        <v>78667.22</v>
      </c>
      <c r="F33" t="s">
        <v>1287</v>
      </c>
      <c r="G33" t="s">
        <v>4546</v>
      </c>
      <c r="H33" t="s">
        <v>4139</v>
      </c>
      <c r="I33" t="s">
        <v>4543</v>
      </c>
      <c r="J33" t="s">
        <v>4544</v>
      </c>
    </row>
    <row r="34" spans="1:10" x14ac:dyDescent="0.2">
      <c r="A34" t="s">
        <v>541</v>
      </c>
      <c r="B34" t="s">
        <v>1556</v>
      </c>
      <c r="C34" t="s">
        <v>335</v>
      </c>
      <c r="D34" t="s">
        <v>542</v>
      </c>
      <c r="E34">
        <v>78369.48</v>
      </c>
      <c r="F34" t="s">
        <v>1287</v>
      </c>
      <c r="G34" t="s">
        <v>4548</v>
      </c>
      <c r="H34" t="s">
        <v>4143</v>
      </c>
      <c r="I34" t="s">
        <v>4543</v>
      </c>
      <c r="J34" t="s">
        <v>4544</v>
      </c>
    </row>
    <row r="35" spans="1:10" x14ac:dyDescent="0.2">
      <c r="A35" t="s">
        <v>1969</v>
      </c>
      <c r="B35" t="s">
        <v>1970</v>
      </c>
      <c r="C35" t="s">
        <v>24</v>
      </c>
      <c r="D35" t="s">
        <v>918</v>
      </c>
      <c r="E35">
        <v>77537.009999999995</v>
      </c>
      <c r="F35" t="s">
        <v>1287</v>
      </c>
      <c r="G35" t="s">
        <v>4546</v>
      </c>
      <c r="H35" t="s">
        <v>4147</v>
      </c>
      <c r="I35" t="s">
        <v>4543</v>
      </c>
      <c r="J35" t="s">
        <v>4544</v>
      </c>
    </row>
    <row r="36" spans="1:10" x14ac:dyDescent="0.2">
      <c r="A36" t="s">
        <v>392</v>
      </c>
      <c r="B36" t="s">
        <v>1485</v>
      </c>
      <c r="C36" t="s">
        <v>56</v>
      </c>
      <c r="D36" t="s">
        <v>1486</v>
      </c>
      <c r="E36">
        <v>75161.63</v>
      </c>
      <c r="F36" t="s">
        <v>1287</v>
      </c>
      <c r="G36" t="s">
        <v>4542</v>
      </c>
      <c r="H36" t="s">
        <v>4151</v>
      </c>
      <c r="I36" t="s">
        <v>4543</v>
      </c>
      <c r="J36" t="s">
        <v>4544</v>
      </c>
    </row>
    <row r="37" spans="1:10" x14ac:dyDescent="0.2">
      <c r="A37" t="s">
        <v>295</v>
      </c>
      <c r="B37" t="s">
        <v>1443</v>
      </c>
      <c r="C37" t="s">
        <v>56</v>
      </c>
      <c r="D37" t="s">
        <v>296</v>
      </c>
      <c r="E37">
        <v>74929.960000000006</v>
      </c>
      <c r="F37" t="s">
        <v>1287</v>
      </c>
      <c r="G37" t="s">
        <v>4542</v>
      </c>
      <c r="H37" t="s">
        <v>4155</v>
      </c>
      <c r="I37" t="s">
        <v>4543</v>
      </c>
      <c r="J37" t="s">
        <v>4544</v>
      </c>
    </row>
    <row r="38" spans="1:10" x14ac:dyDescent="0.2">
      <c r="A38" t="s">
        <v>309</v>
      </c>
      <c r="B38" t="s">
        <v>310</v>
      </c>
      <c r="C38" t="s">
        <v>209</v>
      </c>
      <c r="D38" t="s">
        <v>311</v>
      </c>
      <c r="E38">
        <v>74500.69</v>
      </c>
      <c r="F38" t="s">
        <v>1287</v>
      </c>
      <c r="G38" t="s">
        <v>4545</v>
      </c>
      <c r="H38" t="s">
        <v>4159</v>
      </c>
      <c r="I38" t="s">
        <v>4543</v>
      </c>
      <c r="J38" t="s">
        <v>4544</v>
      </c>
    </row>
    <row r="39" spans="1:10" x14ac:dyDescent="0.2">
      <c r="A39" t="s">
        <v>345</v>
      </c>
      <c r="B39" t="s">
        <v>346</v>
      </c>
      <c r="C39" t="s">
        <v>209</v>
      </c>
      <c r="D39" t="s">
        <v>1462</v>
      </c>
      <c r="E39">
        <v>74168.58</v>
      </c>
      <c r="F39" t="s">
        <v>1287</v>
      </c>
      <c r="G39" t="s">
        <v>4545</v>
      </c>
      <c r="H39" t="s">
        <v>4163</v>
      </c>
      <c r="I39" t="s">
        <v>4543</v>
      </c>
      <c r="J39" t="s">
        <v>4544</v>
      </c>
    </row>
    <row r="40" spans="1:10" x14ac:dyDescent="0.2">
      <c r="A40" t="s">
        <v>2038</v>
      </c>
      <c r="B40" t="s">
        <v>2039</v>
      </c>
      <c r="C40" t="s">
        <v>56</v>
      </c>
      <c r="D40" t="s">
        <v>966</v>
      </c>
      <c r="E40">
        <v>69485.39</v>
      </c>
      <c r="F40" t="s">
        <v>1287</v>
      </c>
      <c r="G40" t="s">
        <v>4542</v>
      </c>
      <c r="H40" t="s">
        <v>4167</v>
      </c>
      <c r="I40" t="s">
        <v>4543</v>
      </c>
      <c r="J40" t="s">
        <v>4544</v>
      </c>
    </row>
    <row r="41" spans="1:10" x14ac:dyDescent="0.2">
      <c r="A41" t="s">
        <v>197</v>
      </c>
      <c r="B41" t="s">
        <v>1394</v>
      </c>
      <c r="C41" t="s">
        <v>56</v>
      </c>
      <c r="D41" t="s">
        <v>198</v>
      </c>
      <c r="E41">
        <v>69482.100000000006</v>
      </c>
      <c r="F41" t="s">
        <v>1287</v>
      </c>
      <c r="G41" t="s">
        <v>4542</v>
      </c>
      <c r="H41" t="s">
        <v>4171</v>
      </c>
      <c r="I41" t="s">
        <v>4543</v>
      </c>
      <c r="J41" t="s">
        <v>4544</v>
      </c>
    </row>
    <row r="42" spans="1:10" x14ac:dyDescent="0.2">
      <c r="A42" t="s">
        <v>1406</v>
      </c>
      <c r="B42" t="s">
        <v>1407</v>
      </c>
      <c r="C42" t="s">
        <v>56</v>
      </c>
      <c r="D42" t="s">
        <v>231</v>
      </c>
      <c r="E42">
        <v>68060.87</v>
      </c>
      <c r="F42" t="s">
        <v>1290</v>
      </c>
      <c r="G42" t="s">
        <v>4542</v>
      </c>
      <c r="H42" t="s">
        <v>4175</v>
      </c>
      <c r="I42" t="s">
        <v>4543</v>
      </c>
      <c r="J42" t="s">
        <v>4549</v>
      </c>
    </row>
    <row r="43" spans="1:10" x14ac:dyDescent="0.2">
      <c r="A43" t="s">
        <v>334</v>
      </c>
      <c r="B43" t="s">
        <v>1459</v>
      </c>
      <c r="C43" t="s">
        <v>335</v>
      </c>
      <c r="D43" t="s">
        <v>336</v>
      </c>
      <c r="E43">
        <v>62513.96</v>
      </c>
      <c r="F43" t="s">
        <v>1287</v>
      </c>
      <c r="G43" t="s">
        <v>4548</v>
      </c>
      <c r="H43" t="s">
        <v>4179</v>
      </c>
      <c r="I43" t="s">
        <v>4543</v>
      </c>
      <c r="J43" t="s">
        <v>4544</v>
      </c>
    </row>
    <row r="44" spans="1:10" x14ac:dyDescent="0.2">
      <c r="A44" t="s">
        <v>27</v>
      </c>
      <c r="B44" t="s">
        <v>1321</v>
      </c>
      <c r="C44" t="s">
        <v>24</v>
      </c>
      <c r="D44" t="s">
        <v>29</v>
      </c>
      <c r="E44">
        <v>62236.05</v>
      </c>
      <c r="F44" t="s">
        <v>1287</v>
      </c>
      <c r="G44" t="s">
        <v>4546</v>
      </c>
      <c r="H44" t="s">
        <v>4183</v>
      </c>
      <c r="I44" t="s">
        <v>4543</v>
      </c>
      <c r="J44" t="s">
        <v>4544</v>
      </c>
    </row>
    <row r="45" spans="1:10" x14ac:dyDescent="0.2">
      <c r="A45" t="s">
        <v>291</v>
      </c>
      <c r="B45" t="s">
        <v>1441</v>
      </c>
      <c r="C45" t="s">
        <v>56</v>
      </c>
      <c r="D45" t="s">
        <v>292</v>
      </c>
      <c r="E45">
        <v>61039.07</v>
      </c>
      <c r="F45" t="s">
        <v>1287</v>
      </c>
      <c r="G45" t="s">
        <v>4542</v>
      </c>
      <c r="H45" t="s">
        <v>4187</v>
      </c>
      <c r="I45" t="s">
        <v>4543</v>
      </c>
      <c r="J45" t="s">
        <v>4544</v>
      </c>
    </row>
    <row r="46" spans="1:10" x14ac:dyDescent="0.2">
      <c r="A46" t="s">
        <v>312</v>
      </c>
      <c r="B46" t="s">
        <v>1452</v>
      </c>
      <c r="C46" t="s">
        <v>24</v>
      </c>
      <c r="D46" t="s">
        <v>314</v>
      </c>
      <c r="E46">
        <v>60817.25</v>
      </c>
      <c r="F46" t="s">
        <v>1287</v>
      </c>
      <c r="G46" t="s">
        <v>4546</v>
      </c>
      <c r="H46" t="s">
        <v>4191</v>
      </c>
      <c r="I46" t="s">
        <v>4543</v>
      </c>
      <c r="J46" t="s">
        <v>4544</v>
      </c>
    </row>
    <row r="47" spans="1:10" x14ac:dyDescent="0.2">
      <c r="A47" t="s">
        <v>491</v>
      </c>
      <c r="B47" t="s">
        <v>1534</v>
      </c>
      <c r="C47" t="s">
        <v>24</v>
      </c>
      <c r="D47" t="s">
        <v>493</v>
      </c>
      <c r="E47">
        <v>55397.98</v>
      </c>
      <c r="F47" t="s">
        <v>1287</v>
      </c>
      <c r="G47" t="s">
        <v>4546</v>
      </c>
      <c r="H47" t="s">
        <v>4195</v>
      </c>
      <c r="I47" t="s">
        <v>4543</v>
      </c>
      <c r="J47" t="s">
        <v>4544</v>
      </c>
    </row>
    <row r="48" spans="1:10" x14ac:dyDescent="0.2">
      <c r="A48" t="s">
        <v>546</v>
      </c>
      <c r="B48" t="s">
        <v>1558</v>
      </c>
      <c r="C48" t="s">
        <v>335</v>
      </c>
      <c r="D48" t="s">
        <v>547</v>
      </c>
      <c r="E48">
        <v>55095.7</v>
      </c>
      <c r="F48" t="s">
        <v>1287</v>
      </c>
      <c r="G48" t="s">
        <v>4548</v>
      </c>
      <c r="H48" t="s">
        <v>4199</v>
      </c>
      <c r="I48" t="s">
        <v>4543</v>
      </c>
      <c r="J48" t="s">
        <v>4544</v>
      </c>
    </row>
    <row r="49" spans="1:10" x14ac:dyDescent="0.2">
      <c r="A49" t="s">
        <v>406</v>
      </c>
      <c r="B49" t="s">
        <v>1493</v>
      </c>
      <c r="C49" t="s">
        <v>56</v>
      </c>
      <c r="D49" t="s">
        <v>407</v>
      </c>
      <c r="E49">
        <v>54232.29</v>
      </c>
      <c r="F49" t="s">
        <v>1287</v>
      </c>
      <c r="G49" t="s">
        <v>4542</v>
      </c>
      <c r="H49" t="s">
        <v>4203</v>
      </c>
      <c r="I49" t="s">
        <v>4543</v>
      </c>
      <c r="J49" t="s">
        <v>4544</v>
      </c>
    </row>
    <row r="50" spans="1:10" x14ac:dyDescent="0.2">
      <c r="A50" t="s">
        <v>1410</v>
      </c>
      <c r="B50" t="s">
        <v>1411</v>
      </c>
      <c r="C50" t="s">
        <v>56</v>
      </c>
      <c r="D50" t="s">
        <v>233</v>
      </c>
      <c r="E50">
        <v>53836.959999999999</v>
      </c>
      <c r="F50" t="s">
        <v>1287</v>
      </c>
      <c r="G50" t="s">
        <v>4542</v>
      </c>
      <c r="H50" t="s">
        <v>4207</v>
      </c>
      <c r="I50" t="s">
        <v>4543</v>
      </c>
      <c r="J50" t="s">
        <v>4544</v>
      </c>
    </row>
    <row r="51" spans="1:10" x14ac:dyDescent="0.2">
      <c r="A51" t="s">
        <v>1944</v>
      </c>
      <c r="B51" t="s">
        <v>1945</v>
      </c>
      <c r="C51" t="s">
        <v>24</v>
      </c>
      <c r="D51" t="s">
        <v>894</v>
      </c>
      <c r="E51">
        <v>51757.77</v>
      </c>
      <c r="F51" t="s">
        <v>1287</v>
      </c>
      <c r="G51" t="s">
        <v>4546</v>
      </c>
      <c r="H51" t="s">
        <v>4211</v>
      </c>
      <c r="I51" t="s">
        <v>4543</v>
      </c>
      <c r="J51" t="s">
        <v>4544</v>
      </c>
    </row>
    <row r="52" spans="1:10" x14ac:dyDescent="0.2">
      <c r="A52" t="s">
        <v>332</v>
      </c>
      <c r="B52" t="s">
        <v>1458</v>
      </c>
      <c r="C52" t="s">
        <v>56</v>
      </c>
      <c r="D52" t="s">
        <v>333</v>
      </c>
      <c r="E52">
        <v>50172.27</v>
      </c>
      <c r="F52" t="s">
        <v>1287</v>
      </c>
      <c r="G52" t="s">
        <v>4542</v>
      </c>
      <c r="H52" t="s">
        <v>4215</v>
      </c>
      <c r="I52" t="s">
        <v>4543</v>
      </c>
      <c r="J52" t="s">
        <v>4544</v>
      </c>
    </row>
    <row r="53" spans="1:10" x14ac:dyDescent="0.2">
      <c r="A53" t="s">
        <v>418</v>
      </c>
      <c r="B53" t="s">
        <v>1498</v>
      </c>
      <c r="C53" t="s">
        <v>56</v>
      </c>
      <c r="D53" t="s">
        <v>419</v>
      </c>
      <c r="E53">
        <v>49768.480000000003</v>
      </c>
      <c r="F53" t="s">
        <v>1287</v>
      </c>
      <c r="G53" t="s">
        <v>4542</v>
      </c>
      <c r="H53" t="s">
        <v>4219</v>
      </c>
      <c r="I53" t="s">
        <v>4543</v>
      </c>
      <c r="J53" t="s">
        <v>4544</v>
      </c>
    </row>
    <row r="54" spans="1:10" x14ac:dyDescent="0.2">
      <c r="A54" t="s">
        <v>319</v>
      </c>
      <c r="B54" t="s">
        <v>1453</v>
      </c>
      <c r="C54" t="s">
        <v>56</v>
      </c>
      <c r="D54" t="s">
        <v>320</v>
      </c>
      <c r="E54">
        <v>47658.57</v>
      </c>
      <c r="F54" t="s">
        <v>1287</v>
      </c>
      <c r="G54" t="s">
        <v>4542</v>
      </c>
      <c r="H54" t="s">
        <v>4223</v>
      </c>
      <c r="I54" t="s">
        <v>4543</v>
      </c>
      <c r="J54" t="s">
        <v>4544</v>
      </c>
    </row>
    <row r="55" spans="1:10" x14ac:dyDescent="0.2">
      <c r="A55" t="s">
        <v>364</v>
      </c>
      <c r="B55" t="s">
        <v>1469</v>
      </c>
      <c r="C55" t="s">
        <v>56</v>
      </c>
      <c r="D55" t="s">
        <v>365</v>
      </c>
      <c r="E55">
        <v>47133.56</v>
      </c>
      <c r="F55" t="s">
        <v>1287</v>
      </c>
      <c r="G55" t="s">
        <v>4542</v>
      </c>
      <c r="H55" t="s">
        <v>4227</v>
      </c>
      <c r="I55" t="s">
        <v>4543</v>
      </c>
      <c r="J55" t="s">
        <v>4544</v>
      </c>
    </row>
    <row r="56" spans="1:10" x14ac:dyDescent="0.2">
      <c r="A56" t="s">
        <v>351</v>
      </c>
      <c r="B56" t="s">
        <v>1463</v>
      </c>
      <c r="C56" t="s">
        <v>209</v>
      </c>
      <c r="D56" t="s">
        <v>1464</v>
      </c>
      <c r="E56">
        <v>46910.99</v>
      </c>
      <c r="F56" t="s">
        <v>1287</v>
      </c>
      <c r="G56" t="s">
        <v>4545</v>
      </c>
      <c r="H56" t="s">
        <v>4231</v>
      </c>
      <c r="I56" t="s">
        <v>4543</v>
      </c>
      <c r="J56" t="s">
        <v>4544</v>
      </c>
    </row>
    <row r="57" spans="1:10" x14ac:dyDescent="0.2">
      <c r="A57" t="s">
        <v>330</v>
      </c>
      <c r="B57" t="s">
        <v>1457</v>
      </c>
      <c r="C57" t="s">
        <v>56</v>
      </c>
      <c r="D57" t="s">
        <v>331</v>
      </c>
      <c r="E57">
        <v>45702.55</v>
      </c>
      <c r="F57" t="s">
        <v>1287</v>
      </c>
      <c r="G57" t="s">
        <v>4542</v>
      </c>
      <c r="H57" t="s">
        <v>4235</v>
      </c>
      <c r="I57" t="s">
        <v>4543</v>
      </c>
      <c r="J57" t="s">
        <v>4544</v>
      </c>
    </row>
    <row r="58" spans="1:10" x14ac:dyDescent="0.2">
      <c r="A58" t="s">
        <v>279</v>
      </c>
      <c r="B58" t="s">
        <v>1399</v>
      </c>
      <c r="C58" t="s">
        <v>56</v>
      </c>
      <c r="D58" t="s">
        <v>214</v>
      </c>
      <c r="E58">
        <v>45363.33</v>
      </c>
      <c r="F58" t="s">
        <v>1287</v>
      </c>
      <c r="G58" t="s">
        <v>4542</v>
      </c>
      <c r="H58" t="s">
        <v>4238</v>
      </c>
      <c r="I58" t="s">
        <v>4543</v>
      </c>
      <c r="J58" t="s">
        <v>4544</v>
      </c>
    </row>
    <row r="59" spans="1:10" x14ac:dyDescent="0.2">
      <c r="A59" t="s">
        <v>2063</v>
      </c>
      <c r="B59" t="s">
        <v>2064</v>
      </c>
      <c r="C59" t="s">
        <v>56</v>
      </c>
      <c r="D59" t="s">
        <v>977</v>
      </c>
      <c r="E59">
        <v>44450.83</v>
      </c>
      <c r="F59" t="s">
        <v>1287</v>
      </c>
      <c r="G59" t="s">
        <v>4542</v>
      </c>
      <c r="H59" t="s">
        <v>4241</v>
      </c>
      <c r="I59" t="s">
        <v>4543</v>
      </c>
      <c r="J59" t="s">
        <v>4544</v>
      </c>
    </row>
    <row r="60" spans="1:10" x14ac:dyDescent="0.2">
      <c r="A60" t="s">
        <v>2065</v>
      </c>
      <c r="B60" t="s">
        <v>2066</v>
      </c>
      <c r="C60" t="s">
        <v>56</v>
      </c>
      <c r="D60" t="s">
        <v>978</v>
      </c>
      <c r="E60">
        <v>43003.32</v>
      </c>
      <c r="F60" t="s">
        <v>1287</v>
      </c>
      <c r="G60" t="s">
        <v>4542</v>
      </c>
      <c r="H60" t="s">
        <v>4245</v>
      </c>
      <c r="I60" t="s">
        <v>4543</v>
      </c>
      <c r="J60" t="s">
        <v>4544</v>
      </c>
    </row>
    <row r="61" spans="1:10" x14ac:dyDescent="0.2">
      <c r="A61" t="s">
        <v>1388</v>
      </c>
      <c r="B61" t="s">
        <v>1389</v>
      </c>
      <c r="C61" t="s">
        <v>56</v>
      </c>
      <c r="D61" t="s">
        <v>191</v>
      </c>
      <c r="E61">
        <v>42865.07</v>
      </c>
      <c r="F61" t="s">
        <v>1287</v>
      </c>
      <c r="G61" t="s">
        <v>4542</v>
      </c>
      <c r="H61" t="s">
        <v>4249</v>
      </c>
      <c r="I61" t="s">
        <v>4543</v>
      </c>
      <c r="J61" t="s">
        <v>4544</v>
      </c>
    </row>
    <row r="62" spans="1:10" x14ac:dyDescent="0.2">
      <c r="A62" t="s">
        <v>95</v>
      </c>
      <c r="B62" t="s">
        <v>1347</v>
      </c>
      <c r="C62" t="s">
        <v>56</v>
      </c>
      <c r="D62" t="s">
        <v>96</v>
      </c>
      <c r="E62">
        <v>41354.04</v>
      </c>
      <c r="F62" t="s">
        <v>1287</v>
      </c>
      <c r="G62" t="s">
        <v>4542</v>
      </c>
      <c r="H62" t="s">
        <v>4253</v>
      </c>
      <c r="I62" t="s">
        <v>4543</v>
      </c>
      <c r="J62" t="s">
        <v>4544</v>
      </c>
    </row>
    <row r="63" spans="1:10" x14ac:dyDescent="0.2">
      <c r="A63" t="s">
        <v>396</v>
      </c>
      <c r="B63" t="s">
        <v>1489</v>
      </c>
      <c r="C63" t="s">
        <v>56</v>
      </c>
      <c r="D63" t="s">
        <v>397</v>
      </c>
      <c r="E63">
        <v>40492.06</v>
      </c>
      <c r="F63" t="s">
        <v>1287</v>
      </c>
      <c r="G63" t="s">
        <v>4542</v>
      </c>
      <c r="H63" t="s">
        <v>4257</v>
      </c>
      <c r="I63" t="s">
        <v>4543</v>
      </c>
      <c r="J63" t="s">
        <v>4544</v>
      </c>
    </row>
    <row r="64" spans="1:10" x14ac:dyDescent="0.2">
      <c r="A64" t="s">
        <v>2044</v>
      </c>
      <c r="B64" t="s">
        <v>2045</v>
      </c>
      <c r="C64" t="s">
        <v>56</v>
      </c>
      <c r="D64" t="s">
        <v>2046</v>
      </c>
      <c r="E64">
        <v>39709.620000000003</v>
      </c>
      <c r="F64" t="s">
        <v>1287</v>
      </c>
      <c r="G64" t="s">
        <v>4542</v>
      </c>
      <c r="H64" t="s">
        <v>4261</v>
      </c>
      <c r="I64" t="s">
        <v>4543</v>
      </c>
      <c r="J64" t="s">
        <v>4544</v>
      </c>
    </row>
    <row r="65" spans="1:10" x14ac:dyDescent="0.2">
      <c r="A65" t="s">
        <v>2019</v>
      </c>
      <c r="B65" t="s">
        <v>2020</v>
      </c>
      <c r="C65" t="s">
        <v>24</v>
      </c>
      <c r="D65" t="s">
        <v>954</v>
      </c>
      <c r="E65">
        <v>38106.75</v>
      </c>
      <c r="F65" t="s">
        <v>1287</v>
      </c>
      <c r="G65" t="s">
        <v>4546</v>
      </c>
      <c r="H65" t="s">
        <v>4265</v>
      </c>
      <c r="I65" t="s">
        <v>4543</v>
      </c>
      <c r="J65" t="s">
        <v>4544</v>
      </c>
    </row>
    <row r="66" spans="1:10" x14ac:dyDescent="0.2">
      <c r="A66" t="s">
        <v>2189</v>
      </c>
      <c r="B66" t="s">
        <v>2190</v>
      </c>
      <c r="C66" t="s">
        <v>56</v>
      </c>
      <c r="D66" t="s">
        <v>1075</v>
      </c>
      <c r="E66">
        <v>37737.300000000003</v>
      </c>
      <c r="F66" t="s">
        <v>1287</v>
      </c>
      <c r="G66" t="s">
        <v>4542</v>
      </c>
      <c r="H66" t="s">
        <v>4269</v>
      </c>
      <c r="I66" t="s">
        <v>4543</v>
      </c>
      <c r="J66" t="s">
        <v>4544</v>
      </c>
    </row>
    <row r="67" spans="1:10" x14ac:dyDescent="0.2">
      <c r="A67" t="s">
        <v>1392</v>
      </c>
      <c r="B67" t="s">
        <v>1393</v>
      </c>
      <c r="C67" t="s">
        <v>24</v>
      </c>
      <c r="D67" t="s">
        <v>194</v>
      </c>
      <c r="E67">
        <v>35920.639999999999</v>
      </c>
      <c r="F67" t="s">
        <v>1287</v>
      </c>
      <c r="G67" t="s">
        <v>4546</v>
      </c>
      <c r="H67" t="s">
        <v>4273</v>
      </c>
      <c r="I67" t="s">
        <v>4543</v>
      </c>
      <c r="J67" t="s">
        <v>4544</v>
      </c>
    </row>
    <row r="68" spans="1:10" x14ac:dyDescent="0.2">
      <c r="A68" t="s">
        <v>337</v>
      </c>
      <c r="B68" t="s">
        <v>1460</v>
      </c>
      <c r="C68" t="s">
        <v>56</v>
      </c>
      <c r="D68" t="s">
        <v>338</v>
      </c>
      <c r="E68">
        <v>35521.4</v>
      </c>
      <c r="F68" t="s">
        <v>1287</v>
      </c>
      <c r="G68" t="s">
        <v>4542</v>
      </c>
      <c r="H68" t="s">
        <v>4277</v>
      </c>
      <c r="I68" t="s">
        <v>4543</v>
      </c>
      <c r="J68" t="s">
        <v>4544</v>
      </c>
    </row>
    <row r="69" spans="1:10" x14ac:dyDescent="0.2">
      <c r="A69" t="s">
        <v>326</v>
      </c>
      <c r="B69" t="s">
        <v>1454</v>
      </c>
      <c r="C69" t="s">
        <v>56</v>
      </c>
      <c r="D69" t="s">
        <v>1455</v>
      </c>
      <c r="E69">
        <v>34854.1</v>
      </c>
      <c r="F69" t="s">
        <v>1287</v>
      </c>
      <c r="G69" t="s">
        <v>4542</v>
      </c>
      <c r="H69" t="s">
        <v>4281</v>
      </c>
      <c r="I69" t="s">
        <v>4543</v>
      </c>
      <c r="J69" t="s">
        <v>4544</v>
      </c>
    </row>
    <row r="70" spans="1:10" x14ac:dyDescent="0.2">
      <c r="A70" t="s">
        <v>2187</v>
      </c>
      <c r="B70" t="s">
        <v>2188</v>
      </c>
      <c r="C70" t="s">
        <v>56</v>
      </c>
      <c r="D70" t="s">
        <v>1074</v>
      </c>
      <c r="E70">
        <v>34724.089999999997</v>
      </c>
      <c r="F70" t="s">
        <v>1287</v>
      </c>
      <c r="G70" t="s">
        <v>4542</v>
      </c>
      <c r="H70" t="s">
        <v>4285</v>
      </c>
      <c r="I70" t="s">
        <v>4543</v>
      </c>
      <c r="J70" t="s">
        <v>4544</v>
      </c>
    </row>
    <row r="71" spans="1:10" x14ac:dyDescent="0.2">
      <c r="A71" t="s">
        <v>225</v>
      </c>
      <c r="B71" t="s">
        <v>1397</v>
      </c>
      <c r="C71" t="s">
        <v>56</v>
      </c>
      <c r="D71" t="s">
        <v>204</v>
      </c>
      <c r="E71">
        <v>34417.83</v>
      </c>
      <c r="F71" t="s">
        <v>1287</v>
      </c>
      <c r="G71" t="s">
        <v>4542</v>
      </c>
      <c r="H71" t="s">
        <v>4289</v>
      </c>
      <c r="I71" t="s">
        <v>4543</v>
      </c>
      <c r="J71" t="s">
        <v>4544</v>
      </c>
    </row>
    <row r="72" spans="1:10" x14ac:dyDescent="0.2">
      <c r="A72" t="s">
        <v>420</v>
      </c>
      <c r="B72" t="s">
        <v>1499</v>
      </c>
      <c r="C72" t="s">
        <v>56</v>
      </c>
      <c r="D72" t="s">
        <v>1500</v>
      </c>
      <c r="E72">
        <v>34138.57</v>
      </c>
      <c r="F72" t="s">
        <v>1287</v>
      </c>
      <c r="G72" t="s">
        <v>4542</v>
      </c>
      <c r="H72" t="s">
        <v>4293</v>
      </c>
      <c r="I72" t="s">
        <v>4543</v>
      </c>
      <c r="J72" t="s">
        <v>4544</v>
      </c>
    </row>
    <row r="73" spans="1:10" x14ac:dyDescent="0.2">
      <c r="A73" t="s">
        <v>207</v>
      </c>
      <c r="B73" t="s">
        <v>208</v>
      </c>
      <c r="C73" t="s">
        <v>209</v>
      </c>
      <c r="D73" t="s">
        <v>210</v>
      </c>
      <c r="E73">
        <v>33517.730000000003</v>
      </c>
      <c r="F73" t="s">
        <v>1287</v>
      </c>
      <c r="G73" t="s">
        <v>4545</v>
      </c>
      <c r="H73" t="s">
        <v>4297</v>
      </c>
      <c r="I73" t="s">
        <v>4543</v>
      </c>
      <c r="J73" t="s">
        <v>4544</v>
      </c>
    </row>
    <row r="74" spans="1:10" x14ac:dyDescent="0.2">
      <c r="A74" t="s">
        <v>174</v>
      </c>
      <c r="B74" t="s">
        <v>1378</v>
      </c>
      <c r="C74" t="s">
        <v>56</v>
      </c>
      <c r="D74" t="s">
        <v>175</v>
      </c>
      <c r="E74">
        <v>31177.52</v>
      </c>
      <c r="F74" t="s">
        <v>1287</v>
      </c>
      <c r="G74" t="s">
        <v>4542</v>
      </c>
      <c r="H74" t="s">
        <v>4301</v>
      </c>
      <c r="I74" t="s">
        <v>4543</v>
      </c>
      <c r="J74" t="s">
        <v>4544</v>
      </c>
    </row>
    <row r="75" spans="1:10" x14ac:dyDescent="0.2">
      <c r="A75" t="s">
        <v>64</v>
      </c>
      <c r="B75" t="s">
        <v>1335</v>
      </c>
      <c r="C75" t="s">
        <v>56</v>
      </c>
      <c r="D75" t="s">
        <v>1336</v>
      </c>
      <c r="E75">
        <v>31104</v>
      </c>
      <c r="F75" t="s">
        <v>1287</v>
      </c>
      <c r="G75" t="s">
        <v>4542</v>
      </c>
      <c r="H75" t="s">
        <v>4305</v>
      </c>
      <c r="I75" t="s">
        <v>4543</v>
      </c>
      <c r="J75" t="s">
        <v>4544</v>
      </c>
    </row>
    <row r="76" spans="1:10" x14ac:dyDescent="0.2">
      <c r="A76" t="s">
        <v>142</v>
      </c>
      <c r="B76" t="s">
        <v>1364</v>
      </c>
      <c r="C76" t="s">
        <v>56</v>
      </c>
      <c r="D76" t="s">
        <v>143</v>
      </c>
      <c r="E76">
        <v>30113.55</v>
      </c>
      <c r="F76" t="s">
        <v>1287</v>
      </c>
      <c r="G76" t="s">
        <v>4542</v>
      </c>
      <c r="H76" t="s">
        <v>4310</v>
      </c>
      <c r="I76" t="s">
        <v>4543</v>
      </c>
      <c r="J76" t="s">
        <v>4544</v>
      </c>
    </row>
    <row r="77" spans="1:10" x14ac:dyDescent="0.2">
      <c r="A77" t="s">
        <v>109</v>
      </c>
      <c r="B77" t="s">
        <v>1352</v>
      </c>
      <c r="C77" t="s">
        <v>24</v>
      </c>
      <c r="D77" t="s">
        <v>111</v>
      </c>
      <c r="E77">
        <v>29372.17</v>
      </c>
      <c r="F77" t="s">
        <v>1287</v>
      </c>
      <c r="G77" t="s">
        <v>4546</v>
      </c>
      <c r="H77" t="s">
        <v>4317</v>
      </c>
      <c r="I77" t="s">
        <v>4543</v>
      </c>
      <c r="J77" t="s">
        <v>4544</v>
      </c>
    </row>
    <row r="78" spans="1:10" x14ac:dyDescent="0.2">
      <c r="A78" t="s">
        <v>219</v>
      </c>
      <c r="B78" t="s">
        <v>1395</v>
      </c>
      <c r="C78" t="s">
        <v>56</v>
      </c>
      <c r="D78" t="s">
        <v>200</v>
      </c>
      <c r="E78">
        <v>28476.48</v>
      </c>
      <c r="F78" t="s">
        <v>1287</v>
      </c>
      <c r="G78" t="s">
        <v>4542</v>
      </c>
      <c r="H78" t="s">
        <v>4321</v>
      </c>
      <c r="I78" t="s">
        <v>4543</v>
      </c>
      <c r="J78" t="s">
        <v>4544</v>
      </c>
    </row>
    <row r="79" spans="1:10" x14ac:dyDescent="0.2">
      <c r="A79" t="s">
        <v>454</v>
      </c>
      <c r="B79" t="s">
        <v>1513</v>
      </c>
      <c r="C79" t="s">
        <v>335</v>
      </c>
      <c r="D79" t="s">
        <v>455</v>
      </c>
      <c r="E79">
        <v>27999.84</v>
      </c>
      <c r="F79" t="s">
        <v>1287</v>
      </c>
      <c r="G79" t="s">
        <v>4548</v>
      </c>
      <c r="H79" t="s">
        <v>4325</v>
      </c>
      <c r="I79" t="s">
        <v>4543</v>
      </c>
      <c r="J79" t="s">
        <v>4544</v>
      </c>
    </row>
    <row r="80" spans="1:10" x14ac:dyDescent="0.2">
      <c r="A80" t="s">
        <v>1390</v>
      </c>
      <c r="B80" t="s">
        <v>1391</v>
      </c>
      <c r="C80" t="s">
        <v>56</v>
      </c>
      <c r="D80" t="s">
        <v>192</v>
      </c>
      <c r="E80">
        <v>27737.439999999999</v>
      </c>
      <c r="F80" t="s">
        <v>1287</v>
      </c>
      <c r="G80" t="s">
        <v>4542</v>
      </c>
      <c r="H80" t="s">
        <v>4329</v>
      </c>
      <c r="I80" t="s">
        <v>4543</v>
      </c>
      <c r="J80" t="s">
        <v>4544</v>
      </c>
    </row>
    <row r="81" spans="1:10" x14ac:dyDescent="0.2">
      <c r="A81" t="s">
        <v>456</v>
      </c>
      <c r="B81" t="s">
        <v>457</v>
      </c>
      <c r="C81" t="s">
        <v>209</v>
      </c>
      <c r="D81" t="s">
        <v>458</v>
      </c>
      <c r="E81">
        <v>27021.39</v>
      </c>
      <c r="F81" t="s">
        <v>1287</v>
      </c>
      <c r="G81" t="s">
        <v>4545</v>
      </c>
      <c r="H81" t="s">
        <v>4333</v>
      </c>
      <c r="I81" t="s">
        <v>4543</v>
      </c>
      <c r="J81" t="s">
        <v>4544</v>
      </c>
    </row>
    <row r="82" spans="1:10" x14ac:dyDescent="0.2">
      <c r="A82" t="s">
        <v>181</v>
      </c>
      <c r="B82" t="s">
        <v>1381</v>
      </c>
      <c r="C82" t="s">
        <v>56</v>
      </c>
      <c r="D82" t="s">
        <v>1382</v>
      </c>
      <c r="E82">
        <v>26070.94</v>
      </c>
      <c r="F82" t="s">
        <v>1287</v>
      </c>
      <c r="G82" t="s">
        <v>4542</v>
      </c>
      <c r="H82" t="s">
        <v>4337</v>
      </c>
      <c r="I82" t="s">
        <v>4543</v>
      </c>
      <c r="J82" t="s">
        <v>4544</v>
      </c>
    </row>
    <row r="83" spans="1:10" x14ac:dyDescent="0.2">
      <c r="A83" t="s">
        <v>176</v>
      </c>
      <c r="B83" t="s">
        <v>1379</v>
      </c>
      <c r="C83" t="s">
        <v>56</v>
      </c>
      <c r="D83" t="s">
        <v>177</v>
      </c>
      <c r="E83">
        <v>25125.84</v>
      </c>
      <c r="F83" t="s">
        <v>1287</v>
      </c>
      <c r="G83" t="s">
        <v>4542</v>
      </c>
      <c r="H83" t="s">
        <v>4341</v>
      </c>
      <c r="I83" t="s">
        <v>4543</v>
      </c>
      <c r="J83" t="s">
        <v>4544</v>
      </c>
    </row>
    <row r="84" spans="1:10" x14ac:dyDescent="0.2">
      <c r="A84" t="s">
        <v>823</v>
      </c>
      <c r="B84" t="s">
        <v>824</v>
      </c>
      <c r="C84" t="s">
        <v>209</v>
      </c>
      <c r="D84" t="s">
        <v>825</v>
      </c>
      <c r="E84">
        <v>24600.91</v>
      </c>
      <c r="F84" t="s">
        <v>1287</v>
      </c>
      <c r="G84" t="s">
        <v>4545</v>
      </c>
      <c r="H84" t="s">
        <v>4345</v>
      </c>
      <c r="I84" t="s">
        <v>4543</v>
      </c>
      <c r="J84" t="s">
        <v>4544</v>
      </c>
    </row>
    <row r="85" spans="1:10" x14ac:dyDescent="0.2">
      <c r="A85" t="s">
        <v>450</v>
      </c>
      <c r="B85" t="s">
        <v>1511</v>
      </c>
      <c r="C85" t="s">
        <v>56</v>
      </c>
      <c r="D85" t="s">
        <v>451</v>
      </c>
      <c r="E85">
        <v>23533.18</v>
      </c>
      <c r="F85" t="s">
        <v>1287</v>
      </c>
      <c r="G85" t="s">
        <v>4542</v>
      </c>
      <c r="H85" t="s">
        <v>4349</v>
      </c>
      <c r="I85" t="s">
        <v>4543</v>
      </c>
      <c r="J85" t="s">
        <v>4544</v>
      </c>
    </row>
    <row r="86" spans="1:10" x14ac:dyDescent="0.2">
      <c r="A86" t="s">
        <v>2211</v>
      </c>
      <c r="B86" t="s">
        <v>2212</v>
      </c>
      <c r="C86" t="s">
        <v>56</v>
      </c>
      <c r="D86" t="s">
        <v>1090</v>
      </c>
      <c r="E86">
        <v>23164.81</v>
      </c>
      <c r="F86" t="s">
        <v>1287</v>
      </c>
      <c r="G86" t="s">
        <v>4542</v>
      </c>
      <c r="H86" t="s">
        <v>4353</v>
      </c>
      <c r="I86" t="s">
        <v>4543</v>
      </c>
      <c r="J86" t="s">
        <v>4544</v>
      </c>
    </row>
    <row r="87" spans="1:10" x14ac:dyDescent="0.2">
      <c r="A87" t="s">
        <v>1942</v>
      </c>
      <c r="B87" t="s">
        <v>1943</v>
      </c>
      <c r="C87" t="s">
        <v>56</v>
      </c>
      <c r="D87" t="s">
        <v>891</v>
      </c>
      <c r="E87">
        <v>22424.34</v>
      </c>
      <c r="F87" t="s">
        <v>1287</v>
      </c>
      <c r="G87" t="s">
        <v>4542</v>
      </c>
      <c r="H87" t="s">
        <v>4357</v>
      </c>
      <c r="I87" t="s">
        <v>4543</v>
      </c>
      <c r="J87" t="s">
        <v>4544</v>
      </c>
    </row>
    <row r="88" spans="1:10" x14ac:dyDescent="0.2">
      <c r="A88" t="s">
        <v>78</v>
      </c>
      <c r="B88" t="s">
        <v>1341</v>
      </c>
      <c r="C88" t="s">
        <v>24</v>
      </c>
      <c r="D88" t="s">
        <v>80</v>
      </c>
      <c r="E88">
        <v>22252.85</v>
      </c>
      <c r="F88" t="s">
        <v>1287</v>
      </c>
      <c r="G88" t="s">
        <v>4546</v>
      </c>
      <c r="H88" t="s">
        <v>4361</v>
      </c>
      <c r="I88" t="s">
        <v>4543</v>
      </c>
      <c r="J88" t="s">
        <v>4544</v>
      </c>
    </row>
    <row r="89" spans="1:10" x14ac:dyDescent="0.2">
      <c r="A89" t="s">
        <v>103</v>
      </c>
      <c r="B89" t="s">
        <v>1350</v>
      </c>
      <c r="C89" t="s">
        <v>56</v>
      </c>
      <c r="D89" t="s">
        <v>1351</v>
      </c>
      <c r="E89">
        <v>21354.06</v>
      </c>
      <c r="F89" t="s">
        <v>1287</v>
      </c>
      <c r="G89" t="s">
        <v>4542</v>
      </c>
      <c r="H89" t="s">
        <v>4365</v>
      </c>
      <c r="I89" t="s">
        <v>4543</v>
      </c>
      <c r="J89" t="s">
        <v>4544</v>
      </c>
    </row>
    <row r="90" spans="1:10" x14ac:dyDescent="0.2">
      <c r="A90" t="s">
        <v>256</v>
      </c>
      <c r="B90" t="s">
        <v>1426</v>
      </c>
      <c r="C90" t="s">
        <v>24</v>
      </c>
      <c r="D90" t="s">
        <v>1427</v>
      </c>
      <c r="E90">
        <v>21286.52</v>
      </c>
      <c r="F90" t="s">
        <v>1287</v>
      </c>
      <c r="G90" t="s">
        <v>4546</v>
      </c>
      <c r="H90" t="s">
        <v>4369</v>
      </c>
      <c r="I90" t="s">
        <v>4543</v>
      </c>
      <c r="J90" t="s">
        <v>4544</v>
      </c>
    </row>
    <row r="91" spans="1:10" x14ac:dyDescent="0.2">
      <c r="A91" t="s">
        <v>1940</v>
      </c>
      <c r="B91" t="s">
        <v>1941</v>
      </c>
      <c r="C91" t="s">
        <v>56</v>
      </c>
      <c r="D91" t="s">
        <v>889</v>
      </c>
      <c r="E91">
        <v>21089.11</v>
      </c>
      <c r="F91" t="s">
        <v>1287</v>
      </c>
      <c r="G91" t="s">
        <v>4542</v>
      </c>
      <c r="H91" t="s">
        <v>4373</v>
      </c>
      <c r="I91" t="s">
        <v>4543</v>
      </c>
      <c r="J91" t="s">
        <v>4544</v>
      </c>
    </row>
    <row r="92" spans="1:10" x14ac:dyDescent="0.2">
      <c r="A92" t="s">
        <v>203</v>
      </c>
      <c r="B92" t="s">
        <v>1397</v>
      </c>
      <c r="C92" t="s">
        <v>56</v>
      </c>
      <c r="D92" t="s">
        <v>204</v>
      </c>
      <c r="E92">
        <v>20850.169999999998</v>
      </c>
      <c r="F92" t="s">
        <v>1287</v>
      </c>
      <c r="G92" t="s">
        <v>4542</v>
      </c>
      <c r="H92" t="s">
        <v>4376</v>
      </c>
      <c r="I92" t="s">
        <v>4543</v>
      </c>
      <c r="J92" t="s">
        <v>4544</v>
      </c>
    </row>
    <row r="93" spans="1:10" x14ac:dyDescent="0.2">
      <c r="A93" t="s">
        <v>2021</v>
      </c>
      <c r="B93" t="s">
        <v>2022</v>
      </c>
      <c r="C93" t="s">
        <v>24</v>
      </c>
      <c r="D93" t="s">
        <v>956</v>
      </c>
      <c r="E93">
        <v>20613.66</v>
      </c>
      <c r="F93" t="s">
        <v>1287</v>
      </c>
      <c r="G93" t="s">
        <v>4546</v>
      </c>
      <c r="H93" t="s">
        <v>4379</v>
      </c>
      <c r="I93" t="s">
        <v>4543</v>
      </c>
      <c r="J93" t="s">
        <v>4544</v>
      </c>
    </row>
    <row r="94" spans="1:10" x14ac:dyDescent="0.2">
      <c r="A94" t="s">
        <v>100</v>
      </c>
      <c r="B94" t="s">
        <v>1349</v>
      </c>
      <c r="C94" t="s">
        <v>56</v>
      </c>
      <c r="D94" t="s">
        <v>101</v>
      </c>
      <c r="E94">
        <v>20017.72</v>
      </c>
      <c r="F94" t="s">
        <v>1287</v>
      </c>
      <c r="G94" t="s">
        <v>4542</v>
      </c>
      <c r="H94" t="s">
        <v>4383</v>
      </c>
      <c r="I94" t="s">
        <v>4543</v>
      </c>
      <c r="J94" t="s">
        <v>4544</v>
      </c>
    </row>
    <row r="95" spans="1:10" x14ac:dyDescent="0.2">
      <c r="A95" t="s">
        <v>550</v>
      </c>
      <c r="B95" t="s">
        <v>551</v>
      </c>
      <c r="C95" t="s">
        <v>209</v>
      </c>
      <c r="D95" t="s">
        <v>552</v>
      </c>
      <c r="E95">
        <v>18176.43</v>
      </c>
      <c r="F95" t="s">
        <v>1290</v>
      </c>
      <c r="G95" t="s">
        <v>4545</v>
      </c>
      <c r="H95" t="s">
        <v>4387</v>
      </c>
      <c r="I95" t="s">
        <v>4543</v>
      </c>
      <c r="J95" t="s">
        <v>4549</v>
      </c>
    </row>
    <row r="96" spans="1:10" x14ac:dyDescent="0.2">
      <c r="A96" t="s">
        <v>543</v>
      </c>
      <c r="B96" t="s">
        <v>544</v>
      </c>
      <c r="C96" t="s">
        <v>209</v>
      </c>
      <c r="D96" t="s">
        <v>1557</v>
      </c>
      <c r="E96">
        <v>17011.36</v>
      </c>
      <c r="F96" t="s">
        <v>1290</v>
      </c>
      <c r="G96" t="s">
        <v>4545</v>
      </c>
      <c r="H96" t="s">
        <v>4391</v>
      </c>
      <c r="I96" t="s">
        <v>4543</v>
      </c>
      <c r="J96" t="s">
        <v>4549</v>
      </c>
    </row>
    <row r="97" spans="1:10" x14ac:dyDescent="0.2">
      <c r="A97" t="s">
        <v>1523</v>
      </c>
      <c r="B97" t="s">
        <v>470</v>
      </c>
      <c r="C97" t="s">
        <v>209</v>
      </c>
      <c r="D97" t="s">
        <v>471</v>
      </c>
      <c r="E97">
        <v>16601.759999999998</v>
      </c>
      <c r="F97" t="s">
        <v>1293</v>
      </c>
      <c r="G97" t="s">
        <v>4545</v>
      </c>
      <c r="H97" t="s">
        <v>4395</v>
      </c>
      <c r="I97" t="s">
        <v>4543</v>
      </c>
      <c r="J97" t="s">
        <v>4549</v>
      </c>
    </row>
    <row r="98" spans="1:10" x14ac:dyDescent="0.2">
      <c r="A98" t="s">
        <v>2201</v>
      </c>
      <c r="B98" t="s">
        <v>1081</v>
      </c>
      <c r="C98" t="s">
        <v>209</v>
      </c>
      <c r="D98" t="s">
        <v>1082</v>
      </c>
      <c r="E98">
        <v>13872.58</v>
      </c>
      <c r="F98" t="s">
        <v>1290</v>
      </c>
      <c r="G98" t="s">
        <v>4545</v>
      </c>
      <c r="H98" t="s">
        <v>4399</v>
      </c>
      <c r="I98" t="s">
        <v>4543</v>
      </c>
      <c r="J98" t="s">
        <v>4549</v>
      </c>
    </row>
    <row r="99" spans="1:10" x14ac:dyDescent="0.2">
      <c r="A99" t="s">
        <v>2167</v>
      </c>
      <c r="B99" t="s">
        <v>1051</v>
      </c>
      <c r="C99" t="s">
        <v>209</v>
      </c>
      <c r="D99" t="s">
        <v>1052</v>
      </c>
      <c r="E99">
        <v>13175.08</v>
      </c>
      <c r="F99" t="s">
        <v>1290</v>
      </c>
      <c r="G99" t="s">
        <v>4545</v>
      </c>
      <c r="H99" t="s">
        <v>4403</v>
      </c>
      <c r="I99" t="s">
        <v>4543</v>
      </c>
      <c r="J99" t="s">
        <v>4549</v>
      </c>
    </row>
    <row r="100" spans="1:10" x14ac:dyDescent="0.2">
      <c r="A100" t="s">
        <v>1434</v>
      </c>
      <c r="B100" t="s">
        <v>236</v>
      </c>
      <c r="C100" t="s">
        <v>209</v>
      </c>
      <c r="D100" t="s">
        <v>271</v>
      </c>
      <c r="E100">
        <v>12971.88</v>
      </c>
      <c r="F100" t="s">
        <v>1290</v>
      </c>
      <c r="G100" t="s">
        <v>4545</v>
      </c>
      <c r="H100" t="s">
        <v>4406</v>
      </c>
      <c r="I100" t="s">
        <v>4543</v>
      </c>
      <c r="J100" t="s">
        <v>4549</v>
      </c>
    </row>
    <row r="101" spans="1:10" x14ac:dyDescent="0.2">
      <c r="A101" t="s">
        <v>1952</v>
      </c>
      <c r="B101" t="s">
        <v>1953</v>
      </c>
      <c r="C101" t="s">
        <v>209</v>
      </c>
      <c r="D101" t="s">
        <v>1954</v>
      </c>
      <c r="E101">
        <v>12812.73</v>
      </c>
      <c r="F101" t="s">
        <v>1290</v>
      </c>
      <c r="G101" t="s">
        <v>4545</v>
      </c>
      <c r="H101" t="s">
        <v>4409</v>
      </c>
      <c r="I101" t="s">
        <v>4543</v>
      </c>
      <c r="J101" t="s">
        <v>4549</v>
      </c>
    </row>
    <row r="102" spans="1:10" x14ac:dyDescent="0.2">
      <c r="A102" t="s">
        <v>537</v>
      </c>
      <c r="B102" t="s">
        <v>538</v>
      </c>
      <c r="C102" t="s">
        <v>209</v>
      </c>
      <c r="D102" t="s">
        <v>539</v>
      </c>
      <c r="E102">
        <v>12775.86</v>
      </c>
      <c r="F102" t="s">
        <v>1290</v>
      </c>
      <c r="G102" t="s">
        <v>4545</v>
      </c>
      <c r="H102" t="s">
        <v>4413</v>
      </c>
      <c r="I102" t="s">
        <v>4543</v>
      </c>
      <c r="J102" t="s">
        <v>4549</v>
      </c>
    </row>
    <row r="103" spans="1:10" x14ac:dyDescent="0.2">
      <c r="A103" t="s">
        <v>1439</v>
      </c>
      <c r="B103" t="s">
        <v>236</v>
      </c>
      <c r="C103" t="s">
        <v>209</v>
      </c>
      <c r="D103" t="s">
        <v>271</v>
      </c>
      <c r="E103">
        <v>11829.55</v>
      </c>
      <c r="F103" t="s">
        <v>1293</v>
      </c>
      <c r="G103" t="s">
        <v>4545</v>
      </c>
      <c r="H103" t="s">
        <v>4416</v>
      </c>
      <c r="I103" t="s">
        <v>4543</v>
      </c>
      <c r="J103" t="s">
        <v>4549</v>
      </c>
    </row>
    <row r="104" spans="1:10" x14ac:dyDescent="0.2">
      <c r="A104" t="s">
        <v>321</v>
      </c>
      <c r="B104" t="s">
        <v>322</v>
      </c>
      <c r="C104" t="s">
        <v>209</v>
      </c>
      <c r="D104" t="s">
        <v>323</v>
      </c>
      <c r="E104">
        <v>11134.89</v>
      </c>
      <c r="F104" t="s">
        <v>1290</v>
      </c>
      <c r="G104" t="s">
        <v>4545</v>
      </c>
      <c r="H104" t="s">
        <v>4419</v>
      </c>
      <c r="I104" t="s">
        <v>4543</v>
      </c>
      <c r="J104" t="s">
        <v>4549</v>
      </c>
    </row>
    <row r="105" spans="1:10" x14ac:dyDescent="0.2">
      <c r="A105" t="s">
        <v>514</v>
      </c>
      <c r="B105" t="s">
        <v>515</v>
      </c>
      <c r="C105" t="s">
        <v>209</v>
      </c>
      <c r="D105" t="s">
        <v>516</v>
      </c>
      <c r="E105">
        <v>10091.19</v>
      </c>
      <c r="F105" t="s">
        <v>1290</v>
      </c>
      <c r="G105" t="s">
        <v>4545</v>
      </c>
      <c r="H105" t="s">
        <v>4423</v>
      </c>
      <c r="I105" t="s">
        <v>4543</v>
      </c>
      <c r="J105" t="s">
        <v>4549</v>
      </c>
    </row>
    <row r="106" spans="1:10" x14ac:dyDescent="0.2">
      <c r="A106" t="s">
        <v>1526</v>
      </c>
      <c r="B106" t="s">
        <v>474</v>
      </c>
      <c r="C106" t="s">
        <v>209</v>
      </c>
      <c r="D106" t="s">
        <v>475</v>
      </c>
      <c r="E106">
        <v>10030.64</v>
      </c>
      <c r="F106" t="s">
        <v>1290</v>
      </c>
      <c r="G106" t="s">
        <v>4545</v>
      </c>
      <c r="H106" t="s">
        <v>4427</v>
      </c>
      <c r="I106" t="s">
        <v>4543</v>
      </c>
      <c r="J106" t="s">
        <v>4549</v>
      </c>
    </row>
    <row r="107" spans="1:10" x14ac:dyDescent="0.2">
      <c r="A107" t="s">
        <v>1910</v>
      </c>
      <c r="B107" t="s">
        <v>856</v>
      </c>
      <c r="C107" t="s">
        <v>209</v>
      </c>
      <c r="D107" t="s">
        <v>857</v>
      </c>
      <c r="E107">
        <v>9792.3700000000008</v>
      </c>
      <c r="F107" t="s">
        <v>1290</v>
      </c>
      <c r="G107" t="s">
        <v>4545</v>
      </c>
      <c r="H107" t="s">
        <v>4431</v>
      </c>
      <c r="I107" t="s">
        <v>4543</v>
      </c>
      <c r="J107" t="s">
        <v>4549</v>
      </c>
    </row>
    <row r="108" spans="1:10" x14ac:dyDescent="0.2">
      <c r="A108" t="s">
        <v>1911</v>
      </c>
      <c r="B108" t="s">
        <v>858</v>
      </c>
      <c r="C108" t="s">
        <v>209</v>
      </c>
      <c r="D108" t="s">
        <v>859</v>
      </c>
      <c r="E108">
        <v>9778.7999999999993</v>
      </c>
      <c r="F108" t="s">
        <v>1290</v>
      </c>
      <c r="G108" t="s">
        <v>4545</v>
      </c>
      <c r="H108" t="s">
        <v>4435</v>
      </c>
      <c r="I108" t="s">
        <v>4543</v>
      </c>
      <c r="J108" t="s">
        <v>4549</v>
      </c>
    </row>
    <row r="109" spans="1:10" x14ac:dyDescent="0.2">
      <c r="A109" t="s">
        <v>1435</v>
      </c>
      <c r="B109" t="s">
        <v>272</v>
      </c>
      <c r="C109" t="s">
        <v>209</v>
      </c>
      <c r="D109" t="s">
        <v>273</v>
      </c>
      <c r="E109">
        <v>9622.68</v>
      </c>
      <c r="F109" t="s">
        <v>1290</v>
      </c>
      <c r="G109" t="s">
        <v>4545</v>
      </c>
      <c r="H109" t="s">
        <v>4439</v>
      </c>
      <c r="I109" t="s">
        <v>4543</v>
      </c>
      <c r="J109" t="s">
        <v>4549</v>
      </c>
    </row>
    <row r="110" spans="1:10" x14ac:dyDescent="0.2">
      <c r="A110" t="s">
        <v>1913</v>
      </c>
      <c r="B110" t="s">
        <v>862</v>
      </c>
      <c r="C110" t="s">
        <v>209</v>
      </c>
      <c r="D110" t="s">
        <v>863</v>
      </c>
      <c r="E110">
        <v>8332.35</v>
      </c>
      <c r="F110" t="s">
        <v>1290</v>
      </c>
      <c r="G110" t="s">
        <v>4545</v>
      </c>
      <c r="H110" t="s">
        <v>4443</v>
      </c>
      <c r="I110" t="s">
        <v>4543</v>
      </c>
      <c r="J110" t="s">
        <v>4549</v>
      </c>
    </row>
    <row r="111" spans="1:10" x14ac:dyDescent="0.2">
      <c r="A111" t="s">
        <v>1955</v>
      </c>
      <c r="B111" t="s">
        <v>907</v>
      </c>
      <c r="C111" t="s">
        <v>209</v>
      </c>
      <c r="D111" t="s">
        <v>908</v>
      </c>
      <c r="E111">
        <v>8206.94</v>
      </c>
      <c r="F111" t="s">
        <v>1290</v>
      </c>
      <c r="G111" t="s">
        <v>4545</v>
      </c>
      <c r="H111" t="s">
        <v>4447</v>
      </c>
      <c r="I111" t="s">
        <v>4543</v>
      </c>
      <c r="J111" t="s">
        <v>4549</v>
      </c>
    </row>
    <row r="112" spans="1:10" x14ac:dyDescent="0.2">
      <c r="A112" t="s">
        <v>1993</v>
      </c>
      <c r="B112" t="s">
        <v>940</v>
      </c>
      <c r="C112" t="s">
        <v>209</v>
      </c>
      <c r="D112" t="s">
        <v>941</v>
      </c>
      <c r="E112">
        <v>7801.04</v>
      </c>
      <c r="F112" t="s">
        <v>1290</v>
      </c>
      <c r="G112" t="s">
        <v>4545</v>
      </c>
      <c r="H112" t="s">
        <v>4451</v>
      </c>
      <c r="I112" t="s">
        <v>4543</v>
      </c>
      <c r="J112" t="s">
        <v>4549</v>
      </c>
    </row>
    <row r="113" spans="1:10" x14ac:dyDescent="0.2">
      <c r="A113" t="s">
        <v>1907</v>
      </c>
      <c r="B113" t="s">
        <v>852</v>
      </c>
      <c r="C113" t="s">
        <v>209</v>
      </c>
      <c r="D113" t="s">
        <v>1908</v>
      </c>
      <c r="E113">
        <v>7211.92</v>
      </c>
      <c r="F113" t="s">
        <v>1290</v>
      </c>
      <c r="G113" t="s">
        <v>4545</v>
      </c>
      <c r="H113" t="s">
        <v>4455</v>
      </c>
      <c r="I113" t="s">
        <v>4543</v>
      </c>
      <c r="J113" t="s">
        <v>4549</v>
      </c>
    </row>
    <row r="114" spans="1:10" x14ac:dyDescent="0.2">
      <c r="A114" t="s">
        <v>2076</v>
      </c>
      <c r="B114" t="s">
        <v>989</v>
      </c>
      <c r="C114" t="s">
        <v>209</v>
      </c>
      <c r="D114" t="s">
        <v>990</v>
      </c>
      <c r="E114">
        <v>6224.71</v>
      </c>
      <c r="F114" t="s">
        <v>1290</v>
      </c>
      <c r="G114" t="s">
        <v>4545</v>
      </c>
      <c r="H114" t="s">
        <v>4459</v>
      </c>
      <c r="I114" t="s">
        <v>4543</v>
      </c>
      <c r="J114" t="s">
        <v>4549</v>
      </c>
    </row>
    <row r="115" spans="1:10" x14ac:dyDescent="0.2">
      <c r="A115" t="s">
        <v>2074</v>
      </c>
      <c r="B115" t="s">
        <v>987</v>
      </c>
      <c r="C115" t="s">
        <v>209</v>
      </c>
      <c r="D115" t="s">
        <v>2075</v>
      </c>
      <c r="E115">
        <v>5990.28</v>
      </c>
      <c r="F115" t="s">
        <v>1290</v>
      </c>
      <c r="G115" t="s">
        <v>4545</v>
      </c>
      <c r="H115" t="s">
        <v>4463</v>
      </c>
      <c r="I115" t="s">
        <v>4543</v>
      </c>
      <c r="J115" t="s">
        <v>4549</v>
      </c>
    </row>
    <row r="116" spans="1:10" x14ac:dyDescent="0.2">
      <c r="A116" t="s">
        <v>500</v>
      </c>
      <c r="B116" t="s">
        <v>1538</v>
      </c>
      <c r="C116" t="s">
        <v>209</v>
      </c>
      <c r="D116" t="s">
        <v>1539</v>
      </c>
      <c r="E116">
        <v>5901</v>
      </c>
      <c r="F116" t="s">
        <v>1290</v>
      </c>
      <c r="G116" t="s">
        <v>4545</v>
      </c>
      <c r="H116" t="s">
        <v>4467</v>
      </c>
      <c r="I116" t="s">
        <v>4543</v>
      </c>
      <c r="J116" t="s">
        <v>4549</v>
      </c>
    </row>
    <row r="117" spans="1:10" x14ac:dyDescent="0.2">
      <c r="A117" t="s">
        <v>368</v>
      </c>
      <c r="B117" t="s">
        <v>369</v>
      </c>
      <c r="C117" t="s">
        <v>209</v>
      </c>
      <c r="D117" t="s">
        <v>370</v>
      </c>
      <c r="E117">
        <v>5874.99</v>
      </c>
      <c r="F117" t="s">
        <v>1290</v>
      </c>
      <c r="G117" t="s">
        <v>4545</v>
      </c>
      <c r="H117" t="s">
        <v>4471</v>
      </c>
      <c r="I117" t="s">
        <v>4543</v>
      </c>
      <c r="J117" t="s">
        <v>4549</v>
      </c>
    </row>
    <row r="118" spans="1:10" x14ac:dyDescent="0.2">
      <c r="A118" t="s">
        <v>287</v>
      </c>
      <c r="B118" t="s">
        <v>208</v>
      </c>
      <c r="C118" t="s">
        <v>209</v>
      </c>
      <c r="D118" t="s">
        <v>210</v>
      </c>
      <c r="E118">
        <v>4832.8100000000004</v>
      </c>
      <c r="F118" t="s">
        <v>1293</v>
      </c>
      <c r="G118" t="s">
        <v>4545</v>
      </c>
      <c r="H118" t="s">
        <v>4474</v>
      </c>
      <c r="I118" t="s">
        <v>4543</v>
      </c>
      <c r="J118" t="s">
        <v>4549</v>
      </c>
    </row>
    <row r="119" spans="1:10" x14ac:dyDescent="0.2">
      <c r="A119" t="s">
        <v>2184</v>
      </c>
      <c r="B119" t="s">
        <v>2185</v>
      </c>
      <c r="C119" t="s">
        <v>209</v>
      </c>
      <c r="D119" t="s">
        <v>1068</v>
      </c>
      <c r="E119">
        <v>4553.26</v>
      </c>
      <c r="F119" t="s">
        <v>1293</v>
      </c>
      <c r="G119" t="s">
        <v>4545</v>
      </c>
      <c r="H119" t="s">
        <v>4477</v>
      </c>
      <c r="I119" t="s">
        <v>4543</v>
      </c>
      <c r="J119" t="s">
        <v>4549</v>
      </c>
    </row>
    <row r="120" spans="1:10" x14ac:dyDescent="0.2">
      <c r="A120" t="s">
        <v>1909</v>
      </c>
      <c r="B120" t="s">
        <v>854</v>
      </c>
      <c r="C120" t="s">
        <v>209</v>
      </c>
      <c r="D120" t="s">
        <v>855</v>
      </c>
      <c r="E120">
        <v>4245.07</v>
      </c>
      <c r="F120" t="s">
        <v>1293</v>
      </c>
      <c r="G120" t="s">
        <v>4545</v>
      </c>
      <c r="H120" t="s">
        <v>4481</v>
      </c>
      <c r="I120" t="s">
        <v>4543</v>
      </c>
      <c r="J120" t="s">
        <v>4549</v>
      </c>
    </row>
    <row r="121" spans="1:10" x14ac:dyDescent="0.2">
      <c r="A121" t="s">
        <v>511</v>
      </c>
      <c r="B121" t="s">
        <v>512</v>
      </c>
      <c r="C121" t="s">
        <v>209</v>
      </c>
      <c r="D121" t="s">
        <v>513</v>
      </c>
      <c r="E121">
        <v>4193.55</v>
      </c>
      <c r="F121" t="s">
        <v>1293</v>
      </c>
      <c r="G121" t="s">
        <v>4545</v>
      </c>
      <c r="H121" t="s">
        <v>4485</v>
      </c>
      <c r="I121" t="s">
        <v>4543</v>
      </c>
      <c r="J121" t="s">
        <v>4549</v>
      </c>
    </row>
    <row r="122" spans="1:10" x14ac:dyDescent="0.2">
      <c r="A122" t="s">
        <v>1927</v>
      </c>
      <c r="B122" t="s">
        <v>876</v>
      </c>
      <c r="C122" t="s">
        <v>209</v>
      </c>
      <c r="D122" t="s">
        <v>877</v>
      </c>
      <c r="E122">
        <v>3745.98</v>
      </c>
      <c r="F122" t="s">
        <v>1293</v>
      </c>
      <c r="G122" t="s">
        <v>4545</v>
      </c>
      <c r="H122" t="s">
        <v>4489</v>
      </c>
      <c r="I122" t="s">
        <v>4543</v>
      </c>
      <c r="J122" t="s">
        <v>4549</v>
      </c>
    </row>
    <row r="123" spans="1:10" x14ac:dyDescent="0.2">
      <c r="A123" t="s">
        <v>1928</v>
      </c>
      <c r="B123" t="s">
        <v>1929</v>
      </c>
      <c r="C123" t="s">
        <v>209</v>
      </c>
      <c r="D123" t="s">
        <v>1930</v>
      </c>
      <c r="E123">
        <v>3634.51</v>
      </c>
      <c r="F123" t="s">
        <v>1293</v>
      </c>
      <c r="G123" t="s">
        <v>4545</v>
      </c>
      <c r="H123" t="s">
        <v>4493</v>
      </c>
      <c r="I123" t="s">
        <v>4543</v>
      </c>
      <c r="J123" t="s">
        <v>4549</v>
      </c>
    </row>
    <row r="124" spans="1:10" x14ac:dyDescent="0.2">
      <c r="A124" t="s">
        <v>1926</v>
      </c>
      <c r="B124" t="s">
        <v>874</v>
      </c>
      <c r="C124" t="s">
        <v>209</v>
      </c>
      <c r="D124" t="s">
        <v>875</v>
      </c>
      <c r="E124">
        <v>3495.03</v>
      </c>
      <c r="F124" t="s">
        <v>1293</v>
      </c>
      <c r="G124" t="s">
        <v>4545</v>
      </c>
      <c r="H124" t="s">
        <v>4497</v>
      </c>
      <c r="I124" t="s">
        <v>4543</v>
      </c>
      <c r="J124" t="s">
        <v>4549</v>
      </c>
    </row>
    <row r="125" spans="1:10" x14ac:dyDescent="0.2">
      <c r="A125" t="s">
        <v>1925</v>
      </c>
      <c r="B125" t="s">
        <v>872</v>
      </c>
      <c r="C125" t="s">
        <v>209</v>
      </c>
      <c r="D125" t="s">
        <v>873</v>
      </c>
      <c r="E125">
        <v>3267.6</v>
      </c>
      <c r="F125" t="s">
        <v>1293</v>
      </c>
      <c r="G125" t="s">
        <v>4545</v>
      </c>
      <c r="H125" t="s">
        <v>4501</v>
      </c>
      <c r="I125" t="s">
        <v>4543</v>
      </c>
      <c r="J125" t="s">
        <v>4549</v>
      </c>
    </row>
    <row r="126" spans="1:10" x14ac:dyDescent="0.2">
      <c r="A126" t="s">
        <v>1912</v>
      </c>
      <c r="B126" t="s">
        <v>860</v>
      </c>
      <c r="C126" t="s">
        <v>209</v>
      </c>
      <c r="D126" t="s">
        <v>861</v>
      </c>
      <c r="E126">
        <v>3170.47</v>
      </c>
      <c r="F126" t="s">
        <v>1293</v>
      </c>
      <c r="G126" t="s">
        <v>4545</v>
      </c>
      <c r="H126" t="s">
        <v>4505</v>
      </c>
      <c r="I126" t="s">
        <v>4543</v>
      </c>
      <c r="J126" t="s">
        <v>4549</v>
      </c>
    </row>
    <row r="127" spans="1:10" x14ac:dyDescent="0.2">
      <c r="A127" t="s">
        <v>2071</v>
      </c>
      <c r="B127" t="s">
        <v>984</v>
      </c>
      <c r="C127" t="s">
        <v>209</v>
      </c>
      <c r="D127" t="s">
        <v>985</v>
      </c>
      <c r="E127">
        <v>2477.3200000000002</v>
      </c>
      <c r="F127" t="s">
        <v>1293</v>
      </c>
      <c r="G127" t="s">
        <v>4545</v>
      </c>
      <c r="H127" t="s">
        <v>4509</v>
      </c>
      <c r="I127" t="s">
        <v>4543</v>
      </c>
      <c r="J127" t="s">
        <v>4549</v>
      </c>
    </row>
    <row r="128" spans="1:10" x14ac:dyDescent="0.2">
      <c r="A128" t="s">
        <v>815</v>
      </c>
      <c r="B128" t="s">
        <v>816</v>
      </c>
      <c r="C128" t="s">
        <v>209</v>
      </c>
      <c r="D128" t="s">
        <v>1868</v>
      </c>
      <c r="E128">
        <v>1840.66</v>
      </c>
      <c r="F128" t="s">
        <v>1293</v>
      </c>
      <c r="G128" t="s">
        <v>4545</v>
      </c>
      <c r="H128" t="s">
        <v>4513</v>
      </c>
      <c r="I128" t="s">
        <v>4543</v>
      </c>
      <c r="J128" t="s">
        <v>4549</v>
      </c>
    </row>
    <row r="129" spans="1:10" x14ac:dyDescent="0.2">
      <c r="A129" t="s">
        <v>1992</v>
      </c>
      <c r="B129" t="s">
        <v>938</v>
      </c>
      <c r="C129" t="s">
        <v>209</v>
      </c>
      <c r="D129" t="s">
        <v>939</v>
      </c>
      <c r="E129">
        <v>1441.63</v>
      </c>
      <c r="F129" t="s">
        <v>1293</v>
      </c>
      <c r="G129" t="s">
        <v>4545</v>
      </c>
      <c r="H129" t="s">
        <v>4517</v>
      </c>
      <c r="I129" t="s">
        <v>4543</v>
      </c>
      <c r="J129" t="s">
        <v>4549</v>
      </c>
    </row>
    <row r="130" spans="1:10" x14ac:dyDescent="0.2">
      <c r="A130" t="s">
        <v>820</v>
      </c>
      <c r="B130" t="s">
        <v>821</v>
      </c>
      <c r="C130" t="s">
        <v>209</v>
      </c>
      <c r="D130" t="s">
        <v>822</v>
      </c>
      <c r="E130">
        <v>1333.9</v>
      </c>
      <c r="F130" t="s">
        <v>1293</v>
      </c>
      <c r="G130" t="s">
        <v>4545</v>
      </c>
      <c r="H130" t="s">
        <v>4521</v>
      </c>
      <c r="I130" t="s">
        <v>4543</v>
      </c>
      <c r="J130" t="s">
        <v>4549</v>
      </c>
    </row>
    <row r="131" spans="1:10" x14ac:dyDescent="0.2">
      <c r="A131" t="s">
        <v>2186</v>
      </c>
      <c r="B131" t="s">
        <v>1069</v>
      </c>
      <c r="C131" t="s">
        <v>209</v>
      </c>
      <c r="D131" t="s">
        <v>1070</v>
      </c>
      <c r="E131">
        <v>594.17999999999995</v>
      </c>
      <c r="F131" t="s">
        <v>1293</v>
      </c>
      <c r="G131" t="s">
        <v>4545</v>
      </c>
      <c r="H131" t="s">
        <v>4525</v>
      </c>
      <c r="I131" t="s">
        <v>4543</v>
      </c>
      <c r="J131" t="s">
        <v>4549</v>
      </c>
    </row>
    <row r="132" spans="1:10" x14ac:dyDescent="0.2">
      <c r="A132" t="s">
        <v>1931</v>
      </c>
      <c r="B132" t="s">
        <v>1932</v>
      </c>
      <c r="C132" t="s">
        <v>209</v>
      </c>
      <c r="D132" t="s">
        <v>1933</v>
      </c>
      <c r="E132">
        <v>570.52</v>
      </c>
      <c r="F132" t="s">
        <v>1293</v>
      </c>
      <c r="G132" t="s">
        <v>4545</v>
      </c>
      <c r="H132" t="s">
        <v>4529</v>
      </c>
      <c r="I132" t="s">
        <v>4543</v>
      </c>
      <c r="J132" t="s">
        <v>4549</v>
      </c>
    </row>
    <row r="133" spans="1:10" x14ac:dyDescent="0.2">
      <c r="A133" t="s">
        <v>1624</v>
      </c>
      <c r="B133" t="s">
        <v>600</v>
      </c>
      <c r="C133" t="s">
        <v>209</v>
      </c>
      <c r="D133" t="s">
        <v>601</v>
      </c>
      <c r="E133">
        <v>374.67</v>
      </c>
      <c r="F133" t="s">
        <v>1293</v>
      </c>
      <c r="G133" t="s">
        <v>4545</v>
      </c>
      <c r="H133" t="s">
        <v>4533</v>
      </c>
      <c r="I133" t="s">
        <v>4543</v>
      </c>
      <c r="J133" t="s">
        <v>4549</v>
      </c>
    </row>
    <row r="134" spans="1:10" x14ac:dyDescent="0.2">
      <c r="A134" t="s">
        <v>4550</v>
      </c>
      <c r="B134" t="s">
        <v>4551</v>
      </c>
      <c r="C134" t="s">
        <v>4551</v>
      </c>
      <c r="D134" t="s">
        <v>4552</v>
      </c>
      <c r="F134" t="s">
        <v>4553</v>
      </c>
      <c r="G134" t="s">
        <v>4554</v>
      </c>
      <c r="H134" t="s">
        <v>4555</v>
      </c>
      <c r="I134" t="s">
        <v>4556</v>
      </c>
      <c r="J134" t="s">
        <v>4544</v>
      </c>
    </row>
    <row r="135" spans="1:10" x14ac:dyDescent="0.2">
      <c r="A135" t="s">
        <v>4557</v>
      </c>
      <c r="B135" t="s">
        <v>4551</v>
      </c>
      <c r="C135" t="s">
        <v>4551</v>
      </c>
      <c r="D135" t="s">
        <v>4558</v>
      </c>
      <c r="F135" t="s">
        <v>4553</v>
      </c>
      <c r="G135" t="s">
        <v>4559</v>
      </c>
      <c r="H135" t="s">
        <v>4560</v>
      </c>
      <c r="I135" t="s">
        <v>4561</v>
      </c>
      <c r="J135" t="s">
        <v>4544</v>
      </c>
    </row>
    <row r="136" spans="1:10" x14ac:dyDescent="0.2">
      <c r="A136" t="s">
        <v>4562</v>
      </c>
      <c r="B136" t="s">
        <v>4551</v>
      </c>
      <c r="C136" t="s">
        <v>4551</v>
      </c>
      <c r="D136" t="s">
        <v>4563</v>
      </c>
      <c r="F136" t="s">
        <v>4553</v>
      </c>
      <c r="G136" t="s">
        <v>3962</v>
      </c>
      <c r="H136" t="s">
        <v>4564</v>
      </c>
      <c r="I136" t="s">
        <v>4565</v>
      </c>
      <c r="J136" t="s">
        <v>4549</v>
      </c>
    </row>
    <row r="137" spans="1:10" x14ac:dyDescent="0.2">
      <c r="A137" t="s">
        <v>4566</v>
      </c>
      <c r="B137" t="s">
        <v>4551</v>
      </c>
      <c r="C137" t="s">
        <v>4551</v>
      </c>
      <c r="D137" t="s">
        <v>4567</v>
      </c>
      <c r="F137" t="s">
        <v>4553</v>
      </c>
      <c r="G137" t="s">
        <v>4568</v>
      </c>
      <c r="H137" t="s">
        <v>4569</v>
      </c>
      <c r="I137" t="s">
        <v>4570</v>
      </c>
      <c r="J137" t="s">
        <v>4544</v>
      </c>
    </row>
    <row r="138" spans="1:10" x14ac:dyDescent="0.2">
      <c r="A138" t="s">
        <v>4571</v>
      </c>
      <c r="B138" t="s">
        <v>4551</v>
      </c>
      <c r="C138" t="s">
        <v>4551</v>
      </c>
      <c r="D138" t="s">
        <v>4572</v>
      </c>
      <c r="F138" t="s">
        <v>4553</v>
      </c>
      <c r="G138" t="s">
        <v>4573</v>
      </c>
      <c r="H138" t="s">
        <v>4574</v>
      </c>
      <c r="I138" t="s">
        <v>4575</v>
      </c>
      <c r="J138" t="s">
        <v>4544</v>
      </c>
    </row>
    <row r="139" spans="1:10" x14ac:dyDescent="0.2">
      <c r="A139" t="s">
        <v>4576</v>
      </c>
      <c r="B139" t="s">
        <v>4551</v>
      </c>
      <c r="C139" t="s">
        <v>4551</v>
      </c>
      <c r="D139" t="s">
        <v>4577</v>
      </c>
      <c r="F139" t="s">
        <v>4553</v>
      </c>
      <c r="G139" t="s">
        <v>4578</v>
      </c>
      <c r="H139" t="s">
        <v>4579</v>
      </c>
      <c r="I139" t="s">
        <v>4580</v>
      </c>
      <c r="J139" t="s">
        <v>4544</v>
      </c>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81"/>
  <sheetViews>
    <sheetView workbookViewId="0">
      <selection activeCell="A4" sqref="A4:H4"/>
    </sheetView>
  </sheetViews>
  <sheetFormatPr defaultRowHeight="12.75" x14ac:dyDescent="0.2"/>
  <cols>
    <col min="1" max="8" width="16" customWidth="1"/>
  </cols>
  <sheetData>
    <row r="1" spans="1:8" ht="51" customHeight="1" x14ac:dyDescent="0.2"/>
    <row r="2" spans="1:8" ht="24" customHeight="1" x14ac:dyDescent="0.2">
      <c r="A2" s="254" t="s">
        <v>4581</v>
      </c>
      <c r="B2" s="254"/>
      <c r="C2" s="254"/>
      <c r="D2" s="254"/>
      <c r="E2" s="254"/>
      <c r="F2" s="254"/>
      <c r="G2" s="254"/>
      <c r="H2" s="254"/>
    </row>
    <row r="3" spans="1:8" ht="24" customHeight="1" x14ac:dyDescent="0.2">
      <c r="A3" s="255"/>
      <c r="B3" s="255"/>
      <c r="C3" s="255"/>
      <c r="D3" s="255"/>
      <c r="E3" s="255"/>
      <c r="F3" s="255"/>
      <c r="G3" s="255"/>
      <c r="H3" s="255"/>
    </row>
    <row r="4" spans="1:8" ht="60" customHeight="1" x14ac:dyDescent="0.2">
      <c r="A4" s="256" t="s">
        <v>4582</v>
      </c>
      <c r="B4" s="256"/>
      <c r="C4" s="256"/>
      <c r="D4" s="256"/>
      <c r="E4" s="256"/>
      <c r="F4" s="256"/>
      <c r="G4" s="256"/>
      <c r="H4" s="256"/>
    </row>
    <row r="5" spans="1:8" ht="60" customHeight="1" x14ac:dyDescent="0.2">
      <c r="A5" s="256"/>
      <c r="B5" s="256"/>
      <c r="C5" s="256"/>
      <c r="D5" s="256"/>
      <c r="E5" s="256"/>
      <c r="F5" s="256"/>
      <c r="G5" s="256"/>
      <c r="H5" s="256"/>
    </row>
    <row r="6" spans="1:8" ht="60" customHeight="1" x14ac:dyDescent="0.2">
      <c r="A6" s="256" t="s">
        <v>4583</v>
      </c>
      <c r="B6" s="256"/>
      <c r="C6" s="256"/>
      <c r="D6" s="256"/>
      <c r="E6" s="256"/>
      <c r="F6" s="256"/>
      <c r="G6" s="256"/>
      <c r="H6" s="256"/>
    </row>
    <row r="7" spans="1:8" ht="60" customHeight="1" x14ac:dyDescent="0.2">
      <c r="A7" s="256"/>
      <c r="B7" s="256"/>
      <c r="C7" s="256"/>
      <c r="D7" s="256"/>
      <c r="E7" s="256"/>
      <c r="F7" s="256"/>
      <c r="G7" s="256"/>
      <c r="H7" s="256"/>
    </row>
    <row r="8" spans="1:8" ht="60" customHeight="1" x14ac:dyDescent="0.2">
      <c r="A8" s="256" t="s">
        <v>4584</v>
      </c>
      <c r="B8" s="256"/>
      <c r="C8" s="256"/>
      <c r="D8" s="256"/>
      <c r="E8" s="256"/>
      <c r="F8" s="256"/>
      <c r="G8" s="256"/>
      <c r="H8" s="256"/>
    </row>
    <row r="9" spans="1:8" ht="24" customHeight="1" x14ac:dyDescent="0.2">
      <c r="A9" s="255"/>
      <c r="B9" s="255"/>
      <c r="C9" s="255"/>
      <c r="D9" s="255"/>
      <c r="E9" s="255"/>
      <c r="F9" s="255"/>
      <c r="G9" s="255"/>
      <c r="H9" s="255"/>
    </row>
    <row r="10" spans="1:8" ht="24" customHeight="1" x14ac:dyDescent="0.2">
      <c r="A10" s="265" t="s">
        <v>6392</v>
      </c>
      <c r="B10" s="255"/>
      <c r="C10" s="255"/>
      <c r="D10" s="255"/>
      <c r="E10" s="255"/>
      <c r="F10" s="255"/>
      <c r="G10" s="255"/>
      <c r="H10" s="255"/>
    </row>
    <row r="11" spans="1:8" ht="24" customHeight="1" x14ac:dyDescent="0.2">
      <c r="A11" s="255"/>
      <c r="B11" s="255"/>
      <c r="C11" s="255"/>
      <c r="D11" s="255"/>
      <c r="E11" s="255"/>
      <c r="F11" s="255"/>
      <c r="G11" s="255"/>
      <c r="H11" s="255"/>
    </row>
    <row r="12" spans="1:8" ht="24" customHeight="1" x14ac:dyDescent="0.2">
      <c r="A12" s="250" t="s">
        <v>4585</v>
      </c>
      <c r="B12" s="255"/>
      <c r="C12" s="255"/>
      <c r="D12" s="255"/>
      <c r="E12" s="255"/>
      <c r="F12" s="255"/>
      <c r="G12" s="255"/>
      <c r="H12" s="255"/>
    </row>
    <row r="13" spans="1:8" ht="24" customHeight="1" x14ac:dyDescent="0.2">
      <c r="A13" s="250" t="s">
        <v>1279</v>
      </c>
      <c r="B13" s="255"/>
      <c r="C13" s="255"/>
      <c r="D13" s="255"/>
      <c r="E13" s="255"/>
      <c r="F13" s="255"/>
      <c r="G13" s="255"/>
      <c r="H13" s="255"/>
    </row>
    <row r="14" spans="1:8" ht="24" customHeight="1" x14ac:dyDescent="0.2">
      <c r="A14" s="250" t="s">
        <v>4586</v>
      </c>
      <c r="B14" s="255"/>
      <c r="C14" s="255"/>
      <c r="D14" s="255"/>
      <c r="E14" s="255"/>
      <c r="F14" s="255"/>
      <c r="G14" s="255"/>
      <c r="H14" s="255"/>
    </row>
    <row r="15" spans="1:8" ht="24" customHeight="1" x14ac:dyDescent="0.2"/>
    <row r="16" spans="1:8" ht="24" customHeight="1" x14ac:dyDescent="0.2"/>
    <row r="17" ht="24" customHeight="1" x14ac:dyDescent="0.2"/>
    <row r="18" ht="24" customHeight="1" x14ac:dyDescent="0.2"/>
    <row r="19" ht="24" customHeight="1" x14ac:dyDescent="0.2"/>
    <row r="20" ht="24" customHeight="1" x14ac:dyDescent="0.2"/>
    <row r="21" ht="24" customHeight="1" x14ac:dyDescent="0.2"/>
    <row r="22" ht="24" customHeight="1" x14ac:dyDescent="0.2"/>
    <row r="23" ht="24" customHeight="1" x14ac:dyDescent="0.2"/>
    <row r="24" ht="24" customHeight="1" x14ac:dyDescent="0.2"/>
    <row r="25" ht="24" customHeight="1" x14ac:dyDescent="0.2"/>
    <row r="26" ht="24" customHeight="1" x14ac:dyDescent="0.2"/>
    <row r="27" ht="24" customHeight="1" x14ac:dyDescent="0.2"/>
    <row r="28" ht="24" customHeight="1" x14ac:dyDescent="0.2"/>
    <row r="29" ht="24" customHeight="1" x14ac:dyDescent="0.2"/>
    <row r="30" ht="24" customHeight="1" x14ac:dyDescent="0.2"/>
    <row r="31" ht="24" customHeight="1" x14ac:dyDescent="0.2"/>
    <row r="32" ht="24" customHeight="1" x14ac:dyDescent="0.2"/>
    <row r="33" ht="24" customHeight="1" x14ac:dyDescent="0.2"/>
    <row r="34" ht="24" customHeight="1" x14ac:dyDescent="0.2"/>
    <row r="35" ht="24" customHeight="1" x14ac:dyDescent="0.2"/>
    <row r="36" ht="24" customHeight="1" x14ac:dyDescent="0.2"/>
    <row r="37" ht="24" customHeight="1" x14ac:dyDescent="0.2"/>
    <row r="38" ht="24" customHeight="1" x14ac:dyDescent="0.2"/>
    <row r="39" ht="24" customHeight="1" x14ac:dyDescent="0.2"/>
    <row r="40" ht="24" customHeight="1" x14ac:dyDescent="0.2"/>
    <row r="41" ht="24" customHeight="1" x14ac:dyDescent="0.2"/>
    <row r="42" ht="24" customHeight="1" x14ac:dyDescent="0.2"/>
    <row r="43" ht="24" customHeight="1" x14ac:dyDescent="0.2"/>
    <row r="44" ht="24" customHeight="1" x14ac:dyDescent="0.2"/>
    <row r="45" ht="24" customHeight="1" x14ac:dyDescent="0.2"/>
    <row r="46" ht="24" customHeight="1" x14ac:dyDescent="0.2"/>
    <row r="47" ht="24" customHeight="1" x14ac:dyDescent="0.2"/>
    <row r="48" ht="24" customHeight="1" x14ac:dyDescent="0.2"/>
    <row r="49" ht="24" customHeight="1" x14ac:dyDescent="0.2"/>
    <row r="50" ht="24" customHeight="1" x14ac:dyDescent="0.2"/>
    <row r="51" ht="24" customHeight="1" x14ac:dyDescent="0.2"/>
    <row r="52" ht="24" customHeight="1" x14ac:dyDescent="0.2"/>
    <row r="53" ht="24" customHeight="1" x14ac:dyDescent="0.2"/>
    <row r="54" ht="24" customHeight="1" x14ac:dyDescent="0.2"/>
    <row r="55" ht="24" customHeight="1" x14ac:dyDescent="0.2"/>
    <row r="56" ht="24" customHeight="1" x14ac:dyDescent="0.2"/>
    <row r="57" ht="24" customHeight="1" x14ac:dyDescent="0.2"/>
    <row r="58" ht="24" customHeight="1" x14ac:dyDescent="0.2"/>
    <row r="59" ht="24" customHeight="1" x14ac:dyDescent="0.2"/>
    <row r="60" ht="24" customHeight="1" x14ac:dyDescent="0.2"/>
    <row r="61" ht="24" customHeight="1" x14ac:dyDescent="0.2"/>
    <row r="62" ht="24" customHeight="1" x14ac:dyDescent="0.2"/>
    <row r="63" ht="24" customHeight="1" x14ac:dyDescent="0.2"/>
    <row r="64" ht="24" customHeight="1" x14ac:dyDescent="0.2"/>
    <row r="65" ht="24" customHeight="1" x14ac:dyDescent="0.2"/>
    <row r="66" ht="24" customHeight="1" x14ac:dyDescent="0.2"/>
    <row r="67" ht="24" customHeight="1" x14ac:dyDescent="0.2"/>
    <row r="68" ht="24" customHeight="1" x14ac:dyDescent="0.2"/>
    <row r="69" ht="24" customHeight="1" x14ac:dyDescent="0.2"/>
    <row r="70" ht="24" customHeight="1" x14ac:dyDescent="0.2"/>
    <row r="71" ht="24" customHeight="1" x14ac:dyDescent="0.2"/>
    <row r="72" ht="24" customHeight="1" x14ac:dyDescent="0.2"/>
    <row r="73" ht="24" customHeight="1" x14ac:dyDescent="0.2"/>
    <row r="74" ht="24" customHeight="1" x14ac:dyDescent="0.2"/>
    <row r="75" ht="24" customHeight="1" x14ac:dyDescent="0.2"/>
    <row r="76" ht="24" customHeight="1" x14ac:dyDescent="0.2"/>
    <row r="77" ht="24" customHeight="1" x14ac:dyDescent="0.2"/>
    <row r="78" ht="24" customHeight="1" x14ac:dyDescent="0.2"/>
    <row r="79" ht="24" customHeight="1" x14ac:dyDescent="0.2"/>
    <row r="80" ht="24" customHeight="1" x14ac:dyDescent="0.2"/>
    <row r="81" ht="24" customHeight="1" x14ac:dyDescent="0.2"/>
  </sheetData>
  <mergeCells count="13">
    <mergeCell ref="A12:H12"/>
    <mergeCell ref="A13:H13"/>
    <mergeCell ref="A14:H14"/>
    <mergeCell ref="A7:H7"/>
    <mergeCell ref="A8:H8"/>
    <mergeCell ref="A9:H9"/>
    <mergeCell ref="A10:H10"/>
    <mergeCell ref="A11:H11"/>
    <mergeCell ref="A2:H2"/>
    <mergeCell ref="A3:H3"/>
    <mergeCell ref="A4:H4"/>
    <mergeCell ref="A5:H5"/>
    <mergeCell ref="A6:H6"/>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13"/>
  <sheetViews>
    <sheetView workbookViewId="0"/>
  </sheetViews>
  <sheetFormatPr defaultRowHeight="12.75" x14ac:dyDescent="0.2"/>
  <cols>
    <col min="1" max="1" width="28" customWidth="1"/>
    <col min="2" max="2" width="48" customWidth="1"/>
    <col min="3" max="3" width="4" customWidth="1"/>
    <col min="4" max="4" width="28" customWidth="1"/>
    <col min="5" max="5" width="48" customWidth="1"/>
    <col min="6" max="8" width="4" customWidth="1"/>
  </cols>
  <sheetData>
    <row r="1" spans="1:8" ht="18.75" x14ac:dyDescent="0.2">
      <c r="A1" s="257" t="s">
        <v>4587</v>
      </c>
      <c r="B1" s="257"/>
      <c r="C1" s="257"/>
      <c r="D1" s="257"/>
      <c r="E1" s="257"/>
      <c r="F1" s="257"/>
      <c r="G1" s="257"/>
      <c r="H1" s="257"/>
    </row>
    <row r="2" spans="1:8" ht="25.5" x14ac:dyDescent="0.2">
      <c r="A2" s="108" t="s">
        <v>0</v>
      </c>
      <c r="B2" s="108" t="s">
        <v>4588</v>
      </c>
      <c r="C2" s="108"/>
      <c r="D2" s="108"/>
      <c r="E2" s="108"/>
    </row>
    <row r="3" spans="1:8" x14ac:dyDescent="0.2">
      <c r="A3" s="108" t="s">
        <v>1278</v>
      </c>
      <c r="B3" s="108" t="s">
        <v>1279</v>
      </c>
      <c r="C3" s="108"/>
      <c r="D3" s="108"/>
      <c r="E3" s="108"/>
    </row>
    <row r="4" spans="1:8" ht="38.25" x14ac:dyDescent="0.2">
      <c r="A4" s="108" t="s">
        <v>4589</v>
      </c>
      <c r="B4" s="108" t="s">
        <v>4590</v>
      </c>
      <c r="C4" s="108"/>
      <c r="D4" s="108"/>
      <c r="E4" s="108"/>
    </row>
    <row r="5" spans="1:8" ht="25.5" x14ac:dyDescent="0.2">
      <c r="A5" s="108" t="s">
        <v>1289</v>
      </c>
      <c r="B5" s="109">
        <v>8947799.1099999994</v>
      </c>
      <c r="C5" s="109"/>
      <c r="D5" s="109" t="s">
        <v>4591</v>
      </c>
      <c r="E5" s="109">
        <v>11930400.5</v>
      </c>
    </row>
    <row r="6" spans="1:8" x14ac:dyDescent="0.2">
      <c r="A6" s="108" t="s">
        <v>4592</v>
      </c>
      <c r="B6" s="206">
        <f>1-B5/E5</f>
        <v>0.2500001060316458</v>
      </c>
      <c r="C6" s="206"/>
      <c r="D6" s="206" t="s">
        <v>4593</v>
      </c>
      <c r="E6" s="206">
        <v>0.2223</v>
      </c>
    </row>
    <row r="7" spans="1:8" ht="25.5" x14ac:dyDescent="0.2">
      <c r="A7" s="108" t="s">
        <v>4594</v>
      </c>
      <c r="B7" s="108">
        <v>619</v>
      </c>
      <c r="C7" s="108"/>
      <c r="D7" s="108" t="s">
        <v>4595</v>
      </c>
      <c r="E7" s="108">
        <v>131</v>
      </c>
    </row>
    <row r="8" spans="1:8" ht="25.5" x14ac:dyDescent="0.2">
      <c r="A8" s="108" t="s">
        <v>4596</v>
      </c>
      <c r="B8" s="109">
        <v>7349699.6500000004</v>
      </c>
      <c r="C8" s="109"/>
      <c r="D8" s="109" t="s">
        <v>4597</v>
      </c>
      <c r="E8" s="109">
        <f>B8/B5</f>
        <v>0.82139748106168653</v>
      </c>
    </row>
    <row r="9" spans="1:8" x14ac:dyDescent="0.2">
      <c r="A9" s="108" t="s">
        <v>4598</v>
      </c>
      <c r="B9" s="109">
        <v>91</v>
      </c>
      <c r="C9" s="109"/>
      <c r="D9" s="109" t="s">
        <v>4599</v>
      </c>
      <c r="E9" s="109">
        <v>6992646.5899999999</v>
      </c>
    </row>
    <row r="10" spans="1:8" ht="25.5" x14ac:dyDescent="0.2">
      <c r="A10" s="108" t="s">
        <v>4600</v>
      </c>
      <c r="B10" s="108">
        <v>48</v>
      </c>
      <c r="C10" s="108"/>
      <c r="D10" s="108" t="s">
        <v>4601</v>
      </c>
      <c r="E10" s="108" t="s">
        <v>1299</v>
      </c>
    </row>
    <row r="11" spans="1:8" ht="38.25" x14ac:dyDescent="0.2">
      <c r="A11" s="108" t="s">
        <v>4602</v>
      </c>
      <c r="B11" s="108" t="s">
        <v>4603</v>
      </c>
      <c r="C11" s="108"/>
      <c r="D11" s="108"/>
      <c r="E11" s="108"/>
    </row>
    <row r="12" spans="1:8" ht="51" x14ac:dyDescent="0.2">
      <c r="A12" s="108" t="s">
        <v>4604</v>
      </c>
      <c r="B12" s="108" t="s">
        <v>4605</v>
      </c>
      <c r="C12" s="108"/>
      <c r="D12" s="108"/>
      <c r="E12" s="108"/>
    </row>
    <row r="13" spans="1:8" ht="38.25" x14ac:dyDescent="0.2">
      <c r="A13" s="108" t="s">
        <v>4606</v>
      </c>
      <c r="B13" s="108" t="s">
        <v>4607</v>
      </c>
      <c r="C13" s="108"/>
      <c r="D13" s="108"/>
      <c r="E13" s="108"/>
    </row>
  </sheetData>
  <mergeCells count="1">
    <mergeCell ref="A1:H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9"/>
  <sheetViews>
    <sheetView workbookViewId="0"/>
  </sheetViews>
  <sheetFormatPr defaultRowHeight="12.75" x14ac:dyDescent="0.2"/>
  <cols>
    <col min="1" max="1" width="35" customWidth="1"/>
    <col min="2" max="2" width="24" customWidth="1"/>
    <col min="3" max="3" width="45" customWidth="1"/>
    <col min="4" max="4" width="16" customWidth="1"/>
    <col min="5" max="5" width="65" customWidth="1"/>
  </cols>
  <sheetData>
    <row r="1" spans="1:5" x14ac:dyDescent="0.2">
      <c r="A1" s="200" t="s">
        <v>4608</v>
      </c>
      <c r="B1" s="200" t="s">
        <v>4609</v>
      </c>
      <c r="C1" s="200" t="s">
        <v>4610</v>
      </c>
      <c r="D1" s="200" t="s">
        <v>4611</v>
      </c>
      <c r="E1" s="200" t="s">
        <v>4612</v>
      </c>
    </row>
    <row r="2" spans="1:5" x14ac:dyDescent="0.2">
      <c r="A2" t="s">
        <v>4613</v>
      </c>
      <c r="B2" t="s">
        <v>4614</v>
      </c>
      <c r="C2" t="s">
        <v>4615</v>
      </c>
      <c r="D2" t="s">
        <v>4616</v>
      </c>
      <c r="E2" t="s">
        <v>4617</v>
      </c>
    </row>
    <row r="3" spans="1:5" x14ac:dyDescent="0.2">
      <c r="A3" t="s">
        <v>4618</v>
      </c>
      <c r="B3" t="s">
        <v>4619</v>
      </c>
      <c r="C3" t="s">
        <v>4620</v>
      </c>
      <c r="D3" t="s">
        <v>4621</v>
      </c>
      <c r="E3" t="s">
        <v>4622</v>
      </c>
    </row>
    <row r="4" spans="1:5" x14ac:dyDescent="0.2">
      <c r="A4" t="s">
        <v>4623</v>
      </c>
      <c r="B4" t="s">
        <v>3958</v>
      </c>
      <c r="C4" t="s">
        <v>4624</v>
      </c>
      <c r="D4" t="s">
        <v>4616</v>
      </c>
      <c r="E4" t="s">
        <v>4625</v>
      </c>
    </row>
    <row r="5" spans="1:5" x14ac:dyDescent="0.2">
      <c r="A5" t="s">
        <v>4626</v>
      </c>
      <c r="B5" t="s">
        <v>3958</v>
      </c>
      <c r="C5" t="s">
        <v>4627</v>
      </c>
      <c r="D5" t="s">
        <v>4616</v>
      </c>
      <c r="E5" t="s">
        <v>4628</v>
      </c>
    </row>
    <row r="6" spans="1:5" x14ac:dyDescent="0.2">
      <c r="A6" t="s">
        <v>4629</v>
      </c>
      <c r="B6" t="s">
        <v>3958</v>
      </c>
      <c r="C6" t="s">
        <v>4627</v>
      </c>
      <c r="D6" t="s">
        <v>4616</v>
      </c>
      <c r="E6" t="s">
        <v>4630</v>
      </c>
    </row>
    <row r="7" spans="1:5" x14ac:dyDescent="0.2">
      <c r="A7" t="s">
        <v>4554</v>
      </c>
      <c r="B7" t="s">
        <v>4631</v>
      </c>
      <c r="C7" t="s">
        <v>4632</v>
      </c>
      <c r="D7" t="s">
        <v>4621</v>
      </c>
      <c r="E7" t="s">
        <v>4633</v>
      </c>
    </row>
    <row r="8" spans="1:5" x14ac:dyDescent="0.2">
      <c r="A8" t="s">
        <v>4567</v>
      </c>
      <c r="B8" t="s">
        <v>4634</v>
      </c>
      <c r="C8" t="s">
        <v>4635</v>
      </c>
      <c r="D8" t="s">
        <v>4616</v>
      </c>
      <c r="E8" t="s">
        <v>4636</v>
      </c>
    </row>
    <row r="9" spans="1:5" x14ac:dyDescent="0.2">
      <c r="A9" t="s">
        <v>4637</v>
      </c>
      <c r="B9" t="s">
        <v>4638</v>
      </c>
      <c r="C9" t="s">
        <v>4639</v>
      </c>
      <c r="D9" t="s">
        <v>4640</v>
      </c>
      <c r="E9" t="s">
        <v>4641</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E10"/>
  <sheetViews>
    <sheetView workbookViewId="0"/>
  </sheetViews>
  <sheetFormatPr defaultRowHeight="12.75" x14ac:dyDescent="0.2"/>
  <cols>
    <col min="1" max="1" width="26" customWidth="1"/>
    <col min="2" max="2" width="36" customWidth="1"/>
    <col min="3" max="3" width="4" customWidth="1"/>
    <col min="4" max="4" width="24" customWidth="1"/>
    <col min="5" max="5" width="36" customWidth="1"/>
  </cols>
  <sheetData>
    <row r="1" spans="1:5" ht="18.75" x14ac:dyDescent="0.2">
      <c r="A1" s="258" t="s">
        <v>4642</v>
      </c>
      <c r="B1" s="255"/>
      <c r="C1" s="255"/>
      <c r="D1" s="255"/>
      <c r="E1" s="255"/>
    </row>
    <row r="2" spans="1:5" ht="25.5" x14ac:dyDescent="0.2">
      <c r="A2" s="108" t="s">
        <v>0</v>
      </c>
      <c r="B2" s="108" t="s">
        <v>4588</v>
      </c>
      <c r="C2" s="108"/>
      <c r="D2" s="108"/>
      <c r="E2" s="108"/>
    </row>
    <row r="3" spans="1:5" x14ac:dyDescent="0.2">
      <c r="A3" s="108" t="s">
        <v>1278</v>
      </c>
      <c r="B3" s="108" t="s">
        <v>1279</v>
      </c>
      <c r="C3" s="108"/>
      <c r="D3" s="108"/>
      <c r="E3" s="108"/>
    </row>
    <row r="4" spans="1:5" ht="51" x14ac:dyDescent="0.2">
      <c r="A4" s="108" t="s">
        <v>4643</v>
      </c>
      <c r="B4" s="108" t="s">
        <v>4644</v>
      </c>
      <c r="C4" s="108"/>
      <c r="D4" s="108"/>
      <c r="E4" s="108"/>
    </row>
    <row r="5" spans="1:5" ht="25.5" x14ac:dyDescent="0.2">
      <c r="A5" s="208" t="s">
        <v>4645</v>
      </c>
      <c r="B5" s="209">
        <v>8947799.1100000069</v>
      </c>
      <c r="C5" s="108"/>
      <c r="D5" s="108" t="s">
        <v>4646</v>
      </c>
      <c r="E5" s="109">
        <v>8947799.1099999994</v>
      </c>
    </row>
    <row r="6" spans="1:5" ht="25.5" x14ac:dyDescent="0.2">
      <c r="A6" s="208" t="s">
        <v>4647</v>
      </c>
      <c r="B6" s="209">
        <v>8947799.1100000069</v>
      </c>
      <c r="C6" s="108"/>
      <c r="D6" s="108" t="s">
        <v>2330</v>
      </c>
      <c r="E6" s="109">
        <v>7.4505805969238281E-9</v>
      </c>
    </row>
    <row r="7" spans="1:5" ht="25.5" x14ac:dyDescent="0.2">
      <c r="A7" s="208" t="s">
        <v>4594</v>
      </c>
      <c r="B7" s="208">
        <v>619</v>
      </c>
      <c r="C7" s="108"/>
      <c r="D7" s="108" t="s">
        <v>4595</v>
      </c>
      <c r="E7" s="108">
        <v>619</v>
      </c>
    </row>
    <row r="8" spans="1:5" ht="25.5" x14ac:dyDescent="0.2">
      <c r="A8" s="208" t="s">
        <v>4597</v>
      </c>
      <c r="B8" s="210">
        <v>1</v>
      </c>
      <c r="C8" s="108"/>
      <c r="D8" s="108" t="s">
        <v>1300</v>
      </c>
      <c r="E8" s="108" t="s">
        <v>4648</v>
      </c>
    </row>
    <row r="9" spans="1:5" ht="38.25" x14ac:dyDescent="0.2">
      <c r="A9" s="208" t="s">
        <v>4649</v>
      </c>
      <c r="B9" s="210">
        <v>0.2223</v>
      </c>
      <c r="C9" s="108"/>
      <c r="D9" s="108" t="s">
        <v>3568</v>
      </c>
      <c r="E9" s="108" t="s">
        <v>4650</v>
      </c>
    </row>
    <row r="10" spans="1:5" ht="51" x14ac:dyDescent="0.2">
      <c r="A10" s="108" t="s">
        <v>4651</v>
      </c>
      <c r="B10" s="108" t="s">
        <v>4652</v>
      </c>
      <c r="C10" s="108"/>
      <c r="D10" s="108"/>
      <c r="E10" s="108"/>
    </row>
  </sheetData>
  <mergeCells count="1">
    <mergeCell ref="A1:E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X3099"/>
  <sheetViews>
    <sheetView workbookViewId="0"/>
  </sheetViews>
  <sheetFormatPr defaultRowHeight="12.75" x14ac:dyDescent="0.2"/>
  <cols>
    <col min="1" max="1" width="16" customWidth="1"/>
    <col min="2" max="2" width="12" customWidth="1"/>
    <col min="3" max="3" width="16" customWidth="1"/>
    <col min="4" max="4" width="14" customWidth="1"/>
    <col min="5" max="5" width="45" customWidth="1"/>
    <col min="6" max="6" width="10" customWidth="1"/>
    <col min="7" max="7" width="12" customWidth="1"/>
    <col min="8" max="8" width="8" customWidth="1"/>
    <col min="9" max="9" width="24" customWidth="1"/>
    <col min="10" max="10" width="45" customWidth="1"/>
    <col min="11" max="12" width="10" customWidth="1"/>
    <col min="13" max="14" width="16" customWidth="1"/>
    <col min="15" max="15" width="12" customWidth="1"/>
    <col min="16" max="17" width="16" customWidth="1"/>
    <col min="18" max="19" width="18" customWidth="1"/>
    <col min="20" max="20" width="14" customWidth="1"/>
    <col min="21" max="22" width="35" customWidth="1"/>
    <col min="23" max="23" width="18" customWidth="1"/>
    <col min="24" max="24" width="40" customWidth="1"/>
  </cols>
  <sheetData>
    <row r="1" spans="1:24" ht="25.5" x14ac:dyDescent="0.2">
      <c r="A1" s="207" t="s">
        <v>2316</v>
      </c>
      <c r="B1" s="207" t="s">
        <v>8</v>
      </c>
      <c r="C1" s="207" t="s">
        <v>9</v>
      </c>
      <c r="D1" s="207" t="s">
        <v>10</v>
      </c>
      <c r="E1" s="207" t="s">
        <v>11</v>
      </c>
      <c r="F1" s="207" t="s">
        <v>3556</v>
      </c>
      <c r="G1" s="207" t="s">
        <v>3557</v>
      </c>
      <c r="H1" s="207" t="s">
        <v>3558</v>
      </c>
      <c r="I1" s="207" t="s">
        <v>3559</v>
      </c>
      <c r="J1" s="207" t="s">
        <v>3951</v>
      </c>
      <c r="K1" s="207" t="s">
        <v>3560</v>
      </c>
      <c r="L1" s="207" t="s">
        <v>3561</v>
      </c>
      <c r="M1" s="207" t="s">
        <v>4653</v>
      </c>
      <c r="N1" s="207" t="s">
        <v>4654</v>
      </c>
      <c r="O1" s="207" t="s">
        <v>4655</v>
      </c>
      <c r="P1" s="207" t="s">
        <v>3564</v>
      </c>
      <c r="Q1" s="207" t="s">
        <v>2321</v>
      </c>
      <c r="R1" s="207" t="s">
        <v>3565</v>
      </c>
      <c r="S1" s="207" t="s">
        <v>2329</v>
      </c>
      <c r="T1" s="207" t="s">
        <v>2330</v>
      </c>
      <c r="U1" s="207" t="s">
        <v>3952</v>
      </c>
      <c r="V1" s="207" t="s">
        <v>3567</v>
      </c>
      <c r="W1" s="207" t="s">
        <v>1300</v>
      </c>
      <c r="X1" s="207" t="s">
        <v>3568</v>
      </c>
    </row>
    <row r="2" spans="1:24" x14ac:dyDescent="0.2">
      <c r="A2" t="s">
        <v>4656</v>
      </c>
      <c r="B2" t="s">
        <v>22</v>
      </c>
      <c r="C2" t="s">
        <v>1317</v>
      </c>
      <c r="D2" t="s">
        <v>24</v>
      </c>
      <c r="E2" t="s">
        <v>1318</v>
      </c>
      <c r="F2" t="s">
        <v>26</v>
      </c>
      <c r="G2" s="202">
        <v>1404.56</v>
      </c>
      <c r="H2">
        <v>1</v>
      </c>
      <c r="I2" t="s">
        <v>4066</v>
      </c>
      <c r="J2" t="s">
        <v>4657</v>
      </c>
      <c r="K2" t="s">
        <v>1283</v>
      </c>
      <c r="L2" s="204">
        <v>0.75</v>
      </c>
      <c r="M2" s="112">
        <v>64.792500000000004</v>
      </c>
      <c r="N2" s="112">
        <v>48.594374999999999</v>
      </c>
      <c r="O2" s="204"/>
      <c r="P2" s="112"/>
      <c r="Q2" s="112"/>
      <c r="R2" s="112"/>
      <c r="S2" s="112"/>
      <c r="T2" s="112"/>
      <c r="U2" t="s">
        <v>4658</v>
      </c>
      <c r="V2" t="s">
        <v>4659</v>
      </c>
      <c r="W2" t="s">
        <v>3958</v>
      </c>
      <c r="X2" t="s">
        <v>4660</v>
      </c>
    </row>
    <row r="3" spans="1:24" x14ac:dyDescent="0.2">
      <c r="A3" t="s">
        <v>4656</v>
      </c>
      <c r="B3" t="s">
        <v>22</v>
      </c>
      <c r="C3" t="s">
        <v>1317</v>
      </c>
      <c r="D3" t="s">
        <v>24</v>
      </c>
      <c r="E3" t="s">
        <v>1318</v>
      </c>
      <c r="F3" t="s">
        <v>26</v>
      </c>
      <c r="G3" s="202">
        <v>1404.56</v>
      </c>
      <c r="H3">
        <v>2</v>
      </c>
      <c r="I3" t="s">
        <v>4661</v>
      </c>
      <c r="J3" t="s">
        <v>4662</v>
      </c>
      <c r="K3" t="s">
        <v>1283</v>
      </c>
      <c r="L3" s="204">
        <v>0.1</v>
      </c>
      <c r="M3" s="112">
        <v>64.792500000000004</v>
      </c>
      <c r="N3" s="112">
        <v>6.4792500000000004</v>
      </c>
      <c r="O3" s="204"/>
      <c r="P3" s="112"/>
      <c r="Q3" s="112"/>
      <c r="R3" s="112"/>
      <c r="S3" s="112"/>
      <c r="T3" s="112"/>
      <c r="U3" t="s">
        <v>4658</v>
      </c>
      <c r="V3" t="s">
        <v>4659</v>
      </c>
      <c r="W3" t="s">
        <v>3958</v>
      </c>
      <c r="X3" t="s">
        <v>4660</v>
      </c>
    </row>
    <row r="4" spans="1:24" x14ac:dyDescent="0.2">
      <c r="A4" t="s">
        <v>4656</v>
      </c>
      <c r="B4" t="s">
        <v>22</v>
      </c>
      <c r="C4" t="s">
        <v>1317</v>
      </c>
      <c r="D4" t="s">
        <v>24</v>
      </c>
      <c r="E4" t="s">
        <v>1318</v>
      </c>
      <c r="F4" t="s">
        <v>26</v>
      </c>
      <c r="G4" s="202">
        <v>1404.56</v>
      </c>
      <c r="H4">
        <v>3</v>
      </c>
      <c r="I4" t="s">
        <v>4663</v>
      </c>
      <c r="J4" t="s">
        <v>4664</v>
      </c>
      <c r="K4" t="s">
        <v>1283</v>
      </c>
      <c r="L4" s="204">
        <v>0.1</v>
      </c>
      <c r="M4" s="112">
        <v>64.792500000000004</v>
      </c>
      <c r="N4" s="112">
        <v>6.4792500000000004</v>
      </c>
      <c r="O4" s="204"/>
      <c r="P4" s="112"/>
      <c r="Q4" s="112"/>
      <c r="R4" s="112"/>
      <c r="S4" s="112"/>
      <c r="T4" s="112"/>
      <c r="U4" t="s">
        <v>4658</v>
      </c>
      <c r="V4" t="s">
        <v>4659</v>
      </c>
      <c r="W4" t="s">
        <v>3958</v>
      </c>
      <c r="X4" t="s">
        <v>4660</v>
      </c>
    </row>
    <row r="5" spans="1:24" x14ac:dyDescent="0.2">
      <c r="A5" t="s">
        <v>4656</v>
      </c>
      <c r="B5" t="s">
        <v>22</v>
      </c>
      <c r="C5" t="s">
        <v>1317</v>
      </c>
      <c r="D5" t="s">
        <v>24</v>
      </c>
      <c r="E5" t="s">
        <v>1318</v>
      </c>
      <c r="F5" t="s">
        <v>26</v>
      </c>
      <c r="G5" s="202">
        <v>1404.56</v>
      </c>
      <c r="H5">
        <v>4</v>
      </c>
      <c r="I5" t="s">
        <v>4072</v>
      </c>
      <c r="J5" t="s">
        <v>4665</v>
      </c>
      <c r="K5" t="s">
        <v>1283</v>
      </c>
      <c r="L5" s="204">
        <v>0.05</v>
      </c>
      <c r="M5" s="112">
        <v>64.792500000000004</v>
      </c>
      <c r="N5" s="112">
        <v>3.2396250000000002</v>
      </c>
      <c r="O5" s="204"/>
      <c r="P5" s="112"/>
      <c r="Q5" s="112"/>
      <c r="R5" s="112"/>
      <c r="S5" s="112"/>
      <c r="T5" s="112"/>
      <c r="U5" t="s">
        <v>4658</v>
      </c>
      <c r="V5" t="s">
        <v>4659</v>
      </c>
      <c r="W5" t="s">
        <v>3958</v>
      </c>
      <c r="X5" t="s">
        <v>4660</v>
      </c>
    </row>
    <row r="6" spans="1:24" x14ac:dyDescent="0.2">
      <c r="A6" t="s">
        <v>4656</v>
      </c>
      <c r="B6" t="s">
        <v>22</v>
      </c>
      <c r="C6" t="s">
        <v>1317</v>
      </c>
      <c r="D6" t="s">
        <v>24</v>
      </c>
      <c r="E6" t="s">
        <v>1318</v>
      </c>
      <c r="F6" t="s">
        <v>26</v>
      </c>
      <c r="G6" s="202">
        <v>1404.56</v>
      </c>
      <c r="H6">
        <v>5</v>
      </c>
      <c r="I6" t="s">
        <v>3968</v>
      </c>
      <c r="J6" t="s">
        <v>3969</v>
      </c>
      <c r="K6" t="s">
        <v>26</v>
      </c>
      <c r="L6" s="204">
        <v>1</v>
      </c>
      <c r="M6" s="112"/>
      <c r="N6" s="112">
        <v>64.792500000000004</v>
      </c>
      <c r="O6" s="204">
        <v>0.22224785965442684</v>
      </c>
      <c r="P6" s="112">
        <v>14.399994446659448</v>
      </c>
      <c r="Q6" s="112">
        <v>79.192494446659452</v>
      </c>
      <c r="R6" s="112">
        <v>111230.61</v>
      </c>
      <c r="S6" s="112">
        <v>111230.61</v>
      </c>
      <c r="T6" s="112">
        <v>0</v>
      </c>
      <c r="U6" t="s">
        <v>4658</v>
      </c>
      <c r="V6" t="s">
        <v>4659</v>
      </c>
      <c r="W6" t="s">
        <v>4666</v>
      </c>
      <c r="X6" t="s">
        <v>4667</v>
      </c>
    </row>
    <row r="7" spans="1:24" x14ac:dyDescent="0.2">
      <c r="A7" t="s">
        <v>4668</v>
      </c>
      <c r="B7" t="s">
        <v>27</v>
      </c>
      <c r="C7" t="s">
        <v>1321</v>
      </c>
      <c r="D7" t="s">
        <v>24</v>
      </c>
      <c r="E7" t="s">
        <v>29</v>
      </c>
      <c r="F7" t="s">
        <v>26</v>
      </c>
      <c r="G7" s="202">
        <v>1404.56</v>
      </c>
      <c r="H7">
        <v>1</v>
      </c>
      <c r="I7" t="s">
        <v>4066</v>
      </c>
      <c r="J7" t="s">
        <v>4657</v>
      </c>
      <c r="K7" t="s">
        <v>1283</v>
      </c>
      <c r="L7" s="204">
        <v>0.75</v>
      </c>
      <c r="M7" s="112">
        <v>36.255000000000003</v>
      </c>
      <c r="N7" s="112">
        <v>27.191250000000004</v>
      </c>
      <c r="O7" s="204"/>
      <c r="P7" s="112"/>
      <c r="Q7" s="112"/>
      <c r="R7" s="112"/>
      <c r="S7" s="112"/>
      <c r="T7" s="112"/>
      <c r="U7" t="s">
        <v>4669</v>
      </c>
      <c r="V7" t="s">
        <v>4670</v>
      </c>
      <c r="W7" t="s">
        <v>3958</v>
      </c>
      <c r="X7" t="s">
        <v>4660</v>
      </c>
    </row>
    <row r="8" spans="1:24" x14ac:dyDescent="0.2">
      <c r="A8" t="s">
        <v>4668</v>
      </c>
      <c r="B8" t="s">
        <v>27</v>
      </c>
      <c r="C8" t="s">
        <v>1321</v>
      </c>
      <c r="D8" t="s">
        <v>24</v>
      </c>
      <c r="E8" t="s">
        <v>29</v>
      </c>
      <c r="F8" t="s">
        <v>26</v>
      </c>
      <c r="G8" s="202">
        <v>1404.56</v>
      </c>
      <c r="H8">
        <v>2</v>
      </c>
      <c r="I8" t="s">
        <v>4661</v>
      </c>
      <c r="J8" t="s">
        <v>4662</v>
      </c>
      <c r="K8" t="s">
        <v>1283</v>
      </c>
      <c r="L8" s="204">
        <v>0.1</v>
      </c>
      <c r="M8" s="112">
        <v>36.255000000000003</v>
      </c>
      <c r="N8" s="112">
        <v>3.6255000000000006</v>
      </c>
      <c r="O8" s="204"/>
      <c r="P8" s="112"/>
      <c r="Q8" s="112"/>
      <c r="R8" s="112"/>
      <c r="S8" s="112"/>
      <c r="T8" s="112"/>
      <c r="U8" t="s">
        <v>4669</v>
      </c>
      <c r="V8" t="s">
        <v>4670</v>
      </c>
      <c r="W8" t="s">
        <v>3958</v>
      </c>
      <c r="X8" t="s">
        <v>4660</v>
      </c>
    </row>
    <row r="9" spans="1:24" x14ac:dyDescent="0.2">
      <c r="A9" t="s">
        <v>4668</v>
      </c>
      <c r="B9" t="s">
        <v>27</v>
      </c>
      <c r="C9" t="s">
        <v>1321</v>
      </c>
      <c r="D9" t="s">
        <v>24</v>
      </c>
      <c r="E9" t="s">
        <v>29</v>
      </c>
      <c r="F9" t="s">
        <v>26</v>
      </c>
      <c r="G9" s="202">
        <v>1404.56</v>
      </c>
      <c r="H9">
        <v>3</v>
      </c>
      <c r="I9" t="s">
        <v>4663</v>
      </c>
      <c r="J9" t="s">
        <v>4664</v>
      </c>
      <c r="K9" t="s">
        <v>1283</v>
      </c>
      <c r="L9" s="204">
        <v>0.1</v>
      </c>
      <c r="M9" s="112">
        <v>36.255000000000003</v>
      </c>
      <c r="N9" s="112">
        <v>3.6255000000000006</v>
      </c>
      <c r="O9" s="204"/>
      <c r="P9" s="112"/>
      <c r="Q9" s="112"/>
      <c r="R9" s="112"/>
      <c r="S9" s="112"/>
      <c r="T9" s="112"/>
      <c r="U9" t="s">
        <v>4669</v>
      </c>
      <c r="V9" t="s">
        <v>4670</v>
      </c>
      <c r="W9" t="s">
        <v>3958</v>
      </c>
      <c r="X9" t="s">
        <v>4660</v>
      </c>
    </row>
    <row r="10" spans="1:24" x14ac:dyDescent="0.2">
      <c r="A10" t="s">
        <v>4668</v>
      </c>
      <c r="B10" t="s">
        <v>27</v>
      </c>
      <c r="C10" t="s">
        <v>1321</v>
      </c>
      <c r="D10" t="s">
        <v>24</v>
      </c>
      <c r="E10" t="s">
        <v>29</v>
      </c>
      <c r="F10" t="s">
        <v>26</v>
      </c>
      <c r="G10" s="202">
        <v>1404.56</v>
      </c>
      <c r="H10">
        <v>4</v>
      </c>
      <c r="I10" t="s">
        <v>4072</v>
      </c>
      <c r="J10" t="s">
        <v>4665</v>
      </c>
      <c r="K10" t="s">
        <v>1283</v>
      </c>
      <c r="L10" s="204">
        <v>0.05</v>
      </c>
      <c r="M10" s="112">
        <v>36.255000000000003</v>
      </c>
      <c r="N10" s="112">
        <v>1.8127500000000003</v>
      </c>
      <c r="O10" s="204"/>
      <c r="P10" s="112"/>
      <c r="Q10" s="112"/>
      <c r="R10" s="112"/>
      <c r="S10" s="112"/>
      <c r="T10" s="112"/>
      <c r="U10" t="s">
        <v>4669</v>
      </c>
      <c r="V10" t="s">
        <v>4670</v>
      </c>
      <c r="W10" t="s">
        <v>3958</v>
      </c>
      <c r="X10" t="s">
        <v>4660</v>
      </c>
    </row>
    <row r="11" spans="1:24" x14ac:dyDescent="0.2">
      <c r="A11" t="s">
        <v>4668</v>
      </c>
      <c r="B11" t="s">
        <v>27</v>
      </c>
      <c r="C11" t="s">
        <v>1321</v>
      </c>
      <c r="D11" t="s">
        <v>24</v>
      </c>
      <c r="E11" t="s">
        <v>29</v>
      </c>
      <c r="F11" t="s">
        <v>26</v>
      </c>
      <c r="G11" s="202">
        <v>1404.56</v>
      </c>
      <c r="H11">
        <v>5</v>
      </c>
      <c r="I11" t="s">
        <v>3968</v>
      </c>
      <c r="J11" t="s">
        <v>3969</v>
      </c>
      <c r="K11" t="s">
        <v>26</v>
      </c>
      <c r="L11" s="204">
        <v>1</v>
      </c>
      <c r="M11" s="112"/>
      <c r="N11" s="112">
        <v>36.255000000000003</v>
      </c>
      <c r="O11" s="204">
        <v>0.22217618085559909</v>
      </c>
      <c r="P11" s="112">
        <v>8.0549974369197486</v>
      </c>
      <c r="Q11" s="112">
        <v>44.309997436919751</v>
      </c>
      <c r="R11" s="112">
        <v>62236.05</v>
      </c>
      <c r="S11" s="112">
        <v>62236.05</v>
      </c>
      <c r="T11" s="112">
        <v>0</v>
      </c>
      <c r="U11" t="s">
        <v>4669</v>
      </c>
      <c r="V11" t="s">
        <v>4670</v>
      </c>
      <c r="W11" t="s">
        <v>4666</v>
      </c>
      <c r="X11" t="s">
        <v>4667</v>
      </c>
    </row>
    <row r="12" spans="1:24" x14ac:dyDescent="0.2">
      <c r="A12" t="s">
        <v>4671</v>
      </c>
      <c r="B12" t="s">
        <v>32</v>
      </c>
      <c r="C12" t="s">
        <v>1322</v>
      </c>
      <c r="D12" t="s">
        <v>24</v>
      </c>
      <c r="E12" t="s">
        <v>34</v>
      </c>
      <c r="F12" t="s">
        <v>26</v>
      </c>
      <c r="G12" s="202">
        <v>1404.56</v>
      </c>
      <c r="H12">
        <v>1</v>
      </c>
      <c r="I12" t="s">
        <v>4066</v>
      </c>
      <c r="J12" t="s">
        <v>4657</v>
      </c>
      <c r="K12" t="s">
        <v>1283</v>
      </c>
      <c r="L12" s="204">
        <v>0.75</v>
      </c>
      <c r="M12" s="112">
        <v>6.6000000000000005</v>
      </c>
      <c r="N12" s="112">
        <v>4.95</v>
      </c>
      <c r="O12" s="204"/>
      <c r="P12" s="112"/>
      <c r="Q12" s="112"/>
      <c r="R12" s="112"/>
      <c r="S12" s="112"/>
      <c r="T12" s="112"/>
      <c r="U12" t="s">
        <v>4672</v>
      </c>
      <c r="V12" t="s">
        <v>4673</v>
      </c>
      <c r="W12" t="s">
        <v>3958</v>
      </c>
      <c r="X12" t="s">
        <v>4660</v>
      </c>
    </row>
    <row r="13" spans="1:24" x14ac:dyDescent="0.2">
      <c r="A13" t="s">
        <v>4671</v>
      </c>
      <c r="B13" t="s">
        <v>32</v>
      </c>
      <c r="C13" t="s">
        <v>1322</v>
      </c>
      <c r="D13" t="s">
        <v>24</v>
      </c>
      <c r="E13" t="s">
        <v>34</v>
      </c>
      <c r="F13" t="s">
        <v>26</v>
      </c>
      <c r="G13" s="202">
        <v>1404.56</v>
      </c>
      <c r="H13">
        <v>2</v>
      </c>
      <c r="I13" t="s">
        <v>4661</v>
      </c>
      <c r="J13" t="s">
        <v>4662</v>
      </c>
      <c r="K13" t="s">
        <v>1283</v>
      </c>
      <c r="L13" s="204">
        <v>0.1</v>
      </c>
      <c r="M13" s="112">
        <v>6.6000000000000005</v>
      </c>
      <c r="N13" s="112">
        <v>0.66000000000000014</v>
      </c>
      <c r="O13" s="204"/>
      <c r="P13" s="112"/>
      <c r="Q13" s="112"/>
      <c r="R13" s="112"/>
      <c r="S13" s="112"/>
      <c r="T13" s="112"/>
      <c r="U13" t="s">
        <v>4672</v>
      </c>
      <c r="V13" t="s">
        <v>4673</v>
      </c>
      <c r="W13" t="s">
        <v>3958</v>
      </c>
      <c r="X13" t="s">
        <v>4660</v>
      </c>
    </row>
    <row r="14" spans="1:24" x14ac:dyDescent="0.2">
      <c r="A14" t="s">
        <v>4671</v>
      </c>
      <c r="B14" t="s">
        <v>32</v>
      </c>
      <c r="C14" t="s">
        <v>1322</v>
      </c>
      <c r="D14" t="s">
        <v>24</v>
      </c>
      <c r="E14" t="s">
        <v>34</v>
      </c>
      <c r="F14" t="s">
        <v>26</v>
      </c>
      <c r="G14" s="202">
        <v>1404.56</v>
      </c>
      <c r="H14">
        <v>3</v>
      </c>
      <c r="I14" t="s">
        <v>4663</v>
      </c>
      <c r="J14" t="s">
        <v>4664</v>
      </c>
      <c r="K14" t="s">
        <v>1283</v>
      </c>
      <c r="L14" s="204">
        <v>0.1</v>
      </c>
      <c r="M14" s="112">
        <v>6.6000000000000005</v>
      </c>
      <c r="N14" s="112">
        <v>0.66000000000000014</v>
      </c>
      <c r="O14" s="204"/>
      <c r="P14" s="112"/>
      <c r="Q14" s="112"/>
      <c r="R14" s="112"/>
      <c r="S14" s="112"/>
      <c r="T14" s="112"/>
      <c r="U14" t="s">
        <v>4672</v>
      </c>
      <c r="V14" t="s">
        <v>4673</v>
      </c>
      <c r="W14" t="s">
        <v>3958</v>
      </c>
      <c r="X14" t="s">
        <v>4660</v>
      </c>
    </row>
    <row r="15" spans="1:24" x14ac:dyDescent="0.2">
      <c r="A15" t="s">
        <v>4671</v>
      </c>
      <c r="B15" t="s">
        <v>32</v>
      </c>
      <c r="C15" t="s">
        <v>1322</v>
      </c>
      <c r="D15" t="s">
        <v>24</v>
      </c>
      <c r="E15" t="s">
        <v>34</v>
      </c>
      <c r="F15" t="s">
        <v>26</v>
      </c>
      <c r="G15" s="202">
        <v>1404.56</v>
      </c>
      <c r="H15">
        <v>4</v>
      </c>
      <c r="I15" t="s">
        <v>4072</v>
      </c>
      <c r="J15" t="s">
        <v>4665</v>
      </c>
      <c r="K15" t="s">
        <v>1283</v>
      </c>
      <c r="L15" s="204">
        <v>0.05</v>
      </c>
      <c r="M15" s="112">
        <v>6.6000000000000005</v>
      </c>
      <c r="N15" s="112">
        <v>0.33000000000000007</v>
      </c>
      <c r="O15" s="204"/>
      <c r="P15" s="112"/>
      <c r="Q15" s="112"/>
      <c r="R15" s="112"/>
      <c r="S15" s="112"/>
      <c r="T15" s="112"/>
      <c r="U15" t="s">
        <v>4672</v>
      </c>
      <c r="V15" t="s">
        <v>4673</v>
      </c>
      <c r="W15" t="s">
        <v>3958</v>
      </c>
      <c r="X15" t="s">
        <v>4660</v>
      </c>
    </row>
    <row r="16" spans="1:24" x14ac:dyDescent="0.2">
      <c r="A16" t="s">
        <v>4671</v>
      </c>
      <c r="B16" t="s">
        <v>32</v>
      </c>
      <c r="C16" t="s">
        <v>1322</v>
      </c>
      <c r="D16" t="s">
        <v>24</v>
      </c>
      <c r="E16" t="s">
        <v>34</v>
      </c>
      <c r="F16" t="s">
        <v>26</v>
      </c>
      <c r="G16" s="202">
        <v>1404.56</v>
      </c>
      <c r="H16">
        <v>5</v>
      </c>
      <c r="I16" t="s">
        <v>3968</v>
      </c>
      <c r="J16" t="s">
        <v>3969</v>
      </c>
      <c r="K16" t="s">
        <v>26</v>
      </c>
      <c r="L16" s="204">
        <v>1</v>
      </c>
      <c r="M16" s="112"/>
      <c r="N16" s="112">
        <v>6.6000000000000005</v>
      </c>
      <c r="O16" s="204">
        <v>0.22159036972216883</v>
      </c>
      <c r="P16" s="112">
        <v>1.4624964401663147</v>
      </c>
      <c r="Q16" s="112">
        <v>8.0624964401663153</v>
      </c>
      <c r="R16" s="112">
        <v>11324.26</v>
      </c>
      <c r="S16" s="112">
        <v>11324.26</v>
      </c>
      <c r="T16" s="112">
        <v>0</v>
      </c>
      <c r="U16" t="s">
        <v>4672</v>
      </c>
      <c r="V16" t="s">
        <v>4673</v>
      </c>
      <c r="W16" t="s">
        <v>4666</v>
      </c>
      <c r="X16" t="s">
        <v>4667</v>
      </c>
    </row>
    <row r="17" spans="1:24" x14ac:dyDescent="0.2">
      <c r="A17" t="s">
        <v>4674</v>
      </c>
      <c r="B17" t="s">
        <v>36</v>
      </c>
      <c r="C17" t="s">
        <v>1324</v>
      </c>
      <c r="D17" t="s">
        <v>24</v>
      </c>
      <c r="E17" t="s">
        <v>1325</v>
      </c>
      <c r="F17" t="s">
        <v>26</v>
      </c>
      <c r="G17" s="202">
        <v>1404.56</v>
      </c>
      <c r="H17">
        <v>1</v>
      </c>
      <c r="I17" t="s">
        <v>4066</v>
      </c>
      <c r="J17" t="s">
        <v>4657</v>
      </c>
      <c r="K17" t="s">
        <v>1283</v>
      </c>
      <c r="L17" s="204">
        <v>0.75</v>
      </c>
      <c r="M17" s="112">
        <v>3.9375</v>
      </c>
      <c r="N17" s="112">
        <v>2.953125</v>
      </c>
      <c r="O17" s="204"/>
      <c r="P17" s="112"/>
      <c r="Q17" s="112"/>
      <c r="R17" s="112"/>
      <c r="S17" s="112"/>
      <c r="T17" s="112"/>
      <c r="U17" t="s">
        <v>4675</v>
      </c>
      <c r="V17" t="s">
        <v>4676</v>
      </c>
      <c r="W17" t="s">
        <v>3958</v>
      </c>
      <c r="X17" t="s">
        <v>4660</v>
      </c>
    </row>
    <row r="18" spans="1:24" x14ac:dyDescent="0.2">
      <c r="A18" t="s">
        <v>4674</v>
      </c>
      <c r="B18" t="s">
        <v>36</v>
      </c>
      <c r="C18" t="s">
        <v>1324</v>
      </c>
      <c r="D18" t="s">
        <v>24</v>
      </c>
      <c r="E18" t="s">
        <v>1325</v>
      </c>
      <c r="F18" t="s">
        <v>26</v>
      </c>
      <c r="G18" s="202">
        <v>1404.56</v>
      </c>
      <c r="H18">
        <v>2</v>
      </c>
      <c r="I18" t="s">
        <v>4661</v>
      </c>
      <c r="J18" t="s">
        <v>4662</v>
      </c>
      <c r="K18" t="s">
        <v>1283</v>
      </c>
      <c r="L18" s="204">
        <v>0.1</v>
      </c>
      <c r="M18" s="112">
        <v>3.9375</v>
      </c>
      <c r="N18" s="112">
        <v>0.39375000000000004</v>
      </c>
      <c r="O18" s="204"/>
      <c r="P18" s="112"/>
      <c r="Q18" s="112"/>
      <c r="R18" s="112"/>
      <c r="S18" s="112"/>
      <c r="T18" s="112"/>
      <c r="U18" t="s">
        <v>4675</v>
      </c>
      <c r="V18" t="s">
        <v>4676</v>
      </c>
      <c r="W18" t="s">
        <v>3958</v>
      </c>
      <c r="X18" t="s">
        <v>4660</v>
      </c>
    </row>
    <row r="19" spans="1:24" x14ac:dyDescent="0.2">
      <c r="A19" t="s">
        <v>4674</v>
      </c>
      <c r="B19" t="s">
        <v>36</v>
      </c>
      <c r="C19" t="s">
        <v>1324</v>
      </c>
      <c r="D19" t="s">
        <v>24</v>
      </c>
      <c r="E19" t="s">
        <v>1325</v>
      </c>
      <c r="F19" t="s">
        <v>26</v>
      </c>
      <c r="G19" s="202">
        <v>1404.56</v>
      </c>
      <c r="H19">
        <v>3</v>
      </c>
      <c r="I19" t="s">
        <v>4663</v>
      </c>
      <c r="J19" t="s">
        <v>4664</v>
      </c>
      <c r="K19" t="s">
        <v>1283</v>
      </c>
      <c r="L19" s="204">
        <v>0.1</v>
      </c>
      <c r="M19" s="112">
        <v>3.9375</v>
      </c>
      <c r="N19" s="112">
        <v>0.39375000000000004</v>
      </c>
      <c r="O19" s="204"/>
      <c r="P19" s="112"/>
      <c r="Q19" s="112"/>
      <c r="R19" s="112"/>
      <c r="S19" s="112"/>
      <c r="T19" s="112"/>
      <c r="U19" t="s">
        <v>4675</v>
      </c>
      <c r="V19" t="s">
        <v>4676</v>
      </c>
      <c r="W19" t="s">
        <v>3958</v>
      </c>
      <c r="X19" t="s">
        <v>4660</v>
      </c>
    </row>
    <row r="20" spans="1:24" x14ac:dyDescent="0.2">
      <c r="A20" t="s">
        <v>4674</v>
      </c>
      <c r="B20" t="s">
        <v>36</v>
      </c>
      <c r="C20" t="s">
        <v>1324</v>
      </c>
      <c r="D20" t="s">
        <v>24</v>
      </c>
      <c r="E20" t="s">
        <v>1325</v>
      </c>
      <c r="F20" t="s">
        <v>26</v>
      </c>
      <c r="G20" s="202">
        <v>1404.56</v>
      </c>
      <c r="H20">
        <v>4</v>
      </c>
      <c r="I20" t="s">
        <v>4072</v>
      </c>
      <c r="J20" t="s">
        <v>4665</v>
      </c>
      <c r="K20" t="s">
        <v>1283</v>
      </c>
      <c r="L20" s="204">
        <v>0.05</v>
      </c>
      <c r="M20" s="112">
        <v>3.9375</v>
      </c>
      <c r="N20" s="112">
        <v>0.19687500000000002</v>
      </c>
      <c r="O20" s="204"/>
      <c r="P20" s="112"/>
      <c r="Q20" s="112"/>
      <c r="R20" s="112"/>
      <c r="S20" s="112"/>
      <c r="T20" s="112"/>
      <c r="U20" t="s">
        <v>4675</v>
      </c>
      <c r="V20" t="s">
        <v>4676</v>
      </c>
      <c r="W20" t="s">
        <v>3958</v>
      </c>
      <c r="X20" t="s">
        <v>4660</v>
      </c>
    </row>
    <row r="21" spans="1:24" x14ac:dyDescent="0.2">
      <c r="A21" t="s">
        <v>4674</v>
      </c>
      <c r="B21" t="s">
        <v>36</v>
      </c>
      <c r="C21" t="s">
        <v>1324</v>
      </c>
      <c r="D21" t="s">
        <v>24</v>
      </c>
      <c r="E21" t="s">
        <v>1325</v>
      </c>
      <c r="F21" t="s">
        <v>26</v>
      </c>
      <c r="G21" s="202">
        <v>1404.56</v>
      </c>
      <c r="H21">
        <v>5</v>
      </c>
      <c r="I21" t="s">
        <v>3968</v>
      </c>
      <c r="J21" t="s">
        <v>3969</v>
      </c>
      <c r="K21" t="s">
        <v>26</v>
      </c>
      <c r="L21" s="204">
        <v>1</v>
      </c>
      <c r="M21" s="112"/>
      <c r="N21" s="112">
        <v>3.9375</v>
      </c>
      <c r="O21" s="204">
        <v>0.22095198315509301</v>
      </c>
      <c r="P21" s="112">
        <v>0.86999843367317897</v>
      </c>
      <c r="Q21" s="112">
        <v>4.807498433673179</v>
      </c>
      <c r="R21" s="112">
        <v>6752.42</v>
      </c>
      <c r="S21" s="112">
        <v>6752.42</v>
      </c>
      <c r="T21" s="112">
        <v>0</v>
      </c>
      <c r="U21" t="s">
        <v>4675</v>
      </c>
      <c r="V21" t="s">
        <v>4676</v>
      </c>
      <c r="W21" t="s">
        <v>4666</v>
      </c>
      <c r="X21" t="s">
        <v>4667</v>
      </c>
    </row>
    <row r="22" spans="1:24" x14ac:dyDescent="0.2">
      <c r="A22" t="s">
        <v>4677</v>
      </c>
      <c r="B22" t="s">
        <v>39</v>
      </c>
      <c r="C22" t="s">
        <v>1326</v>
      </c>
      <c r="D22" t="s">
        <v>24</v>
      </c>
      <c r="E22" t="s">
        <v>41</v>
      </c>
      <c r="F22" t="s">
        <v>26</v>
      </c>
      <c r="G22" s="202">
        <v>1404.56</v>
      </c>
      <c r="H22">
        <v>1</v>
      </c>
      <c r="I22" t="s">
        <v>4066</v>
      </c>
      <c r="J22" t="s">
        <v>4657</v>
      </c>
      <c r="K22" t="s">
        <v>1283</v>
      </c>
      <c r="L22" s="204">
        <v>0.75</v>
      </c>
      <c r="M22" s="112">
        <v>7.875</v>
      </c>
      <c r="N22" s="112">
        <v>5.90625</v>
      </c>
      <c r="O22" s="204"/>
      <c r="P22" s="112"/>
      <c r="Q22" s="112"/>
      <c r="R22" s="112"/>
      <c r="S22" s="112"/>
      <c r="T22" s="112"/>
      <c r="U22" t="s">
        <v>4678</v>
      </c>
      <c r="V22" t="s">
        <v>4679</v>
      </c>
      <c r="W22" t="s">
        <v>3958</v>
      </c>
      <c r="X22" t="s">
        <v>4660</v>
      </c>
    </row>
    <row r="23" spans="1:24" x14ac:dyDescent="0.2">
      <c r="A23" t="s">
        <v>4677</v>
      </c>
      <c r="B23" t="s">
        <v>39</v>
      </c>
      <c r="C23" t="s">
        <v>1326</v>
      </c>
      <c r="D23" t="s">
        <v>24</v>
      </c>
      <c r="E23" t="s">
        <v>41</v>
      </c>
      <c r="F23" t="s">
        <v>26</v>
      </c>
      <c r="G23" s="202">
        <v>1404.56</v>
      </c>
      <c r="H23">
        <v>2</v>
      </c>
      <c r="I23" t="s">
        <v>4661</v>
      </c>
      <c r="J23" t="s">
        <v>4662</v>
      </c>
      <c r="K23" t="s">
        <v>1283</v>
      </c>
      <c r="L23" s="204">
        <v>0.1</v>
      </c>
      <c r="M23" s="112">
        <v>7.875</v>
      </c>
      <c r="N23" s="112">
        <v>0.78750000000000009</v>
      </c>
      <c r="O23" s="204"/>
      <c r="P23" s="112"/>
      <c r="Q23" s="112"/>
      <c r="R23" s="112"/>
      <c r="S23" s="112"/>
      <c r="T23" s="112"/>
      <c r="U23" t="s">
        <v>4678</v>
      </c>
      <c r="V23" t="s">
        <v>4679</v>
      </c>
      <c r="W23" t="s">
        <v>3958</v>
      </c>
      <c r="X23" t="s">
        <v>4660</v>
      </c>
    </row>
    <row r="24" spans="1:24" x14ac:dyDescent="0.2">
      <c r="A24" t="s">
        <v>4677</v>
      </c>
      <c r="B24" t="s">
        <v>39</v>
      </c>
      <c r="C24" t="s">
        <v>1326</v>
      </c>
      <c r="D24" t="s">
        <v>24</v>
      </c>
      <c r="E24" t="s">
        <v>41</v>
      </c>
      <c r="F24" t="s">
        <v>26</v>
      </c>
      <c r="G24" s="202">
        <v>1404.56</v>
      </c>
      <c r="H24">
        <v>3</v>
      </c>
      <c r="I24" t="s">
        <v>4663</v>
      </c>
      <c r="J24" t="s">
        <v>4664</v>
      </c>
      <c r="K24" t="s">
        <v>1283</v>
      </c>
      <c r="L24" s="204">
        <v>0.1</v>
      </c>
      <c r="M24" s="112">
        <v>7.875</v>
      </c>
      <c r="N24" s="112">
        <v>0.78750000000000009</v>
      </c>
      <c r="O24" s="204"/>
      <c r="P24" s="112"/>
      <c r="Q24" s="112"/>
      <c r="R24" s="112"/>
      <c r="S24" s="112"/>
      <c r="T24" s="112"/>
      <c r="U24" t="s">
        <v>4678</v>
      </c>
      <c r="V24" t="s">
        <v>4679</v>
      </c>
      <c r="W24" t="s">
        <v>3958</v>
      </c>
      <c r="X24" t="s">
        <v>4660</v>
      </c>
    </row>
    <row r="25" spans="1:24" x14ac:dyDescent="0.2">
      <c r="A25" t="s">
        <v>4677</v>
      </c>
      <c r="B25" t="s">
        <v>39</v>
      </c>
      <c r="C25" t="s">
        <v>1326</v>
      </c>
      <c r="D25" t="s">
        <v>24</v>
      </c>
      <c r="E25" t="s">
        <v>41</v>
      </c>
      <c r="F25" t="s">
        <v>26</v>
      </c>
      <c r="G25" s="202">
        <v>1404.56</v>
      </c>
      <c r="H25">
        <v>4</v>
      </c>
      <c r="I25" t="s">
        <v>4072</v>
      </c>
      <c r="J25" t="s">
        <v>4665</v>
      </c>
      <c r="K25" t="s">
        <v>1283</v>
      </c>
      <c r="L25" s="204">
        <v>0.05</v>
      </c>
      <c r="M25" s="112">
        <v>7.875</v>
      </c>
      <c r="N25" s="112">
        <v>0.39375000000000004</v>
      </c>
      <c r="O25" s="204"/>
      <c r="P25" s="112"/>
      <c r="Q25" s="112"/>
      <c r="R25" s="112"/>
      <c r="S25" s="112"/>
      <c r="T25" s="112"/>
      <c r="U25" t="s">
        <v>4678</v>
      </c>
      <c r="V25" t="s">
        <v>4679</v>
      </c>
      <c r="W25" t="s">
        <v>3958</v>
      </c>
      <c r="X25" t="s">
        <v>4660</v>
      </c>
    </row>
    <row r="26" spans="1:24" x14ac:dyDescent="0.2">
      <c r="A26" t="s">
        <v>4677</v>
      </c>
      <c r="B26" t="s">
        <v>39</v>
      </c>
      <c r="C26" t="s">
        <v>1326</v>
      </c>
      <c r="D26" t="s">
        <v>24</v>
      </c>
      <c r="E26" t="s">
        <v>41</v>
      </c>
      <c r="F26" t="s">
        <v>26</v>
      </c>
      <c r="G26" s="202">
        <v>1404.56</v>
      </c>
      <c r="H26">
        <v>5</v>
      </c>
      <c r="I26" t="s">
        <v>3968</v>
      </c>
      <c r="J26" t="s">
        <v>3969</v>
      </c>
      <c r="K26" t="s">
        <v>26</v>
      </c>
      <c r="L26" s="204">
        <v>1</v>
      </c>
      <c r="M26" s="112"/>
      <c r="N26" s="112">
        <v>7.875</v>
      </c>
      <c r="O26" s="204">
        <v>0.22190398439188108</v>
      </c>
      <c r="P26" s="112">
        <v>1.7474938770860629</v>
      </c>
      <c r="Q26" s="112">
        <v>9.6224938770860629</v>
      </c>
      <c r="R26" s="112">
        <v>13515.37</v>
      </c>
      <c r="S26" s="112">
        <v>13515.37</v>
      </c>
      <c r="T26" s="112">
        <v>0</v>
      </c>
      <c r="U26" t="s">
        <v>4678</v>
      </c>
      <c r="V26" t="s">
        <v>4679</v>
      </c>
      <c r="W26" t="s">
        <v>4666</v>
      </c>
      <c r="X26" t="s">
        <v>4667</v>
      </c>
    </row>
    <row r="27" spans="1:24" x14ac:dyDescent="0.2">
      <c r="A27" t="s">
        <v>4680</v>
      </c>
      <c r="B27" t="s">
        <v>42</v>
      </c>
      <c r="C27" t="s">
        <v>1327</v>
      </c>
      <c r="D27" t="s">
        <v>24</v>
      </c>
      <c r="E27" t="s">
        <v>44</v>
      </c>
      <c r="F27" t="s">
        <v>26</v>
      </c>
      <c r="G27" s="202">
        <v>1404.56</v>
      </c>
      <c r="H27">
        <v>1</v>
      </c>
      <c r="I27" t="s">
        <v>4066</v>
      </c>
      <c r="J27" t="s">
        <v>4657</v>
      </c>
      <c r="K27" t="s">
        <v>1283</v>
      </c>
      <c r="L27" s="204">
        <v>0.75</v>
      </c>
      <c r="M27" s="112">
        <v>3.9375</v>
      </c>
      <c r="N27" s="112">
        <v>2.953125</v>
      </c>
      <c r="O27" s="204"/>
      <c r="P27" s="112"/>
      <c r="Q27" s="112"/>
      <c r="R27" s="112"/>
      <c r="S27" s="112"/>
      <c r="T27" s="112"/>
      <c r="U27" t="s">
        <v>4681</v>
      </c>
      <c r="V27" t="s">
        <v>4682</v>
      </c>
      <c r="W27" t="s">
        <v>3958</v>
      </c>
      <c r="X27" t="s">
        <v>4660</v>
      </c>
    </row>
    <row r="28" spans="1:24" x14ac:dyDescent="0.2">
      <c r="A28" t="s">
        <v>4680</v>
      </c>
      <c r="B28" t="s">
        <v>42</v>
      </c>
      <c r="C28" t="s">
        <v>1327</v>
      </c>
      <c r="D28" t="s">
        <v>24</v>
      </c>
      <c r="E28" t="s">
        <v>44</v>
      </c>
      <c r="F28" t="s">
        <v>26</v>
      </c>
      <c r="G28" s="202">
        <v>1404.56</v>
      </c>
      <c r="H28">
        <v>2</v>
      </c>
      <c r="I28" t="s">
        <v>4661</v>
      </c>
      <c r="J28" t="s">
        <v>4662</v>
      </c>
      <c r="K28" t="s">
        <v>1283</v>
      </c>
      <c r="L28" s="204">
        <v>0.1</v>
      </c>
      <c r="M28" s="112">
        <v>3.9375</v>
      </c>
      <c r="N28" s="112">
        <v>0.39375000000000004</v>
      </c>
      <c r="O28" s="204"/>
      <c r="P28" s="112"/>
      <c r="Q28" s="112"/>
      <c r="R28" s="112"/>
      <c r="S28" s="112"/>
      <c r="T28" s="112"/>
      <c r="U28" t="s">
        <v>4681</v>
      </c>
      <c r="V28" t="s">
        <v>4682</v>
      </c>
      <c r="W28" t="s">
        <v>3958</v>
      </c>
      <c r="X28" t="s">
        <v>4660</v>
      </c>
    </row>
    <row r="29" spans="1:24" x14ac:dyDescent="0.2">
      <c r="A29" t="s">
        <v>4680</v>
      </c>
      <c r="B29" t="s">
        <v>42</v>
      </c>
      <c r="C29" t="s">
        <v>1327</v>
      </c>
      <c r="D29" t="s">
        <v>24</v>
      </c>
      <c r="E29" t="s">
        <v>44</v>
      </c>
      <c r="F29" t="s">
        <v>26</v>
      </c>
      <c r="G29" s="202">
        <v>1404.56</v>
      </c>
      <c r="H29">
        <v>3</v>
      </c>
      <c r="I29" t="s">
        <v>4663</v>
      </c>
      <c r="J29" t="s">
        <v>4664</v>
      </c>
      <c r="K29" t="s">
        <v>1283</v>
      </c>
      <c r="L29" s="204">
        <v>0.1</v>
      </c>
      <c r="M29" s="112">
        <v>3.9375</v>
      </c>
      <c r="N29" s="112">
        <v>0.39375000000000004</v>
      </c>
      <c r="O29" s="204"/>
      <c r="P29" s="112"/>
      <c r="Q29" s="112"/>
      <c r="R29" s="112"/>
      <c r="S29" s="112"/>
      <c r="T29" s="112"/>
      <c r="U29" t="s">
        <v>4681</v>
      </c>
      <c r="V29" t="s">
        <v>4682</v>
      </c>
      <c r="W29" t="s">
        <v>3958</v>
      </c>
      <c r="X29" t="s">
        <v>4660</v>
      </c>
    </row>
    <row r="30" spans="1:24" x14ac:dyDescent="0.2">
      <c r="A30" t="s">
        <v>4680</v>
      </c>
      <c r="B30" t="s">
        <v>42</v>
      </c>
      <c r="C30" t="s">
        <v>1327</v>
      </c>
      <c r="D30" t="s">
        <v>24</v>
      </c>
      <c r="E30" t="s">
        <v>44</v>
      </c>
      <c r="F30" t="s">
        <v>26</v>
      </c>
      <c r="G30" s="202">
        <v>1404.56</v>
      </c>
      <c r="H30">
        <v>4</v>
      </c>
      <c r="I30" t="s">
        <v>4072</v>
      </c>
      <c r="J30" t="s">
        <v>4665</v>
      </c>
      <c r="K30" t="s">
        <v>1283</v>
      </c>
      <c r="L30" s="204">
        <v>0.05</v>
      </c>
      <c r="M30" s="112">
        <v>3.9375</v>
      </c>
      <c r="N30" s="112">
        <v>0.19687500000000002</v>
      </c>
      <c r="O30" s="204"/>
      <c r="P30" s="112"/>
      <c r="Q30" s="112"/>
      <c r="R30" s="112"/>
      <c r="S30" s="112"/>
      <c r="T30" s="112"/>
      <c r="U30" t="s">
        <v>4681</v>
      </c>
      <c r="V30" t="s">
        <v>4682</v>
      </c>
      <c r="W30" t="s">
        <v>3958</v>
      </c>
      <c r="X30" t="s">
        <v>4660</v>
      </c>
    </row>
    <row r="31" spans="1:24" x14ac:dyDescent="0.2">
      <c r="A31" t="s">
        <v>4680</v>
      </c>
      <c r="B31" t="s">
        <v>42</v>
      </c>
      <c r="C31" t="s">
        <v>1327</v>
      </c>
      <c r="D31" t="s">
        <v>24</v>
      </c>
      <c r="E31" t="s">
        <v>44</v>
      </c>
      <c r="F31" t="s">
        <v>26</v>
      </c>
      <c r="G31" s="202">
        <v>1404.56</v>
      </c>
      <c r="H31">
        <v>5</v>
      </c>
      <c r="I31" t="s">
        <v>3968</v>
      </c>
      <c r="J31" t="s">
        <v>3969</v>
      </c>
      <c r="K31" t="s">
        <v>26</v>
      </c>
      <c r="L31" s="204">
        <v>1</v>
      </c>
      <c r="M31" s="112"/>
      <c r="N31" s="112">
        <v>3.9375</v>
      </c>
      <c r="O31" s="204">
        <v>0.22095198315509301</v>
      </c>
      <c r="P31" s="112">
        <v>0.86999843367317897</v>
      </c>
      <c r="Q31" s="112">
        <v>4.807498433673179</v>
      </c>
      <c r="R31" s="112">
        <v>6752.42</v>
      </c>
      <c r="S31" s="112">
        <v>6752.42</v>
      </c>
      <c r="T31" s="112">
        <v>0</v>
      </c>
      <c r="U31" t="s">
        <v>4681</v>
      </c>
      <c r="V31" t="s">
        <v>4682</v>
      </c>
      <c r="W31" t="s">
        <v>4666</v>
      </c>
      <c r="X31" t="s">
        <v>4667</v>
      </c>
    </row>
    <row r="32" spans="1:24" x14ac:dyDescent="0.2">
      <c r="A32" t="s">
        <v>4683</v>
      </c>
      <c r="B32" t="s">
        <v>46</v>
      </c>
      <c r="C32" t="s">
        <v>1328</v>
      </c>
      <c r="D32" t="s">
        <v>24</v>
      </c>
      <c r="E32" t="s">
        <v>1329</v>
      </c>
      <c r="F32" t="s">
        <v>26</v>
      </c>
      <c r="G32" s="202">
        <v>1404.56</v>
      </c>
      <c r="H32">
        <v>1</v>
      </c>
      <c r="I32" t="s">
        <v>4066</v>
      </c>
      <c r="J32" t="s">
        <v>4657</v>
      </c>
      <c r="K32" t="s">
        <v>1283</v>
      </c>
      <c r="L32" s="204">
        <v>0.75</v>
      </c>
      <c r="M32" s="112">
        <v>6.0299999999999994</v>
      </c>
      <c r="N32" s="112">
        <v>4.5224999999999991</v>
      </c>
      <c r="O32" s="204"/>
      <c r="P32" s="112"/>
      <c r="Q32" s="112"/>
      <c r="R32" s="112"/>
      <c r="S32" s="112"/>
      <c r="T32" s="112"/>
      <c r="U32" t="s">
        <v>4684</v>
      </c>
      <c r="V32" t="s">
        <v>4685</v>
      </c>
      <c r="W32" t="s">
        <v>3958</v>
      </c>
      <c r="X32" t="s">
        <v>4660</v>
      </c>
    </row>
    <row r="33" spans="1:24" x14ac:dyDescent="0.2">
      <c r="A33" t="s">
        <v>4683</v>
      </c>
      <c r="B33" t="s">
        <v>46</v>
      </c>
      <c r="C33" t="s">
        <v>1328</v>
      </c>
      <c r="D33" t="s">
        <v>24</v>
      </c>
      <c r="E33" t="s">
        <v>1329</v>
      </c>
      <c r="F33" t="s">
        <v>26</v>
      </c>
      <c r="G33" s="202">
        <v>1404.56</v>
      </c>
      <c r="H33">
        <v>2</v>
      </c>
      <c r="I33" t="s">
        <v>4661</v>
      </c>
      <c r="J33" t="s">
        <v>4662</v>
      </c>
      <c r="K33" t="s">
        <v>1283</v>
      </c>
      <c r="L33" s="204">
        <v>0.1</v>
      </c>
      <c r="M33" s="112">
        <v>6.0299999999999994</v>
      </c>
      <c r="N33" s="112">
        <v>0.60299999999999998</v>
      </c>
      <c r="O33" s="204"/>
      <c r="P33" s="112"/>
      <c r="Q33" s="112"/>
      <c r="R33" s="112"/>
      <c r="S33" s="112"/>
      <c r="T33" s="112"/>
      <c r="U33" t="s">
        <v>4684</v>
      </c>
      <c r="V33" t="s">
        <v>4685</v>
      </c>
      <c r="W33" t="s">
        <v>3958</v>
      </c>
      <c r="X33" t="s">
        <v>4660</v>
      </c>
    </row>
    <row r="34" spans="1:24" x14ac:dyDescent="0.2">
      <c r="A34" t="s">
        <v>4683</v>
      </c>
      <c r="B34" t="s">
        <v>46</v>
      </c>
      <c r="C34" t="s">
        <v>1328</v>
      </c>
      <c r="D34" t="s">
        <v>24</v>
      </c>
      <c r="E34" t="s">
        <v>1329</v>
      </c>
      <c r="F34" t="s">
        <v>26</v>
      </c>
      <c r="G34" s="202">
        <v>1404.56</v>
      </c>
      <c r="H34">
        <v>3</v>
      </c>
      <c r="I34" t="s">
        <v>4663</v>
      </c>
      <c r="J34" t="s">
        <v>4664</v>
      </c>
      <c r="K34" t="s">
        <v>1283</v>
      </c>
      <c r="L34" s="204">
        <v>0.1</v>
      </c>
      <c r="M34" s="112">
        <v>6.0299999999999994</v>
      </c>
      <c r="N34" s="112">
        <v>0.60299999999999998</v>
      </c>
      <c r="O34" s="204"/>
      <c r="P34" s="112"/>
      <c r="Q34" s="112"/>
      <c r="R34" s="112"/>
      <c r="S34" s="112"/>
      <c r="T34" s="112"/>
      <c r="U34" t="s">
        <v>4684</v>
      </c>
      <c r="V34" t="s">
        <v>4685</v>
      </c>
      <c r="W34" t="s">
        <v>3958</v>
      </c>
      <c r="X34" t="s">
        <v>4660</v>
      </c>
    </row>
    <row r="35" spans="1:24" x14ac:dyDescent="0.2">
      <c r="A35" t="s">
        <v>4683</v>
      </c>
      <c r="B35" t="s">
        <v>46</v>
      </c>
      <c r="C35" t="s">
        <v>1328</v>
      </c>
      <c r="D35" t="s">
        <v>24</v>
      </c>
      <c r="E35" t="s">
        <v>1329</v>
      </c>
      <c r="F35" t="s">
        <v>26</v>
      </c>
      <c r="G35" s="202">
        <v>1404.56</v>
      </c>
      <c r="H35">
        <v>4</v>
      </c>
      <c r="I35" t="s">
        <v>4072</v>
      </c>
      <c r="J35" t="s">
        <v>4665</v>
      </c>
      <c r="K35" t="s">
        <v>1283</v>
      </c>
      <c r="L35" s="204">
        <v>0.05</v>
      </c>
      <c r="M35" s="112">
        <v>6.0299999999999994</v>
      </c>
      <c r="N35" s="112">
        <v>0.30149999999999999</v>
      </c>
      <c r="O35" s="204"/>
      <c r="P35" s="112"/>
      <c r="Q35" s="112"/>
      <c r="R35" s="112"/>
      <c r="S35" s="112"/>
      <c r="T35" s="112"/>
      <c r="U35" t="s">
        <v>4684</v>
      </c>
      <c r="V35" t="s">
        <v>4685</v>
      </c>
      <c r="W35" t="s">
        <v>3958</v>
      </c>
      <c r="X35" t="s">
        <v>4660</v>
      </c>
    </row>
    <row r="36" spans="1:24" x14ac:dyDescent="0.2">
      <c r="A36" t="s">
        <v>4683</v>
      </c>
      <c r="B36" t="s">
        <v>46</v>
      </c>
      <c r="C36" t="s">
        <v>1328</v>
      </c>
      <c r="D36" t="s">
        <v>24</v>
      </c>
      <c r="E36" t="s">
        <v>1329</v>
      </c>
      <c r="F36" t="s">
        <v>26</v>
      </c>
      <c r="G36" s="202">
        <v>1404.56</v>
      </c>
      <c r="H36">
        <v>5</v>
      </c>
      <c r="I36" t="s">
        <v>3968</v>
      </c>
      <c r="J36" t="s">
        <v>3969</v>
      </c>
      <c r="K36" t="s">
        <v>26</v>
      </c>
      <c r="L36" s="204">
        <v>1</v>
      </c>
      <c r="M36" s="112"/>
      <c r="N36" s="112">
        <v>6.0299999999999994</v>
      </c>
      <c r="O36" s="204">
        <v>0.22139251531448734</v>
      </c>
      <c r="P36" s="112">
        <v>1.3349968673463586</v>
      </c>
      <c r="Q36" s="112">
        <v>7.3649968673463579</v>
      </c>
      <c r="R36" s="112">
        <v>10344.58</v>
      </c>
      <c r="S36" s="112">
        <v>10344.58</v>
      </c>
      <c r="T36" s="112">
        <v>0</v>
      </c>
      <c r="U36" t="s">
        <v>4684</v>
      </c>
      <c r="V36" t="s">
        <v>4685</v>
      </c>
      <c r="W36" t="s">
        <v>4666</v>
      </c>
      <c r="X36" t="s">
        <v>4667</v>
      </c>
    </row>
    <row r="37" spans="1:24" x14ac:dyDescent="0.2">
      <c r="A37" t="s">
        <v>4686</v>
      </c>
      <c r="B37" t="s">
        <v>49</v>
      </c>
      <c r="C37" t="s">
        <v>1330</v>
      </c>
      <c r="D37" t="s">
        <v>24</v>
      </c>
      <c r="E37" t="s">
        <v>51</v>
      </c>
      <c r="F37" t="s">
        <v>26</v>
      </c>
      <c r="G37" s="202">
        <v>1404.56</v>
      </c>
      <c r="H37">
        <v>1</v>
      </c>
      <c r="I37" t="s">
        <v>4066</v>
      </c>
      <c r="J37" t="s">
        <v>4657</v>
      </c>
      <c r="K37" t="s">
        <v>1283</v>
      </c>
      <c r="L37" s="204">
        <v>0.75</v>
      </c>
      <c r="M37" s="112">
        <v>1.9424999999999999</v>
      </c>
      <c r="N37" s="112">
        <v>1.4568749999999999</v>
      </c>
      <c r="O37" s="204"/>
      <c r="P37" s="112"/>
      <c r="Q37" s="112"/>
      <c r="R37" s="112"/>
      <c r="S37" s="112"/>
      <c r="T37" s="112"/>
      <c r="U37" t="s">
        <v>4687</v>
      </c>
      <c r="V37" t="s">
        <v>4688</v>
      </c>
      <c r="W37" t="s">
        <v>3958</v>
      </c>
      <c r="X37" t="s">
        <v>4660</v>
      </c>
    </row>
    <row r="38" spans="1:24" x14ac:dyDescent="0.2">
      <c r="A38" t="s">
        <v>4686</v>
      </c>
      <c r="B38" t="s">
        <v>49</v>
      </c>
      <c r="C38" t="s">
        <v>1330</v>
      </c>
      <c r="D38" t="s">
        <v>24</v>
      </c>
      <c r="E38" t="s">
        <v>51</v>
      </c>
      <c r="F38" t="s">
        <v>26</v>
      </c>
      <c r="G38" s="202">
        <v>1404.56</v>
      </c>
      <c r="H38">
        <v>2</v>
      </c>
      <c r="I38" t="s">
        <v>4661</v>
      </c>
      <c r="J38" t="s">
        <v>4662</v>
      </c>
      <c r="K38" t="s">
        <v>1283</v>
      </c>
      <c r="L38" s="204">
        <v>0.1</v>
      </c>
      <c r="M38" s="112">
        <v>1.9424999999999999</v>
      </c>
      <c r="N38" s="112">
        <v>0.19425000000000001</v>
      </c>
      <c r="O38" s="204"/>
      <c r="P38" s="112"/>
      <c r="Q38" s="112"/>
      <c r="R38" s="112"/>
      <c r="S38" s="112"/>
      <c r="T38" s="112"/>
      <c r="U38" t="s">
        <v>4687</v>
      </c>
      <c r="V38" t="s">
        <v>4688</v>
      </c>
      <c r="W38" t="s">
        <v>3958</v>
      </c>
      <c r="X38" t="s">
        <v>4660</v>
      </c>
    </row>
    <row r="39" spans="1:24" x14ac:dyDescent="0.2">
      <c r="A39" t="s">
        <v>4686</v>
      </c>
      <c r="B39" t="s">
        <v>49</v>
      </c>
      <c r="C39" t="s">
        <v>1330</v>
      </c>
      <c r="D39" t="s">
        <v>24</v>
      </c>
      <c r="E39" t="s">
        <v>51</v>
      </c>
      <c r="F39" t="s">
        <v>26</v>
      </c>
      <c r="G39" s="202">
        <v>1404.56</v>
      </c>
      <c r="H39">
        <v>3</v>
      </c>
      <c r="I39" t="s">
        <v>4663</v>
      </c>
      <c r="J39" t="s">
        <v>4664</v>
      </c>
      <c r="K39" t="s">
        <v>1283</v>
      </c>
      <c r="L39" s="204">
        <v>0.1</v>
      </c>
      <c r="M39" s="112">
        <v>1.9424999999999999</v>
      </c>
      <c r="N39" s="112">
        <v>0.19425000000000001</v>
      </c>
      <c r="O39" s="204"/>
      <c r="P39" s="112"/>
      <c r="Q39" s="112"/>
      <c r="R39" s="112"/>
      <c r="S39" s="112"/>
      <c r="T39" s="112"/>
      <c r="U39" t="s">
        <v>4687</v>
      </c>
      <c r="V39" t="s">
        <v>4688</v>
      </c>
      <c r="W39" t="s">
        <v>3958</v>
      </c>
      <c r="X39" t="s">
        <v>4660</v>
      </c>
    </row>
    <row r="40" spans="1:24" x14ac:dyDescent="0.2">
      <c r="A40" t="s">
        <v>4686</v>
      </c>
      <c r="B40" t="s">
        <v>49</v>
      </c>
      <c r="C40" t="s">
        <v>1330</v>
      </c>
      <c r="D40" t="s">
        <v>24</v>
      </c>
      <c r="E40" t="s">
        <v>51</v>
      </c>
      <c r="F40" t="s">
        <v>26</v>
      </c>
      <c r="G40" s="202">
        <v>1404.56</v>
      </c>
      <c r="H40">
        <v>4</v>
      </c>
      <c r="I40" t="s">
        <v>4072</v>
      </c>
      <c r="J40" t="s">
        <v>4665</v>
      </c>
      <c r="K40" t="s">
        <v>1283</v>
      </c>
      <c r="L40" s="204">
        <v>0.05</v>
      </c>
      <c r="M40" s="112">
        <v>1.9424999999999999</v>
      </c>
      <c r="N40" s="112">
        <v>9.7125000000000003E-2</v>
      </c>
      <c r="O40" s="204"/>
      <c r="P40" s="112"/>
      <c r="Q40" s="112"/>
      <c r="R40" s="112"/>
      <c r="S40" s="112"/>
      <c r="T40" s="112"/>
      <c r="U40" t="s">
        <v>4687</v>
      </c>
      <c r="V40" t="s">
        <v>4688</v>
      </c>
      <c r="W40" t="s">
        <v>3958</v>
      </c>
      <c r="X40" t="s">
        <v>4660</v>
      </c>
    </row>
    <row r="41" spans="1:24" x14ac:dyDescent="0.2">
      <c r="A41" t="s">
        <v>4686</v>
      </c>
      <c r="B41" t="s">
        <v>49</v>
      </c>
      <c r="C41" t="s">
        <v>1330</v>
      </c>
      <c r="D41" t="s">
        <v>24</v>
      </c>
      <c r="E41" t="s">
        <v>51</v>
      </c>
      <c r="F41" t="s">
        <v>26</v>
      </c>
      <c r="G41" s="202">
        <v>1404.56</v>
      </c>
      <c r="H41">
        <v>5</v>
      </c>
      <c r="I41" t="s">
        <v>3968</v>
      </c>
      <c r="J41" t="s">
        <v>3969</v>
      </c>
      <c r="K41" t="s">
        <v>26</v>
      </c>
      <c r="L41" s="204">
        <v>1</v>
      </c>
      <c r="M41" s="112"/>
      <c r="N41" s="112">
        <v>1.9424999999999999</v>
      </c>
      <c r="O41" s="204">
        <v>0.22007458112715295</v>
      </c>
      <c r="P41" s="112">
        <v>0.42749487383949436</v>
      </c>
      <c r="Q41" s="112">
        <v>2.3699948738394943</v>
      </c>
      <c r="R41" s="112">
        <v>3328.8</v>
      </c>
      <c r="S41" s="112">
        <v>3328.8</v>
      </c>
      <c r="T41" s="112">
        <v>0</v>
      </c>
      <c r="U41" t="s">
        <v>4687</v>
      </c>
      <c r="V41" t="s">
        <v>4688</v>
      </c>
      <c r="W41" t="s">
        <v>4666</v>
      </c>
      <c r="X41" t="s">
        <v>4667</v>
      </c>
    </row>
    <row r="42" spans="1:24" x14ac:dyDescent="0.2">
      <c r="A42" t="s">
        <v>4689</v>
      </c>
      <c r="B42" t="s">
        <v>55</v>
      </c>
      <c r="C42" t="s">
        <v>1331</v>
      </c>
      <c r="D42" t="s">
        <v>56</v>
      </c>
      <c r="E42" t="s">
        <v>57</v>
      </c>
      <c r="F42" t="s">
        <v>58</v>
      </c>
      <c r="G42" s="202">
        <v>15</v>
      </c>
      <c r="H42">
        <v>1</v>
      </c>
      <c r="I42" t="s">
        <v>3954</v>
      </c>
      <c r="J42" t="s">
        <v>4690</v>
      </c>
      <c r="K42" t="s">
        <v>1283</v>
      </c>
      <c r="L42" s="204">
        <v>0.7</v>
      </c>
      <c r="M42" s="112">
        <v>7867.7249999999995</v>
      </c>
      <c r="N42" s="112">
        <v>5507.4074999999993</v>
      </c>
      <c r="O42" s="204"/>
      <c r="P42" s="112"/>
      <c r="Q42" s="112"/>
      <c r="R42" s="112"/>
      <c r="S42" s="112"/>
      <c r="T42" s="112"/>
      <c r="U42" t="s">
        <v>4033</v>
      </c>
      <c r="V42" t="s">
        <v>4691</v>
      </c>
      <c r="W42" t="s">
        <v>3958</v>
      </c>
      <c r="X42" t="s">
        <v>4660</v>
      </c>
    </row>
    <row r="43" spans="1:24" x14ac:dyDescent="0.2">
      <c r="A43" t="s">
        <v>4689</v>
      </c>
      <c r="B43" t="s">
        <v>55</v>
      </c>
      <c r="C43" t="s">
        <v>1331</v>
      </c>
      <c r="D43" t="s">
        <v>56</v>
      </c>
      <c r="E43" t="s">
        <v>57</v>
      </c>
      <c r="F43" t="s">
        <v>58</v>
      </c>
      <c r="G43" s="202">
        <v>15</v>
      </c>
      <c r="H43">
        <v>2</v>
      </c>
      <c r="I43" t="s">
        <v>4002</v>
      </c>
      <c r="J43" t="s">
        <v>4692</v>
      </c>
      <c r="K43" t="s">
        <v>1283</v>
      </c>
      <c r="L43" s="204">
        <v>0.23</v>
      </c>
      <c r="M43" s="112">
        <v>7867.7249999999995</v>
      </c>
      <c r="N43" s="112">
        <v>1809.5767499999999</v>
      </c>
      <c r="O43" s="204"/>
      <c r="P43" s="112"/>
      <c r="Q43" s="112"/>
      <c r="R43" s="112"/>
      <c r="S43" s="112"/>
      <c r="T43" s="112"/>
      <c r="U43" t="s">
        <v>4033</v>
      </c>
      <c r="V43" t="s">
        <v>4691</v>
      </c>
      <c r="W43" t="s">
        <v>3958</v>
      </c>
      <c r="X43" t="s">
        <v>4660</v>
      </c>
    </row>
    <row r="44" spans="1:24" x14ac:dyDescent="0.2">
      <c r="A44" t="s">
        <v>4689</v>
      </c>
      <c r="B44" t="s">
        <v>55</v>
      </c>
      <c r="C44" t="s">
        <v>1331</v>
      </c>
      <c r="D44" t="s">
        <v>56</v>
      </c>
      <c r="E44" t="s">
        <v>57</v>
      </c>
      <c r="F44" t="s">
        <v>58</v>
      </c>
      <c r="G44" s="202">
        <v>15</v>
      </c>
      <c r="H44">
        <v>3</v>
      </c>
      <c r="I44" t="s">
        <v>4693</v>
      </c>
      <c r="J44" t="s">
        <v>4694</v>
      </c>
      <c r="K44" t="s">
        <v>1283</v>
      </c>
      <c r="L44" s="204">
        <v>7.0000000000000007E-2</v>
      </c>
      <c r="M44" s="112">
        <v>7867.7249999999995</v>
      </c>
      <c r="N44" s="112">
        <v>550.74075000000005</v>
      </c>
      <c r="O44" s="204"/>
      <c r="P44" s="112"/>
      <c r="Q44" s="112"/>
      <c r="R44" s="112"/>
      <c r="S44" s="112"/>
      <c r="T44" s="112"/>
      <c r="U44" t="s">
        <v>4033</v>
      </c>
      <c r="V44" t="s">
        <v>4691</v>
      </c>
      <c r="W44" t="s">
        <v>3958</v>
      </c>
      <c r="X44" t="s">
        <v>4660</v>
      </c>
    </row>
    <row r="45" spans="1:24" x14ac:dyDescent="0.2">
      <c r="A45" t="s">
        <v>4689</v>
      </c>
      <c r="B45" t="s">
        <v>55</v>
      </c>
      <c r="C45" t="s">
        <v>1331</v>
      </c>
      <c r="D45" t="s">
        <v>56</v>
      </c>
      <c r="E45" t="s">
        <v>57</v>
      </c>
      <c r="F45" t="s">
        <v>58</v>
      </c>
      <c r="G45" s="202">
        <v>15</v>
      </c>
      <c r="H45">
        <v>4</v>
      </c>
      <c r="I45" t="s">
        <v>3968</v>
      </c>
      <c r="J45" t="s">
        <v>3969</v>
      </c>
      <c r="K45" t="s">
        <v>58</v>
      </c>
      <c r="L45" s="204">
        <v>1</v>
      </c>
      <c r="M45" s="112"/>
      <c r="N45" s="112">
        <v>7867.7249999999995</v>
      </c>
      <c r="O45" s="204">
        <v>0.22229962706288475</v>
      </c>
      <c r="P45" s="112">
        <v>1748.9923333333345</v>
      </c>
      <c r="Q45" s="112">
        <v>9616.717333333334</v>
      </c>
      <c r="R45" s="112">
        <v>144250.76</v>
      </c>
      <c r="S45" s="112">
        <v>144250.76</v>
      </c>
      <c r="T45" s="112">
        <v>0</v>
      </c>
      <c r="U45" t="s">
        <v>4033</v>
      </c>
      <c r="V45" t="s">
        <v>4691</v>
      </c>
      <c r="W45" t="s">
        <v>4666</v>
      </c>
      <c r="X45" t="s">
        <v>4667</v>
      </c>
    </row>
    <row r="46" spans="1:24" x14ac:dyDescent="0.2">
      <c r="A46" t="s">
        <v>4695</v>
      </c>
      <c r="B46" t="s">
        <v>59</v>
      </c>
      <c r="C46" t="s">
        <v>1332</v>
      </c>
      <c r="D46" t="s">
        <v>56</v>
      </c>
      <c r="E46" t="s">
        <v>60</v>
      </c>
      <c r="F46" t="s">
        <v>61</v>
      </c>
      <c r="G46" s="202">
        <v>1440</v>
      </c>
      <c r="H46">
        <v>1</v>
      </c>
      <c r="I46" t="s">
        <v>3954</v>
      </c>
      <c r="J46" t="s">
        <v>4690</v>
      </c>
      <c r="K46" t="s">
        <v>1283</v>
      </c>
      <c r="L46" s="204">
        <v>0.7</v>
      </c>
      <c r="M46" s="112">
        <v>109.58250000000001</v>
      </c>
      <c r="N46" s="112">
        <v>76.707750000000004</v>
      </c>
      <c r="O46" s="204"/>
      <c r="P46" s="112"/>
      <c r="Q46" s="112"/>
      <c r="R46" s="112"/>
      <c r="S46" s="112"/>
      <c r="T46" s="112"/>
      <c r="U46" t="s">
        <v>4008</v>
      </c>
      <c r="V46" t="s">
        <v>4696</v>
      </c>
      <c r="W46" t="s">
        <v>3958</v>
      </c>
      <c r="X46" t="s">
        <v>4660</v>
      </c>
    </row>
    <row r="47" spans="1:24" x14ac:dyDescent="0.2">
      <c r="A47" t="s">
        <v>4695</v>
      </c>
      <c r="B47" t="s">
        <v>59</v>
      </c>
      <c r="C47" t="s">
        <v>1332</v>
      </c>
      <c r="D47" t="s">
        <v>56</v>
      </c>
      <c r="E47" t="s">
        <v>60</v>
      </c>
      <c r="F47" t="s">
        <v>61</v>
      </c>
      <c r="G47" s="202">
        <v>1440</v>
      </c>
      <c r="H47">
        <v>2</v>
      </c>
      <c r="I47" t="s">
        <v>4002</v>
      </c>
      <c r="J47" t="s">
        <v>4692</v>
      </c>
      <c r="K47" t="s">
        <v>1283</v>
      </c>
      <c r="L47" s="204">
        <v>0.23</v>
      </c>
      <c r="M47" s="112">
        <v>109.58250000000001</v>
      </c>
      <c r="N47" s="112">
        <v>25.203975000000003</v>
      </c>
      <c r="O47" s="204"/>
      <c r="P47" s="112"/>
      <c r="Q47" s="112"/>
      <c r="R47" s="112"/>
      <c r="S47" s="112"/>
      <c r="T47" s="112"/>
      <c r="U47" t="s">
        <v>4008</v>
      </c>
      <c r="V47" t="s">
        <v>4696</v>
      </c>
      <c r="W47" t="s">
        <v>3958</v>
      </c>
      <c r="X47" t="s">
        <v>4660</v>
      </c>
    </row>
    <row r="48" spans="1:24" x14ac:dyDescent="0.2">
      <c r="A48" t="s">
        <v>4695</v>
      </c>
      <c r="B48" t="s">
        <v>59</v>
      </c>
      <c r="C48" t="s">
        <v>1332</v>
      </c>
      <c r="D48" t="s">
        <v>56</v>
      </c>
      <c r="E48" t="s">
        <v>60</v>
      </c>
      <c r="F48" t="s">
        <v>61</v>
      </c>
      <c r="G48" s="202">
        <v>1440</v>
      </c>
      <c r="H48">
        <v>3</v>
      </c>
      <c r="I48" t="s">
        <v>4693</v>
      </c>
      <c r="J48" t="s">
        <v>4694</v>
      </c>
      <c r="K48" t="s">
        <v>1283</v>
      </c>
      <c r="L48" s="204">
        <v>7.0000000000000007E-2</v>
      </c>
      <c r="M48" s="112">
        <v>109.58250000000001</v>
      </c>
      <c r="N48" s="112">
        <v>7.6707750000000017</v>
      </c>
      <c r="O48" s="204"/>
      <c r="P48" s="112"/>
      <c r="Q48" s="112"/>
      <c r="R48" s="112"/>
      <c r="S48" s="112"/>
      <c r="T48" s="112"/>
      <c r="U48" t="s">
        <v>4008</v>
      </c>
      <c r="V48" t="s">
        <v>4696</v>
      </c>
      <c r="W48" t="s">
        <v>3958</v>
      </c>
      <c r="X48" t="s">
        <v>4660</v>
      </c>
    </row>
    <row r="49" spans="1:24" x14ac:dyDescent="0.2">
      <c r="A49" t="s">
        <v>4695</v>
      </c>
      <c r="B49" t="s">
        <v>59</v>
      </c>
      <c r="C49" t="s">
        <v>1332</v>
      </c>
      <c r="D49" t="s">
        <v>56</v>
      </c>
      <c r="E49" t="s">
        <v>60</v>
      </c>
      <c r="F49" t="s">
        <v>61</v>
      </c>
      <c r="G49" s="202">
        <v>1440</v>
      </c>
      <c r="H49">
        <v>4</v>
      </c>
      <c r="I49" t="s">
        <v>3968</v>
      </c>
      <c r="J49" t="s">
        <v>3969</v>
      </c>
      <c r="K49" t="s">
        <v>61</v>
      </c>
      <c r="L49" s="204">
        <v>1</v>
      </c>
      <c r="M49" s="112"/>
      <c r="N49" s="112">
        <v>109.58250000000001</v>
      </c>
      <c r="O49" s="204">
        <v>0.22229826842789668</v>
      </c>
      <c r="P49" s="112">
        <v>24.359999999999985</v>
      </c>
      <c r="Q49" s="112">
        <v>133.9425</v>
      </c>
      <c r="R49" s="112">
        <v>192877.2</v>
      </c>
      <c r="S49" s="112">
        <v>192877.2</v>
      </c>
      <c r="T49" s="112">
        <v>0</v>
      </c>
      <c r="U49" t="s">
        <v>4008</v>
      </c>
      <c r="V49" t="s">
        <v>4696</v>
      </c>
      <c r="W49" t="s">
        <v>4666</v>
      </c>
      <c r="X49" t="s">
        <v>4667</v>
      </c>
    </row>
    <row r="50" spans="1:24" x14ac:dyDescent="0.2">
      <c r="A50" t="s">
        <v>4697</v>
      </c>
      <c r="B50" t="s">
        <v>62</v>
      </c>
      <c r="C50" t="s">
        <v>1333</v>
      </c>
      <c r="D50" t="s">
        <v>56</v>
      </c>
      <c r="E50" t="s">
        <v>1334</v>
      </c>
      <c r="F50" t="s">
        <v>58</v>
      </c>
      <c r="G50" s="202">
        <v>15</v>
      </c>
      <c r="H50">
        <v>1</v>
      </c>
      <c r="I50" t="s">
        <v>3954</v>
      </c>
      <c r="J50" t="s">
        <v>4690</v>
      </c>
      <c r="K50" t="s">
        <v>1283</v>
      </c>
      <c r="L50" s="204">
        <v>0.7</v>
      </c>
      <c r="M50" s="112">
        <v>6406.6875</v>
      </c>
      <c r="N50" s="112">
        <v>4484.6812499999996</v>
      </c>
      <c r="O50" s="204"/>
      <c r="P50" s="112"/>
      <c r="Q50" s="112"/>
      <c r="R50" s="112"/>
      <c r="S50" s="112"/>
      <c r="T50" s="112"/>
      <c r="U50" t="s">
        <v>4058</v>
      </c>
      <c r="V50" t="s">
        <v>4698</v>
      </c>
      <c r="W50" t="s">
        <v>3958</v>
      </c>
      <c r="X50" t="s">
        <v>4660</v>
      </c>
    </row>
    <row r="51" spans="1:24" x14ac:dyDescent="0.2">
      <c r="A51" t="s">
        <v>4697</v>
      </c>
      <c r="B51" t="s">
        <v>62</v>
      </c>
      <c r="C51" t="s">
        <v>1333</v>
      </c>
      <c r="D51" t="s">
        <v>56</v>
      </c>
      <c r="E51" t="s">
        <v>1334</v>
      </c>
      <c r="F51" t="s">
        <v>58</v>
      </c>
      <c r="G51" s="202">
        <v>15</v>
      </c>
      <c r="H51">
        <v>2</v>
      </c>
      <c r="I51" t="s">
        <v>4002</v>
      </c>
      <c r="J51" t="s">
        <v>4692</v>
      </c>
      <c r="K51" t="s">
        <v>1283</v>
      </c>
      <c r="L51" s="204">
        <v>0.23</v>
      </c>
      <c r="M51" s="112">
        <v>6406.6875</v>
      </c>
      <c r="N51" s="112">
        <v>1473.538125</v>
      </c>
      <c r="O51" s="204"/>
      <c r="P51" s="112"/>
      <c r="Q51" s="112"/>
      <c r="R51" s="112"/>
      <c r="S51" s="112"/>
      <c r="T51" s="112"/>
      <c r="U51" t="s">
        <v>4058</v>
      </c>
      <c r="V51" t="s">
        <v>4698</v>
      </c>
      <c r="W51" t="s">
        <v>3958</v>
      </c>
      <c r="X51" t="s">
        <v>4660</v>
      </c>
    </row>
    <row r="52" spans="1:24" x14ac:dyDescent="0.2">
      <c r="A52" t="s">
        <v>4697</v>
      </c>
      <c r="B52" t="s">
        <v>62</v>
      </c>
      <c r="C52" t="s">
        <v>1333</v>
      </c>
      <c r="D52" t="s">
        <v>56</v>
      </c>
      <c r="E52" t="s">
        <v>1334</v>
      </c>
      <c r="F52" t="s">
        <v>58</v>
      </c>
      <c r="G52" s="202">
        <v>15</v>
      </c>
      <c r="H52">
        <v>3</v>
      </c>
      <c r="I52" t="s">
        <v>4693</v>
      </c>
      <c r="J52" t="s">
        <v>4694</v>
      </c>
      <c r="K52" t="s">
        <v>1283</v>
      </c>
      <c r="L52" s="204">
        <v>7.0000000000000007E-2</v>
      </c>
      <c r="M52" s="112">
        <v>6406.6875</v>
      </c>
      <c r="N52" s="112">
        <v>448.46812500000004</v>
      </c>
      <c r="O52" s="204"/>
      <c r="P52" s="112"/>
      <c r="Q52" s="112"/>
      <c r="R52" s="112"/>
      <c r="S52" s="112"/>
      <c r="T52" s="112"/>
      <c r="U52" t="s">
        <v>4058</v>
      </c>
      <c r="V52" t="s">
        <v>4698</v>
      </c>
      <c r="W52" t="s">
        <v>3958</v>
      </c>
      <c r="X52" t="s">
        <v>4660</v>
      </c>
    </row>
    <row r="53" spans="1:24" x14ac:dyDescent="0.2">
      <c r="A53" t="s">
        <v>4697</v>
      </c>
      <c r="B53" t="s">
        <v>62</v>
      </c>
      <c r="C53" t="s">
        <v>1333</v>
      </c>
      <c r="D53" t="s">
        <v>56</v>
      </c>
      <c r="E53" t="s">
        <v>1334</v>
      </c>
      <c r="F53" t="s">
        <v>58</v>
      </c>
      <c r="G53" s="202">
        <v>15</v>
      </c>
      <c r="H53">
        <v>4</v>
      </c>
      <c r="I53" t="s">
        <v>3968</v>
      </c>
      <c r="J53" t="s">
        <v>3969</v>
      </c>
      <c r="K53" t="s">
        <v>58</v>
      </c>
      <c r="L53" s="204">
        <v>1</v>
      </c>
      <c r="M53" s="112"/>
      <c r="N53" s="112">
        <v>6406.6875</v>
      </c>
      <c r="O53" s="204">
        <v>0.22229966733979145</v>
      </c>
      <c r="P53" s="112">
        <v>1424.2045000000007</v>
      </c>
      <c r="Q53" s="112">
        <v>7830.8920000000007</v>
      </c>
      <c r="R53" s="112">
        <v>117463.38</v>
      </c>
      <c r="S53" s="112">
        <v>117463.38</v>
      </c>
      <c r="T53" s="112">
        <v>0</v>
      </c>
      <c r="U53" t="s">
        <v>4058</v>
      </c>
      <c r="V53" t="s">
        <v>4698</v>
      </c>
      <c r="W53" t="s">
        <v>4666</v>
      </c>
      <c r="X53" t="s">
        <v>4667</v>
      </c>
    </row>
    <row r="54" spans="1:24" x14ac:dyDescent="0.2">
      <c r="A54" t="s">
        <v>4699</v>
      </c>
      <c r="B54" t="s">
        <v>64</v>
      </c>
      <c r="C54" t="s">
        <v>1335</v>
      </c>
      <c r="D54" t="s">
        <v>56</v>
      </c>
      <c r="E54" t="s">
        <v>1336</v>
      </c>
      <c r="F54" t="s">
        <v>61</v>
      </c>
      <c r="G54" s="202">
        <v>600</v>
      </c>
      <c r="H54">
        <v>1</v>
      </c>
      <c r="I54" t="s">
        <v>3954</v>
      </c>
      <c r="J54" t="s">
        <v>4690</v>
      </c>
      <c r="K54" t="s">
        <v>1283</v>
      </c>
      <c r="L54" s="204">
        <v>0.7</v>
      </c>
      <c r="M54" s="112">
        <v>42.412499999999994</v>
      </c>
      <c r="N54" s="112">
        <v>29.688749999999995</v>
      </c>
      <c r="O54" s="204"/>
      <c r="P54" s="112"/>
      <c r="Q54" s="112"/>
      <c r="R54" s="112"/>
      <c r="S54" s="112"/>
      <c r="T54" s="112"/>
      <c r="U54" t="s">
        <v>4304</v>
      </c>
      <c r="V54" t="s">
        <v>4700</v>
      </c>
      <c r="W54" t="s">
        <v>3958</v>
      </c>
      <c r="X54" t="s">
        <v>4660</v>
      </c>
    </row>
    <row r="55" spans="1:24" x14ac:dyDescent="0.2">
      <c r="A55" t="s">
        <v>4699</v>
      </c>
      <c r="B55" t="s">
        <v>64</v>
      </c>
      <c r="C55" t="s">
        <v>1335</v>
      </c>
      <c r="D55" t="s">
        <v>56</v>
      </c>
      <c r="E55" t="s">
        <v>1336</v>
      </c>
      <c r="F55" t="s">
        <v>61</v>
      </c>
      <c r="G55" s="202">
        <v>600</v>
      </c>
      <c r="H55">
        <v>2</v>
      </c>
      <c r="I55" t="s">
        <v>4002</v>
      </c>
      <c r="J55" t="s">
        <v>4692</v>
      </c>
      <c r="K55" t="s">
        <v>1283</v>
      </c>
      <c r="L55" s="204">
        <v>0.23</v>
      </c>
      <c r="M55" s="112">
        <v>42.412499999999994</v>
      </c>
      <c r="N55" s="112">
        <v>9.7548749999999984</v>
      </c>
      <c r="O55" s="204"/>
      <c r="P55" s="112"/>
      <c r="Q55" s="112"/>
      <c r="R55" s="112"/>
      <c r="S55" s="112"/>
      <c r="T55" s="112"/>
      <c r="U55" t="s">
        <v>4304</v>
      </c>
      <c r="V55" t="s">
        <v>4700</v>
      </c>
      <c r="W55" t="s">
        <v>3958</v>
      </c>
      <c r="X55" t="s">
        <v>4660</v>
      </c>
    </row>
    <row r="56" spans="1:24" x14ac:dyDescent="0.2">
      <c r="A56" t="s">
        <v>4699</v>
      </c>
      <c r="B56" t="s">
        <v>64</v>
      </c>
      <c r="C56" t="s">
        <v>1335</v>
      </c>
      <c r="D56" t="s">
        <v>56</v>
      </c>
      <c r="E56" t="s">
        <v>1336</v>
      </c>
      <c r="F56" t="s">
        <v>61</v>
      </c>
      <c r="G56" s="202">
        <v>600</v>
      </c>
      <c r="H56">
        <v>3</v>
      </c>
      <c r="I56" t="s">
        <v>4693</v>
      </c>
      <c r="J56" t="s">
        <v>4694</v>
      </c>
      <c r="K56" t="s">
        <v>1283</v>
      </c>
      <c r="L56" s="204">
        <v>7.0000000000000007E-2</v>
      </c>
      <c r="M56" s="112">
        <v>42.412499999999994</v>
      </c>
      <c r="N56" s="112">
        <v>2.9688749999999997</v>
      </c>
      <c r="O56" s="204"/>
      <c r="P56" s="112"/>
      <c r="Q56" s="112"/>
      <c r="R56" s="112"/>
      <c r="S56" s="112"/>
      <c r="T56" s="112"/>
      <c r="U56" t="s">
        <v>4304</v>
      </c>
      <c r="V56" t="s">
        <v>4700</v>
      </c>
      <c r="W56" t="s">
        <v>3958</v>
      </c>
      <c r="X56" t="s">
        <v>4660</v>
      </c>
    </row>
    <row r="57" spans="1:24" x14ac:dyDescent="0.2">
      <c r="A57" t="s">
        <v>4699</v>
      </c>
      <c r="B57" t="s">
        <v>64</v>
      </c>
      <c r="C57" t="s">
        <v>1335</v>
      </c>
      <c r="D57" t="s">
        <v>56</v>
      </c>
      <c r="E57" t="s">
        <v>1336</v>
      </c>
      <c r="F57" t="s">
        <v>61</v>
      </c>
      <c r="G57" s="202">
        <v>600</v>
      </c>
      <c r="H57">
        <v>4</v>
      </c>
      <c r="I57" t="s">
        <v>3968</v>
      </c>
      <c r="J57" t="s">
        <v>3969</v>
      </c>
      <c r="K57" t="s">
        <v>61</v>
      </c>
      <c r="L57" s="204">
        <v>1</v>
      </c>
      <c r="M57" s="112"/>
      <c r="N57" s="112">
        <v>42.412499999999994</v>
      </c>
      <c r="O57" s="204">
        <v>0.22228116710875345</v>
      </c>
      <c r="P57" s="112">
        <v>9.4275000000000091</v>
      </c>
      <c r="Q57" s="112">
        <v>51.84</v>
      </c>
      <c r="R57" s="112">
        <v>31104</v>
      </c>
      <c r="S57" s="112">
        <v>31104</v>
      </c>
      <c r="T57" s="112">
        <v>0</v>
      </c>
      <c r="U57" t="s">
        <v>4304</v>
      </c>
      <c r="V57" t="s">
        <v>4700</v>
      </c>
      <c r="W57" t="s">
        <v>4666</v>
      </c>
      <c r="X57" t="s">
        <v>4667</v>
      </c>
    </row>
    <row r="58" spans="1:24" x14ac:dyDescent="0.2">
      <c r="A58" t="s">
        <v>4701</v>
      </c>
      <c r="B58" t="s">
        <v>66</v>
      </c>
      <c r="C58" t="s">
        <v>1337</v>
      </c>
      <c r="D58" t="s">
        <v>24</v>
      </c>
      <c r="E58" t="s">
        <v>68</v>
      </c>
      <c r="F58" t="s">
        <v>58</v>
      </c>
      <c r="G58" s="202">
        <v>15</v>
      </c>
      <c r="H58">
        <v>1</v>
      </c>
      <c r="I58" t="s">
        <v>3954</v>
      </c>
      <c r="J58" t="s">
        <v>4690</v>
      </c>
      <c r="K58" t="s">
        <v>1283</v>
      </c>
      <c r="L58" s="204">
        <v>0.7</v>
      </c>
      <c r="M58" s="112">
        <v>10762.275000000001</v>
      </c>
      <c r="N58" s="112">
        <v>7533.5925000000007</v>
      </c>
      <c r="O58" s="204"/>
      <c r="P58" s="112"/>
      <c r="Q58" s="112"/>
      <c r="R58" s="112"/>
      <c r="S58" s="112"/>
      <c r="T58" s="112"/>
      <c r="U58" t="s">
        <v>4702</v>
      </c>
      <c r="V58" t="s">
        <v>4703</v>
      </c>
      <c r="W58" t="s">
        <v>3958</v>
      </c>
      <c r="X58" t="s">
        <v>4660</v>
      </c>
    </row>
    <row r="59" spans="1:24" x14ac:dyDescent="0.2">
      <c r="A59" t="s">
        <v>4701</v>
      </c>
      <c r="B59" t="s">
        <v>66</v>
      </c>
      <c r="C59" t="s">
        <v>1337</v>
      </c>
      <c r="D59" t="s">
        <v>24</v>
      </c>
      <c r="E59" t="s">
        <v>68</v>
      </c>
      <c r="F59" t="s">
        <v>58</v>
      </c>
      <c r="G59" s="202">
        <v>15</v>
      </c>
      <c r="H59">
        <v>2</v>
      </c>
      <c r="I59" t="s">
        <v>4002</v>
      </c>
      <c r="J59" t="s">
        <v>4692</v>
      </c>
      <c r="K59" t="s">
        <v>1283</v>
      </c>
      <c r="L59" s="204">
        <v>0.23</v>
      </c>
      <c r="M59" s="112">
        <v>10762.275000000001</v>
      </c>
      <c r="N59" s="112">
        <v>2475.3232500000004</v>
      </c>
      <c r="O59" s="204"/>
      <c r="P59" s="112"/>
      <c r="Q59" s="112"/>
      <c r="R59" s="112"/>
      <c r="S59" s="112"/>
      <c r="T59" s="112"/>
      <c r="U59" t="s">
        <v>4702</v>
      </c>
      <c r="V59" t="s">
        <v>4703</v>
      </c>
      <c r="W59" t="s">
        <v>3958</v>
      </c>
      <c r="X59" t="s">
        <v>4660</v>
      </c>
    </row>
    <row r="60" spans="1:24" x14ac:dyDescent="0.2">
      <c r="A60" t="s">
        <v>4701</v>
      </c>
      <c r="B60" t="s">
        <v>66</v>
      </c>
      <c r="C60" t="s">
        <v>1337</v>
      </c>
      <c r="D60" t="s">
        <v>24</v>
      </c>
      <c r="E60" t="s">
        <v>68</v>
      </c>
      <c r="F60" t="s">
        <v>58</v>
      </c>
      <c r="G60" s="202">
        <v>15</v>
      </c>
      <c r="H60">
        <v>3</v>
      </c>
      <c r="I60" t="s">
        <v>4693</v>
      </c>
      <c r="J60" t="s">
        <v>4694</v>
      </c>
      <c r="K60" t="s">
        <v>1283</v>
      </c>
      <c r="L60" s="204">
        <v>7.0000000000000007E-2</v>
      </c>
      <c r="M60" s="112">
        <v>10762.275000000001</v>
      </c>
      <c r="N60" s="112">
        <v>753.3592500000002</v>
      </c>
      <c r="O60" s="204"/>
      <c r="P60" s="112"/>
      <c r="Q60" s="112"/>
      <c r="R60" s="112"/>
      <c r="S60" s="112"/>
      <c r="T60" s="112"/>
      <c r="U60" t="s">
        <v>4702</v>
      </c>
      <c r="V60" t="s">
        <v>4703</v>
      </c>
      <c r="W60" t="s">
        <v>3958</v>
      </c>
      <c r="X60" t="s">
        <v>4660</v>
      </c>
    </row>
    <row r="61" spans="1:24" x14ac:dyDescent="0.2">
      <c r="A61" t="s">
        <v>4701</v>
      </c>
      <c r="B61" t="s">
        <v>66</v>
      </c>
      <c r="C61" t="s">
        <v>1337</v>
      </c>
      <c r="D61" t="s">
        <v>24</v>
      </c>
      <c r="E61" t="s">
        <v>68</v>
      </c>
      <c r="F61" t="s">
        <v>58</v>
      </c>
      <c r="G61" s="202">
        <v>15</v>
      </c>
      <c r="H61">
        <v>4</v>
      </c>
      <c r="I61" t="s">
        <v>3968</v>
      </c>
      <c r="J61" t="s">
        <v>3969</v>
      </c>
      <c r="K61" t="s">
        <v>58</v>
      </c>
      <c r="L61" s="204">
        <v>1</v>
      </c>
      <c r="M61" s="112"/>
      <c r="N61" s="112">
        <v>10762.275000000001</v>
      </c>
      <c r="O61" s="204">
        <v>0.22229937443523773</v>
      </c>
      <c r="P61" s="112">
        <v>2392.4469999999983</v>
      </c>
      <c r="Q61" s="112">
        <v>13154.722</v>
      </c>
      <c r="R61" s="112">
        <v>197320.83</v>
      </c>
      <c r="S61" s="112">
        <v>197320.83</v>
      </c>
      <c r="T61" s="112">
        <v>0</v>
      </c>
      <c r="U61" t="s">
        <v>4702</v>
      </c>
      <c r="V61" t="s">
        <v>4703</v>
      </c>
      <c r="W61" t="s">
        <v>4666</v>
      </c>
      <c r="X61" t="s">
        <v>4667</v>
      </c>
    </row>
    <row r="62" spans="1:24" x14ac:dyDescent="0.2">
      <c r="A62" t="s">
        <v>4704</v>
      </c>
      <c r="B62" t="s">
        <v>69</v>
      </c>
      <c r="C62" t="s">
        <v>1338</v>
      </c>
      <c r="D62" t="s">
        <v>24</v>
      </c>
      <c r="E62" t="s">
        <v>1339</v>
      </c>
      <c r="F62" t="s">
        <v>72</v>
      </c>
      <c r="G62" s="202">
        <v>427.22754989999999</v>
      </c>
      <c r="H62">
        <v>1</v>
      </c>
      <c r="I62" t="s">
        <v>4705</v>
      </c>
      <c r="J62" t="s">
        <v>4706</v>
      </c>
      <c r="K62" t="s">
        <v>1283</v>
      </c>
      <c r="L62" s="204">
        <v>0.65</v>
      </c>
      <c r="M62" s="112">
        <v>27.262500000000003</v>
      </c>
      <c r="N62" s="112">
        <v>17.720625000000002</v>
      </c>
      <c r="O62" s="204"/>
      <c r="P62" s="112"/>
      <c r="Q62" s="112"/>
      <c r="R62" s="112"/>
      <c r="S62" s="112"/>
      <c r="T62" s="112"/>
      <c r="U62" t="s">
        <v>4707</v>
      </c>
      <c r="V62" t="s">
        <v>4708</v>
      </c>
      <c r="W62" t="s">
        <v>3958</v>
      </c>
      <c r="X62" t="s">
        <v>4660</v>
      </c>
    </row>
    <row r="63" spans="1:24" x14ac:dyDescent="0.2">
      <c r="A63" t="s">
        <v>4704</v>
      </c>
      <c r="B63" t="s">
        <v>69</v>
      </c>
      <c r="C63" t="s">
        <v>1338</v>
      </c>
      <c r="D63" t="s">
        <v>24</v>
      </c>
      <c r="E63" t="s">
        <v>1339</v>
      </c>
      <c r="F63" t="s">
        <v>72</v>
      </c>
      <c r="G63" s="202">
        <v>427.22754989999999</v>
      </c>
      <c r="H63">
        <v>2</v>
      </c>
      <c r="I63" t="s">
        <v>4709</v>
      </c>
      <c r="J63" t="s">
        <v>4710</v>
      </c>
      <c r="K63" t="s">
        <v>1283</v>
      </c>
      <c r="L63" s="204">
        <v>0.2</v>
      </c>
      <c r="M63" s="112">
        <v>27.262500000000003</v>
      </c>
      <c r="N63" s="112">
        <v>5.4525000000000006</v>
      </c>
      <c r="O63" s="204"/>
      <c r="P63" s="112"/>
      <c r="Q63" s="112"/>
      <c r="R63" s="112"/>
      <c r="S63" s="112"/>
      <c r="T63" s="112"/>
      <c r="U63" t="s">
        <v>4707</v>
      </c>
      <c r="V63" t="s">
        <v>4708</v>
      </c>
      <c r="W63" t="s">
        <v>3958</v>
      </c>
      <c r="X63" t="s">
        <v>4660</v>
      </c>
    </row>
    <row r="64" spans="1:24" x14ac:dyDescent="0.2">
      <c r="A64" t="s">
        <v>4704</v>
      </c>
      <c r="B64" t="s">
        <v>69</v>
      </c>
      <c r="C64" t="s">
        <v>1338</v>
      </c>
      <c r="D64" t="s">
        <v>24</v>
      </c>
      <c r="E64" t="s">
        <v>1339</v>
      </c>
      <c r="F64" t="s">
        <v>72</v>
      </c>
      <c r="G64" s="202">
        <v>427.22754989999999</v>
      </c>
      <c r="H64">
        <v>3</v>
      </c>
      <c r="I64" t="s">
        <v>4091</v>
      </c>
      <c r="J64" t="s">
        <v>4711</v>
      </c>
      <c r="K64" t="s">
        <v>1283</v>
      </c>
      <c r="L64" s="204">
        <v>0.1</v>
      </c>
      <c r="M64" s="112">
        <v>27.262500000000003</v>
      </c>
      <c r="N64" s="112">
        <v>2.7262500000000003</v>
      </c>
      <c r="O64" s="204"/>
      <c r="P64" s="112"/>
      <c r="Q64" s="112"/>
      <c r="R64" s="112"/>
      <c r="S64" s="112"/>
      <c r="T64" s="112"/>
      <c r="U64" t="s">
        <v>4707</v>
      </c>
      <c r="V64" t="s">
        <v>4708</v>
      </c>
      <c r="W64" t="s">
        <v>3958</v>
      </c>
      <c r="X64" t="s">
        <v>4660</v>
      </c>
    </row>
    <row r="65" spans="1:24" x14ac:dyDescent="0.2">
      <c r="A65" t="s">
        <v>4704</v>
      </c>
      <c r="B65" t="s">
        <v>69</v>
      </c>
      <c r="C65" t="s">
        <v>1338</v>
      </c>
      <c r="D65" t="s">
        <v>24</v>
      </c>
      <c r="E65" t="s">
        <v>1339</v>
      </c>
      <c r="F65" t="s">
        <v>72</v>
      </c>
      <c r="G65" s="202">
        <v>427.22754989999999</v>
      </c>
      <c r="H65">
        <v>4</v>
      </c>
      <c r="I65" t="s">
        <v>4712</v>
      </c>
      <c r="J65" t="s">
        <v>4713</v>
      </c>
      <c r="K65" t="s">
        <v>1283</v>
      </c>
      <c r="L65" s="204">
        <v>0.05</v>
      </c>
      <c r="M65" s="112">
        <v>27.262500000000003</v>
      </c>
      <c r="N65" s="112">
        <v>1.3631250000000001</v>
      </c>
      <c r="O65" s="204"/>
      <c r="P65" s="112"/>
      <c r="Q65" s="112"/>
      <c r="R65" s="112"/>
      <c r="S65" s="112"/>
      <c r="T65" s="112"/>
      <c r="U65" t="s">
        <v>4707</v>
      </c>
      <c r="V65" t="s">
        <v>4708</v>
      </c>
      <c r="W65" t="s">
        <v>3958</v>
      </c>
      <c r="X65" t="s">
        <v>4660</v>
      </c>
    </row>
    <row r="66" spans="1:24" x14ac:dyDescent="0.2">
      <c r="A66" t="s">
        <v>4704</v>
      </c>
      <c r="B66" t="s">
        <v>69</v>
      </c>
      <c r="C66" t="s">
        <v>1338</v>
      </c>
      <c r="D66" t="s">
        <v>24</v>
      </c>
      <c r="E66" t="s">
        <v>1339</v>
      </c>
      <c r="F66" t="s">
        <v>72</v>
      </c>
      <c r="G66" s="202">
        <v>427.22754989999999</v>
      </c>
      <c r="H66">
        <v>5</v>
      </c>
      <c r="I66" t="s">
        <v>3968</v>
      </c>
      <c r="J66" t="s">
        <v>3969</v>
      </c>
      <c r="K66" t="s">
        <v>72</v>
      </c>
      <c r="L66" s="204">
        <v>1</v>
      </c>
      <c r="M66" s="112"/>
      <c r="N66" s="112">
        <v>27.262500000000003</v>
      </c>
      <c r="O66" s="204">
        <v>0.22228335355043494</v>
      </c>
      <c r="P66" s="112">
        <v>6.0599999261687358</v>
      </c>
      <c r="Q66" s="112">
        <v>33.322499926168739</v>
      </c>
      <c r="R66" s="112">
        <v>14236.29</v>
      </c>
      <c r="S66" s="112">
        <v>14236.29</v>
      </c>
      <c r="T66" s="112">
        <v>0</v>
      </c>
      <c r="U66" t="s">
        <v>4707</v>
      </c>
      <c r="V66" t="s">
        <v>4708</v>
      </c>
      <c r="W66" t="s">
        <v>4666</v>
      </c>
      <c r="X66" t="s">
        <v>4667</v>
      </c>
    </row>
    <row r="67" spans="1:24" x14ac:dyDescent="0.2">
      <c r="A67" t="s">
        <v>4714</v>
      </c>
      <c r="B67" t="s">
        <v>75</v>
      </c>
      <c r="C67" t="s">
        <v>1340</v>
      </c>
      <c r="D67" t="s">
        <v>24</v>
      </c>
      <c r="E67" t="s">
        <v>77</v>
      </c>
      <c r="F67" t="s">
        <v>26</v>
      </c>
      <c r="G67" s="202">
        <v>459.399</v>
      </c>
      <c r="H67">
        <v>1</v>
      </c>
      <c r="I67" t="s">
        <v>3954</v>
      </c>
      <c r="J67" t="s">
        <v>4715</v>
      </c>
      <c r="K67" t="s">
        <v>1283</v>
      </c>
      <c r="L67" s="204">
        <v>0.42</v>
      </c>
      <c r="M67" s="112">
        <v>33.547499999999999</v>
      </c>
      <c r="N67" s="112">
        <v>14.08995</v>
      </c>
      <c r="O67" s="204"/>
      <c r="P67" s="112"/>
      <c r="Q67" s="112"/>
      <c r="R67" s="112"/>
      <c r="S67" s="112"/>
      <c r="T67" s="112"/>
      <c r="U67" t="s">
        <v>4716</v>
      </c>
      <c r="V67" t="s">
        <v>4717</v>
      </c>
      <c r="W67" t="s">
        <v>3958</v>
      </c>
      <c r="X67" t="s">
        <v>4660</v>
      </c>
    </row>
    <row r="68" spans="1:24" x14ac:dyDescent="0.2">
      <c r="A68" t="s">
        <v>4714</v>
      </c>
      <c r="B68" t="s">
        <v>75</v>
      </c>
      <c r="C68" t="s">
        <v>1340</v>
      </c>
      <c r="D68" t="s">
        <v>24</v>
      </c>
      <c r="E68" t="s">
        <v>77</v>
      </c>
      <c r="F68" t="s">
        <v>26</v>
      </c>
      <c r="G68" s="202">
        <v>459.399</v>
      </c>
      <c r="H68">
        <v>2</v>
      </c>
      <c r="I68" t="s">
        <v>3960</v>
      </c>
      <c r="J68" t="s">
        <v>4718</v>
      </c>
      <c r="K68" t="s">
        <v>1283</v>
      </c>
      <c r="L68" s="204">
        <v>0.4</v>
      </c>
      <c r="M68" s="112">
        <v>33.547499999999999</v>
      </c>
      <c r="N68" s="112">
        <v>13.419</v>
      </c>
      <c r="O68" s="204"/>
      <c r="P68" s="112"/>
      <c r="Q68" s="112"/>
      <c r="R68" s="112"/>
      <c r="S68" s="112"/>
      <c r="T68" s="112"/>
      <c r="U68" t="s">
        <v>4716</v>
      </c>
      <c r="V68" t="s">
        <v>4717</v>
      </c>
      <c r="W68" t="s">
        <v>3958</v>
      </c>
      <c r="X68" t="s">
        <v>4660</v>
      </c>
    </row>
    <row r="69" spans="1:24" x14ac:dyDescent="0.2">
      <c r="A69" t="s">
        <v>4714</v>
      </c>
      <c r="B69" t="s">
        <v>75</v>
      </c>
      <c r="C69" t="s">
        <v>1340</v>
      </c>
      <c r="D69" t="s">
        <v>24</v>
      </c>
      <c r="E69" t="s">
        <v>77</v>
      </c>
      <c r="F69" t="s">
        <v>26</v>
      </c>
      <c r="G69" s="202">
        <v>459.399</v>
      </c>
      <c r="H69">
        <v>3</v>
      </c>
      <c r="I69" t="s">
        <v>3976</v>
      </c>
      <c r="J69" t="s">
        <v>4719</v>
      </c>
      <c r="K69" t="s">
        <v>1283</v>
      </c>
      <c r="L69" s="204">
        <v>0.12</v>
      </c>
      <c r="M69" s="112">
        <v>33.547499999999999</v>
      </c>
      <c r="N69" s="112">
        <v>4.0256999999999996</v>
      </c>
      <c r="O69" s="204"/>
      <c r="P69" s="112"/>
      <c r="Q69" s="112"/>
      <c r="R69" s="112"/>
      <c r="S69" s="112"/>
      <c r="T69" s="112"/>
      <c r="U69" t="s">
        <v>4716</v>
      </c>
      <c r="V69" t="s">
        <v>4717</v>
      </c>
      <c r="W69" t="s">
        <v>3958</v>
      </c>
      <c r="X69" t="s">
        <v>4660</v>
      </c>
    </row>
    <row r="70" spans="1:24" x14ac:dyDescent="0.2">
      <c r="A70" t="s">
        <v>4714</v>
      </c>
      <c r="B70" t="s">
        <v>75</v>
      </c>
      <c r="C70" t="s">
        <v>1340</v>
      </c>
      <c r="D70" t="s">
        <v>24</v>
      </c>
      <c r="E70" t="s">
        <v>77</v>
      </c>
      <c r="F70" t="s">
        <v>26</v>
      </c>
      <c r="G70" s="202">
        <v>459.399</v>
      </c>
      <c r="H70">
        <v>4</v>
      </c>
      <c r="I70" t="s">
        <v>4017</v>
      </c>
      <c r="J70" t="s">
        <v>4720</v>
      </c>
      <c r="K70" t="s">
        <v>1283</v>
      </c>
      <c r="L70" s="204">
        <v>0.06</v>
      </c>
      <c r="M70" s="112">
        <v>33.547499999999999</v>
      </c>
      <c r="N70" s="112">
        <v>2.0128499999999998</v>
      </c>
      <c r="O70" s="204"/>
      <c r="P70" s="112"/>
      <c r="Q70" s="112"/>
      <c r="R70" s="112"/>
      <c r="S70" s="112"/>
      <c r="T70" s="112"/>
      <c r="U70" t="s">
        <v>4716</v>
      </c>
      <c r="V70" t="s">
        <v>4717</v>
      </c>
      <c r="W70" t="s">
        <v>3958</v>
      </c>
      <c r="X70" t="s">
        <v>4660</v>
      </c>
    </row>
    <row r="71" spans="1:24" x14ac:dyDescent="0.2">
      <c r="A71" t="s">
        <v>4714</v>
      </c>
      <c r="B71" t="s">
        <v>75</v>
      </c>
      <c r="C71" t="s">
        <v>1340</v>
      </c>
      <c r="D71" t="s">
        <v>24</v>
      </c>
      <c r="E71" t="s">
        <v>77</v>
      </c>
      <c r="F71" t="s">
        <v>26</v>
      </c>
      <c r="G71" s="202">
        <v>459.399</v>
      </c>
      <c r="H71">
        <v>5</v>
      </c>
      <c r="I71" t="s">
        <v>3968</v>
      </c>
      <c r="J71" t="s">
        <v>3969</v>
      </c>
      <c r="K71" t="s">
        <v>26</v>
      </c>
      <c r="L71" s="204">
        <v>1</v>
      </c>
      <c r="M71" s="112"/>
      <c r="N71" s="112">
        <v>33.547499999999999</v>
      </c>
      <c r="O71" s="204">
        <v>0.22222173574079185</v>
      </c>
      <c r="P71" s="112">
        <v>7.4549836797642115</v>
      </c>
      <c r="Q71" s="112">
        <v>41.002483679764211</v>
      </c>
      <c r="R71" s="112">
        <v>18836.5</v>
      </c>
      <c r="S71" s="112">
        <v>18836.5</v>
      </c>
      <c r="T71" s="112">
        <v>0</v>
      </c>
      <c r="U71" t="s">
        <v>4716</v>
      </c>
      <c r="V71" t="s">
        <v>4717</v>
      </c>
      <c r="W71" t="s">
        <v>4666</v>
      </c>
      <c r="X71" t="s">
        <v>4667</v>
      </c>
    </row>
    <row r="72" spans="1:24" x14ac:dyDescent="0.2">
      <c r="A72" t="s">
        <v>4721</v>
      </c>
      <c r="B72" t="s">
        <v>78</v>
      </c>
      <c r="C72" t="s">
        <v>1341</v>
      </c>
      <c r="D72" t="s">
        <v>24</v>
      </c>
      <c r="E72" t="s">
        <v>80</v>
      </c>
      <c r="F72" t="s">
        <v>26</v>
      </c>
      <c r="G72" s="202">
        <v>42.530999999999999</v>
      </c>
      <c r="H72">
        <v>1</v>
      </c>
      <c r="I72" t="s">
        <v>3954</v>
      </c>
      <c r="J72" t="s">
        <v>4715</v>
      </c>
      <c r="K72" t="s">
        <v>1283</v>
      </c>
      <c r="L72" s="204">
        <v>0.42</v>
      </c>
      <c r="M72" s="112">
        <v>428.0625</v>
      </c>
      <c r="N72" s="112">
        <v>179.78625</v>
      </c>
      <c r="O72" s="204"/>
      <c r="P72" s="112"/>
      <c r="Q72" s="112"/>
      <c r="R72" s="112"/>
      <c r="S72" s="112"/>
      <c r="T72" s="112"/>
      <c r="U72" t="s">
        <v>4722</v>
      </c>
      <c r="V72" t="s">
        <v>4723</v>
      </c>
      <c r="W72" t="s">
        <v>3958</v>
      </c>
      <c r="X72" t="s">
        <v>4660</v>
      </c>
    </row>
    <row r="73" spans="1:24" x14ac:dyDescent="0.2">
      <c r="A73" t="s">
        <v>4721</v>
      </c>
      <c r="B73" t="s">
        <v>78</v>
      </c>
      <c r="C73" t="s">
        <v>1341</v>
      </c>
      <c r="D73" t="s">
        <v>24</v>
      </c>
      <c r="E73" t="s">
        <v>80</v>
      </c>
      <c r="F73" t="s">
        <v>26</v>
      </c>
      <c r="G73" s="202">
        <v>42.530999999999999</v>
      </c>
      <c r="H73">
        <v>2</v>
      </c>
      <c r="I73" t="s">
        <v>3960</v>
      </c>
      <c r="J73" t="s">
        <v>4718</v>
      </c>
      <c r="K73" t="s">
        <v>1283</v>
      </c>
      <c r="L73" s="204">
        <v>0.4</v>
      </c>
      <c r="M73" s="112">
        <v>428.0625</v>
      </c>
      <c r="N73" s="112">
        <v>171.22500000000002</v>
      </c>
      <c r="O73" s="204"/>
      <c r="P73" s="112"/>
      <c r="Q73" s="112"/>
      <c r="R73" s="112"/>
      <c r="S73" s="112"/>
      <c r="T73" s="112"/>
      <c r="U73" t="s">
        <v>4722</v>
      </c>
      <c r="V73" t="s">
        <v>4723</v>
      </c>
      <c r="W73" t="s">
        <v>3958</v>
      </c>
      <c r="X73" t="s">
        <v>4660</v>
      </c>
    </row>
    <row r="74" spans="1:24" x14ac:dyDescent="0.2">
      <c r="A74" t="s">
        <v>4721</v>
      </c>
      <c r="B74" t="s">
        <v>78</v>
      </c>
      <c r="C74" t="s">
        <v>1341</v>
      </c>
      <c r="D74" t="s">
        <v>24</v>
      </c>
      <c r="E74" t="s">
        <v>80</v>
      </c>
      <c r="F74" t="s">
        <v>26</v>
      </c>
      <c r="G74" s="202">
        <v>42.530999999999999</v>
      </c>
      <c r="H74">
        <v>3</v>
      </c>
      <c r="I74" t="s">
        <v>3976</v>
      </c>
      <c r="J74" t="s">
        <v>4719</v>
      </c>
      <c r="K74" t="s">
        <v>1283</v>
      </c>
      <c r="L74" s="204">
        <v>0.12</v>
      </c>
      <c r="M74" s="112">
        <v>428.0625</v>
      </c>
      <c r="N74" s="112">
        <v>51.3675</v>
      </c>
      <c r="O74" s="204"/>
      <c r="P74" s="112"/>
      <c r="Q74" s="112"/>
      <c r="R74" s="112"/>
      <c r="S74" s="112"/>
      <c r="T74" s="112"/>
      <c r="U74" t="s">
        <v>4722</v>
      </c>
      <c r="V74" t="s">
        <v>4723</v>
      </c>
      <c r="W74" t="s">
        <v>3958</v>
      </c>
      <c r="X74" t="s">
        <v>4660</v>
      </c>
    </row>
    <row r="75" spans="1:24" x14ac:dyDescent="0.2">
      <c r="A75" t="s">
        <v>4721</v>
      </c>
      <c r="B75" t="s">
        <v>78</v>
      </c>
      <c r="C75" t="s">
        <v>1341</v>
      </c>
      <c r="D75" t="s">
        <v>24</v>
      </c>
      <c r="E75" t="s">
        <v>80</v>
      </c>
      <c r="F75" t="s">
        <v>26</v>
      </c>
      <c r="G75" s="202">
        <v>42.530999999999999</v>
      </c>
      <c r="H75">
        <v>4</v>
      </c>
      <c r="I75" t="s">
        <v>4017</v>
      </c>
      <c r="J75" t="s">
        <v>4720</v>
      </c>
      <c r="K75" t="s">
        <v>1283</v>
      </c>
      <c r="L75" s="204">
        <v>0.06</v>
      </c>
      <c r="M75" s="112">
        <v>428.0625</v>
      </c>
      <c r="N75" s="112">
        <v>25.68375</v>
      </c>
      <c r="O75" s="204"/>
      <c r="P75" s="112"/>
      <c r="Q75" s="112"/>
      <c r="R75" s="112"/>
      <c r="S75" s="112"/>
      <c r="T75" s="112"/>
      <c r="U75" t="s">
        <v>4722</v>
      </c>
      <c r="V75" t="s">
        <v>4723</v>
      </c>
      <c r="W75" t="s">
        <v>3958</v>
      </c>
      <c r="X75" t="s">
        <v>4660</v>
      </c>
    </row>
    <row r="76" spans="1:24" x14ac:dyDescent="0.2">
      <c r="A76" t="s">
        <v>4721</v>
      </c>
      <c r="B76" t="s">
        <v>78</v>
      </c>
      <c r="C76" t="s">
        <v>1341</v>
      </c>
      <c r="D76" t="s">
        <v>24</v>
      </c>
      <c r="E76" t="s">
        <v>80</v>
      </c>
      <c r="F76" t="s">
        <v>26</v>
      </c>
      <c r="G76" s="202">
        <v>42.530999999999999</v>
      </c>
      <c r="H76">
        <v>5</v>
      </c>
      <c r="I76" t="s">
        <v>3968</v>
      </c>
      <c r="J76" t="s">
        <v>3969</v>
      </c>
      <c r="K76" t="s">
        <v>26</v>
      </c>
      <c r="L76" s="204">
        <v>1</v>
      </c>
      <c r="M76" s="112"/>
      <c r="N76" s="112">
        <v>428.0625</v>
      </c>
      <c r="O76" s="204">
        <v>0.22228607162422609</v>
      </c>
      <c r="P76" s="112">
        <v>95.152331534645327</v>
      </c>
      <c r="Q76" s="112">
        <v>523.21483153464533</v>
      </c>
      <c r="R76" s="112">
        <v>22252.85</v>
      </c>
      <c r="S76" s="112">
        <v>22252.85</v>
      </c>
      <c r="T76" s="112">
        <v>0</v>
      </c>
      <c r="U76" t="s">
        <v>4722</v>
      </c>
      <c r="V76" t="s">
        <v>4723</v>
      </c>
      <c r="W76" t="s">
        <v>4666</v>
      </c>
      <c r="X76" t="s">
        <v>4667</v>
      </c>
    </row>
    <row r="77" spans="1:24" x14ac:dyDescent="0.2">
      <c r="A77" t="s">
        <v>4724</v>
      </c>
      <c r="B77" t="s">
        <v>81</v>
      </c>
      <c r="C77" t="s">
        <v>1342</v>
      </c>
      <c r="D77" t="s">
        <v>24</v>
      </c>
      <c r="E77" t="s">
        <v>1343</v>
      </c>
      <c r="F77" t="s">
        <v>84</v>
      </c>
      <c r="G77" s="202">
        <v>2</v>
      </c>
      <c r="H77">
        <v>1</v>
      </c>
      <c r="I77" t="s">
        <v>3954</v>
      </c>
      <c r="J77" t="s">
        <v>4715</v>
      </c>
      <c r="K77" t="s">
        <v>1283</v>
      </c>
      <c r="L77" s="204">
        <v>0.42</v>
      </c>
      <c r="M77" s="112">
        <v>3967.1325000000002</v>
      </c>
      <c r="N77" s="112">
        <v>1666.1956500000001</v>
      </c>
      <c r="O77" s="204"/>
      <c r="P77" s="112"/>
      <c r="Q77" s="112"/>
      <c r="R77" s="112"/>
      <c r="S77" s="112"/>
      <c r="T77" s="112"/>
      <c r="U77" t="s">
        <v>4725</v>
      </c>
      <c r="V77" t="s">
        <v>4726</v>
      </c>
      <c r="W77" t="s">
        <v>3958</v>
      </c>
      <c r="X77" t="s">
        <v>4660</v>
      </c>
    </row>
    <row r="78" spans="1:24" x14ac:dyDescent="0.2">
      <c r="A78" t="s">
        <v>4724</v>
      </c>
      <c r="B78" t="s">
        <v>81</v>
      </c>
      <c r="C78" t="s">
        <v>1342</v>
      </c>
      <c r="D78" t="s">
        <v>24</v>
      </c>
      <c r="E78" t="s">
        <v>1343</v>
      </c>
      <c r="F78" t="s">
        <v>84</v>
      </c>
      <c r="G78" s="202">
        <v>2</v>
      </c>
      <c r="H78">
        <v>2</v>
      </c>
      <c r="I78" t="s">
        <v>3960</v>
      </c>
      <c r="J78" t="s">
        <v>4718</v>
      </c>
      <c r="K78" t="s">
        <v>1283</v>
      </c>
      <c r="L78" s="204">
        <v>0.4</v>
      </c>
      <c r="M78" s="112">
        <v>3967.1325000000002</v>
      </c>
      <c r="N78" s="112">
        <v>1586.8530000000001</v>
      </c>
      <c r="O78" s="204"/>
      <c r="P78" s="112"/>
      <c r="Q78" s="112"/>
      <c r="R78" s="112"/>
      <c r="S78" s="112"/>
      <c r="T78" s="112"/>
      <c r="U78" t="s">
        <v>4725</v>
      </c>
      <c r="V78" t="s">
        <v>4726</v>
      </c>
      <c r="W78" t="s">
        <v>3958</v>
      </c>
      <c r="X78" t="s">
        <v>4660</v>
      </c>
    </row>
    <row r="79" spans="1:24" x14ac:dyDescent="0.2">
      <c r="A79" t="s">
        <v>4724</v>
      </c>
      <c r="B79" t="s">
        <v>81</v>
      </c>
      <c r="C79" t="s">
        <v>1342</v>
      </c>
      <c r="D79" t="s">
        <v>24</v>
      </c>
      <c r="E79" t="s">
        <v>1343</v>
      </c>
      <c r="F79" t="s">
        <v>84</v>
      </c>
      <c r="G79" s="202">
        <v>2</v>
      </c>
      <c r="H79">
        <v>3</v>
      </c>
      <c r="I79" t="s">
        <v>3976</v>
      </c>
      <c r="J79" t="s">
        <v>4719</v>
      </c>
      <c r="K79" t="s">
        <v>1283</v>
      </c>
      <c r="L79" s="204">
        <v>0.12</v>
      </c>
      <c r="M79" s="112">
        <v>3967.1325000000002</v>
      </c>
      <c r="N79" s="112">
        <v>476.05590000000001</v>
      </c>
      <c r="O79" s="204"/>
      <c r="P79" s="112"/>
      <c r="Q79" s="112"/>
      <c r="R79" s="112"/>
      <c r="S79" s="112"/>
      <c r="T79" s="112"/>
      <c r="U79" t="s">
        <v>4725</v>
      </c>
      <c r="V79" t="s">
        <v>4726</v>
      </c>
      <c r="W79" t="s">
        <v>3958</v>
      </c>
      <c r="X79" t="s">
        <v>4660</v>
      </c>
    </row>
    <row r="80" spans="1:24" x14ac:dyDescent="0.2">
      <c r="A80" t="s">
        <v>4724</v>
      </c>
      <c r="B80" t="s">
        <v>81</v>
      </c>
      <c r="C80" t="s">
        <v>1342</v>
      </c>
      <c r="D80" t="s">
        <v>24</v>
      </c>
      <c r="E80" t="s">
        <v>1343</v>
      </c>
      <c r="F80" t="s">
        <v>84</v>
      </c>
      <c r="G80" s="202">
        <v>2</v>
      </c>
      <c r="H80">
        <v>4</v>
      </c>
      <c r="I80" t="s">
        <v>4017</v>
      </c>
      <c r="J80" t="s">
        <v>4720</v>
      </c>
      <c r="K80" t="s">
        <v>1283</v>
      </c>
      <c r="L80" s="204">
        <v>0.06</v>
      </c>
      <c r="M80" s="112">
        <v>3967.1325000000002</v>
      </c>
      <c r="N80" s="112">
        <v>238.02795</v>
      </c>
      <c r="O80" s="204"/>
      <c r="P80" s="112"/>
      <c r="Q80" s="112"/>
      <c r="R80" s="112"/>
      <c r="S80" s="112"/>
      <c r="T80" s="112"/>
      <c r="U80" t="s">
        <v>4725</v>
      </c>
      <c r="V80" t="s">
        <v>4726</v>
      </c>
      <c r="W80" t="s">
        <v>3958</v>
      </c>
      <c r="X80" t="s">
        <v>4660</v>
      </c>
    </row>
    <row r="81" spans="1:24" x14ac:dyDescent="0.2">
      <c r="A81" t="s">
        <v>4724</v>
      </c>
      <c r="B81" t="s">
        <v>81</v>
      </c>
      <c r="C81" t="s">
        <v>1342</v>
      </c>
      <c r="D81" t="s">
        <v>24</v>
      </c>
      <c r="E81" t="s">
        <v>1343</v>
      </c>
      <c r="F81" t="s">
        <v>84</v>
      </c>
      <c r="G81" s="202">
        <v>2</v>
      </c>
      <c r="H81">
        <v>5</v>
      </c>
      <c r="I81" t="s">
        <v>3968</v>
      </c>
      <c r="J81" t="s">
        <v>3969</v>
      </c>
      <c r="K81" t="s">
        <v>84</v>
      </c>
      <c r="L81" s="204">
        <v>1</v>
      </c>
      <c r="M81" s="112"/>
      <c r="N81" s="112">
        <v>3967.1325000000002</v>
      </c>
      <c r="O81" s="204">
        <v>0.22229847377167267</v>
      </c>
      <c r="P81" s="112">
        <v>881.88750000000027</v>
      </c>
      <c r="Q81" s="112">
        <v>4849.0200000000004</v>
      </c>
      <c r="R81" s="112">
        <v>9698.0400000000009</v>
      </c>
      <c r="S81" s="112">
        <v>9698.0400000000009</v>
      </c>
      <c r="T81" s="112">
        <v>0</v>
      </c>
      <c r="U81" t="s">
        <v>4725</v>
      </c>
      <c r="V81" t="s">
        <v>4726</v>
      </c>
      <c r="W81" t="s">
        <v>4666</v>
      </c>
      <c r="X81" t="s">
        <v>4667</v>
      </c>
    </row>
    <row r="82" spans="1:24" x14ac:dyDescent="0.2">
      <c r="A82" t="s">
        <v>4727</v>
      </c>
      <c r="B82" t="s">
        <v>85</v>
      </c>
      <c r="C82" t="s">
        <v>1344</v>
      </c>
      <c r="D82" t="s">
        <v>56</v>
      </c>
      <c r="E82" t="s">
        <v>86</v>
      </c>
      <c r="F82" t="s">
        <v>26</v>
      </c>
      <c r="G82" s="202">
        <v>8</v>
      </c>
      <c r="H82">
        <v>1</v>
      </c>
      <c r="I82" t="s">
        <v>3954</v>
      </c>
      <c r="J82" t="s">
        <v>4110</v>
      </c>
      <c r="K82" t="s">
        <v>1283</v>
      </c>
      <c r="L82" s="204">
        <v>0.3</v>
      </c>
      <c r="M82" s="112">
        <v>360.83249999999998</v>
      </c>
      <c r="N82" s="112">
        <v>108.24974999999999</v>
      </c>
      <c r="O82" s="204"/>
      <c r="P82" s="112"/>
      <c r="Q82" s="112"/>
      <c r="R82" s="112"/>
      <c r="S82" s="112"/>
      <c r="T82" s="112"/>
      <c r="U82" t="s">
        <v>4728</v>
      </c>
      <c r="V82" t="s">
        <v>4729</v>
      </c>
      <c r="W82" t="s">
        <v>3958</v>
      </c>
      <c r="X82" t="s">
        <v>4660</v>
      </c>
    </row>
    <row r="83" spans="1:24" x14ac:dyDescent="0.2">
      <c r="A83" t="s">
        <v>4727</v>
      </c>
      <c r="B83" t="s">
        <v>85</v>
      </c>
      <c r="C83" t="s">
        <v>1344</v>
      </c>
      <c r="D83" t="s">
        <v>56</v>
      </c>
      <c r="E83" t="s">
        <v>86</v>
      </c>
      <c r="F83" t="s">
        <v>26</v>
      </c>
      <c r="G83" s="202">
        <v>8</v>
      </c>
      <c r="H83">
        <v>2</v>
      </c>
      <c r="I83" t="s">
        <v>3960</v>
      </c>
      <c r="J83" t="s">
        <v>4113</v>
      </c>
      <c r="K83" t="s">
        <v>1283</v>
      </c>
      <c r="L83" s="204">
        <v>0.55000000000000004</v>
      </c>
      <c r="M83" s="112">
        <v>360.83249999999998</v>
      </c>
      <c r="N83" s="112">
        <v>198.457875</v>
      </c>
      <c r="O83" s="204"/>
      <c r="P83" s="112"/>
      <c r="Q83" s="112"/>
      <c r="R83" s="112"/>
      <c r="S83" s="112"/>
      <c r="T83" s="112"/>
      <c r="U83" t="s">
        <v>4728</v>
      </c>
      <c r="V83" t="s">
        <v>4729</v>
      </c>
      <c r="W83" t="s">
        <v>3958</v>
      </c>
      <c r="X83" t="s">
        <v>4660</v>
      </c>
    </row>
    <row r="84" spans="1:24" x14ac:dyDescent="0.2">
      <c r="A84" t="s">
        <v>4727</v>
      </c>
      <c r="B84" t="s">
        <v>85</v>
      </c>
      <c r="C84" t="s">
        <v>1344</v>
      </c>
      <c r="D84" t="s">
        <v>56</v>
      </c>
      <c r="E84" t="s">
        <v>86</v>
      </c>
      <c r="F84" t="s">
        <v>26</v>
      </c>
      <c r="G84" s="202">
        <v>8</v>
      </c>
      <c r="H84">
        <v>3</v>
      </c>
      <c r="I84" t="s">
        <v>3976</v>
      </c>
      <c r="J84" t="s">
        <v>4114</v>
      </c>
      <c r="K84" t="s">
        <v>1283</v>
      </c>
      <c r="L84" s="204">
        <v>0.1</v>
      </c>
      <c r="M84" s="112">
        <v>360.83249999999998</v>
      </c>
      <c r="N84" s="112">
        <v>36.08325</v>
      </c>
      <c r="O84" s="204"/>
      <c r="P84" s="112"/>
      <c r="Q84" s="112"/>
      <c r="R84" s="112"/>
      <c r="S84" s="112"/>
      <c r="T84" s="112"/>
      <c r="U84" t="s">
        <v>4728</v>
      </c>
      <c r="V84" t="s">
        <v>4729</v>
      </c>
      <c r="W84" t="s">
        <v>3958</v>
      </c>
      <c r="X84" t="s">
        <v>4660</v>
      </c>
    </row>
    <row r="85" spans="1:24" x14ac:dyDescent="0.2">
      <c r="A85" t="s">
        <v>4727</v>
      </c>
      <c r="B85" t="s">
        <v>85</v>
      </c>
      <c r="C85" t="s">
        <v>1344</v>
      </c>
      <c r="D85" t="s">
        <v>56</v>
      </c>
      <c r="E85" t="s">
        <v>86</v>
      </c>
      <c r="F85" t="s">
        <v>26</v>
      </c>
      <c r="G85" s="202">
        <v>8</v>
      </c>
      <c r="H85">
        <v>4</v>
      </c>
      <c r="I85" t="s">
        <v>4017</v>
      </c>
      <c r="J85" t="s">
        <v>4115</v>
      </c>
      <c r="K85" t="s">
        <v>1283</v>
      </c>
      <c r="L85" s="204">
        <v>0.05</v>
      </c>
      <c r="M85" s="112">
        <v>360.83249999999998</v>
      </c>
      <c r="N85" s="112">
        <v>18.041625</v>
      </c>
      <c r="O85" s="204"/>
      <c r="P85" s="112"/>
      <c r="Q85" s="112"/>
      <c r="R85" s="112"/>
      <c r="S85" s="112"/>
      <c r="T85" s="112"/>
      <c r="U85" t="s">
        <v>4728</v>
      </c>
      <c r="V85" t="s">
        <v>4729</v>
      </c>
      <c r="W85" t="s">
        <v>3958</v>
      </c>
      <c r="X85" t="s">
        <v>4660</v>
      </c>
    </row>
    <row r="86" spans="1:24" x14ac:dyDescent="0.2">
      <c r="A86" t="s">
        <v>4727</v>
      </c>
      <c r="B86" t="s">
        <v>85</v>
      </c>
      <c r="C86" t="s">
        <v>1344</v>
      </c>
      <c r="D86" t="s">
        <v>56</v>
      </c>
      <c r="E86" t="s">
        <v>86</v>
      </c>
      <c r="F86" t="s">
        <v>26</v>
      </c>
      <c r="G86" s="202">
        <v>8</v>
      </c>
      <c r="H86">
        <v>5</v>
      </c>
      <c r="I86" t="s">
        <v>3968</v>
      </c>
      <c r="J86" t="s">
        <v>3969</v>
      </c>
      <c r="K86" t="s">
        <v>26</v>
      </c>
      <c r="L86" s="204">
        <v>1</v>
      </c>
      <c r="M86" s="112"/>
      <c r="N86" s="112">
        <v>360.83249999999998</v>
      </c>
      <c r="O86" s="204">
        <v>0.22229843486936463</v>
      </c>
      <c r="P86" s="112">
        <v>80.212500000000034</v>
      </c>
      <c r="Q86" s="112">
        <v>441.04500000000002</v>
      </c>
      <c r="R86" s="112">
        <v>3528.36</v>
      </c>
      <c r="S86" s="112">
        <v>3528.36</v>
      </c>
      <c r="T86" s="112">
        <v>0</v>
      </c>
      <c r="U86" t="s">
        <v>4728</v>
      </c>
      <c r="V86" t="s">
        <v>4729</v>
      </c>
      <c r="W86" t="s">
        <v>4666</v>
      </c>
      <c r="X86" t="s">
        <v>4667</v>
      </c>
    </row>
    <row r="87" spans="1:24" x14ac:dyDescent="0.2">
      <c r="A87" t="s">
        <v>4730</v>
      </c>
      <c r="B87" t="s">
        <v>87</v>
      </c>
      <c r="C87" t="s">
        <v>1345</v>
      </c>
      <c r="D87" t="s">
        <v>24</v>
      </c>
      <c r="E87" t="s">
        <v>89</v>
      </c>
      <c r="F87" t="s">
        <v>84</v>
      </c>
      <c r="G87" s="202">
        <v>1</v>
      </c>
      <c r="H87">
        <v>1</v>
      </c>
      <c r="I87" t="s">
        <v>3954</v>
      </c>
      <c r="J87" t="s">
        <v>4110</v>
      </c>
      <c r="K87" t="s">
        <v>1283</v>
      </c>
      <c r="L87" s="204">
        <v>0.3</v>
      </c>
      <c r="M87" s="112">
        <v>3668.07</v>
      </c>
      <c r="N87" s="112">
        <v>1100.421</v>
      </c>
      <c r="O87" s="204"/>
      <c r="P87" s="112"/>
      <c r="Q87" s="112"/>
      <c r="R87" s="112"/>
      <c r="S87" s="112"/>
      <c r="T87" s="112"/>
      <c r="U87" t="s">
        <v>4731</v>
      </c>
      <c r="V87" t="s">
        <v>4732</v>
      </c>
      <c r="W87" t="s">
        <v>3958</v>
      </c>
      <c r="X87" t="s">
        <v>4660</v>
      </c>
    </row>
    <row r="88" spans="1:24" x14ac:dyDescent="0.2">
      <c r="A88" t="s">
        <v>4730</v>
      </c>
      <c r="B88" t="s">
        <v>87</v>
      </c>
      <c r="C88" t="s">
        <v>1345</v>
      </c>
      <c r="D88" t="s">
        <v>24</v>
      </c>
      <c r="E88" t="s">
        <v>89</v>
      </c>
      <c r="F88" t="s">
        <v>84</v>
      </c>
      <c r="G88" s="202">
        <v>1</v>
      </c>
      <c r="H88">
        <v>2</v>
      </c>
      <c r="I88" t="s">
        <v>3960</v>
      </c>
      <c r="J88" t="s">
        <v>4113</v>
      </c>
      <c r="K88" t="s">
        <v>1283</v>
      </c>
      <c r="L88" s="204">
        <v>0.55000000000000004</v>
      </c>
      <c r="M88" s="112">
        <v>3668.07</v>
      </c>
      <c r="N88" s="112">
        <v>2017.4385000000002</v>
      </c>
      <c r="O88" s="204"/>
      <c r="P88" s="112"/>
      <c r="Q88" s="112"/>
      <c r="R88" s="112"/>
      <c r="S88" s="112"/>
      <c r="T88" s="112"/>
      <c r="U88" t="s">
        <v>4731</v>
      </c>
      <c r="V88" t="s">
        <v>4732</v>
      </c>
      <c r="W88" t="s">
        <v>3958</v>
      </c>
      <c r="X88" t="s">
        <v>4660</v>
      </c>
    </row>
    <row r="89" spans="1:24" x14ac:dyDescent="0.2">
      <c r="A89" t="s">
        <v>4730</v>
      </c>
      <c r="B89" t="s">
        <v>87</v>
      </c>
      <c r="C89" t="s">
        <v>1345</v>
      </c>
      <c r="D89" t="s">
        <v>24</v>
      </c>
      <c r="E89" t="s">
        <v>89</v>
      </c>
      <c r="F89" t="s">
        <v>84</v>
      </c>
      <c r="G89" s="202">
        <v>1</v>
      </c>
      <c r="H89">
        <v>3</v>
      </c>
      <c r="I89" t="s">
        <v>3976</v>
      </c>
      <c r="J89" t="s">
        <v>4114</v>
      </c>
      <c r="K89" t="s">
        <v>1283</v>
      </c>
      <c r="L89" s="204">
        <v>0.1</v>
      </c>
      <c r="M89" s="112">
        <v>3668.07</v>
      </c>
      <c r="N89" s="112">
        <v>366.80700000000002</v>
      </c>
      <c r="O89" s="204"/>
      <c r="P89" s="112"/>
      <c r="Q89" s="112"/>
      <c r="R89" s="112"/>
      <c r="S89" s="112"/>
      <c r="T89" s="112"/>
      <c r="U89" t="s">
        <v>4731</v>
      </c>
      <c r="V89" t="s">
        <v>4732</v>
      </c>
      <c r="W89" t="s">
        <v>3958</v>
      </c>
      <c r="X89" t="s">
        <v>4660</v>
      </c>
    </row>
    <row r="90" spans="1:24" x14ac:dyDescent="0.2">
      <c r="A90" t="s">
        <v>4730</v>
      </c>
      <c r="B90" t="s">
        <v>87</v>
      </c>
      <c r="C90" t="s">
        <v>1345</v>
      </c>
      <c r="D90" t="s">
        <v>24</v>
      </c>
      <c r="E90" t="s">
        <v>89</v>
      </c>
      <c r="F90" t="s">
        <v>84</v>
      </c>
      <c r="G90" s="202">
        <v>1</v>
      </c>
      <c r="H90">
        <v>4</v>
      </c>
      <c r="I90" t="s">
        <v>4017</v>
      </c>
      <c r="J90" t="s">
        <v>4115</v>
      </c>
      <c r="K90" t="s">
        <v>1283</v>
      </c>
      <c r="L90" s="204">
        <v>0.05</v>
      </c>
      <c r="M90" s="112">
        <v>3668.07</v>
      </c>
      <c r="N90" s="112">
        <v>183.40350000000001</v>
      </c>
      <c r="O90" s="204"/>
      <c r="P90" s="112"/>
      <c r="Q90" s="112"/>
      <c r="R90" s="112"/>
      <c r="S90" s="112"/>
      <c r="T90" s="112"/>
      <c r="U90" t="s">
        <v>4731</v>
      </c>
      <c r="V90" t="s">
        <v>4732</v>
      </c>
      <c r="W90" t="s">
        <v>3958</v>
      </c>
      <c r="X90" t="s">
        <v>4660</v>
      </c>
    </row>
    <row r="91" spans="1:24" x14ac:dyDescent="0.2">
      <c r="A91" t="s">
        <v>4730</v>
      </c>
      <c r="B91" t="s">
        <v>87</v>
      </c>
      <c r="C91" t="s">
        <v>1345</v>
      </c>
      <c r="D91" t="s">
        <v>24</v>
      </c>
      <c r="E91" t="s">
        <v>89</v>
      </c>
      <c r="F91" t="s">
        <v>84</v>
      </c>
      <c r="G91" s="202">
        <v>1</v>
      </c>
      <c r="H91">
        <v>5</v>
      </c>
      <c r="I91" t="s">
        <v>3968</v>
      </c>
      <c r="J91" t="s">
        <v>3969</v>
      </c>
      <c r="K91" t="s">
        <v>84</v>
      </c>
      <c r="L91" s="204">
        <v>1</v>
      </c>
      <c r="M91" s="112"/>
      <c r="N91" s="112">
        <v>3668.07</v>
      </c>
      <c r="O91" s="204">
        <v>0.22229673915710446</v>
      </c>
      <c r="P91" s="112">
        <v>815.40000000000009</v>
      </c>
      <c r="Q91" s="112">
        <v>4483.47</v>
      </c>
      <c r="R91" s="112">
        <v>4483.47</v>
      </c>
      <c r="S91" s="112">
        <v>4483.47</v>
      </c>
      <c r="T91" s="112">
        <v>0</v>
      </c>
      <c r="U91" t="s">
        <v>4731</v>
      </c>
      <c r="V91" t="s">
        <v>4732</v>
      </c>
      <c r="W91" t="s">
        <v>4666</v>
      </c>
      <c r="X91" t="s">
        <v>4667</v>
      </c>
    </row>
    <row r="92" spans="1:24" x14ac:dyDescent="0.2">
      <c r="A92" t="s">
        <v>4733</v>
      </c>
      <c r="B92" t="s">
        <v>90</v>
      </c>
      <c r="C92" t="s">
        <v>1346</v>
      </c>
      <c r="D92" t="s">
        <v>24</v>
      </c>
      <c r="E92" t="s">
        <v>92</v>
      </c>
      <c r="F92" t="s">
        <v>84</v>
      </c>
      <c r="G92" s="202">
        <v>1</v>
      </c>
      <c r="H92">
        <v>1</v>
      </c>
      <c r="I92" t="s">
        <v>3954</v>
      </c>
      <c r="J92" t="s">
        <v>4734</v>
      </c>
      <c r="K92" t="s">
        <v>1283</v>
      </c>
      <c r="L92" s="204">
        <v>0.24</v>
      </c>
      <c r="M92" s="112">
        <v>1977.4949999999999</v>
      </c>
      <c r="N92" s="112">
        <v>474.59879999999998</v>
      </c>
      <c r="O92" s="204"/>
      <c r="P92" s="112"/>
      <c r="Q92" s="112"/>
      <c r="R92" s="112"/>
      <c r="S92" s="112"/>
      <c r="T92" s="112"/>
      <c r="U92" t="s">
        <v>4735</v>
      </c>
      <c r="V92" t="s">
        <v>4736</v>
      </c>
      <c r="W92" t="s">
        <v>3958</v>
      </c>
      <c r="X92" t="s">
        <v>4660</v>
      </c>
    </row>
    <row r="93" spans="1:24" x14ac:dyDescent="0.2">
      <c r="A93" t="s">
        <v>4733</v>
      </c>
      <c r="B93" t="s">
        <v>90</v>
      </c>
      <c r="C93" t="s">
        <v>1346</v>
      </c>
      <c r="D93" t="s">
        <v>24</v>
      </c>
      <c r="E93" t="s">
        <v>92</v>
      </c>
      <c r="F93" t="s">
        <v>84</v>
      </c>
      <c r="G93" s="202">
        <v>1</v>
      </c>
      <c r="H93">
        <v>2</v>
      </c>
      <c r="I93" t="s">
        <v>3962</v>
      </c>
      <c r="J93" t="s">
        <v>4737</v>
      </c>
      <c r="K93" t="s">
        <v>1283</v>
      </c>
      <c r="L93" s="204">
        <v>0.46</v>
      </c>
      <c r="M93" s="112">
        <v>1977.4949999999999</v>
      </c>
      <c r="N93" s="112">
        <v>909.64769999999999</v>
      </c>
      <c r="O93" s="204"/>
      <c r="P93" s="112"/>
      <c r="Q93" s="112"/>
      <c r="R93" s="112"/>
      <c r="S93" s="112"/>
      <c r="T93" s="112"/>
      <c r="U93" t="s">
        <v>4735</v>
      </c>
      <c r="V93" t="s">
        <v>4736</v>
      </c>
      <c r="W93" t="s">
        <v>3958</v>
      </c>
      <c r="X93" t="s">
        <v>4660</v>
      </c>
    </row>
    <row r="94" spans="1:24" x14ac:dyDescent="0.2">
      <c r="A94" t="s">
        <v>4733</v>
      </c>
      <c r="B94" t="s">
        <v>90</v>
      </c>
      <c r="C94" t="s">
        <v>1346</v>
      </c>
      <c r="D94" t="s">
        <v>24</v>
      </c>
      <c r="E94" t="s">
        <v>92</v>
      </c>
      <c r="F94" t="s">
        <v>84</v>
      </c>
      <c r="G94" s="202">
        <v>1</v>
      </c>
      <c r="H94">
        <v>3</v>
      </c>
      <c r="I94" t="s">
        <v>4738</v>
      </c>
      <c r="J94" t="s">
        <v>4739</v>
      </c>
      <c r="K94" t="s">
        <v>1283</v>
      </c>
      <c r="L94" s="204">
        <v>0.22</v>
      </c>
      <c r="M94" s="112">
        <v>1977.4949999999999</v>
      </c>
      <c r="N94" s="112">
        <v>435.0489</v>
      </c>
      <c r="O94" s="204"/>
      <c r="P94" s="112"/>
      <c r="Q94" s="112"/>
      <c r="R94" s="112"/>
      <c r="S94" s="112"/>
      <c r="T94" s="112"/>
      <c r="U94" t="s">
        <v>4735</v>
      </c>
      <c r="V94" t="s">
        <v>4736</v>
      </c>
      <c r="W94" t="s">
        <v>3958</v>
      </c>
      <c r="X94" t="s">
        <v>4660</v>
      </c>
    </row>
    <row r="95" spans="1:24" x14ac:dyDescent="0.2">
      <c r="A95" t="s">
        <v>4733</v>
      </c>
      <c r="B95" t="s">
        <v>90</v>
      </c>
      <c r="C95" t="s">
        <v>1346</v>
      </c>
      <c r="D95" t="s">
        <v>24</v>
      </c>
      <c r="E95" t="s">
        <v>92</v>
      </c>
      <c r="F95" t="s">
        <v>84</v>
      </c>
      <c r="G95" s="202">
        <v>1</v>
      </c>
      <c r="H95">
        <v>4</v>
      </c>
      <c r="I95" t="s">
        <v>4740</v>
      </c>
      <c r="J95" t="s">
        <v>4741</v>
      </c>
      <c r="K95" t="s">
        <v>1283</v>
      </c>
      <c r="L95" s="204">
        <v>0.08</v>
      </c>
      <c r="M95" s="112">
        <v>1977.4949999999999</v>
      </c>
      <c r="N95" s="112">
        <v>158.1996</v>
      </c>
      <c r="O95" s="204"/>
      <c r="P95" s="112"/>
      <c r="Q95" s="112"/>
      <c r="R95" s="112"/>
      <c r="S95" s="112"/>
      <c r="T95" s="112"/>
      <c r="U95" t="s">
        <v>4735</v>
      </c>
      <c r="V95" t="s">
        <v>4736</v>
      </c>
      <c r="W95" t="s">
        <v>3958</v>
      </c>
      <c r="X95" t="s">
        <v>4660</v>
      </c>
    </row>
    <row r="96" spans="1:24" x14ac:dyDescent="0.2">
      <c r="A96" t="s">
        <v>4733</v>
      </c>
      <c r="B96" t="s">
        <v>90</v>
      </c>
      <c r="C96" t="s">
        <v>1346</v>
      </c>
      <c r="D96" t="s">
        <v>24</v>
      </c>
      <c r="E96" t="s">
        <v>92</v>
      </c>
      <c r="F96" t="s">
        <v>84</v>
      </c>
      <c r="G96" s="202">
        <v>1</v>
      </c>
      <c r="H96">
        <v>5</v>
      </c>
      <c r="I96" t="s">
        <v>3968</v>
      </c>
      <c r="J96" t="s">
        <v>3969</v>
      </c>
      <c r="K96" t="s">
        <v>84</v>
      </c>
      <c r="L96" s="204">
        <v>1</v>
      </c>
      <c r="M96" s="112"/>
      <c r="N96" s="112">
        <v>1977.4949999999999</v>
      </c>
      <c r="O96" s="204">
        <v>0.22229386167853771</v>
      </c>
      <c r="P96" s="112">
        <v>439.58500000000004</v>
      </c>
      <c r="Q96" s="112">
        <v>2417.08</v>
      </c>
      <c r="R96" s="112">
        <v>2417.08</v>
      </c>
      <c r="S96" s="112">
        <v>2417.08</v>
      </c>
      <c r="T96" s="112">
        <v>0</v>
      </c>
      <c r="U96" t="s">
        <v>4735</v>
      </c>
      <c r="V96" t="s">
        <v>4736</v>
      </c>
      <c r="W96" t="s">
        <v>4666</v>
      </c>
      <c r="X96" t="s">
        <v>4667</v>
      </c>
    </row>
    <row r="97" spans="1:24" x14ac:dyDescent="0.2">
      <c r="A97" t="s">
        <v>4742</v>
      </c>
      <c r="B97" t="s">
        <v>95</v>
      </c>
      <c r="C97" t="s">
        <v>1347</v>
      </c>
      <c r="D97" t="s">
        <v>56</v>
      </c>
      <c r="E97" t="s">
        <v>96</v>
      </c>
      <c r="F97" t="s">
        <v>26</v>
      </c>
      <c r="G97" s="202">
        <v>1456</v>
      </c>
      <c r="H97">
        <v>1</v>
      </c>
      <c r="I97" t="s">
        <v>3954</v>
      </c>
      <c r="J97" t="s">
        <v>4715</v>
      </c>
      <c r="K97" t="s">
        <v>1283</v>
      </c>
      <c r="L97" s="204">
        <v>0.42</v>
      </c>
      <c r="M97" s="112">
        <v>23.2425</v>
      </c>
      <c r="N97" s="112">
        <v>9.761849999999999</v>
      </c>
      <c r="O97" s="204"/>
      <c r="P97" s="112"/>
      <c r="Q97" s="112"/>
      <c r="R97" s="112"/>
      <c r="S97" s="112"/>
      <c r="T97" s="112"/>
      <c r="U97" t="s">
        <v>4252</v>
      </c>
      <c r="V97" t="s">
        <v>4743</v>
      </c>
      <c r="W97" t="s">
        <v>3958</v>
      </c>
      <c r="X97" t="s">
        <v>4660</v>
      </c>
    </row>
    <row r="98" spans="1:24" x14ac:dyDescent="0.2">
      <c r="A98" t="s">
        <v>4742</v>
      </c>
      <c r="B98" t="s">
        <v>95</v>
      </c>
      <c r="C98" t="s">
        <v>1347</v>
      </c>
      <c r="D98" t="s">
        <v>56</v>
      </c>
      <c r="E98" t="s">
        <v>96</v>
      </c>
      <c r="F98" t="s">
        <v>26</v>
      </c>
      <c r="G98" s="202">
        <v>1456</v>
      </c>
      <c r="H98">
        <v>2</v>
      </c>
      <c r="I98" t="s">
        <v>3960</v>
      </c>
      <c r="J98" t="s">
        <v>4718</v>
      </c>
      <c r="K98" t="s">
        <v>1283</v>
      </c>
      <c r="L98" s="204">
        <v>0.4</v>
      </c>
      <c r="M98" s="112">
        <v>23.2425</v>
      </c>
      <c r="N98" s="112">
        <v>9.2970000000000006</v>
      </c>
      <c r="O98" s="204"/>
      <c r="P98" s="112"/>
      <c r="Q98" s="112"/>
      <c r="R98" s="112"/>
      <c r="S98" s="112"/>
      <c r="T98" s="112"/>
      <c r="U98" t="s">
        <v>4252</v>
      </c>
      <c r="V98" t="s">
        <v>4743</v>
      </c>
      <c r="W98" t="s">
        <v>3958</v>
      </c>
      <c r="X98" t="s">
        <v>4660</v>
      </c>
    </row>
    <row r="99" spans="1:24" x14ac:dyDescent="0.2">
      <c r="A99" t="s">
        <v>4742</v>
      </c>
      <c r="B99" t="s">
        <v>95</v>
      </c>
      <c r="C99" t="s">
        <v>1347</v>
      </c>
      <c r="D99" t="s">
        <v>56</v>
      </c>
      <c r="E99" t="s">
        <v>96</v>
      </c>
      <c r="F99" t="s">
        <v>26</v>
      </c>
      <c r="G99" s="202">
        <v>1456</v>
      </c>
      <c r="H99">
        <v>3</v>
      </c>
      <c r="I99" t="s">
        <v>3976</v>
      </c>
      <c r="J99" t="s">
        <v>4719</v>
      </c>
      <c r="K99" t="s">
        <v>1283</v>
      </c>
      <c r="L99" s="204">
        <v>0.12</v>
      </c>
      <c r="M99" s="112">
        <v>23.2425</v>
      </c>
      <c r="N99" s="112">
        <v>2.7890999999999999</v>
      </c>
      <c r="O99" s="204"/>
      <c r="P99" s="112"/>
      <c r="Q99" s="112"/>
      <c r="R99" s="112"/>
      <c r="S99" s="112"/>
      <c r="T99" s="112"/>
      <c r="U99" t="s">
        <v>4252</v>
      </c>
      <c r="V99" t="s">
        <v>4743</v>
      </c>
      <c r="W99" t="s">
        <v>3958</v>
      </c>
      <c r="X99" t="s">
        <v>4660</v>
      </c>
    </row>
    <row r="100" spans="1:24" x14ac:dyDescent="0.2">
      <c r="A100" t="s">
        <v>4742</v>
      </c>
      <c r="B100" t="s">
        <v>95</v>
      </c>
      <c r="C100" t="s">
        <v>1347</v>
      </c>
      <c r="D100" t="s">
        <v>56</v>
      </c>
      <c r="E100" t="s">
        <v>96</v>
      </c>
      <c r="F100" t="s">
        <v>26</v>
      </c>
      <c r="G100" s="202">
        <v>1456</v>
      </c>
      <c r="H100">
        <v>4</v>
      </c>
      <c r="I100" t="s">
        <v>4017</v>
      </c>
      <c r="J100" t="s">
        <v>4720</v>
      </c>
      <c r="K100" t="s">
        <v>1283</v>
      </c>
      <c r="L100" s="204">
        <v>0.06</v>
      </c>
      <c r="M100" s="112">
        <v>23.2425</v>
      </c>
      <c r="N100" s="112">
        <v>1.39455</v>
      </c>
      <c r="O100" s="204"/>
      <c r="P100" s="112"/>
      <c r="Q100" s="112"/>
      <c r="R100" s="112"/>
      <c r="S100" s="112"/>
      <c r="T100" s="112"/>
      <c r="U100" t="s">
        <v>4252</v>
      </c>
      <c r="V100" t="s">
        <v>4743</v>
      </c>
      <c r="W100" t="s">
        <v>3958</v>
      </c>
      <c r="X100" t="s">
        <v>4660</v>
      </c>
    </row>
    <row r="101" spans="1:24" x14ac:dyDescent="0.2">
      <c r="A101" t="s">
        <v>4742</v>
      </c>
      <c r="B101" t="s">
        <v>95</v>
      </c>
      <c r="C101" t="s">
        <v>1347</v>
      </c>
      <c r="D101" t="s">
        <v>56</v>
      </c>
      <c r="E101" t="s">
        <v>96</v>
      </c>
      <c r="F101" t="s">
        <v>26</v>
      </c>
      <c r="G101" s="202">
        <v>1456</v>
      </c>
      <c r="H101">
        <v>5</v>
      </c>
      <c r="I101" t="s">
        <v>3968</v>
      </c>
      <c r="J101" t="s">
        <v>3969</v>
      </c>
      <c r="K101" t="s">
        <v>26</v>
      </c>
      <c r="L101" s="204">
        <v>1</v>
      </c>
      <c r="M101" s="112"/>
      <c r="N101" s="112">
        <v>23.2425</v>
      </c>
      <c r="O101" s="204">
        <v>0.22200709906421423</v>
      </c>
      <c r="P101" s="112">
        <v>5.16</v>
      </c>
      <c r="Q101" s="112">
        <v>28.4025</v>
      </c>
      <c r="R101" s="112">
        <v>41354.04</v>
      </c>
      <c r="S101" s="112">
        <v>41354.04</v>
      </c>
      <c r="T101" s="112">
        <v>0</v>
      </c>
      <c r="U101" t="s">
        <v>4252</v>
      </c>
      <c r="V101" t="s">
        <v>4743</v>
      </c>
      <c r="W101" t="s">
        <v>4666</v>
      </c>
      <c r="X101" t="s">
        <v>4667</v>
      </c>
    </row>
    <row r="102" spans="1:24" x14ac:dyDescent="0.2">
      <c r="A102" t="s">
        <v>4744</v>
      </c>
      <c r="B102" t="s">
        <v>97</v>
      </c>
      <c r="C102" t="s">
        <v>1348</v>
      </c>
      <c r="D102" t="s">
        <v>56</v>
      </c>
      <c r="E102" t="s">
        <v>98</v>
      </c>
      <c r="F102" t="s">
        <v>99</v>
      </c>
      <c r="G102" s="202">
        <v>3770</v>
      </c>
      <c r="H102">
        <v>1</v>
      </c>
      <c r="I102" t="s">
        <v>3954</v>
      </c>
      <c r="J102" t="s">
        <v>4715</v>
      </c>
      <c r="K102" t="s">
        <v>1283</v>
      </c>
      <c r="L102" s="204">
        <v>0.42</v>
      </c>
      <c r="M102" s="112">
        <v>32.04</v>
      </c>
      <c r="N102" s="112">
        <v>13.456799999999999</v>
      </c>
      <c r="O102" s="204"/>
      <c r="P102" s="112"/>
      <c r="Q102" s="112"/>
      <c r="R102" s="112"/>
      <c r="S102" s="112"/>
      <c r="T102" s="112"/>
      <c r="U102" t="s">
        <v>4029</v>
      </c>
      <c r="V102" t="s">
        <v>4745</v>
      </c>
      <c r="W102" t="s">
        <v>3958</v>
      </c>
      <c r="X102" t="s">
        <v>4660</v>
      </c>
    </row>
    <row r="103" spans="1:24" x14ac:dyDescent="0.2">
      <c r="A103" t="s">
        <v>4744</v>
      </c>
      <c r="B103" t="s">
        <v>97</v>
      </c>
      <c r="C103" t="s">
        <v>1348</v>
      </c>
      <c r="D103" t="s">
        <v>56</v>
      </c>
      <c r="E103" t="s">
        <v>98</v>
      </c>
      <c r="F103" t="s">
        <v>99</v>
      </c>
      <c r="G103" s="202">
        <v>3770</v>
      </c>
      <c r="H103">
        <v>2</v>
      </c>
      <c r="I103" t="s">
        <v>3960</v>
      </c>
      <c r="J103" t="s">
        <v>4718</v>
      </c>
      <c r="K103" t="s">
        <v>1283</v>
      </c>
      <c r="L103" s="204">
        <v>0.4</v>
      </c>
      <c r="M103" s="112">
        <v>32.04</v>
      </c>
      <c r="N103" s="112">
        <v>12.816000000000001</v>
      </c>
      <c r="O103" s="204"/>
      <c r="P103" s="112"/>
      <c r="Q103" s="112"/>
      <c r="R103" s="112"/>
      <c r="S103" s="112"/>
      <c r="T103" s="112"/>
      <c r="U103" t="s">
        <v>4029</v>
      </c>
      <c r="V103" t="s">
        <v>4745</v>
      </c>
      <c r="W103" t="s">
        <v>3958</v>
      </c>
      <c r="X103" t="s">
        <v>4660</v>
      </c>
    </row>
    <row r="104" spans="1:24" x14ac:dyDescent="0.2">
      <c r="A104" t="s">
        <v>4744</v>
      </c>
      <c r="B104" t="s">
        <v>97</v>
      </c>
      <c r="C104" t="s">
        <v>1348</v>
      </c>
      <c r="D104" t="s">
        <v>56</v>
      </c>
      <c r="E104" t="s">
        <v>98</v>
      </c>
      <c r="F104" t="s">
        <v>99</v>
      </c>
      <c r="G104" s="202">
        <v>3770</v>
      </c>
      <c r="H104">
        <v>3</v>
      </c>
      <c r="I104" t="s">
        <v>3976</v>
      </c>
      <c r="J104" t="s">
        <v>4719</v>
      </c>
      <c r="K104" t="s">
        <v>1283</v>
      </c>
      <c r="L104" s="204">
        <v>0.12</v>
      </c>
      <c r="M104" s="112">
        <v>32.04</v>
      </c>
      <c r="N104" s="112">
        <v>3.8447999999999998</v>
      </c>
      <c r="O104" s="204"/>
      <c r="P104" s="112"/>
      <c r="Q104" s="112"/>
      <c r="R104" s="112"/>
      <c r="S104" s="112"/>
      <c r="T104" s="112"/>
      <c r="U104" t="s">
        <v>4029</v>
      </c>
      <c r="V104" t="s">
        <v>4745</v>
      </c>
      <c r="W104" t="s">
        <v>3958</v>
      </c>
      <c r="X104" t="s">
        <v>4660</v>
      </c>
    </row>
    <row r="105" spans="1:24" x14ac:dyDescent="0.2">
      <c r="A105" t="s">
        <v>4744</v>
      </c>
      <c r="B105" t="s">
        <v>97</v>
      </c>
      <c r="C105" t="s">
        <v>1348</v>
      </c>
      <c r="D105" t="s">
        <v>56</v>
      </c>
      <c r="E105" t="s">
        <v>98</v>
      </c>
      <c r="F105" t="s">
        <v>99</v>
      </c>
      <c r="G105" s="202">
        <v>3770</v>
      </c>
      <c r="H105">
        <v>4</v>
      </c>
      <c r="I105" t="s">
        <v>4017</v>
      </c>
      <c r="J105" t="s">
        <v>4720</v>
      </c>
      <c r="K105" t="s">
        <v>1283</v>
      </c>
      <c r="L105" s="204">
        <v>0.06</v>
      </c>
      <c r="M105" s="112">
        <v>32.04</v>
      </c>
      <c r="N105" s="112">
        <v>1.9223999999999999</v>
      </c>
      <c r="O105" s="204"/>
      <c r="P105" s="112"/>
      <c r="Q105" s="112"/>
      <c r="R105" s="112"/>
      <c r="S105" s="112"/>
      <c r="T105" s="112"/>
      <c r="U105" t="s">
        <v>4029</v>
      </c>
      <c r="V105" t="s">
        <v>4745</v>
      </c>
      <c r="W105" t="s">
        <v>3958</v>
      </c>
      <c r="X105" t="s">
        <v>4660</v>
      </c>
    </row>
    <row r="106" spans="1:24" x14ac:dyDescent="0.2">
      <c r="A106" t="s">
        <v>4744</v>
      </c>
      <c r="B106" t="s">
        <v>97</v>
      </c>
      <c r="C106" t="s">
        <v>1348</v>
      </c>
      <c r="D106" t="s">
        <v>56</v>
      </c>
      <c r="E106" t="s">
        <v>98</v>
      </c>
      <c r="F106" t="s">
        <v>99</v>
      </c>
      <c r="G106" s="202">
        <v>3770</v>
      </c>
      <c r="H106">
        <v>5</v>
      </c>
      <c r="I106" t="s">
        <v>3968</v>
      </c>
      <c r="J106" t="s">
        <v>3969</v>
      </c>
      <c r="K106" t="s">
        <v>99</v>
      </c>
      <c r="L106" s="204">
        <v>1</v>
      </c>
      <c r="M106" s="112"/>
      <c r="N106" s="112">
        <v>32.04</v>
      </c>
      <c r="O106" s="204">
        <v>0.22214415336267335</v>
      </c>
      <c r="P106" s="112">
        <v>7.1174986737400516</v>
      </c>
      <c r="Q106" s="112">
        <v>39.157498673740051</v>
      </c>
      <c r="R106" s="112">
        <v>147623.76999999999</v>
      </c>
      <c r="S106" s="112">
        <v>147623.76999999999</v>
      </c>
      <c r="T106" s="112">
        <v>0</v>
      </c>
      <c r="U106" t="s">
        <v>4029</v>
      </c>
      <c r="V106" t="s">
        <v>4745</v>
      </c>
      <c r="W106" t="s">
        <v>4666</v>
      </c>
      <c r="X106" t="s">
        <v>4667</v>
      </c>
    </row>
    <row r="107" spans="1:24" x14ac:dyDescent="0.2">
      <c r="A107" t="s">
        <v>4746</v>
      </c>
      <c r="B107" t="s">
        <v>100</v>
      </c>
      <c r="C107" t="s">
        <v>1349</v>
      </c>
      <c r="D107" t="s">
        <v>56</v>
      </c>
      <c r="E107" t="s">
        <v>101</v>
      </c>
      <c r="F107" t="s">
        <v>102</v>
      </c>
      <c r="G107" s="202">
        <v>910</v>
      </c>
      <c r="H107">
        <v>1</v>
      </c>
      <c r="I107" t="s">
        <v>3954</v>
      </c>
      <c r="J107" t="s">
        <v>4715</v>
      </c>
      <c r="K107" t="s">
        <v>1283</v>
      </c>
      <c r="L107" s="204">
        <v>0.42</v>
      </c>
      <c r="M107" s="112">
        <v>18</v>
      </c>
      <c r="N107" s="112">
        <v>7.56</v>
      </c>
      <c r="O107" s="204"/>
      <c r="P107" s="112"/>
      <c r="Q107" s="112"/>
      <c r="R107" s="112"/>
      <c r="S107" s="112"/>
      <c r="T107" s="112"/>
      <c r="U107" t="s">
        <v>4382</v>
      </c>
      <c r="V107" t="s">
        <v>4747</v>
      </c>
      <c r="W107" t="s">
        <v>3958</v>
      </c>
      <c r="X107" t="s">
        <v>4660</v>
      </c>
    </row>
    <row r="108" spans="1:24" x14ac:dyDescent="0.2">
      <c r="A108" t="s">
        <v>4746</v>
      </c>
      <c r="B108" t="s">
        <v>100</v>
      </c>
      <c r="C108" t="s">
        <v>1349</v>
      </c>
      <c r="D108" t="s">
        <v>56</v>
      </c>
      <c r="E108" t="s">
        <v>101</v>
      </c>
      <c r="F108" t="s">
        <v>102</v>
      </c>
      <c r="G108" s="202">
        <v>910</v>
      </c>
      <c r="H108">
        <v>2</v>
      </c>
      <c r="I108" t="s">
        <v>3960</v>
      </c>
      <c r="J108" t="s">
        <v>4718</v>
      </c>
      <c r="K108" t="s">
        <v>1283</v>
      </c>
      <c r="L108" s="204">
        <v>0.4</v>
      </c>
      <c r="M108" s="112">
        <v>18</v>
      </c>
      <c r="N108" s="112">
        <v>7.2</v>
      </c>
      <c r="O108" s="204"/>
      <c r="P108" s="112"/>
      <c r="Q108" s="112"/>
      <c r="R108" s="112"/>
      <c r="S108" s="112"/>
      <c r="T108" s="112"/>
      <c r="U108" t="s">
        <v>4382</v>
      </c>
      <c r="V108" t="s">
        <v>4747</v>
      </c>
      <c r="W108" t="s">
        <v>3958</v>
      </c>
      <c r="X108" t="s">
        <v>4660</v>
      </c>
    </row>
    <row r="109" spans="1:24" x14ac:dyDescent="0.2">
      <c r="A109" t="s">
        <v>4746</v>
      </c>
      <c r="B109" t="s">
        <v>100</v>
      </c>
      <c r="C109" t="s">
        <v>1349</v>
      </c>
      <c r="D109" t="s">
        <v>56</v>
      </c>
      <c r="E109" t="s">
        <v>101</v>
      </c>
      <c r="F109" t="s">
        <v>102</v>
      </c>
      <c r="G109" s="202">
        <v>910</v>
      </c>
      <c r="H109">
        <v>3</v>
      </c>
      <c r="I109" t="s">
        <v>3976</v>
      </c>
      <c r="J109" t="s">
        <v>4719</v>
      </c>
      <c r="K109" t="s">
        <v>1283</v>
      </c>
      <c r="L109" s="204">
        <v>0.12</v>
      </c>
      <c r="M109" s="112">
        <v>18</v>
      </c>
      <c r="N109" s="112">
        <v>2.16</v>
      </c>
      <c r="O109" s="204"/>
      <c r="P109" s="112"/>
      <c r="Q109" s="112"/>
      <c r="R109" s="112"/>
      <c r="S109" s="112"/>
      <c r="T109" s="112"/>
      <c r="U109" t="s">
        <v>4382</v>
      </c>
      <c r="V109" t="s">
        <v>4747</v>
      </c>
      <c r="W109" t="s">
        <v>3958</v>
      </c>
      <c r="X109" t="s">
        <v>4660</v>
      </c>
    </row>
    <row r="110" spans="1:24" x14ac:dyDescent="0.2">
      <c r="A110" t="s">
        <v>4746</v>
      </c>
      <c r="B110" t="s">
        <v>100</v>
      </c>
      <c r="C110" t="s">
        <v>1349</v>
      </c>
      <c r="D110" t="s">
        <v>56</v>
      </c>
      <c r="E110" t="s">
        <v>101</v>
      </c>
      <c r="F110" t="s">
        <v>102</v>
      </c>
      <c r="G110" s="202">
        <v>910</v>
      </c>
      <c r="H110">
        <v>4</v>
      </c>
      <c r="I110" t="s">
        <v>4017</v>
      </c>
      <c r="J110" t="s">
        <v>4720</v>
      </c>
      <c r="K110" t="s">
        <v>1283</v>
      </c>
      <c r="L110" s="204">
        <v>0.06</v>
      </c>
      <c r="M110" s="112">
        <v>18</v>
      </c>
      <c r="N110" s="112">
        <v>1.08</v>
      </c>
      <c r="O110" s="204"/>
      <c r="P110" s="112"/>
      <c r="Q110" s="112"/>
      <c r="R110" s="112"/>
      <c r="S110" s="112"/>
      <c r="T110" s="112"/>
      <c r="U110" t="s">
        <v>4382</v>
      </c>
      <c r="V110" t="s">
        <v>4747</v>
      </c>
      <c r="W110" t="s">
        <v>3958</v>
      </c>
      <c r="X110" t="s">
        <v>4660</v>
      </c>
    </row>
    <row r="111" spans="1:24" x14ac:dyDescent="0.2">
      <c r="A111" t="s">
        <v>4746</v>
      </c>
      <c r="B111" t="s">
        <v>100</v>
      </c>
      <c r="C111" t="s">
        <v>1349</v>
      </c>
      <c r="D111" t="s">
        <v>56</v>
      </c>
      <c r="E111" t="s">
        <v>101</v>
      </c>
      <c r="F111" t="s">
        <v>102</v>
      </c>
      <c r="G111" s="202">
        <v>910</v>
      </c>
      <c r="H111">
        <v>5</v>
      </c>
      <c r="I111" t="s">
        <v>3968</v>
      </c>
      <c r="J111" t="s">
        <v>3969</v>
      </c>
      <c r="K111" t="s">
        <v>102</v>
      </c>
      <c r="L111" s="204">
        <v>1</v>
      </c>
      <c r="M111" s="112"/>
      <c r="N111" s="112">
        <v>18</v>
      </c>
      <c r="O111" s="204">
        <v>0.22208302808302816</v>
      </c>
      <c r="P111" s="112">
        <v>3.9974945054945081</v>
      </c>
      <c r="Q111" s="112">
        <v>21.997494505494508</v>
      </c>
      <c r="R111" s="112">
        <v>20017.72</v>
      </c>
      <c r="S111" s="112">
        <v>20017.72</v>
      </c>
      <c r="T111" s="112">
        <v>0</v>
      </c>
      <c r="U111" t="s">
        <v>4382</v>
      </c>
      <c r="V111" t="s">
        <v>4747</v>
      </c>
      <c r="W111" t="s">
        <v>4666</v>
      </c>
      <c r="X111" t="s">
        <v>4667</v>
      </c>
    </row>
    <row r="112" spans="1:24" x14ac:dyDescent="0.2">
      <c r="A112" t="s">
        <v>4748</v>
      </c>
      <c r="B112" t="s">
        <v>103</v>
      </c>
      <c r="C112" t="s">
        <v>1350</v>
      </c>
      <c r="D112" t="s">
        <v>56</v>
      </c>
      <c r="E112" t="s">
        <v>1351</v>
      </c>
      <c r="F112" t="s">
        <v>105</v>
      </c>
      <c r="G112" s="202">
        <v>728</v>
      </c>
      <c r="H112">
        <v>1</v>
      </c>
      <c r="I112" t="s">
        <v>3954</v>
      </c>
      <c r="J112" t="s">
        <v>4715</v>
      </c>
      <c r="K112" t="s">
        <v>1283</v>
      </c>
      <c r="L112" s="204">
        <v>0.42</v>
      </c>
      <c r="M112" s="112">
        <v>24</v>
      </c>
      <c r="N112" s="112">
        <v>10.08</v>
      </c>
      <c r="O112" s="204"/>
      <c r="P112" s="112"/>
      <c r="Q112" s="112"/>
      <c r="R112" s="112"/>
      <c r="S112" s="112"/>
      <c r="T112" s="112"/>
      <c r="U112" t="s">
        <v>4364</v>
      </c>
      <c r="V112" t="s">
        <v>4749</v>
      </c>
      <c r="W112" t="s">
        <v>3958</v>
      </c>
      <c r="X112" t="s">
        <v>4660</v>
      </c>
    </row>
    <row r="113" spans="1:24" x14ac:dyDescent="0.2">
      <c r="A113" t="s">
        <v>4748</v>
      </c>
      <c r="B113" t="s">
        <v>103</v>
      </c>
      <c r="C113" t="s">
        <v>1350</v>
      </c>
      <c r="D113" t="s">
        <v>56</v>
      </c>
      <c r="E113" t="s">
        <v>1351</v>
      </c>
      <c r="F113" t="s">
        <v>105</v>
      </c>
      <c r="G113" s="202">
        <v>728</v>
      </c>
      <c r="H113">
        <v>2</v>
      </c>
      <c r="I113" t="s">
        <v>3960</v>
      </c>
      <c r="J113" t="s">
        <v>4718</v>
      </c>
      <c r="K113" t="s">
        <v>1283</v>
      </c>
      <c r="L113" s="204">
        <v>0.4</v>
      </c>
      <c r="M113" s="112">
        <v>24</v>
      </c>
      <c r="N113" s="112">
        <v>9.6000000000000014</v>
      </c>
      <c r="O113" s="204"/>
      <c r="P113" s="112"/>
      <c r="Q113" s="112"/>
      <c r="R113" s="112"/>
      <c r="S113" s="112"/>
      <c r="T113" s="112"/>
      <c r="U113" t="s">
        <v>4364</v>
      </c>
      <c r="V113" t="s">
        <v>4749</v>
      </c>
      <c r="W113" t="s">
        <v>3958</v>
      </c>
      <c r="X113" t="s">
        <v>4660</v>
      </c>
    </row>
    <row r="114" spans="1:24" x14ac:dyDescent="0.2">
      <c r="A114" t="s">
        <v>4748</v>
      </c>
      <c r="B114" t="s">
        <v>103</v>
      </c>
      <c r="C114" t="s">
        <v>1350</v>
      </c>
      <c r="D114" t="s">
        <v>56</v>
      </c>
      <c r="E114" t="s">
        <v>1351</v>
      </c>
      <c r="F114" t="s">
        <v>105</v>
      </c>
      <c r="G114" s="202">
        <v>728</v>
      </c>
      <c r="H114">
        <v>3</v>
      </c>
      <c r="I114" t="s">
        <v>3976</v>
      </c>
      <c r="J114" t="s">
        <v>4719</v>
      </c>
      <c r="K114" t="s">
        <v>1283</v>
      </c>
      <c r="L114" s="204">
        <v>0.12</v>
      </c>
      <c r="M114" s="112">
        <v>24</v>
      </c>
      <c r="N114" s="112">
        <v>2.88</v>
      </c>
      <c r="O114" s="204"/>
      <c r="P114" s="112"/>
      <c r="Q114" s="112"/>
      <c r="R114" s="112"/>
      <c r="S114" s="112"/>
      <c r="T114" s="112"/>
      <c r="U114" t="s">
        <v>4364</v>
      </c>
      <c r="V114" t="s">
        <v>4749</v>
      </c>
      <c r="W114" t="s">
        <v>3958</v>
      </c>
      <c r="X114" t="s">
        <v>4660</v>
      </c>
    </row>
    <row r="115" spans="1:24" x14ac:dyDescent="0.2">
      <c r="A115" t="s">
        <v>4748</v>
      </c>
      <c r="B115" t="s">
        <v>103</v>
      </c>
      <c r="C115" t="s">
        <v>1350</v>
      </c>
      <c r="D115" t="s">
        <v>56</v>
      </c>
      <c r="E115" t="s">
        <v>1351</v>
      </c>
      <c r="F115" t="s">
        <v>105</v>
      </c>
      <c r="G115" s="202">
        <v>728</v>
      </c>
      <c r="H115">
        <v>4</v>
      </c>
      <c r="I115" t="s">
        <v>4017</v>
      </c>
      <c r="J115" t="s">
        <v>4720</v>
      </c>
      <c r="K115" t="s">
        <v>1283</v>
      </c>
      <c r="L115" s="204">
        <v>0.06</v>
      </c>
      <c r="M115" s="112">
        <v>24</v>
      </c>
      <c r="N115" s="112">
        <v>1.44</v>
      </c>
      <c r="O115" s="204"/>
      <c r="P115" s="112"/>
      <c r="Q115" s="112"/>
      <c r="R115" s="112"/>
      <c r="S115" s="112"/>
      <c r="T115" s="112"/>
      <c r="U115" t="s">
        <v>4364</v>
      </c>
      <c r="V115" t="s">
        <v>4749</v>
      </c>
      <c r="W115" t="s">
        <v>3958</v>
      </c>
      <c r="X115" t="s">
        <v>4660</v>
      </c>
    </row>
    <row r="116" spans="1:24" x14ac:dyDescent="0.2">
      <c r="A116" t="s">
        <v>4748</v>
      </c>
      <c r="B116" t="s">
        <v>103</v>
      </c>
      <c r="C116" t="s">
        <v>1350</v>
      </c>
      <c r="D116" t="s">
        <v>56</v>
      </c>
      <c r="E116" t="s">
        <v>1351</v>
      </c>
      <c r="F116" t="s">
        <v>105</v>
      </c>
      <c r="G116" s="202">
        <v>728</v>
      </c>
      <c r="H116">
        <v>5</v>
      </c>
      <c r="I116" t="s">
        <v>3968</v>
      </c>
      <c r="J116" t="s">
        <v>3969</v>
      </c>
      <c r="K116" t="s">
        <v>105</v>
      </c>
      <c r="L116" s="204">
        <v>1</v>
      </c>
      <c r="M116" s="112"/>
      <c r="N116" s="112">
        <v>24</v>
      </c>
      <c r="O116" s="204">
        <v>0.2221875000000002</v>
      </c>
      <c r="P116" s="112">
        <v>5.3325000000000031</v>
      </c>
      <c r="Q116" s="112">
        <v>29.332500000000003</v>
      </c>
      <c r="R116" s="112">
        <v>21354.06</v>
      </c>
      <c r="S116" s="112">
        <v>21354.06</v>
      </c>
      <c r="T116" s="112">
        <v>0</v>
      </c>
      <c r="U116" t="s">
        <v>4364</v>
      </c>
      <c r="V116" t="s">
        <v>4749</v>
      </c>
      <c r="W116" t="s">
        <v>4666</v>
      </c>
      <c r="X116" t="s">
        <v>4667</v>
      </c>
    </row>
    <row r="117" spans="1:24" x14ac:dyDescent="0.2">
      <c r="A117" t="s">
        <v>4750</v>
      </c>
      <c r="B117" t="s">
        <v>109</v>
      </c>
      <c r="C117" t="s">
        <v>1352</v>
      </c>
      <c r="D117" t="s">
        <v>24</v>
      </c>
      <c r="E117" t="s">
        <v>111</v>
      </c>
      <c r="F117" t="s">
        <v>99</v>
      </c>
      <c r="G117" s="202">
        <v>210</v>
      </c>
      <c r="H117">
        <v>1</v>
      </c>
      <c r="I117" t="s">
        <v>4066</v>
      </c>
      <c r="J117" t="s">
        <v>4657</v>
      </c>
      <c r="K117" t="s">
        <v>1283</v>
      </c>
      <c r="L117" s="204">
        <v>0.75</v>
      </c>
      <c r="M117" s="112">
        <v>114.435</v>
      </c>
      <c r="N117" s="112">
        <v>85.826250000000002</v>
      </c>
      <c r="O117" s="204"/>
      <c r="P117" s="112"/>
      <c r="Q117" s="112"/>
      <c r="R117" s="112"/>
      <c r="S117" s="112"/>
      <c r="T117" s="112"/>
      <c r="U117" t="s">
        <v>4751</v>
      </c>
      <c r="V117" t="s">
        <v>4752</v>
      </c>
      <c r="W117" t="s">
        <v>3958</v>
      </c>
      <c r="X117" t="s">
        <v>4660</v>
      </c>
    </row>
    <row r="118" spans="1:24" x14ac:dyDescent="0.2">
      <c r="A118" t="s">
        <v>4750</v>
      </c>
      <c r="B118" t="s">
        <v>109</v>
      </c>
      <c r="C118" t="s">
        <v>1352</v>
      </c>
      <c r="D118" t="s">
        <v>24</v>
      </c>
      <c r="E118" t="s">
        <v>111</v>
      </c>
      <c r="F118" t="s">
        <v>99</v>
      </c>
      <c r="G118" s="202">
        <v>210</v>
      </c>
      <c r="H118">
        <v>2</v>
      </c>
      <c r="I118" t="s">
        <v>4661</v>
      </c>
      <c r="J118" t="s">
        <v>4662</v>
      </c>
      <c r="K118" t="s">
        <v>1283</v>
      </c>
      <c r="L118" s="204">
        <v>0.1</v>
      </c>
      <c r="M118" s="112">
        <v>114.435</v>
      </c>
      <c r="N118" s="112">
        <v>11.4435</v>
      </c>
      <c r="O118" s="204"/>
      <c r="P118" s="112"/>
      <c r="Q118" s="112"/>
      <c r="R118" s="112"/>
      <c r="S118" s="112"/>
      <c r="T118" s="112"/>
      <c r="U118" t="s">
        <v>4751</v>
      </c>
      <c r="V118" t="s">
        <v>4752</v>
      </c>
      <c r="W118" t="s">
        <v>3958</v>
      </c>
      <c r="X118" t="s">
        <v>4660</v>
      </c>
    </row>
    <row r="119" spans="1:24" x14ac:dyDescent="0.2">
      <c r="A119" t="s">
        <v>4750</v>
      </c>
      <c r="B119" t="s">
        <v>109</v>
      </c>
      <c r="C119" t="s">
        <v>1352</v>
      </c>
      <c r="D119" t="s">
        <v>24</v>
      </c>
      <c r="E119" t="s">
        <v>111</v>
      </c>
      <c r="F119" t="s">
        <v>99</v>
      </c>
      <c r="G119" s="202">
        <v>210</v>
      </c>
      <c r="H119">
        <v>3</v>
      </c>
      <c r="I119" t="s">
        <v>4663</v>
      </c>
      <c r="J119" t="s">
        <v>4664</v>
      </c>
      <c r="K119" t="s">
        <v>1283</v>
      </c>
      <c r="L119" s="204">
        <v>0.1</v>
      </c>
      <c r="M119" s="112">
        <v>114.435</v>
      </c>
      <c r="N119" s="112">
        <v>11.4435</v>
      </c>
      <c r="O119" s="204"/>
      <c r="P119" s="112"/>
      <c r="Q119" s="112"/>
      <c r="R119" s="112"/>
      <c r="S119" s="112"/>
      <c r="T119" s="112"/>
      <c r="U119" t="s">
        <v>4751</v>
      </c>
      <c r="V119" t="s">
        <v>4752</v>
      </c>
      <c r="W119" t="s">
        <v>3958</v>
      </c>
      <c r="X119" t="s">
        <v>4660</v>
      </c>
    </row>
    <row r="120" spans="1:24" x14ac:dyDescent="0.2">
      <c r="A120" t="s">
        <v>4750</v>
      </c>
      <c r="B120" t="s">
        <v>109</v>
      </c>
      <c r="C120" t="s">
        <v>1352</v>
      </c>
      <c r="D120" t="s">
        <v>24</v>
      </c>
      <c r="E120" t="s">
        <v>111</v>
      </c>
      <c r="F120" t="s">
        <v>99</v>
      </c>
      <c r="G120" s="202">
        <v>210</v>
      </c>
      <c r="H120">
        <v>4</v>
      </c>
      <c r="I120" t="s">
        <v>4072</v>
      </c>
      <c r="J120" t="s">
        <v>4665</v>
      </c>
      <c r="K120" t="s">
        <v>1283</v>
      </c>
      <c r="L120" s="204">
        <v>0.05</v>
      </c>
      <c r="M120" s="112">
        <v>114.435</v>
      </c>
      <c r="N120" s="112">
        <v>5.7217500000000001</v>
      </c>
      <c r="O120" s="204"/>
      <c r="P120" s="112"/>
      <c r="Q120" s="112"/>
      <c r="R120" s="112"/>
      <c r="S120" s="112"/>
      <c r="T120" s="112"/>
      <c r="U120" t="s">
        <v>4751</v>
      </c>
      <c r="V120" t="s">
        <v>4752</v>
      </c>
      <c r="W120" t="s">
        <v>3958</v>
      </c>
      <c r="X120" t="s">
        <v>4660</v>
      </c>
    </row>
    <row r="121" spans="1:24" x14ac:dyDescent="0.2">
      <c r="A121" t="s">
        <v>4750</v>
      </c>
      <c r="B121" t="s">
        <v>109</v>
      </c>
      <c r="C121" t="s">
        <v>1352</v>
      </c>
      <c r="D121" t="s">
        <v>24</v>
      </c>
      <c r="E121" t="s">
        <v>111</v>
      </c>
      <c r="F121" t="s">
        <v>99</v>
      </c>
      <c r="G121" s="202">
        <v>210</v>
      </c>
      <c r="H121">
        <v>5</v>
      </c>
      <c r="I121" t="s">
        <v>3968</v>
      </c>
      <c r="J121" t="s">
        <v>3969</v>
      </c>
      <c r="K121" t="s">
        <v>99</v>
      </c>
      <c r="L121" s="204">
        <v>1</v>
      </c>
      <c r="M121" s="112"/>
      <c r="N121" s="112">
        <v>114.435</v>
      </c>
      <c r="O121" s="204">
        <v>0.2222438606237267</v>
      </c>
      <c r="P121" s="112">
        <v>25.432476190476166</v>
      </c>
      <c r="Q121" s="112">
        <v>139.86747619047617</v>
      </c>
      <c r="R121" s="112">
        <v>29372.17</v>
      </c>
      <c r="S121" s="112">
        <v>29372.17</v>
      </c>
      <c r="T121" s="112">
        <v>0</v>
      </c>
      <c r="U121" t="s">
        <v>4751</v>
      </c>
      <c r="V121" t="s">
        <v>4752</v>
      </c>
      <c r="W121" t="s">
        <v>4666</v>
      </c>
      <c r="X121" t="s">
        <v>4667</v>
      </c>
    </row>
    <row r="122" spans="1:24" x14ac:dyDescent="0.2">
      <c r="A122" t="s">
        <v>4753</v>
      </c>
      <c r="B122" t="s">
        <v>112</v>
      </c>
      <c r="C122" t="s">
        <v>1353</v>
      </c>
      <c r="D122" t="s">
        <v>24</v>
      </c>
      <c r="E122" t="s">
        <v>114</v>
      </c>
      <c r="F122" t="s">
        <v>84</v>
      </c>
      <c r="G122" s="202">
        <v>1</v>
      </c>
      <c r="H122">
        <v>1</v>
      </c>
      <c r="I122" t="s">
        <v>4066</v>
      </c>
      <c r="J122" t="s">
        <v>4657</v>
      </c>
      <c r="K122" t="s">
        <v>1283</v>
      </c>
      <c r="L122" s="204">
        <v>0.75</v>
      </c>
      <c r="M122" s="112">
        <v>5141.6099999999997</v>
      </c>
      <c r="N122" s="112">
        <v>3856.2074999999995</v>
      </c>
      <c r="O122" s="204"/>
      <c r="P122" s="112"/>
      <c r="Q122" s="112"/>
      <c r="R122" s="112"/>
      <c r="S122" s="112"/>
      <c r="T122" s="112"/>
      <c r="U122" t="s">
        <v>4754</v>
      </c>
      <c r="V122" t="s">
        <v>4755</v>
      </c>
      <c r="W122" t="s">
        <v>3958</v>
      </c>
      <c r="X122" t="s">
        <v>4660</v>
      </c>
    </row>
    <row r="123" spans="1:24" x14ac:dyDescent="0.2">
      <c r="A123" t="s">
        <v>4753</v>
      </c>
      <c r="B123" t="s">
        <v>112</v>
      </c>
      <c r="C123" t="s">
        <v>1353</v>
      </c>
      <c r="D123" t="s">
        <v>24</v>
      </c>
      <c r="E123" t="s">
        <v>114</v>
      </c>
      <c r="F123" t="s">
        <v>84</v>
      </c>
      <c r="G123" s="202">
        <v>1</v>
      </c>
      <c r="H123">
        <v>2</v>
      </c>
      <c r="I123" t="s">
        <v>4661</v>
      </c>
      <c r="J123" t="s">
        <v>4662</v>
      </c>
      <c r="K123" t="s">
        <v>1283</v>
      </c>
      <c r="L123" s="204">
        <v>0.1</v>
      </c>
      <c r="M123" s="112">
        <v>5141.6099999999997</v>
      </c>
      <c r="N123" s="112">
        <v>514.16099999999994</v>
      </c>
      <c r="O123" s="204"/>
      <c r="P123" s="112"/>
      <c r="Q123" s="112"/>
      <c r="R123" s="112"/>
      <c r="S123" s="112"/>
      <c r="T123" s="112"/>
      <c r="U123" t="s">
        <v>4754</v>
      </c>
      <c r="V123" t="s">
        <v>4755</v>
      </c>
      <c r="W123" t="s">
        <v>3958</v>
      </c>
      <c r="X123" t="s">
        <v>4660</v>
      </c>
    </row>
    <row r="124" spans="1:24" x14ac:dyDescent="0.2">
      <c r="A124" t="s">
        <v>4753</v>
      </c>
      <c r="B124" t="s">
        <v>112</v>
      </c>
      <c r="C124" t="s">
        <v>1353</v>
      </c>
      <c r="D124" t="s">
        <v>24</v>
      </c>
      <c r="E124" t="s">
        <v>114</v>
      </c>
      <c r="F124" t="s">
        <v>84</v>
      </c>
      <c r="G124" s="202">
        <v>1</v>
      </c>
      <c r="H124">
        <v>3</v>
      </c>
      <c r="I124" t="s">
        <v>4663</v>
      </c>
      <c r="J124" t="s">
        <v>4664</v>
      </c>
      <c r="K124" t="s">
        <v>1283</v>
      </c>
      <c r="L124" s="204">
        <v>0.1</v>
      </c>
      <c r="M124" s="112">
        <v>5141.6099999999997</v>
      </c>
      <c r="N124" s="112">
        <v>514.16099999999994</v>
      </c>
      <c r="O124" s="204"/>
      <c r="P124" s="112"/>
      <c r="Q124" s="112"/>
      <c r="R124" s="112"/>
      <c r="S124" s="112"/>
      <c r="T124" s="112"/>
      <c r="U124" t="s">
        <v>4754</v>
      </c>
      <c r="V124" t="s">
        <v>4755</v>
      </c>
      <c r="W124" t="s">
        <v>3958</v>
      </c>
      <c r="X124" t="s">
        <v>4660</v>
      </c>
    </row>
    <row r="125" spans="1:24" x14ac:dyDescent="0.2">
      <c r="A125" t="s">
        <v>4753</v>
      </c>
      <c r="B125" t="s">
        <v>112</v>
      </c>
      <c r="C125" t="s">
        <v>1353</v>
      </c>
      <c r="D125" t="s">
        <v>24</v>
      </c>
      <c r="E125" t="s">
        <v>114</v>
      </c>
      <c r="F125" t="s">
        <v>84</v>
      </c>
      <c r="G125" s="202">
        <v>1</v>
      </c>
      <c r="H125">
        <v>4</v>
      </c>
      <c r="I125" t="s">
        <v>4072</v>
      </c>
      <c r="J125" t="s">
        <v>4665</v>
      </c>
      <c r="K125" t="s">
        <v>1283</v>
      </c>
      <c r="L125" s="204">
        <v>0.05</v>
      </c>
      <c r="M125" s="112">
        <v>5141.6099999999997</v>
      </c>
      <c r="N125" s="112">
        <v>257.08049999999997</v>
      </c>
      <c r="O125" s="204"/>
      <c r="P125" s="112"/>
      <c r="Q125" s="112"/>
      <c r="R125" s="112"/>
      <c r="S125" s="112"/>
      <c r="T125" s="112"/>
      <c r="U125" t="s">
        <v>4754</v>
      </c>
      <c r="V125" t="s">
        <v>4755</v>
      </c>
      <c r="W125" t="s">
        <v>3958</v>
      </c>
      <c r="X125" t="s">
        <v>4660</v>
      </c>
    </row>
    <row r="126" spans="1:24" x14ac:dyDescent="0.2">
      <c r="A126" t="s">
        <v>4753</v>
      </c>
      <c r="B126" t="s">
        <v>112</v>
      </c>
      <c r="C126" t="s">
        <v>1353</v>
      </c>
      <c r="D126" t="s">
        <v>24</v>
      </c>
      <c r="E126" t="s">
        <v>114</v>
      </c>
      <c r="F126" t="s">
        <v>84</v>
      </c>
      <c r="G126" s="202">
        <v>1</v>
      </c>
      <c r="H126">
        <v>5</v>
      </c>
      <c r="I126" t="s">
        <v>3968</v>
      </c>
      <c r="J126" t="s">
        <v>3969</v>
      </c>
      <c r="K126" t="s">
        <v>84</v>
      </c>
      <c r="L126" s="204">
        <v>1</v>
      </c>
      <c r="M126" s="112"/>
      <c r="N126" s="112">
        <v>5141.6099999999997</v>
      </c>
      <c r="O126" s="204">
        <v>0.22229807394959944</v>
      </c>
      <c r="P126" s="112">
        <v>1142.9700000000003</v>
      </c>
      <c r="Q126" s="112">
        <v>6284.58</v>
      </c>
      <c r="R126" s="112">
        <v>6284.58</v>
      </c>
      <c r="S126" s="112">
        <v>6284.58</v>
      </c>
      <c r="T126" s="112">
        <v>0</v>
      </c>
      <c r="U126" t="s">
        <v>4754</v>
      </c>
      <c r="V126" t="s">
        <v>4755</v>
      </c>
      <c r="W126" t="s">
        <v>4666</v>
      </c>
      <c r="X126" t="s">
        <v>4667</v>
      </c>
    </row>
    <row r="127" spans="1:24" x14ac:dyDescent="0.2">
      <c r="A127" t="s">
        <v>4756</v>
      </c>
      <c r="B127" t="s">
        <v>115</v>
      </c>
      <c r="C127" t="s">
        <v>1354</v>
      </c>
      <c r="D127" t="s">
        <v>24</v>
      </c>
      <c r="E127" t="s">
        <v>117</v>
      </c>
      <c r="F127" t="s">
        <v>118</v>
      </c>
      <c r="G127" s="202">
        <v>326.012</v>
      </c>
      <c r="H127">
        <v>1</v>
      </c>
      <c r="I127" t="s">
        <v>4066</v>
      </c>
      <c r="J127" t="s">
        <v>4657</v>
      </c>
      <c r="K127" t="s">
        <v>1283</v>
      </c>
      <c r="L127" s="204">
        <v>0.75</v>
      </c>
      <c r="M127" s="112">
        <v>25.282499999999999</v>
      </c>
      <c r="N127" s="112">
        <v>18.961874999999999</v>
      </c>
      <c r="O127" s="204"/>
      <c r="P127" s="112"/>
      <c r="Q127" s="112"/>
      <c r="R127" s="112"/>
      <c r="S127" s="112"/>
      <c r="T127" s="112"/>
      <c r="U127" t="s">
        <v>4757</v>
      </c>
      <c r="V127" t="s">
        <v>4758</v>
      </c>
      <c r="W127" t="s">
        <v>3958</v>
      </c>
      <c r="X127" t="s">
        <v>4660</v>
      </c>
    </row>
    <row r="128" spans="1:24" x14ac:dyDescent="0.2">
      <c r="A128" t="s">
        <v>4756</v>
      </c>
      <c r="B128" t="s">
        <v>115</v>
      </c>
      <c r="C128" t="s">
        <v>1354</v>
      </c>
      <c r="D128" t="s">
        <v>24</v>
      </c>
      <c r="E128" t="s">
        <v>117</v>
      </c>
      <c r="F128" t="s">
        <v>118</v>
      </c>
      <c r="G128" s="202">
        <v>326.012</v>
      </c>
      <c r="H128">
        <v>2</v>
      </c>
      <c r="I128" t="s">
        <v>4661</v>
      </c>
      <c r="J128" t="s">
        <v>4662</v>
      </c>
      <c r="K128" t="s">
        <v>1283</v>
      </c>
      <c r="L128" s="204">
        <v>0.1</v>
      </c>
      <c r="M128" s="112">
        <v>25.282499999999999</v>
      </c>
      <c r="N128" s="112">
        <v>2.5282499999999999</v>
      </c>
      <c r="O128" s="204"/>
      <c r="P128" s="112"/>
      <c r="Q128" s="112"/>
      <c r="R128" s="112"/>
      <c r="S128" s="112"/>
      <c r="T128" s="112"/>
      <c r="U128" t="s">
        <v>4757</v>
      </c>
      <c r="V128" t="s">
        <v>4758</v>
      </c>
      <c r="W128" t="s">
        <v>3958</v>
      </c>
      <c r="X128" t="s">
        <v>4660</v>
      </c>
    </row>
    <row r="129" spans="1:24" x14ac:dyDescent="0.2">
      <c r="A129" t="s">
        <v>4756</v>
      </c>
      <c r="B129" t="s">
        <v>115</v>
      </c>
      <c r="C129" t="s">
        <v>1354</v>
      </c>
      <c r="D129" t="s">
        <v>24</v>
      </c>
      <c r="E129" t="s">
        <v>117</v>
      </c>
      <c r="F129" t="s">
        <v>118</v>
      </c>
      <c r="G129" s="202">
        <v>326.012</v>
      </c>
      <c r="H129">
        <v>3</v>
      </c>
      <c r="I129" t="s">
        <v>4663</v>
      </c>
      <c r="J129" t="s">
        <v>4664</v>
      </c>
      <c r="K129" t="s">
        <v>1283</v>
      </c>
      <c r="L129" s="204">
        <v>0.1</v>
      </c>
      <c r="M129" s="112">
        <v>25.282499999999999</v>
      </c>
      <c r="N129" s="112">
        <v>2.5282499999999999</v>
      </c>
      <c r="O129" s="204"/>
      <c r="P129" s="112"/>
      <c r="Q129" s="112"/>
      <c r="R129" s="112"/>
      <c r="S129" s="112"/>
      <c r="T129" s="112"/>
      <c r="U129" t="s">
        <v>4757</v>
      </c>
      <c r="V129" t="s">
        <v>4758</v>
      </c>
      <c r="W129" t="s">
        <v>3958</v>
      </c>
      <c r="X129" t="s">
        <v>4660</v>
      </c>
    </row>
    <row r="130" spans="1:24" x14ac:dyDescent="0.2">
      <c r="A130" t="s">
        <v>4756</v>
      </c>
      <c r="B130" t="s">
        <v>115</v>
      </c>
      <c r="C130" t="s">
        <v>1354</v>
      </c>
      <c r="D130" t="s">
        <v>24</v>
      </c>
      <c r="E130" t="s">
        <v>117</v>
      </c>
      <c r="F130" t="s">
        <v>118</v>
      </c>
      <c r="G130" s="202">
        <v>326.012</v>
      </c>
      <c r="H130">
        <v>4</v>
      </c>
      <c r="I130" t="s">
        <v>4072</v>
      </c>
      <c r="J130" t="s">
        <v>4665</v>
      </c>
      <c r="K130" t="s">
        <v>1283</v>
      </c>
      <c r="L130" s="204">
        <v>0.05</v>
      </c>
      <c r="M130" s="112">
        <v>25.282499999999999</v>
      </c>
      <c r="N130" s="112">
        <v>1.2641249999999999</v>
      </c>
      <c r="O130" s="204"/>
      <c r="P130" s="112"/>
      <c r="Q130" s="112"/>
      <c r="R130" s="112"/>
      <c r="S130" s="112"/>
      <c r="T130" s="112"/>
      <c r="U130" t="s">
        <v>4757</v>
      </c>
      <c r="V130" t="s">
        <v>4758</v>
      </c>
      <c r="W130" t="s">
        <v>3958</v>
      </c>
      <c r="X130" t="s">
        <v>4660</v>
      </c>
    </row>
    <row r="131" spans="1:24" x14ac:dyDescent="0.2">
      <c r="A131" t="s">
        <v>4756</v>
      </c>
      <c r="B131" t="s">
        <v>115</v>
      </c>
      <c r="C131" t="s">
        <v>1354</v>
      </c>
      <c r="D131" t="s">
        <v>24</v>
      </c>
      <c r="E131" t="s">
        <v>117</v>
      </c>
      <c r="F131" t="s">
        <v>118</v>
      </c>
      <c r="G131" s="202">
        <v>326.012</v>
      </c>
      <c r="H131">
        <v>5</v>
      </c>
      <c r="I131" t="s">
        <v>3968</v>
      </c>
      <c r="J131" t="s">
        <v>3969</v>
      </c>
      <c r="K131" t="s">
        <v>118</v>
      </c>
      <c r="L131" s="204">
        <v>1</v>
      </c>
      <c r="M131" s="112"/>
      <c r="N131" s="112">
        <v>25.282499999999999</v>
      </c>
      <c r="O131" s="204">
        <v>0.22218916428765367</v>
      </c>
      <c r="P131" s="112">
        <v>5.6174975461026015</v>
      </c>
      <c r="Q131" s="112">
        <v>30.8999975461026</v>
      </c>
      <c r="R131" s="112">
        <v>10073.77</v>
      </c>
      <c r="S131" s="112">
        <v>10073.77</v>
      </c>
      <c r="T131" s="112">
        <v>0</v>
      </c>
      <c r="U131" t="s">
        <v>4757</v>
      </c>
      <c r="V131" t="s">
        <v>4758</v>
      </c>
      <c r="W131" t="s">
        <v>4666</v>
      </c>
      <c r="X131" t="s">
        <v>4667</v>
      </c>
    </row>
    <row r="132" spans="1:24" x14ac:dyDescent="0.2">
      <c r="A132" t="s">
        <v>4759</v>
      </c>
      <c r="B132" t="s">
        <v>121</v>
      </c>
      <c r="C132" t="s">
        <v>1355</v>
      </c>
      <c r="D132" t="s">
        <v>24</v>
      </c>
      <c r="E132" t="s">
        <v>1356</v>
      </c>
      <c r="F132" t="s">
        <v>26</v>
      </c>
      <c r="G132" s="202">
        <v>3990.4189999999999</v>
      </c>
      <c r="H132">
        <v>1</v>
      </c>
      <c r="I132" t="s">
        <v>3954</v>
      </c>
      <c r="J132" t="s">
        <v>4734</v>
      </c>
      <c r="K132" t="s">
        <v>1283</v>
      </c>
      <c r="L132" s="204">
        <v>0.24</v>
      </c>
      <c r="M132" s="112">
        <v>0.48750000000000004</v>
      </c>
      <c r="N132" s="112">
        <v>0.11700000000000001</v>
      </c>
      <c r="O132" s="204"/>
      <c r="P132" s="112"/>
      <c r="Q132" s="112"/>
      <c r="R132" s="112"/>
      <c r="S132" s="112"/>
      <c r="T132" s="112"/>
      <c r="U132" t="s">
        <v>4760</v>
      </c>
      <c r="V132" t="s">
        <v>4761</v>
      </c>
      <c r="W132" t="s">
        <v>3958</v>
      </c>
      <c r="X132" t="s">
        <v>4660</v>
      </c>
    </row>
    <row r="133" spans="1:24" x14ac:dyDescent="0.2">
      <c r="A133" t="s">
        <v>4759</v>
      </c>
      <c r="B133" t="s">
        <v>121</v>
      </c>
      <c r="C133" t="s">
        <v>1355</v>
      </c>
      <c r="D133" t="s">
        <v>24</v>
      </c>
      <c r="E133" t="s">
        <v>1356</v>
      </c>
      <c r="F133" t="s">
        <v>26</v>
      </c>
      <c r="G133" s="202">
        <v>3990.4189999999999</v>
      </c>
      <c r="H133">
        <v>2</v>
      </c>
      <c r="I133" t="s">
        <v>3962</v>
      </c>
      <c r="J133" t="s">
        <v>4737</v>
      </c>
      <c r="K133" t="s">
        <v>1283</v>
      </c>
      <c r="L133" s="204">
        <v>0.46</v>
      </c>
      <c r="M133" s="112">
        <v>0.48750000000000004</v>
      </c>
      <c r="N133" s="112">
        <v>0.22425000000000003</v>
      </c>
      <c r="O133" s="204"/>
      <c r="P133" s="112"/>
      <c r="Q133" s="112"/>
      <c r="R133" s="112"/>
      <c r="S133" s="112"/>
      <c r="T133" s="112"/>
      <c r="U133" t="s">
        <v>4760</v>
      </c>
      <c r="V133" t="s">
        <v>4761</v>
      </c>
      <c r="W133" t="s">
        <v>3958</v>
      </c>
      <c r="X133" t="s">
        <v>4660</v>
      </c>
    </row>
    <row r="134" spans="1:24" x14ac:dyDescent="0.2">
      <c r="A134" t="s">
        <v>4759</v>
      </c>
      <c r="B134" t="s">
        <v>121</v>
      </c>
      <c r="C134" t="s">
        <v>1355</v>
      </c>
      <c r="D134" t="s">
        <v>24</v>
      </c>
      <c r="E134" t="s">
        <v>1356</v>
      </c>
      <c r="F134" t="s">
        <v>26</v>
      </c>
      <c r="G134" s="202">
        <v>3990.4189999999999</v>
      </c>
      <c r="H134">
        <v>3</v>
      </c>
      <c r="I134" t="s">
        <v>4738</v>
      </c>
      <c r="J134" t="s">
        <v>4739</v>
      </c>
      <c r="K134" t="s">
        <v>1283</v>
      </c>
      <c r="L134" s="204">
        <v>0.22</v>
      </c>
      <c r="M134" s="112">
        <v>0.48750000000000004</v>
      </c>
      <c r="N134" s="112">
        <v>0.10725000000000001</v>
      </c>
      <c r="O134" s="204"/>
      <c r="P134" s="112"/>
      <c r="Q134" s="112"/>
      <c r="R134" s="112"/>
      <c r="S134" s="112"/>
      <c r="T134" s="112"/>
      <c r="U134" t="s">
        <v>4760</v>
      </c>
      <c r="V134" t="s">
        <v>4761</v>
      </c>
      <c r="W134" t="s">
        <v>3958</v>
      </c>
      <c r="X134" t="s">
        <v>4660</v>
      </c>
    </row>
    <row r="135" spans="1:24" x14ac:dyDescent="0.2">
      <c r="A135" t="s">
        <v>4759</v>
      </c>
      <c r="B135" t="s">
        <v>121</v>
      </c>
      <c r="C135" t="s">
        <v>1355</v>
      </c>
      <c r="D135" t="s">
        <v>24</v>
      </c>
      <c r="E135" t="s">
        <v>1356</v>
      </c>
      <c r="F135" t="s">
        <v>26</v>
      </c>
      <c r="G135" s="202">
        <v>3990.4189999999999</v>
      </c>
      <c r="H135">
        <v>4</v>
      </c>
      <c r="I135" t="s">
        <v>4740</v>
      </c>
      <c r="J135" t="s">
        <v>4741</v>
      </c>
      <c r="K135" t="s">
        <v>1283</v>
      </c>
      <c r="L135" s="204">
        <v>0.08</v>
      </c>
      <c r="M135" s="112">
        <v>0.48750000000000004</v>
      </c>
      <c r="N135" s="112">
        <v>3.9000000000000007E-2</v>
      </c>
      <c r="O135" s="204"/>
      <c r="P135" s="112"/>
      <c r="Q135" s="112"/>
      <c r="R135" s="112"/>
      <c r="S135" s="112"/>
      <c r="T135" s="112"/>
      <c r="U135" t="s">
        <v>4760</v>
      </c>
      <c r="V135" t="s">
        <v>4761</v>
      </c>
      <c r="W135" t="s">
        <v>3958</v>
      </c>
      <c r="X135" t="s">
        <v>4660</v>
      </c>
    </row>
    <row r="136" spans="1:24" x14ac:dyDescent="0.2">
      <c r="A136" t="s">
        <v>4759</v>
      </c>
      <c r="B136" t="s">
        <v>121</v>
      </c>
      <c r="C136" t="s">
        <v>1355</v>
      </c>
      <c r="D136" t="s">
        <v>24</v>
      </c>
      <c r="E136" t="s">
        <v>1356</v>
      </c>
      <c r="F136" t="s">
        <v>26</v>
      </c>
      <c r="G136" s="202">
        <v>3990.4189999999999</v>
      </c>
      <c r="H136">
        <v>5</v>
      </c>
      <c r="I136" t="s">
        <v>3968</v>
      </c>
      <c r="J136" t="s">
        <v>3969</v>
      </c>
      <c r="K136" t="s">
        <v>26</v>
      </c>
      <c r="L136" s="204">
        <v>1</v>
      </c>
      <c r="M136" s="112"/>
      <c r="N136" s="112">
        <v>0.48750000000000004</v>
      </c>
      <c r="O136" s="204">
        <v>0.21538294086089205</v>
      </c>
      <c r="P136" s="112">
        <v>0.10499918366968486</v>
      </c>
      <c r="Q136" s="112">
        <v>0.5924991836696849</v>
      </c>
      <c r="R136" s="112">
        <v>2364.3200000000002</v>
      </c>
      <c r="S136" s="112">
        <v>2364.3200000000002</v>
      </c>
      <c r="T136" s="112">
        <v>0</v>
      </c>
      <c r="U136" t="s">
        <v>4760</v>
      </c>
      <c r="V136" t="s">
        <v>4761</v>
      </c>
      <c r="W136" t="s">
        <v>4666</v>
      </c>
      <c r="X136" t="s">
        <v>4667</v>
      </c>
    </row>
    <row r="137" spans="1:24" x14ac:dyDescent="0.2">
      <c r="A137" t="s">
        <v>4762</v>
      </c>
      <c r="B137" t="s">
        <v>124</v>
      </c>
      <c r="C137" t="s">
        <v>1357</v>
      </c>
      <c r="D137" t="s">
        <v>24</v>
      </c>
      <c r="E137" t="s">
        <v>1358</v>
      </c>
      <c r="F137" t="s">
        <v>26</v>
      </c>
      <c r="G137" s="202">
        <v>3990.4189999999999</v>
      </c>
      <c r="H137">
        <v>1</v>
      </c>
      <c r="I137" t="s">
        <v>3954</v>
      </c>
      <c r="J137" t="s">
        <v>4734</v>
      </c>
      <c r="K137" t="s">
        <v>1283</v>
      </c>
      <c r="L137" s="204">
        <v>0.24</v>
      </c>
      <c r="M137" s="112">
        <v>1.4175</v>
      </c>
      <c r="N137" s="112">
        <v>0.3402</v>
      </c>
      <c r="O137" s="204"/>
      <c r="P137" s="112"/>
      <c r="Q137" s="112"/>
      <c r="R137" s="112"/>
      <c r="S137" s="112"/>
      <c r="T137" s="112"/>
      <c r="U137" t="s">
        <v>4763</v>
      </c>
      <c r="V137" t="s">
        <v>4764</v>
      </c>
      <c r="W137" t="s">
        <v>3958</v>
      </c>
      <c r="X137" t="s">
        <v>4660</v>
      </c>
    </row>
    <row r="138" spans="1:24" x14ac:dyDescent="0.2">
      <c r="A138" t="s">
        <v>4762</v>
      </c>
      <c r="B138" t="s">
        <v>124</v>
      </c>
      <c r="C138" t="s">
        <v>1357</v>
      </c>
      <c r="D138" t="s">
        <v>24</v>
      </c>
      <c r="E138" t="s">
        <v>1358</v>
      </c>
      <c r="F138" t="s">
        <v>26</v>
      </c>
      <c r="G138" s="202">
        <v>3990.4189999999999</v>
      </c>
      <c r="H138">
        <v>2</v>
      </c>
      <c r="I138" t="s">
        <v>3962</v>
      </c>
      <c r="J138" t="s">
        <v>4737</v>
      </c>
      <c r="K138" t="s">
        <v>1283</v>
      </c>
      <c r="L138" s="204">
        <v>0.46</v>
      </c>
      <c r="M138" s="112">
        <v>1.4175</v>
      </c>
      <c r="N138" s="112">
        <v>0.65205000000000002</v>
      </c>
      <c r="O138" s="204"/>
      <c r="P138" s="112"/>
      <c r="Q138" s="112"/>
      <c r="R138" s="112"/>
      <c r="S138" s="112"/>
      <c r="T138" s="112"/>
      <c r="U138" t="s">
        <v>4763</v>
      </c>
      <c r="V138" t="s">
        <v>4764</v>
      </c>
      <c r="W138" t="s">
        <v>3958</v>
      </c>
      <c r="X138" t="s">
        <v>4660</v>
      </c>
    </row>
    <row r="139" spans="1:24" x14ac:dyDescent="0.2">
      <c r="A139" t="s">
        <v>4762</v>
      </c>
      <c r="B139" t="s">
        <v>124</v>
      </c>
      <c r="C139" t="s">
        <v>1357</v>
      </c>
      <c r="D139" t="s">
        <v>24</v>
      </c>
      <c r="E139" t="s">
        <v>1358</v>
      </c>
      <c r="F139" t="s">
        <v>26</v>
      </c>
      <c r="G139" s="202">
        <v>3990.4189999999999</v>
      </c>
      <c r="H139">
        <v>3</v>
      </c>
      <c r="I139" t="s">
        <v>4738</v>
      </c>
      <c r="J139" t="s">
        <v>4739</v>
      </c>
      <c r="K139" t="s">
        <v>1283</v>
      </c>
      <c r="L139" s="204">
        <v>0.22</v>
      </c>
      <c r="M139" s="112">
        <v>1.4175</v>
      </c>
      <c r="N139" s="112">
        <v>0.31185000000000002</v>
      </c>
      <c r="O139" s="204"/>
      <c r="P139" s="112"/>
      <c r="Q139" s="112"/>
      <c r="R139" s="112"/>
      <c r="S139" s="112"/>
      <c r="T139" s="112"/>
      <c r="U139" t="s">
        <v>4763</v>
      </c>
      <c r="V139" t="s">
        <v>4764</v>
      </c>
      <c r="W139" t="s">
        <v>3958</v>
      </c>
      <c r="X139" t="s">
        <v>4660</v>
      </c>
    </row>
    <row r="140" spans="1:24" x14ac:dyDescent="0.2">
      <c r="A140" t="s">
        <v>4762</v>
      </c>
      <c r="B140" t="s">
        <v>124</v>
      </c>
      <c r="C140" t="s">
        <v>1357</v>
      </c>
      <c r="D140" t="s">
        <v>24</v>
      </c>
      <c r="E140" t="s">
        <v>1358</v>
      </c>
      <c r="F140" t="s">
        <v>26</v>
      </c>
      <c r="G140" s="202">
        <v>3990.4189999999999</v>
      </c>
      <c r="H140">
        <v>4</v>
      </c>
      <c r="I140" t="s">
        <v>4740</v>
      </c>
      <c r="J140" t="s">
        <v>4741</v>
      </c>
      <c r="K140" t="s">
        <v>1283</v>
      </c>
      <c r="L140" s="204">
        <v>0.08</v>
      </c>
      <c r="M140" s="112">
        <v>1.4175</v>
      </c>
      <c r="N140" s="112">
        <v>0.1134</v>
      </c>
      <c r="O140" s="204"/>
      <c r="P140" s="112"/>
      <c r="Q140" s="112"/>
      <c r="R140" s="112"/>
      <c r="S140" s="112"/>
      <c r="T140" s="112"/>
      <c r="U140" t="s">
        <v>4763</v>
      </c>
      <c r="V140" t="s">
        <v>4764</v>
      </c>
      <c r="W140" t="s">
        <v>3958</v>
      </c>
      <c r="X140" t="s">
        <v>4660</v>
      </c>
    </row>
    <row r="141" spans="1:24" x14ac:dyDescent="0.2">
      <c r="A141" t="s">
        <v>4762</v>
      </c>
      <c r="B141" t="s">
        <v>124</v>
      </c>
      <c r="C141" t="s">
        <v>1357</v>
      </c>
      <c r="D141" t="s">
        <v>24</v>
      </c>
      <c r="E141" t="s">
        <v>1358</v>
      </c>
      <c r="F141" t="s">
        <v>26</v>
      </c>
      <c r="G141" s="202">
        <v>3990.4189999999999</v>
      </c>
      <c r="H141">
        <v>5</v>
      </c>
      <c r="I141" t="s">
        <v>3968</v>
      </c>
      <c r="J141" t="s">
        <v>3969</v>
      </c>
      <c r="K141" t="s">
        <v>26</v>
      </c>
      <c r="L141" s="204">
        <v>1</v>
      </c>
      <c r="M141" s="112"/>
      <c r="N141" s="112">
        <v>1.4175</v>
      </c>
      <c r="O141" s="204">
        <v>0.22222206001712186</v>
      </c>
      <c r="P141" s="112">
        <v>0.31499977007427038</v>
      </c>
      <c r="Q141" s="112">
        <v>1.7324997700742704</v>
      </c>
      <c r="R141" s="112">
        <v>6913.4</v>
      </c>
      <c r="S141" s="112">
        <v>6913.4</v>
      </c>
      <c r="T141" s="112">
        <v>0</v>
      </c>
      <c r="U141" t="s">
        <v>4763</v>
      </c>
      <c r="V141" t="s">
        <v>4764</v>
      </c>
      <c r="W141" t="s">
        <v>4666</v>
      </c>
      <c r="X141" t="s">
        <v>4667</v>
      </c>
    </row>
    <row r="142" spans="1:24" x14ac:dyDescent="0.2">
      <c r="A142" t="s">
        <v>4765</v>
      </c>
      <c r="B142" t="s">
        <v>127</v>
      </c>
      <c r="C142" t="s">
        <v>1359</v>
      </c>
      <c r="D142" t="s">
        <v>24</v>
      </c>
      <c r="E142" t="s">
        <v>129</v>
      </c>
      <c r="F142" t="s">
        <v>99</v>
      </c>
      <c r="G142" s="202">
        <v>200.69</v>
      </c>
      <c r="H142">
        <v>1</v>
      </c>
      <c r="I142" t="s">
        <v>3954</v>
      </c>
      <c r="J142" t="s">
        <v>4110</v>
      </c>
      <c r="K142" t="s">
        <v>1283</v>
      </c>
      <c r="L142" s="204">
        <v>0.3</v>
      </c>
      <c r="M142" s="112">
        <v>20.745000000000001</v>
      </c>
      <c r="N142" s="112">
        <v>6.2235000000000005</v>
      </c>
      <c r="O142" s="204"/>
      <c r="P142" s="112"/>
      <c r="Q142" s="112"/>
      <c r="R142" s="112"/>
      <c r="S142" s="112"/>
      <c r="T142" s="112"/>
      <c r="U142" t="s">
        <v>4766</v>
      </c>
      <c r="V142" t="s">
        <v>4767</v>
      </c>
      <c r="W142" t="s">
        <v>3958</v>
      </c>
      <c r="X142" t="s">
        <v>4660</v>
      </c>
    </row>
    <row r="143" spans="1:24" x14ac:dyDescent="0.2">
      <c r="A143" t="s">
        <v>4765</v>
      </c>
      <c r="B143" t="s">
        <v>127</v>
      </c>
      <c r="C143" t="s">
        <v>1359</v>
      </c>
      <c r="D143" t="s">
        <v>24</v>
      </c>
      <c r="E143" t="s">
        <v>129</v>
      </c>
      <c r="F143" t="s">
        <v>99</v>
      </c>
      <c r="G143" s="202">
        <v>200.69</v>
      </c>
      <c r="H143">
        <v>2</v>
      </c>
      <c r="I143" t="s">
        <v>3960</v>
      </c>
      <c r="J143" t="s">
        <v>4113</v>
      </c>
      <c r="K143" t="s">
        <v>1283</v>
      </c>
      <c r="L143" s="204">
        <v>0.55000000000000004</v>
      </c>
      <c r="M143" s="112">
        <v>20.745000000000001</v>
      </c>
      <c r="N143" s="112">
        <v>11.409750000000001</v>
      </c>
      <c r="O143" s="204"/>
      <c r="P143" s="112"/>
      <c r="Q143" s="112"/>
      <c r="R143" s="112"/>
      <c r="S143" s="112"/>
      <c r="T143" s="112"/>
      <c r="U143" t="s">
        <v>4766</v>
      </c>
      <c r="V143" t="s">
        <v>4767</v>
      </c>
      <c r="W143" t="s">
        <v>3958</v>
      </c>
      <c r="X143" t="s">
        <v>4660</v>
      </c>
    </row>
    <row r="144" spans="1:24" x14ac:dyDescent="0.2">
      <c r="A144" t="s">
        <v>4765</v>
      </c>
      <c r="B144" t="s">
        <v>127</v>
      </c>
      <c r="C144" t="s">
        <v>1359</v>
      </c>
      <c r="D144" t="s">
        <v>24</v>
      </c>
      <c r="E144" t="s">
        <v>129</v>
      </c>
      <c r="F144" t="s">
        <v>99</v>
      </c>
      <c r="G144" s="202">
        <v>200.69</v>
      </c>
      <c r="H144">
        <v>3</v>
      </c>
      <c r="I144" t="s">
        <v>3976</v>
      </c>
      <c r="J144" t="s">
        <v>4114</v>
      </c>
      <c r="K144" t="s">
        <v>1283</v>
      </c>
      <c r="L144" s="204">
        <v>0.1</v>
      </c>
      <c r="M144" s="112">
        <v>20.745000000000001</v>
      </c>
      <c r="N144" s="112">
        <v>2.0745</v>
      </c>
      <c r="O144" s="204"/>
      <c r="P144" s="112"/>
      <c r="Q144" s="112"/>
      <c r="R144" s="112"/>
      <c r="S144" s="112"/>
      <c r="T144" s="112"/>
      <c r="U144" t="s">
        <v>4766</v>
      </c>
      <c r="V144" t="s">
        <v>4767</v>
      </c>
      <c r="W144" t="s">
        <v>3958</v>
      </c>
      <c r="X144" t="s">
        <v>4660</v>
      </c>
    </row>
    <row r="145" spans="1:24" x14ac:dyDescent="0.2">
      <c r="A145" t="s">
        <v>4765</v>
      </c>
      <c r="B145" t="s">
        <v>127</v>
      </c>
      <c r="C145" t="s">
        <v>1359</v>
      </c>
      <c r="D145" t="s">
        <v>24</v>
      </c>
      <c r="E145" t="s">
        <v>129</v>
      </c>
      <c r="F145" t="s">
        <v>99</v>
      </c>
      <c r="G145" s="202">
        <v>200.69</v>
      </c>
      <c r="H145">
        <v>4</v>
      </c>
      <c r="I145" t="s">
        <v>4017</v>
      </c>
      <c r="J145" t="s">
        <v>4115</v>
      </c>
      <c r="K145" t="s">
        <v>1283</v>
      </c>
      <c r="L145" s="204">
        <v>0.05</v>
      </c>
      <c r="M145" s="112">
        <v>20.745000000000001</v>
      </c>
      <c r="N145" s="112">
        <v>1.03725</v>
      </c>
      <c r="O145" s="204"/>
      <c r="P145" s="112"/>
      <c r="Q145" s="112"/>
      <c r="R145" s="112"/>
      <c r="S145" s="112"/>
      <c r="T145" s="112"/>
      <c r="U145" t="s">
        <v>4766</v>
      </c>
      <c r="V145" t="s">
        <v>4767</v>
      </c>
      <c r="W145" t="s">
        <v>3958</v>
      </c>
      <c r="X145" t="s">
        <v>4660</v>
      </c>
    </row>
    <row r="146" spans="1:24" x14ac:dyDescent="0.2">
      <c r="A146" t="s">
        <v>4765</v>
      </c>
      <c r="B146" t="s">
        <v>127</v>
      </c>
      <c r="C146" t="s">
        <v>1359</v>
      </c>
      <c r="D146" t="s">
        <v>24</v>
      </c>
      <c r="E146" t="s">
        <v>129</v>
      </c>
      <c r="F146" t="s">
        <v>99</v>
      </c>
      <c r="G146" s="202">
        <v>200.69</v>
      </c>
      <c r="H146">
        <v>5</v>
      </c>
      <c r="I146" t="s">
        <v>3968</v>
      </c>
      <c r="J146" t="s">
        <v>3969</v>
      </c>
      <c r="K146" t="s">
        <v>99</v>
      </c>
      <c r="L146" s="204">
        <v>1</v>
      </c>
      <c r="M146" s="112"/>
      <c r="N146" s="112">
        <v>20.745000000000001</v>
      </c>
      <c r="O146" s="204">
        <v>0.22198083999932705</v>
      </c>
      <c r="P146" s="112">
        <v>4.604992525786038</v>
      </c>
      <c r="Q146" s="112">
        <v>25.349992525786039</v>
      </c>
      <c r="R146" s="112">
        <v>5087.49</v>
      </c>
      <c r="S146" s="112">
        <v>5087.49</v>
      </c>
      <c r="T146" s="112">
        <v>0</v>
      </c>
      <c r="U146" t="s">
        <v>4766</v>
      </c>
      <c r="V146" t="s">
        <v>4767</v>
      </c>
      <c r="W146" t="s">
        <v>4666</v>
      </c>
      <c r="X146" t="s">
        <v>4667</v>
      </c>
    </row>
    <row r="147" spans="1:24" x14ac:dyDescent="0.2">
      <c r="A147" t="s">
        <v>4768</v>
      </c>
      <c r="B147" t="s">
        <v>130</v>
      </c>
      <c r="C147" t="s">
        <v>1360</v>
      </c>
      <c r="D147" t="s">
        <v>24</v>
      </c>
      <c r="E147" t="s">
        <v>132</v>
      </c>
      <c r="F147" t="s">
        <v>84</v>
      </c>
      <c r="G147" s="202">
        <v>23</v>
      </c>
      <c r="H147">
        <v>1</v>
      </c>
      <c r="I147" t="s">
        <v>3954</v>
      </c>
      <c r="J147" t="s">
        <v>4734</v>
      </c>
      <c r="K147" t="s">
        <v>1283</v>
      </c>
      <c r="L147" s="204">
        <v>0.24</v>
      </c>
      <c r="M147" s="112">
        <v>474.255</v>
      </c>
      <c r="N147" s="112">
        <v>113.82119999999999</v>
      </c>
      <c r="O147" s="204"/>
      <c r="P147" s="112"/>
      <c r="Q147" s="112"/>
      <c r="R147" s="112"/>
      <c r="S147" s="112"/>
      <c r="T147" s="112"/>
      <c r="U147" t="s">
        <v>4769</v>
      </c>
      <c r="V147" t="s">
        <v>4770</v>
      </c>
      <c r="W147" t="s">
        <v>3958</v>
      </c>
      <c r="X147" t="s">
        <v>4660</v>
      </c>
    </row>
    <row r="148" spans="1:24" x14ac:dyDescent="0.2">
      <c r="A148" t="s">
        <v>4768</v>
      </c>
      <c r="B148" t="s">
        <v>130</v>
      </c>
      <c r="C148" t="s">
        <v>1360</v>
      </c>
      <c r="D148" t="s">
        <v>24</v>
      </c>
      <c r="E148" t="s">
        <v>132</v>
      </c>
      <c r="F148" t="s">
        <v>84</v>
      </c>
      <c r="G148" s="202">
        <v>23</v>
      </c>
      <c r="H148">
        <v>2</v>
      </c>
      <c r="I148" t="s">
        <v>3962</v>
      </c>
      <c r="J148" t="s">
        <v>4737</v>
      </c>
      <c r="K148" t="s">
        <v>1283</v>
      </c>
      <c r="L148" s="204">
        <v>0.46</v>
      </c>
      <c r="M148" s="112">
        <v>474.255</v>
      </c>
      <c r="N148" s="112">
        <v>218.15730000000002</v>
      </c>
      <c r="O148" s="204"/>
      <c r="P148" s="112"/>
      <c r="Q148" s="112"/>
      <c r="R148" s="112"/>
      <c r="S148" s="112"/>
      <c r="T148" s="112"/>
      <c r="U148" t="s">
        <v>4769</v>
      </c>
      <c r="V148" t="s">
        <v>4770</v>
      </c>
      <c r="W148" t="s">
        <v>3958</v>
      </c>
      <c r="X148" t="s">
        <v>4660</v>
      </c>
    </row>
    <row r="149" spans="1:24" x14ac:dyDescent="0.2">
      <c r="A149" t="s">
        <v>4768</v>
      </c>
      <c r="B149" t="s">
        <v>130</v>
      </c>
      <c r="C149" t="s">
        <v>1360</v>
      </c>
      <c r="D149" t="s">
        <v>24</v>
      </c>
      <c r="E149" t="s">
        <v>132</v>
      </c>
      <c r="F149" t="s">
        <v>84</v>
      </c>
      <c r="G149" s="202">
        <v>23</v>
      </c>
      <c r="H149">
        <v>3</v>
      </c>
      <c r="I149" t="s">
        <v>4738</v>
      </c>
      <c r="J149" t="s">
        <v>4739</v>
      </c>
      <c r="K149" t="s">
        <v>1283</v>
      </c>
      <c r="L149" s="204">
        <v>0.22</v>
      </c>
      <c r="M149" s="112">
        <v>474.255</v>
      </c>
      <c r="N149" s="112">
        <v>104.3361</v>
      </c>
      <c r="O149" s="204"/>
      <c r="P149" s="112"/>
      <c r="Q149" s="112"/>
      <c r="R149" s="112"/>
      <c r="S149" s="112"/>
      <c r="T149" s="112"/>
      <c r="U149" t="s">
        <v>4769</v>
      </c>
      <c r="V149" t="s">
        <v>4770</v>
      </c>
      <c r="W149" t="s">
        <v>3958</v>
      </c>
      <c r="X149" t="s">
        <v>4660</v>
      </c>
    </row>
    <row r="150" spans="1:24" x14ac:dyDescent="0.2">
      <c r="A150" t="s">
        <v>4768</v>
      </c>
      <c r="B150" t="s">
        <v>130</v>
      </c>
      <c r="C150" t="s">
        <v>1360</v>
      </c>
      <c r="D150" t="s">
        <v>24</v>
      </c>
      <c r="E150" t="s">
        <v>132</v>
      </c>
      <c r="F150" t="s">
        <v>84</v>
      </c>
      <c r="G150" s="202">
        <v>23</v>
      </c>
      <c r="H150">
        <v>4</v>
      </c>
      <c r="I150" t="s">
        <v>4740</v>
      </c>
      <c r="J150" t="s">
        <v>4741</v>
      </c>
      <c r="K150" t="s">
        <v>1283</v>
      </c>
      <c r="L150" s="204">
        <v>0.08</v>
      </c>
      <c r="M150" s="112">
        <v>474.255</v>
      </c>
      <c r="N150" s="112">
        <v>37.940400000000004</v>
      </c>
      <c r="O150" s="204"/>
      <c r="P150" s="112"/>
      <c r="Q150" s="112"/>
      <c r="R150" s="112"/>
      <c r="S150" s="112"/>
      <c r="T150" s="112"/>
      <c r="U150" t="s">
        <v>4769</v>
      </c>
      <c r="V150" t="s">
        <v>4770</v>
      </c>
      <c r="W150" t="s">
        <v>3958</v>
      </c>
      <c r="X150" t="s">
        <v>4660</v>
      </c>
    </row>
    <row r="151" spans="1:24" x14ac:dyDescent="0.2">
      <c r="A151" t="s">
        <v>4768</v>
      </c>
      <c r="B151" t="s">
        <v>130</v>
      </c>
      <c r="C151" t="s">
        <v>1360</v>
      </c>
      <c r="D151" t="s">
        <v>24</v>
      </c>
      <c r="E151" t="s">
        <v>132</v>
      </c>
      <c r="F151" t="s">
        <v>84</v>
      </c>
      <c r="G151" s="202">
        <v>23</v>
      </c>
      <c r="H151">
        <v>5</v>
      </c>
      <c r="I151" t="s">
        <v>3968</v>
      </c>
      <c r="J151" t="s">
        <v>3969</v>
      </c>
      <c r="K151" t="s">
        <v>84</v>
      </c>
      <c r="L151" s="204">
        <v>1</v>
      </c>
      <c r="M151" s="112"/>
      <c r="N151" s="112">
        <v>474.255</v>
      </c>
      <c r="O151" s="204">
        <v>0.22228502094589553</v>
      </c>
      <c r="P151" s="112">
        <v>105.41978260869564</v>
      </c>
      <c r="Q151" s="112">
        <v>579.67478260869564</v>
      </c>
      <c r="R151" s="112">
        <v>13332.52</v>
      </c>
      <c r="S151" s="112">
        <v>13332.52</v>
      </c>
      <c r="T151" s="112">
        <v>0</v>
      </c>
      <c r="U151" t="s">
        <v>4769</v>
      </c>
      <c r="V151" t="s">
        <v>4770</v>
      </c>
      <c r="W151" t="s">
        <v>4666</v>
      </c>
      <c r="X151" t="s">
        <v>4667</v>
      </c>
    </row>
    <row r="152" spans="1:24" x14ac:dyDescent="0.2">
      <c r="A152" t="s">
        <v>4771</v>
      </c>
      <c r="B152" t="s">
        <v>133</v>
      </c>
      <c r="C152" t="s">
        <v>1361</v>
      </c>
      <c r="D152" t="s">
        <v>24</v>
      </c>
      <c r="E152" t="s">
        <v>135</v>
      </c>
      <c r="F152" t="s">
        <v>84</v>
      </c>
      <c r="G152" s="202">
        <v>13</v>
      </c>
      <c r="H152">
        <v>1</v>
      </c>
      <c r="I152" t="s">
        <v>3954</v>
      </c>
      <c r="J152" t="s">
        <v>4734</v>
      </c>
      <c r="K152" t="s">
        <v>1283</v>
      </c>
      <c r="L152" s="204">
        <v>0.24</v>
      </c>
      <c r="M152" s="112">
        <v>22.605</v>
      </c>
      <c r="N152" s="112">
        <v>5.4252000000000002</v>
      </c>
      <c r="O152" s="204"/>
      <c r="P152" s="112"/>
      <c r="Q152" s="112"/>
      <c r="R152" s="112"/>
      <c r="S152" s="112"/>
      <c r="T152" s="112"/>
      <c r="U152" t="s">
        <v>4772</v>
      </c>
      <c r="V152" t="s">
        <v>4773</v>
      </c>
      <c r="W152" t="s">
        <v>3958</v>
      </c>
      <c r="X152" t="s">
        <v>4660</v>
      </c>
    </row>
    <row r="153" spans="1:24" x14ac:dyDescent="0.2">
      <c r="A153" t="s">
        <v>4771</v>
      </c>
      <c r="B153" t="s">
        <v>133</v>
      </c>
      <c r="C153" t="s">
        <v>1361</v>
      </c>
      <c r="D153" t="s">
        <v>24</v>
      </c>
      <c r="E153" t="s">
        <v>135</v>
      </c>
      <c r="F153" t="s">
        <v>84</v>
      </c>
      <c r="G153" s="202">
        <v>13</v>
      </c>
      <c r="H153">
        <v>2</v>
      </c>
      <c r="I153" t="s">
        <v>3962</v>
      </c>
      <c r="J153" t="s">
        <v>4737</v>
      </c>
      <c r="K153" t="s">
        <v>1283</v>
      </c>
      <c r="L153" s="204">
        <v>0.46</v>
      </c>
      <c r="M153" s="112">
        <v>22.605</v>
      </c>
      <c r="N153" s="112">
        <v>10.398300000000001</v>
      </c>
      <c r="O153" s="204"/>
      <c r="P153" s="112"/>
      <c r="Q153" s="112"/>
      <c r="R153" s="112"/>
      <c r="S153" s="112"/>
      <c r="T153" s="112"/>
      <c r="U153" t="s">
        <v>4772</v>
      </c>
      <c r="V153" t="s">
        <v>4773</v>
      </c>
      <c r="W153" t="s">
        <v>3958</v>
      </c>
      <c r="X153" t="s">
        <v>4660</v>
      </c>
    </row>
    <row r="154" spans="1:24" x14ac:dyDescent="0.2">
      <c r="A154" t="s">
        <v>4771</v>
      </c>
      <c r="B154" t="s">
        <v>133</v>
      </c>
      <c r="C154" t="s">
        <v>1361</v>
      </c>
      <c r="D154" t="s">
        <v>24</v>
      </c>
      <c r="E154" t="s">
        <v>135</v>
      </c>
      <c r="F154" t="s">
        <v>84</v>
      </c>
      <c r="G154" s="202">
        <v>13</v>
      </c>
      <c r="H154">
        <v>3</v>
      </c>
      <c r="I154" t="s">
        <v>4738</v>
      </c>
      <c r="J154" t="s">
        <v>4739</v>
      </c>
      <c r="K154" t="s">
        <v>1283</v>
      </c>
      <c r="L154" s="204">
        <v>0.22</v>
      </c>
      <c r="M154" s="112">
        <v>22.605</v>
      </c>
      <c r="N154" s="112">
        <v>4.9731000000000005</v>
      </c>
      <c r="O154" s="204"/>
      <c r="P154" s="112"/>
      <c r="Q154" s="112"/>
      <c r="R154" s="112"/>
      <c r="S154" s="112"/>
      <c r="T154" s="112"/>
      <c r="U154" t="s">
        <v>4772</v>
      </c>
      <c r="V154" t="s">
        <v>4773</v>
      </c>
      <c r="W154" t="s">
        <v>3958</v>
      </c>
      <c r="X154" t="s">
        <v>4660</v>
      </c>
    </row>
    <row r="155" spans="1:24" x14ac:dyDescent="0.2">
      <c r="A155" t="s">
        <v>4771</v>
      </c>
      <c r="B155" t="s">
        <v>133</v>
      </c>
      <c r="C155" t="s">
        <v>1361</v>
      </c>
      <c r="D155" t="s">
        <v>24</v>
      </c>
      <c r="E155" t="s">
        <v>135</v>
      </c>
      <c r="F155" t="s">
        <v>84</v>
      </c>
      <c r="G155" s="202">
        <v>13</v>
      </c>
      <c r="H155">
        <v>4</v>
      </c>
      <c r="I155" t="s">
        <v>4740</v>
      </c>
      <c r="J155" t="s">
        <v>4741</v>
      </c>
      <c r="K155" t="s">
        <v>1283</v>
      </c>
      <c r="L155" s="204">
        <v>0.08</v>
      </c>
      <c r="M155" s="112">
        <v>22.605</v>
      </c>
      <c r="N155" s="112">
        <v>1.8084</v>
      </c>
      <c r="O155" s="204"/>
      <c r="P155" s="112"/>
      <c r="Q155" s="112"/>
      <c r="R155" s="112"/>
      <c r="S155" s="112"/>
      <c r="T155" s="112"/>
      <c r="U155" t="s">
        <v>4772</v>
      </c>
      <c r="V155" t="s">
        <v>4773</v>
      </c>
      <c r="W155" t="s">
        <v>3958</v>
      </c>
      <c r="X155" t="s">
        <v>4660</v>
      </c>
    </row>
    <row r="156" spans="1:24" x14ac:dyDescent="0.2">
      <c r="A156" t="s">
        <v>4771</v>
      </c>
      <c r="B156" t="s">
        <v>133</v>
      </c>
      <c r="C156" t="s">
        <v>1361</v>
      </c>
      <c r="D156" t="s">
        <v>24</v>
      </c>
      <c r="E156" t="s">
        <v>135</v>
      </c>
      <c r="F156" t="s">
        <v>84</v>
      </c>
      <c r="G156" s="202">
        <v>13</v>
      </c>
      <c r="H156">
        <v>5</v>
      </c>
      <c r="I156" t="s">
        <v>3968</v>
      </c>
      <c r="J156" t="s">
        <v>3969</v>
      </c>
      <c r="K156" t="s">
        <v>84</v>
      </c>
      <c r="L156" s="204">
        <v>1</v>
      </c>
      <c r="M156" s="112"/>
      <c r="N156" s="112">
        <v>22.605</v>
      </c>
      <c r="O156" s="204">
        <v>0.2222959522229595</v>
      </c>
      <c r="P156" s="112">
        <v>5.0249999999999986</v>
      </c>
      <c r="Q156" s="112">
        <v>27.63</v>
      </c>
      <c r="R156" s="112">
        <v>359.19</v>
      </c>
      <c r="S156" s="112">
        <v>359.19</v>
      </c>
      <c r="T156" s="112">
        <v>0</v>
      </c>
      <c r="U156" t="s">
        <v>4772</v>
      </c>
      <c r="V156" t="s">
        <v>4773</v>
      </c>
      <c r="W156" t="s">
        <v>4666</v>
      </c>
      <c r="X156" t="s">
        <v>4667</v>
      </c>
    </row>
    <row r="157" spans="1:24" x14ac:dyDescent="0.2">
      <c r="A157" t="s">
        <v>4774</v>
      </c>
      <c r="B157" t="s">
        <v>138</v>
      </c>
      <c r="C157" t="s">
        <v>1362</v>
      </c>
      <c r="D157" t="s">
        <v>56</v>
      </c>
      <c r="E157" t="s">
        <v>139</v>
      </c>
      <c r="F157" t="s">
        <v>118</v>
      </c>
      <c r="G157" s="202">
        <v>43.454999999999998</v>
      </c>
      <c r="H157">
        <v>1</v>
      </c>
      <c r="I157" t="s">
        <v>3954</v>
      </c>
      <c r="J157" t="s">
        <v>4715</v>
      </c>
      <c r="K157" t="s">
        <v>1283</v>
      </c>
      <c r="L157" s="204">
        <v>0.42</v>
      </c>
      <c r="M157" s="112">
        <v>158.04</v>
      </c>
      <c r="N157" s="112">
        <v>66.376799999999989</v>
      </c>
      <c r="O157" s="204"/>
      <c r="P157" s="112"/>
      <c r="Q157" s="112"/>
      <c r="R157" s="112"/>
      <c r="S157" s="112"/>
      <c r="T157" s="112"/>
      <c r="U157" t="s">
        <v>4775</v>
      </c>
      <c r="V157" t="s">
        <v>4776</v>
      </c>
      <c r="W157" t="s">
        <v>3958</v>
      </c>
      <c r="X157" t="s">
        <v>4660</v>
      </c>
    </row>
    <row r="158" spans="1:24" x14ac:dyDescent="0.2">
      <c r="A158" t="s">
        <v>4774</v>
      </c>
      <c r="B158" t="s">
        <v>138</v>
      </c>
      <c r="C158" t="s">
        <v>1362</v>
      </c>
      <c r="D158" t="s">
        <v>56</v>
      </c>
      <c r="E158" t="s">
        <v>139</v>
      </c>
      <c r="F158" t="s">
        <v>118</v>
      </c>
      <c r="G158" s="202">
        <v>43.454999999999998</v>
      </c>
      <c r="H158">
        <v>2</v>
      </c>
      <c r="I158" t="s">
        <v>3960</v>
      </c>
      <c r="J158" t="s">
        <v>4718</v>
      </c>
      <c r="K158" t="s">
        <v>1283</v>
      </c>
      <c r="L158" s="204">
        <v>0.4</v>
      </c>
      <c r="M158" s="112">
        <v>158.04</v>
      </c>
      <c r="N158" s="112">
        <v>63.216000000000001</v>
      </c>
      <c r="O158" s="204"/>
      <c r="P158" s="112"/>
      <c r="Q158" s="112"/>
      <c r="R158" s="112"/>
      <c r="S158" s="112"/>
      <c r="T158" s="112"/>
      <c r="U158" t="s">
        <v>4775</v>
      </c>
      <c r="V158" t="s">
        <v>4776</v>
      </c>
      <c r="W158" t="s">
        <v>3958</v>
      </c>
      <c r="X158" t="s">
        <v>4660</v>
      </c>
    </row>
    <row r="159" spans="1:24" x14ac:dyDescent="0.2">
      <c r="A159" t="s">
        <v>4774</v>
      </c>
      <c r="B159" t="s">
        <v>138</v>
      </c>
      <c r="C159" t="s">
        <v>1362</v>
      </c>
      <c r="D159" t="s">
        <v>56</v>
      </c>
      <c r="E159" t="s">
        <v>139</v>
      </c>
      <c r="F159" t="s">
        <v>118</v>
      </c>
      <c r="G159" s="202">
        <v>43.454999999999998</v>
      </c>
      <c r="H159">
        <v>3</v>
      </c>
      <c r="I159" t="s">
        <v>3976</v>
      </c>
      <c r="J159" t="s">
        <v>4719</v>
      </c>
      <c r="K159" t="s">
        <v>1283</v>
      </c>
      <c r="L159" s="204">
        <v>0.12</v>
      </c>
      <c r="M159" s="112">
        <v>158.04</v>
      </c>
      <c r="N159" s="112">
        <v>18.964799999999997</v>
      </c>
      <c r="O159" s="204"/>
      <c r="P159" s="112"/>
      <c r="Q159" s="112"/>
      <c r="R159" s="112"/>
      <c r="S159" s="112"/>
      <c r="T159" s="112"/>
      <c r="U159" t="s">
        <v>4775</v>
      </c>
      <c r="V159" t="s">
        <v>4776</v>
      </c>
      <c r="W159" t="s">
        <v>3958</v>
      </c>
      <c r="X159" t="s">
        <v>4660</v>
      </c>
    </row>
    <row r="160" spans="1:24" x14ac:dyDescent="0.2">
      <c r="A160" t="s">
        <v>4774</v>
      </c>
      <c r="B160" t="s">
        <v>138</v>
      </c>
      <c r="C160" t="s">
        <v>1362</v>
      </c>
      <c r="D160" t="s">
        <v>56</v>
      </c>
      <c r="E160" t="s">
        <v>139</v>
      </c>
      <c r="F160" t="s">
        <v>118</v>
      </c>
      <c r="G160" s="202">
        <v>43.454999999999998</v>
      </c>
      <c r="H160">
        <v>4</v>
      </c>
      <c r="I160" t="s">
        <v>4017</v>
      </c>
      <c r="J160" t="s">
        <v>4720</v>
      </c>
      <c r="K160" t="s">
        <v>1283</v>
      </c>
      <c r="L160" s="204">
        <v>0.06</v>
      </c>
      <c r="M160" s="112">
        <v>158.04</v>
      </c>
      <c r="N160" s="112">
        <v>9.4823999999999984</v>
      </c>
      <c r="O160" s="204"/>
      <c r="P160" s="112"/>
      <c r="Q160" s="112"/>
      <c r="R160" s="112"/>
      <c r="S160" s="112"/>
      <c r="T160" s="112"/>
      <c r="U160" t="s">
        <v>4775</v>
      </c>
      <c r="V160" t="s">
        <v>4776</v>
      </c>
      <c r="W160" t="s">
        <v>3958</v>
      </c>
      <c r="X160" t="s">
        <v>4660</v>
      </c>
    </row>
    <row r="161" spans="1:24" x14ac:dyDescent="0.2">
      <c r="A161" t="s">
        <v>4774</v>
      </c>
      <c r="B161" t="s">
        <v>138</v>
      </c>
      <c r="C161" t="s">
        <v>1362</v>
      </c>
      <c r="D161" t="s">
        <v>56</v>
      </c>
      <c r="E161" t="s">
        <v>139</v>
      </c>
      <c r="F161" t="s">
        <v>118</v>
      </c>
      <c r="G161" s="202">
        <v>43.454999999999998</v>
      </c>
      <c r="H161">
        <v>5</v>
      </c>
      <c r="I161" t="s">
        <v>3968</v>
      </c>
      <c r="J161" t="s">
        <v>3969</v>
      </c>
      <c r="K161" t="s">
        <v>118</v>
      </c>
      <c r="L161" s="204">
        <v>1</v>
      </c>
      <c r="M161" s="112"/>
      <c r="N161" s="112">
        <v>158.04</v>
      </c>
      <c r="O161" s="204">
        <v>0.22228515515735148</v>
      </c>
      <c r="P161" s="112">
        <v>35.129945921067815</v>
      </c>
      <c r="Q161" s="112">
        <v>193.16994592106781</v>
      </c>
      <c r="R161" s="112">
        <v>8394.2000000000007</v>
      </c>
      <c r="S161" s="112">
        <v>8394.2000000000007</v>
      </c>
      <c r="T161" s="112">
        <v>0</v>
      </c>
      <c r="U161" t="s">
        <v>4775</v>
      </c>
      <c r="V161" t="s">
        <v>4776</v>
      </c>
      <c r="W161" t="s">
        <v>4666</v>
      </c>
      <c r="X161" t="s">
        <v>4667</v>
      </c>
    </row>
    <row r="162" spans="1:24" x14ac:dyDescent="0.2">
      <c r="A162" t="s">
        <v>4777</v>
      </c>
      <c r="B162" t="s">
        <v>140</v>
      </c>
      <c r="C162" t="s">
        <v>1363</v>
      </c>
      <c r="D162" t="s">
        <v>56</v>
      </c>
      <c r="E162" t="s">
        <v>141</v>
      </c>
      <c r="F162" t="s">
        <v>26</v>
      </c>
      <c r="G162" s="202">
        <v>55.52</v>
      </c>
      <c r="H162">
        <v>1</v>
      </c>
      <c r="I162" t="s">
        <v>3954</v>
      </c>
      <c r="J162" t="s">
        <v>4734</v>
      </c>
      <c r="K162" t="s">
        <v>1283</v>
      </c>
      <c r="L162" s="204">
        <v>0.24</v>
      </c>
      <c r="M162" s="112">
        <v>7.0575000000000001</v>
      </c>
      <c r="N162" s="112">
        <v>1.6938</v>
      </c>
      <c r="O162" s="204"/>
      <c r="P162" s="112"/>
      <c r="Q162" s="112"/>
      <c r="R162" s="112"/>
      <c r="S162" s="112"/>
      <c r="T162" s="112"/>
      <c r="U162" t="s">
        <v>4778</v>
      </c>
      <c r="V162" t="s">
        <v>4779</v>
      </c>
      <c r="W162" t="s">
        <v>3958</v>
      </c>
      <c r="X162" t="s">
        <v>4660</v>
      </c>
    </row>
    <row r="163" spans="1:24" x14ac:dyDescent="0.2">
      <c r="A163" t="s">
        <v>4777</v>
      </c>
      <c r="B163" t="s">
        <v>140</v>
      </c>
      <c r="C163" t="s">
        <v>1363</v>
      </c>
      <c r="D163" t="s">
        <v>56</v>
      </c>
      <c r="E163" t="s">
        <v>141</v>
      </c>
      <c r="F163" t="s">
        <v>26</v>
      </c>
      <c r="G163" s="202">
        <v>55.52</v>
      </c>
      <c r="H163">
        <v>2</v>
      </c>
      <c r="I163" t="s">
        <v>3962</v>
      </c>
      <c r="J163" t="s">
        <v>4737</v>
      </c>
      <c r="K163" t="s">
        <v>1283</v>
      </c>
      <c r="L163" s="204">
        <v>0.46</v>
      </c>
      <c r="M163" s="112">
        <v>7.0575000000000001</v>
      </c>
      <c r="N163" s="112">
        <v>3.2464500000000003</v>
      </c>
      <c r="O163" s="204"/>
      <c r="P163" s="112"/>
      <c r="Q163" s="112"/>
      <c r="R163" s="112"/>
      <c r="S163" s="112"/>
      <c r="T163" s="112"/>
      <c r="U163" t="s">
        <v>4778</v>
      </c>
      <c r="V163" t="s">
        <v>4779</v>
      </c>
      <c r="W163" t="s">
        <v>3958</v>
      </c>
      <c r="X163" t="s">
        <v>4660</v>
      </c>
    </row>
    <row r="164" spans="1:24" x14ac:dyDescent="0.2">
      <c r="A164" t="s">
        <v>4777</v>
      </c>
      <c r="B164" t="s">
        <v>140</v>
      </c>
      <c r="C164" t="s">
        <v>1363</v>
      </c>
      <c r="D164" t="s">
        <v>56</v>
      </c>
      <c r="E164" t="s">
        <v>141</v>
      </c>
      <c r="F164" t="s">
        <v>26</v>
      </c>
      <c r="G164" s="202">
        <v>55.52</v>
      </c>
      <c r="H164">
        <v>3</v>
      </c>
      <c r="I164" t="s">
        <v>4738</v>
      </c>
      <c r="J164" t="s">
        <v>4739</v>
      </c>
      <c r="K164" t="s">
        <v>1283</v>
      </c>
      <c r="L164" s="204">
        <v>0.22</v>
      </c>
      <c r="M164" s="112">
        <v>7.0575000000000001</v>
      </c>
      <c r="N164" s="112">
        <v>1.5526500000000001</v>
      </c>
      <c r="O164" s="204"/>
      <c r="P164" s="112"/>
      <c r="Q164" s="112"/>
      <c r="R164" s="112"/>
      <c r="S164" s="112"/>
      <c r="T164" s="112"/>
      <c r="U164" t="s">
        <v>4778</v>
      </c>
      <c r="V164" t="s">
        <v>4779</v>
      </c>
      <c r="W164" t="s">
        <v>3958</v>
      </c>
      <c r="X164" t="s">
        <v>4660</v>
      </c>
    </row>
    <row r="165" spans="1:24" x14ac:dyDescent="0.2">
      <c r="A165" t="s">
        <v>4777</v>
      </c>
      <c r="B165" t="s">
        <v>140</v>
      </c>
      <c r="C165" t="s">
        <v>1363</v>
      </c>
      <c r="D165" t="s">
        <v>56</v>
      </c>
      <c r="E165" t="s">
        <v>141</v>
      </c>
      <c r="F165" t="s">
        <v>26</v>
      </c>
      <c r="G165" s="202">
        <v>55.52</v>
      </c>
      <c r="H165">
        <v>4</v>
      </c>
      <c r="I165" t="s">
        <v>4740</v>
      </c>
      <c r="J165" t="s">
        <v>4741</v>
      </c>
      <c r="K165" t="s">
        <v>1283</v>
      </c>
      <c r="L165" s="204">
        <v>0.08</v>
      </c>
      <c r="M165" s="112">
        <v>7.0575000000000001</v>
      </c>
      <c r="N165" s="112">
        <v>0.56459999999999999</v>
      </c>
      <c r="O165" s="204"/>
      <c r="P165" s="112"/>
      <c r="Q165" s="112"/>
      <c r="R165" s="112"/>
      <c r="S165" s="112"/>
      <c r="T165" s="112"/>
      <c r="U165" t="s">
        <v>4778</v>
      </c>
      <c r="V165" t="s">
        <v>4779</v>
      </c>
      <c r="W165" t="s">
        <v>3958</v>
      </c>
      <c r="X165" t="s">
        <v>4660</v>
      </c>
    </row>
    <row r="166" spans="1:24" x14ac:dyDescent="0.2">
      <c r="A166" t="s">
        <v>4777</v>
      </c>
      <c r="B166" t="s">
        <v>140</v>
      </c>
      <c r="C166" t="s">
        <v>1363</v>
      </c>
      <c r="D166" t="s">
        <v>56</v>
      </c>
      <c r="E166" t="s">
        <v>141</v>
      </c>
      <c r="F166" t="s">
        <v>26</v>
      </c>
      <c r="G166" s="202">
        <v>55.52</v>
      </c>
      <c r="H166">
        <v>5</v>
      </c>
      <c r="I166" t="s">
        <v>3968</v>
      </c>
      <c r="J166" t="s">
        <v>3969</v>
      </c>
      <c r="K166" t="s">
        <v>26</v>
      </c>
      <c r="L166" s="204">
        <v>1</v>
      </c>
      <c r="M166" s="112"/>
      <c r="N166" s="112">
        <v>7.0575000000000001</v>
      </c>
      <c r="O166" s="204">
        <v>0.22210414452709881</v>
      </c>
      <c r="P166" s="112">
        <v>1.5674999999999999</v>
      </c>
      <c r="Q166" s="112">
        <v>8.625</v>
      </c>
      <c r="R166" s="112">
        <v>478.86</v>
      </c>
      <c r="S166" s="112">
        <v>478.86</v>
      </c>
      <c r="T166" s="112">
        <v>0</v>
      </c>
      <c r="U166" t="s">
        <v>4778</v>
      </c>
      <c r="V166" t="s">
        <v>4779</v>
      </c>
      <c r="W166" t="s">
        <v>4666</v>
      </c>
      <c r="X166" t="s">
        <v>4667</v>
      </c>
    </row>
    <row r="167" spans="1:24" x14ac:dyDescent="0.2">
      <c r="A167" t="s">
        <v>4780</v>
      </c>
      <c r="B167" t="s">
        <v>142</v>
      </c>
      <c r="C167" t="s">
        <v>1364</v>
      </c>
      <c r="D167" t="s">
        <v>56</v>
      </c>
      <c r="E167" t="s">
        <v>143</v>
      </c>
      <c r="F167" t="s">
        <v>118</v>
      </c>
      <c r="G167" s="202">
        <v>260.41899999999998</v>
      </c>
      <c r="H167">
        <v>1</v>
      </c>
      <c r="I167" t="s">
        <v>3954</v>
      </c>
      <c r="J167" t="s">
        <v>4734</v>
      </c>
      <c r="K167" t="s">
        <v>1283</v>
      </c>
      <c r="L167" s="204">
        <v>0.24</v>
      </c>
      <c r="M167" s="112">
        <v>94.605000000000004</v>
      </c>
      <c r="N167" s="112">
        <v>22.705200000000001</v>
      </c>
      <c r="O167" s="204"/>
      <c r="P167" s="112"/>
      <c r="Q167" s="112"/>
      <c r="R167" s="112"/>
      <c r="S167" s="112"/>
      <c r="T167" s="112"/>
      <c r="U167" t="s">
        <v>4309</v>
      </c>
      <c r="V167" t="s">
        <v>4781</v>
      </c>
      <c r="W167" t="s">
        <v>3958</v>
      </c>
      <c r="X167" t="s">
        <v>4660</v>
      </c>
    </row>
    <row r="168" spans="1:24" x14ac:dyDescent="0.2">
      <c r="A168" t="s">
        <v>4780</v>
      </c>
      <c r="B168" t="s">
        <v>142</v>
      </c>
      <c r="C168" t="s">
        <v>1364</v>
      </c>
      <c r="D168" t="s">
        <v>56</v>
      </c>
      <c r="E168" t="s">
        <v>143</v>
      </c>
      <c r="F168" t="s">
        <v>118</v>
      </c>
      <c r="G168" s="202">
        <v>260.41899999999998</v>
      </c>
      <c r="H168">
        <v>2</v>
      </c>
      <c r="I168" t="s">
        <v>3962</v>
      </c>
      <c r="J168" t="s">
        <v>4737</v>
      </c>
      <c r="K168" t="s">
        <v>1283</v>
      </c>
      <c r="L168" s="204">
        <v>0.46</v>
      </c>
      <c r="M168" s="112">
        <v>94.605000000000004</v>
      </c>
      <c r="N168" s="112">
        <v>43.518300000000004</v>
      </c>
      <c r="O168" s="204"/>
      <c r="P168" s="112"/>
      <c r="Q168" s="112"/>
      <c r="R168" s="112"/>
      <c r="S168" s="112"/>
      <c r="T168" s="112"/>
      <c r="U168" t="s">
        <v>4309</v>
      </c>
      <c r="V168" t="s">
        <v>4781</v>
      </c>
      <c r="W168" t="s">
        <v>3958</v>
      </c>
      <c r="X168" t="s">
        <v>4660</v>
      </c>
    </row>
    <row r="169" spans="1:24" x14ac:dyDescent="0.2">
      <c r="A169" t="s">
        <v>4780</v>
      </c>
      <c r="B169" t="s">
        <v>142</v>
      </c>
      <c r="C169" t="s">
        <v>1364</v>
      </c>
      <c r="D169" t="s">
        <v>56</v>
      </c>
      <c r="E169" t="s">
        <v>143</v>
      </c>
      <c r="F169" t="s">
        <v>118</v>
      </c>
      <c r="G169" s="202">
        <v>260.41899999999998</v>
      </c>
      <c r="H169">
        <v>3</v>
      </c>
      <c r="I169" t="s">
        <v>4738</v>
      </c>
      <c r="J169" t="s">
        <v>4739</v>
      </c>
      <c r="K169" t="s">
        <v>1283</v>
      </c>
      <c r="L169" s="204">
        <v>0.22</v>
      </c>
      <c r="M169" s="112">
        <v>94.605000000000004</v>
      </c>
      <c r="N169" s="112">
        <v>20.813100000000002</v>
      </c>
      <c r="O169" s="204"/>
      <c r="P169" s="112"/>
      <c r="Q169" s="112"/>
      <c r="R169" s="112"/>
      <c r="S169" s="112"/>
      <c r="T169" s="112"/>
      <c r="U169" t="s">
        <v>4309</v>
      </c>
      <c r="V169" t="s">
        <v>4781</v>
      </c>
      <c r="W169" t="s">
        <v>3958</v>
      </c>
      <c r="X169" t="s">
        <v>4660</v>
      </c>
    </row>
    <row r="170" spans="1:24" x14ac:dyDescent="0.2">
      <c r="A170" t="s">
        <v>4780</v>
      </c>
      <c r="B170" t="s">
        <v>142</v>
      </c>
      <c r="C170" t="s">
        <v>1364</v>
      </c>
      <c r="D170" t="s">
        <v>56</v>
      </c>
      <c r="E170" t="s">
        <v>143</v>
      </c>
      <c r="F170" t="s">
        <v>118</v>
      </c>
      <c r="G170" s="202">
        <v>260.41899999999998</v>
      </c>
      <c r="H170">
        <v>4</v>
      </c>
      <c r="I170" t="s">
        <v>4740</v>
      </c>
      <c r="J170" t="s">
        <v>4741</v>
      </c>
      <c r="K170" t="s">
        <v>1283</v>
      </c>
      <c r="L170" s="204">
        <v>0.08</v>
      </c>
      <c r="M170" s="112">
        <v>94.605000000000004</v>
      </c>
      <c r="N170" s="112">
        <v>7.5684000000000005</v>
      </c>
      <c r="O170" s="204"/>
      <c r="P170" s="112"/>
      <c r="Q170" s="112"/>
      <c r="R170" s="112"/>
      <c r="S170" s="112"/>
      <c r="T170" s="112"/>
      <c r="U170" t="s">
        <v>4309</v>
      </c>
      <c r="V170" t="s">
        <v>4781</v>
      </c>
      <c r="W170" t="s">
        <v>3958</v>
      </c>
      <c r="X170" t="s">
        <v>4660</v>
      </c>
    </row>
    <row r="171" spans="1:24" x14ac:dyDescent="0.2">
      <c r="A171" t="s">
        <v>4780</v>
      </c>
      <c r="B171" t="s">
        <v>142</v>
      </c>
      <c r="C171" t="s">
        <v>1364</v>
      </c>
      <c r="D171" t="s">
        <v>56</v>
      </c>
      <c r="E171" t="s">
        <v>143</v>
      </c>
      <c r="F171" t="s">
        <v>118</v>
      </c>
      <c r="G171" s="202">
        <v>260.41899999999998</v>
      </c>
      <c r="H171">
        <v>5</v>
      </c>
      <c r="I171" t="s">
        <v>3968</v>
      </c>
      <c r="J171" t="s">
        <v>3969</v>
      </c>
      <c r="K171" t="s">
        <v>118</v>
      </c>
      <c r="L171" s="204">
        <v>1</v>
      </c>
      <c r="M171" s="112"/>
      <c r="N171" s="112">
        <v>94.605000000000004</v>
      </c>
      <c r="O171" s="204">
        <v>0.22229264743339816</v>
      </c>
      <c r="P171" s="112">
        <v>21.029995910436639</v>
      </c>
      <c r="Q171" s="112">
        <v>115.63499591043664</v>
      </c>
      <c r="R171" s="112">
        <v>30113.55</v>
      </c>
      <c r="S171" s="112">
        <v>30113.55</v>
      </c>
      <c r="T171" s="112">
        <v>0</v>
      </c>
      <c r="U171" t="s">
        <v>4309</v>
      </c>
      <c r="V171" t="s">
        <v>4781</v>
      </c>
      <c r="W171" t="s">
        <v>4666</v>
      </c>
      <c r="X171" t="s">
        <v>4667</v>
      </c>
    </row>
    <row r="172" spans="1:24" x14ac:dyDescent="0.2">
      <c r="A172" t="s">
        <v>4782</v>
      </c>
      <c r="B172" t="s">
        <v>144</v>
      </c>
      <c r="C172" t="s">
        <v>1365</v>
      </c>
      <c r="D172" t="s">
        <v>56</v>
      </c>
      <c r="E172" t="s">
        <v>1366</v>
      </c>
      <c r="F172" t="s">
        <v>118</v>
      </c>
      <c r="G172" s="202">
        <v>247.39805000000001</v>
      </c>
      <c r="H172">
        <v>1</v>
      </c>
      <c r="I172" t="s">
        <v>3954</v>
      </c>
      <c r="J172" t="s">
        <v>4734</v>
      </c>
      <c r="K172" t="s">
        <v>1283</v>
      </c>
      <c r="L172" s="204">
        <v>0.24</v>
      </c>
      <c r="M172" s="112">
        <v>28.087500000000002</v>
      </c>
      <c r="N172" s="112">
        <v>6.7410000000000005</v>
      </c>
      <c r="O172" s="204"/>
      <c r="P172" s="112"/>
      <c r="Q172" s="112"/>
      <c r="R172" s="112"/>
      <c r="S172" s="112"/>
      <c r="T172" s="112"/>
      <c r="U172" t="s">
        <v>4783</v>
      </c>
      <c r="V172" t="s">
        <v>4784</v>
      </c>
      <c r="W172" t="s">
        <v>3958</v>
      </c>
      <c r="X172" t="s">
        <v>4660</v>
      </c>
    </row>
    <row r="173" spans="1:24" x14ac:dyDescent="0.2">
      <c r="A173" t="s">
        <v>4782</v>
      </c>
      <c r="B173" t="s">
        <v>144</v>
      </c>
      <c r="C173" t="s">
        <v>1365</v>
      </c>
      <c r="D173" t="s">
        <v>56</v>
      </c>
      <c r="E173" t="s">
        <v>1366</v>
      </c>
      <c r="F173" t="s">
        <v>118</v>
      </c>
      <c r="G173" s="202">
        <v>247.39805000000001</v>
      </c>
      <c r="H173">
        <v>2</v>
      </c>
      <c r="I173" t="s">
        <v>3962</v>
      </c>
      <c r="J173" t="s">
        <v>4737</v>
      </c>
      <c r="K173" t="s">
        <v>1283</v>
      </c>
      <c r="L173" s="204">
        <v>0.46</v>
      </c>
      <c r="M173" s="112">
        <v>28.087500000000002</v>
      </c>
      <c r="N173" s="112">
        <v>12.920250000000001</v>
      </c>
      <c r="O173" s="204"/>
      <c r="P173" s="112"/>
      <c r="Q173" s="112"/>
      <c r="R173" s="112"/>
      <c r="S173" s="112"/>
      <c r="T173" s="112"/>
      <c r="U173" t="s">
        <v>4783</v>
      </c>
      <c r="V173" t="s">
        <v>4784</v>
      </c>
      <c r="W173" t="s">
        <v>3958</v>
      </c>
      <c r="X173" t="s">
        <v>4660</v>
      </c>
    </row>
    <row r="174" spans="1:24" x14ac:dyDescent="0.2">
      <c r="A174" t="s">
        <v>4782</v>
      </c>
      <c r="B174" t="s">
        <v>144</v>
      </c>
      <c r="C174" t="s">
        <v>1365</v>
      </c>
      <c r="D174" t="s">
        <v>56</v>
      </c>
      <c r="E174" t="s">
        <v>1366</v>
      </c>
      <c r="F174" t="s">
        <v>118</v>
      </c>
      <c r="G174" s="202">
        <v>247.39805000000001</v>
      </c>
      <c r="H174">
        <v>3</v>
      </c>
      <c r="I174" t="s">
        <v>4738</v>
      </c>
      <c r="J174" t="s">
        <v>4739</v>
      </c>
      <c r="K174" t="s">
        <v>1283</v>
      </c>
      <c r="L174" s="204">
        <v>0.22</v>
      </c>
      <c r="M174" s="112">
        <v>28.087500000000002</v>
      </c>
      <c r="N174" s="112">
        <v>6.1792500000000006</v>
      </c>
      <c r="O174" s="204"/>
      <c r="P174" s="112"/>
      <c r="Q174" s="112"/>
      <c r="R174" s="112"/>
      <c r="S174" s="112"/>
      <c r="T174" s="112"/>
      <c r="U174" t="s">
        <v>4783</v>
      </c>
      <c r="V174" t="s">
        <v>4784</v>
      </c>
      <c r="W174" t="s">
        <v>3958</v>
      </c>
      <c r="X174" t="s">
        <v>4660</v>
      </c>
    </row>
    <row r="175" spans="1:24" x14ac:dyDescent="0.2">
      <c r="A175" t="s">
        <v>4782</v>
      </c>
      <c r="B175" t="s">
        <v>144</v>
      </c>
      <c r="C175" t="s">
        <v>1365</v>
      </c>
      <c r="D175" t="s">
        <v>56</v>
      </c>
      <c r="E175" t="s">
        <v>1366</v>
      </c>
      <c r="F175" t="s">
        <v>118</v>
      </c>
      <c r="G175" s="202">
        <v>247.39805000000001</v>
      </c>
      <c r="H175">
        <v>4</v>
      </c>
      <c r="I175" t="s">
        <v>4740</v>
      </c>
      <c r="J175" t="s">
        <v>4741</v>
      </c>
      <c r="K175" t="s">
        <v>1283</v>
      </c>
      <c r="L175" s="204">
        <v>0.08</v>
      </c>
      <c r="M175" s="112">
        <v>28.087500000000002</v>
      </c>
      <c r="N175" s="112">
        <v>2.2470000000000003</v>
      </c>
      <c r="O175" s="204"/>
      <c r="P175" s="112"/>
      <c r="Q175" s="112"/>
      <c r="R175" s="112"/>
      <c r="S175" s="112"/>
      <c r="T175" s="112"/>
      <c r="U175" t="s">
        <v>4783</v>
      </c>
      <c r="V175" t="s">
        <v>4784</v>
      </c>
      <c r="W175" t="s">
        <v>3958</v>
      </c>
      <c r="X175" t="s">
        <v>4660</v>
      </c>
    </row>
    <row r="176" spans="1:24" x14ac:dyDescent="0.2">
      <c r="A176" t="s">
        <v>4782</v>
      </c>
      <c r="B176" t="s">
        <v>144</v>
      </c>
      <c r="C176" t="s">
        <v>1365</v>
      </c>
      <c r="D176" t="s">
        <v>56</v>
      </c>
      <c r="E176" t="s">
        <v>1366</v>
      </c>
      <c r="F176" t="s">
        <v>118</v>
      </c>
      <c r="G176" s="202">
        <v>247.39805000000001</v>
      </c>
      <c r="H176">
        <v>5</v>
      </c>
      <c r="I176" t="s">
        <v>3968</v>
      </c>
      <c r="J176" t="s">
        <v>3969</v>
      </c>
      <c r="K176" t="s">
        <v>118</v>
      </c>
      <c r="L176" s="204">
        <v>1</v>
      </c>
      <c r="M176" s="112"/>
      <c r="N176" s="112">
        <v>28.087500000000002</v>
      </c>
      <c r="O176" s="204">
        <v>0.22216193959836961</v>
      </c>
      <c r="P176" s="112">
        <v>6.2399734784692065</v>
      </c>
      <c r="Q176" s="112">
        <v>34.327473478469209</v>
      </c>
      <c r="R176" s="112">
        <v>8492.5499999999993</v>
      </c>
      <c r="S176" s="112">
        <v>8492.5499999999993</v>
      </c>
      <c r="T176" s="112">
        <v>0</v>
      </c>
      <c r="U176" t="s">
        <v>4783</v>
      </c>
      <c r="V176" t="s">
        <v>4784</v>
      </c>
      <c r="W176" t="s">
        <v>4666</v>
      </c>
      <c r="X176" t="s">
        <v>4667</v>
      </c>
    </row>
    <row r="177" spans="1:24" x14ac:dyDescent="0.2">
      <c r="A177" t="s">
        <v>4785</v>
      </c>
      <c r="B177" t="s">
        <v>146</v>
      </c>
      <c r="C177" t="s">
        <v>1367</v>
      </c>
      <c r="D177" t="s">
        <v>56</v>
      </c>
      <c r="E177" t="s">
        <v>147</v>
      </c>
      <c r="F177" t="s">
        <v>118</v>
      </c>
      <c r="G177" s="202">
        <v>101.346</v>
      </c>
      <c r="H177">
        <v>1</v>
      </c>
      <c r="I177" t="s">
        <v>3954</v>
      </c>
      <c r="J177" t="s">
        <v>4734</v>
      </c>
      <c r="K177" t="s">
        <v>1283</v>
      </c>
      <c r="L177" s="204">
        <v>0.24</v>
      </c>
      <c r="M177" s="112">
        <v>4.8825000000000003</v>
      </c>
      <c r="N177" s="112">
        <v>1.1718</v>
      </c>
      <c r="O177" s="204"/>
      <c r="P177" s="112"/>
      <c r="Q177" s="112"/>
      <c r="R177" s="112"/>
      <c r="S177" s="112"/>
      <c r="T177" s="112"/>
      <c r="U177" t="s">
        <v>4786</v>
      </c>
      <c r="V177" t="s">
        <v>4787</v>
      </c>
      <c r="W177" t="s">
        <v>3958</v>
      </c>
      <c r="X177" t="s">
        <v>4660</v>
      </c>
    </row>
    <row r="178" spans="1:24" x14ac:dyDescent="0.2">
      <c r="A178" t="s">
        <v>4785</v>
      </c>
      <c r="B178" t="s">
        <v>146</v>
      </c>
      <c r="C178" t="s">
        <v>1367</v>
      </c>
      <c r="D178" t="s">
        <v>56</v>
      </c>
      <c r="E178" t="s">
        <v>147</v>
      </c>
      <c r="F178" t="s">
        <v>118</v>
      </c>
      <c r="G178" s="202">
        <v>101.346</v>
      </c>
      <c r="H178">
        <v>2</v>
      </c>
      <c r="I178" t="s">
        <v>3962</v>
      </c>
      <c r="J178" t="s">
        <v>4737</v>
      </c>
      <c r="K178" t="s">
        <v>1283</v>
      </c>
      <c r="L178" s="204">
        <v>0.46</v>
      </c>
      <c r="M178" s="112">
        <v>4.8825000000000003</v>
      </c>
      <c r="N178" s="112">
        <v>2.2459500000000001</v>
      </c>
      <c r="O178" s="204"/>
      <c r="P178" s="112"/>
      <c r="Q178" s="112"/>
      <c r="R178" s="112"/>
      <c r="S178" s="112"/>
      <c r="T178" s="112"/>
      <c r="U178" t="s">
        <v>4786</v>
      </c>
      <c r="V178" t="s">
        <v>4787</v>
      </c>
      <c r="W178" t="s">
        <v>3958</v>
      </c>
      <c r="X178" t="s">
        <v>4660</v>
      </c>
    </row>
    <row r="179" spans="1:24" x14ac:dyDescent="0.2">
      <c r="A179" t="s">
        <v>4785</v>
      </c>
      <c r="B179" t="s">
        <v>146</v>
      </c>
      <c r="C179" t="s">
        <v>1367</v>
      </c>
      <c r="D179" t="s">
        <v>56</v>
      </c>
      <c r="E179" t="s">
        <v>147</v>
      </c>
      <c r="F179" t="s">
        <v>118</v>
      </c>
      <c r="G179" s="202">
        <v>101.346</v>
      </c>
      <c r="H179">
        <v>3</v>
      </c>
      <c r="I179" t="s">
        <v>4738</v>
      </c>
      <c r="J179" t="s">
        <v>4739</v>
      </c>
      <c r="K179" t="s">
        <v>1283</v>
      </c>
      <c r="L179" s="204">
        <v>0.22</v>
      </c>
      <c r="M179" s="112">
        <v>4.8825000000000003</v>
      </c>
      <c r="N179" s="112">
        <v>1.0741500000000002</v>
      </c>
      <c r="O179" s="204"/>
      <c r="P179" s="112"/>
      <c r="Q179" s="112"/>
      <c r="R179" s="112"/>
      <c r="S179" s="112"/>
      <c r="T179" s="112"/>
      <c r="U179" t="s">
        <v>4786</v>
      </c>
      <c r="V179" t="s">
        <v>4787</v>
      </c>
      <c r="W179" t="s">
        <v>3958</v>
      </c>
      <c r="X179" t="s">
        <v>4660</v>
      </c>
    </row>
    <row r="180" spans="1:24" x14ac:dyDescent="0.2">
      <c r="A180" t="s">
        <v>4785</v>
      </c>
      <c r="B180" t="s">
        <v>146</v>
      </c>
      <c r="C180" t="s">
        <v>1367</v>
      </c>
      <c r="D180" t="s">
        <v>56</v>
      </c>
      <c r="E180" t="s">
        <v>147</v>
      </c>
      <c r="F180" t="s">
        <v>118</v>
      </c>
      <c r="G180" s="202">
        <v>101.346</v>
      </c>
      <c r="H180">
        <v>4</v>
      </c>
      <c r="I180" t="s">
        <v>4740</v>
      </c>
      <c r="J180" t="s">
        <v>4741</v>
      </c>
      <c r="K180" t="s">
        <v>1283</v>
      </c>
      <c r="L180" s="204">
        <v>0.08</v>
      </c>
      <c r="M180" s="112">
        <v>4.8825000000000003</v>
      </c>
      <c r="N180" s="112">
        <v>0.39060000000000006</v>
      </c>
      <c r="O180" s="204"/>
      <c r="P180" s="112"/>
      <c r="Q180" s="112"/>
      <c r="R180" s="112"/>
      <c r="S180" s="112"/>
      <c r="T180" s="112"/>
      <c r="U180" t="s">
        <v>4786</v>
      </c>
      <c r="V180" t="s">
        <v>4787</v>
      </c>
      <c r="W180" t="s">
        <v>3958</v>
      </c>
      <c r="X180" t="s">
        <v>4660</v>
      </c>
    </row>
    <row r="181" spans="1:24" x14ac:dyDescent="0.2">
      <c r="A181" t="s">
        <v>4785</v>
      </c>
      <c r="B181" t="s">
        <v>146</v>
      </c>
      <c r="C181" t="s">
        <v>1367</v>
      </c>
      <c r="D181" t="s">
        <v>56</v>
      </c>
      <c r="E181" t="s">
        <v>147</v>
      </c>
      <c r="F181" t="s">
        <v>118</v>
      </c>
      <c r="G181" s="202">
        <v>101.346</v>
      </c>
      <c r="H181">
        <v>5</v>
      </c>
      <c r="I181" t="s">
        <v>3968</v>
      </c>
      <c r="J181" t="s">
        <v>3969</v>
      </c>
      <c r="K181" t="s">
        <v>118</v>
      </c>
      <c r="L181" s="204">
        <v>1</v>
      </c>
      <c r="M181" s="112"/>
      <c r="N181" s="112">
        <v>4.8825000000000003</v>
      </c>
      <c r="O181" s="204">
        <v>0.22118699104725237</v>
      </c>
      <c r="P181" s="112">
        <v>1.0799454837882099</v>
      </c>
      <c r="Q181" s="112">
        <v>5.9624454837882102</v>
      </c>
      <c r="R181" s="112">
        <v>604.27</v>
      </c>
      <c r="S181" s="112">
        <v>604.27</v>
      </c>
      <c r="T181" s="112">
        <v>0</v>
      </c>
      <c r="U181" t="s">
        <v>4786</v>
      </c>
      <c r="V181" t="s">
        <v>4787</v>
      </c>
      <c r="W181" t="s">
        <v>4666</v>
      </c>
      <c r="X181" t="s">
        <v>4667</v>
      </c>
    </row>
    <row r="182" spans="1:24" x14ac:dyDescent="0.2">
      <c r="A182" t="s">
        <v>4788</v>
      </c>
      <c r="B182" t="s">
        <v>148</v>
      </c>
      <c r="C182" t="s">
        <v>1368</v>
      </c>
      <c r="D182" t="s">
        <v>56</v>
      </c>
      <c r="E182" t="s">
        <v>149</v>
      </c>
      <c r="F182" t="s">
        <v>118</v>
      </c>
      <c r="G182" s="202">
        <v>1.754</v>
      </c>
      <c r="H182">
        <v>1</v>
      </c>
      <c r="I182" t="s">
        <v>3954</v>
      </c>
      <c r="J182" t="s">
        <v>4734</v>
      </c>
      <c r="K182" t="s">
        <v>1283</v>
      </c>
      <c r="L182" s="204">
        <v>0.24</v>
      </c>
      <c r="M182" s="112">
        <v>176.3775</v>
      </c>
      <c r="N182" s="112">
        <v>42.330599999999997</v>
      </c>
      <c r="O182" s="204"/>
      <c r="P182" s="112"/>
      <c r="Q182" s="112"/>
      <c r="R182" s="112"/>
      <c r="S182" s="112"/>
      <c r="T182" s="112"/>
      <c r="U182" t="s">
        <v>4789</v>
      </c>
      <c r="V182" t="s">
        <v>4790</v>
      </c>
      <c r="W182" t="s">
        <v>3958</v>
      </c>
      <c r="X182" t="s">
        <v>4660</v>
      </c>
    </row>
    <row r="183" spans="1:24" x14ac:dyDescent="0.2">
      <c r="A183" t="s">
        <v>4788</v>
      </c>
      <c r="B183" t="s">
        <v>148</v>
      </c>
      <c r="C183" t="s">
        <v>1368</v>
      </c>
      <c r="D183" t="s">
        <v>56</v>
      </c>
      <c r="E183" t="s">
        <v>149</v>
      </c>
      <c r="F183" t="s">
        <v>118</v>
      </c>
      <c r="G183" s="202">
        <v>1.754</v>
      </c>
      <c r="H183">
        <v>2</v>
      </c>
      <c r="I183" t="s">
        <v>3962</v>
      </c>
      <c r="J183" t="s">
        <v>4737</v>
      </c>
      <c r="K183" t="s">
        <v>1283</v>
      </c>
      <c r="L183" s="204">
        <v>0.46</v>
      </c>
      <c r="M183" s="112">
        <v>176.3775</v>
      </c>
      <c r="N183" s="112">
        <v>81.133650000000003</v>
      </c>
      <c r="O183" s="204"/>
      <c r="P183" s="112"/>
      <c r="Q183" s="112"/>
      <c r="R183" s="112"/>
      <c r="S183" s="112"/>
      <c r="T183" s="112"/>
      <c r="U183" t="s">
        <v>4789</v>
      </c>
      <c r="V183" t="s">
        <v>4790</v>
      </c>
      <c r="W183" t="s">
        <v>3958</v>
      </c>
      <c r="X183" t="s">
        <v>4660</v>
      </c>
    </row>
    <row r="184" spans="1:24" x14ac:dyDescent="0.2">
      <c r="A184" t="s">
        <v>4788</v>
      </c>
      <c r="B184" t="s">
        <v>148</v>
      </c>
      <c r="C184" t="s">
        <v>1368</v>
      </c>
      <c r="D184" t="s">
        <v>56</v>
      </c>
      <c r="E184" t="s">
        <v>149</v>
      </c>
      <c r="F184" t="s">
        <v>118</v>
      </c>
      <c r="G184" s="202">
        <v>1.754</v>
      </c>
      <c r="H184">
        <v>3</v>
      </c>
      <c r="I184" t="s">
        <v>4738</v>
      </c>
      <c r="J184" t="s">
        <v>4739</v>
      </c>
      <c r="K184" t="s">
        <v>1283</v>
      </c>
      <c r="L184" s="204">
        <v>0.22</v>
      </c>
      <c r="M184" s="112">
        <v>176.3775</v>
      </c>
      <c r="N184" s="112">
        <v>38.803049999999999</v>
      </c>
      <c r="O184" s="204"/>
      <c r="P184" s="112"/>
      <c r="Q184" s="112"/>
      <c r="R184" s="112"/>
      <c r="S184" s="112"/>
      <c r="T184" s="112"/>
      <c r="U184" t="s">
        <v>4789</v>
      </c>
      <c r="V184" t="s">
        <v>4790</v>
      </c>
      <c r="W184" t="s">
        <v>3958</v>
      </c>
      <c r="X184" t="s">
        <v>4660</v>
      </c>
    </row>
    <row r="185" spans="1:24" x14ac:dyDescent="0.2">
      <c r="A185" t="s">
        <v>4788</v>
      </c>
      <c r="B185" t="s">
        <v>148</v>
      </c>
      <c r="C185" t="s">
        <v>1368</v>
      </c>
      <c r="D185" t="s">
        <v>56</v>
      </c>
      <c r="E185" t="s">
        <v>149</v>
      </c>
      <c r="F185" t="s">
        <v>118</v>
      </c>
      <c r="G185" s="202">
        <v>1.754</v>
      </c>
      <c r="H185">
        <v>4</v>
      </c>
      <c r="I185" t="s">
        <v>4740</v>
      </c>
      <c r="J185" t="s">
        <v>4741</v>
      </c>
      <c r="K185" t="s">
        <v>1283</v>
      </c>
      <c r="L185" s="204">
        <v>0.08</v>
      </c>
      <c r="M185" s="112">
        <v>176.3775</v>
      </c>
      <c r="N185" s="112">
        <v>14.110200000000001</v>
      </c>
      <c r="O185" s="204"/>
      <c r="P185" s="112"/>
      <c r="Q185" s="112"/>
      <c r="R185" s="112"/>
      <c r="S185" s="112"/>
      <c r="T185" s="112"/>
      <c r="U185" t="s">
        <v>4789</v>
      </c>
      <c r="V185" t="s">
        <v>4790</v>
      </c>
      <c r="W185" t="s">
        <v>3958</v>
      </c>
      <c r="X185" t="s">
        <v>4660</v>
      </c>
    </row>
    <row r="186" spans="1:24" x14ac:dyDescent="0.2">
      <c r="A186" t="s">
        <v>4788</v>
      </c>
      <c r="B186" t="s">
        <v>148</v>
      </c>
      <c r="C186" t="s">
        <v>1368</v>
      </c>
      <c r="D186" t="s">
        <v>56</v>
      </c>
      <c r="E186" t="s">
        <v>149</v>
      </c>
      <c r="F186" t="s">
        <v>118</v>
      </c>
      <c r="G186" s="202">
        <v>1.754</v>
      </c>
      <c r="H186">
        <v>5</v>
      </c>
      <c r="I186" t="s">
        <v>3968</v>
      </c>
      <c r="J186" t="s">
        <v>3969</v>
      </c>
      <c r="K186" t="s">
        <v>118</v>
      </c>
      <c r="L186" s="204">
        <v>1</v>
      </c>
      <c r="M186" s="112"/>
      <c r="N186" s="112">
        <v>176.3775</v>
      </c>
      <c r="O186" s="204">
        <v>0.22224108336874049</v>
      </c>
      <c r="P186" s="112">
        <v>39.198326681870014</v>
      </c>
      <c r="Q186" s="112">
        <v>215.57582668187001</v>
      </c>
      <c r="R186" s="112">
        <v>378.12</v>
      </c>
      <c r="S186" s="112">
        <v>378.12</v>
      </c>
      <c r="T186" s="112">
        <v>0</v>
      </c>
      <c r="U186" t="s">
        <v>4789</v>
      </c>
      <c r="V186" t="s">
        <v>4790</v>
      </c>
      <c r="W186" t="s">
        <v>4666</v>
      </c>
      <c r="X186" t="s">
        <v>4667</v>
      </c>
    </row>
    <row r="187" spans="1:24" x14ac:dyDescent="0.2">
      <c r="A187" t="s">
        <v>4791</v>
      </c>
      <c r="B187" t="s">
        <v>150</v>
      </c>
      <c r="C187" t="s">
        <v>1369</v>
      </c>
      <c r="D187" t="s">
        <v>56</v>
      </c>
      <c r="E187" t="s">
        <v>151</v>
      </c>
      <c r="F187" t="s">
        <v>118</v>
      </c>
      <c r="G187" s="202">
        <v>17.21</v>
      </c>
      <c r="H187">
        <v>1</v>
      </c>
      <c r="I187" t="s">
        <v>3954</v>
      </c>
      <c r="J187" t="s">
        <v>4734</v>
      </c>
      <c r="K187" t="s">
        <v>1283</v>
      </c>
      <c r="L187" s="204">
        <v>0.24</v>
      </c>
      <c r="M187" s="112">
        <v>68.460000000000008</v>
      </c>
      <c r="N187" s="112">
        <v>16.430400000000002</v>
      </c>
      <c r="O187" s="204"/>
      <c r="P187" s="112"/>
      <c r="Q187" s="112"/>
      <c r="R187" s="112"/>
      <c r="S187" s="112"/>
      <c r="T187" s="112"/>
      <c r="U187" t="s">
        <v>4792</v>
      </c>
      <c r="V187" t="s">
        <v>4793</v>
      </c>
      <c r="W187" t="s">
        <v>3958</v>
      </c>
      <c r="X187" t="s">
        <v>4660</v>
      </c>
    </row>
    <row r="188" spans="1:24" x14ac:dyDescent="0.2">
      <c r="A188" t="s">
        <v>4791</v>
      </c>
      <c r="B188" t="s">
        <v>150</v>
      </c>
      <c r="C188" t="s">
        <v>1369</v>
      </c>
      <c r="D188" t="s">
        <v>56</v>
      </c>
      <c r="E188" t="s">
        <v>151</v>
      </c>
      <c r="F188" t="s">
        <v>118</v>
      </c>
      <c r="G188" s="202">
        <v>17.21</v>
      </c>
      <c r="H188">
        <v>2</v>
      </c>
      <c r="I188" t="s">
        <v>3962</v>
      </c>
      <c r="J188" t="s">
        <v>4737</v>
      </c>
      <c r="K188" t="s">
        <v>1283</v>
      </c>
      <c r="L188" s="204">
        <v>0.46</v>
      </c>
      <c r="M188" s="112">
        <v>68.460000000000008</v>
      </c>
      <c r="N188" s="112">
        <v>31.491600000000005</v>
      </c>
      <c r="O188" s="204"/>
      <c r="P188" s="112"/>
      <c r="Q188" s="112"/>
      <c r="R188" s="112"/>
      <c r="S188" s="112"/>
      <c r="T188" s="112"/>
      <c r="U188" t="s">
        <v>4792</v>
      </c>
      <c r="V188" t="s">
        <v>4793</v>
      </c>
      <c r="W188" t="s">
        <v>3958</v>
      </c>
      <c r="X188" t="s">
        <v>4660</v>
      </c>
    </row>
    <row r="189" spans="1:24" x14ac:dyDescent="0.2">
      <c r="A189" t="s">
        <v>4791</v>
      </c>
      <c r="B189" t="s">
        <v>150</v>
      </c>
      <c r="C189" t="s">
        <v>1369</v>
      </c>
      <c r="D189" t="s">
        <v>56</v>
      </c>
      <c r="E189" t="s">
        <v>151</v>
      </c>
      <c r="F189" t="s">
        <v>118</v>
      </c>
      <c r="G189" s="202">
        <v>17.21</v>
      </c>
      <c r="H189">
        <v>3</v>
      </c>
      <c r="I189" t="s">
        <v>4738</v>
      </c>
      <c r="J189" t="s">
        <v>4739</v>
      </c>
      <c r="K189" t="s">
        <v>1283</v>
      </c>
      <c r="L189" s="204">
        <v>0.22</v>
      </c>
      <c r="M189" s="112">
        <v>68.460000000000008</v>
      </c>
      <c r="N189" s="112">
        <v>15.061200000000001</v>
      </c>
      <c r="O189" s="204"/>
      <c r="P189" s="112"/>
      <c r="Q189" s="112"/>
      <c r="R189" s="112"/>
      <c r="S189" s="112"/>
      <c r="T189" s="112"/>
      <c r="U189" t="s">
        <v>4792</v>
      </c>
      <c r="V189" t="s">
        <v>4793</v>
      </c>
      <c r="W189" t="s">
        <v>3958</v>
      </c>
      <c r="X189" t="s">
        <v>4660</v>
      </c>
    </row>
    <row r="190" spans="1:24" x14ac:dyDescent="0.2">
      <c r="A190" t="s">
        <v>4791</v>
      </c>
      <c r="B190" t="s">
        <v>150</v>
      </c>
      <c r="C190" t="s">
        <v>1369</v>
      </c>
      <c r="D190" t="s">
        <v>56</v>
      </c>
      <c r="E190" t="s">
        <v>151</v>
      </c>
      <c r="F190" t="s">
        <v>118</v>
      </c>
      <c r="G190" s="202">
        <v>17.21</v>
      </c>
      <c r="H190">
        <v>4</v>
      </c>
      <c r="I190" t="s">
        <v>4740</v>
      </c>
      <c r="J190" t="s">
        <v>4741</v>
      </c>
      <c r="K190" t="s">
        <v>1283</v>
      </c>
      <c r="L190" s="204">
        <v>0.08</v>
      </c>
      <c r="M190" s="112">
        <v>68.460000000000008</v>
      </c>
      <c r="N190" s="112">
        <v>5.4768000000000008</v>
      </c>
      <c r="O190" s="204"/>
      <c r="P190" s="112"/>
      <c r="Q190" s="112"/>
      <c r="R190" s="112"/>
      <c r="S190" s="112"/>
      <c r="T190" s="112"/>
      <c r="U190" t="s">
        <v>4792</v>
      </c>
      <c r="V190" t="s">
        <v>4793</v>
      </c>
      <c r="W190" t="s">
        <v>3958</v>
      </c>
      <c r="X190" t="s">
        <v>4660</v>
      </c>
    </row>
    <row r="191" spans="1:24" x14ac:dyDescent="0.2">
      <c r="A191" t="s">
        <v>4791</v>
      </c>
      <c r="B191" t="s">
        <v>150</v>
      </c>
      <c r="C191" t="s">
        <v>1369</v>
      </c>
      <c r="D191" t="s">
        <v>56</v>
      </c>
      <c r="E191" t="s">
        <v>151</v>
      </c>
      <c r="F191" t="s">
        <v>118</v>
      </c>
      <c r="G191" s="202">
        <v>17.21</v>
      </c>
      <c r="H191">
        <v>5</v>
      </c>
      <c r="I191" t="s">
        <v>3968</v>
      </c>
      <c r="J191" t="s">
        <v>3969</v>
      </c>
      <c r="K191" t="s">
        <v>118</v>
      </c>
      <c r="L191" s="204">
        <v>1</v>
      </c>
      <c r="M191" s="112"/>
      <c r="N191" s="112">
        <v>68.460000000000008</v>
      </c>
      <c r="O191" s="204">
        <v>0.22227478843513859</v>
      </c>
      <c r="P191" s="112">
        <v>15.216932016269595</v>
      </c>
      <c r="Q191" s="112">
        <v>83.676932016269603</v>
      </c>
      <c r="R191" s="112">
        <v>1440.08</v>
      </c>
      <c r="S191" s="112">
        <v>1440.08</v>
      </c>
      <c r="T191" s="112">
        <v>0</v>
      </c>
      <c r="U191" t="s">
        <v>4792</v>
      </c>
      <c r="V191" t="s">
        <v>4793</v>
      </c>
      <c r="W191" t="s">
        <v>4666</v>
      </c>
      <c r="X191" t="s">
        <v>4667</v>
      </c>
    </row>
    <row r="192" spans="1:24" x14ac:dyDescent="0.2">
      <c r="A192" t="s">
        <v>4794</v>
      </c>
      <c r="B192" t="s">
        <v>152</v>
      </c>
      <c r="C192" t="s">
        <v>1370</v>
      </c>
      <c r="D192" t="s">
        <v>56</v>
      </c>
      <c r="E192" t="s">
        <v>1371</v>
      </c>
      <c r="F192" t="s">
        <v>26</v>
      </c>
      <c r="G192" s="202">
        <v>66.88</v>
      </c>
      <c r="H192">
        <v>1</v>
      </c>
      <c r="I192" t="s">
        <v>3954</v>
      </c>
      <c r="J192" t="s">
        <v>4715</v>
      </c>
      <c r="K192" t="s">
        <v>1283</v>
      </c>
      <c r="L192" s="204">
        <v>0.42</v>
      </c>
      <c r="M192" s="112">
        <v>74.167500000000004</v>
      </c>
      <c r="N192" s="112">
        <v>31.15035</v>
      </c>
      <c r="O192" s="204"/>
      <c r="P192" s="112"/>
      <c r="Q192" s="112"/>
      <c r="R192" s="112"/>
      <c r="S192" s="112"/>
      <c r="T192" s="112"/>
      <c r="U192" t="s">
        <v>4795</v>
      </c>
      <c r="V192" t="s">
        <v>4796</v>
      </c>
      <c r="W192" t="s">
        <v>3958</v>
      </c>
      <c r="X192" t="s">
        <v>4660</v>
      </c>
    </row>
    <row r="193" spans="1:24" x14ac:dyDescent="0.2">
      <c r="A193" t="s">
        <v>4794</v>
      </c>
      <c r="B193" t="s">
        <v>152</v>
      </c>
      <c r="C193" t="s">
        <v>1370</v>
      </c>
      <c r="D193" t="s">
        <v>56</v>
      </c>
      <c r="E193" t="s">
        <v>1371</v>
      </c>
      <c r="F193" t="s">
        <v>26</v>
      </c>
      <c r="G193" s="202">
        <v>66.88</v>
      </c>
      <c r="H193">
        <v>2</v>
      </c>
      <c r="I193" t="s">
        <v>3960</v>
      </c>
      <c r="J193" t="s">
        <v>4718</v>
      </c>
      <c r="K193" t="s">
        <v>1283</v>
      </c>
      <c r="L193" s="204">
        <v>0.4</v>
      </c>
      <c r="M193" s="112">
        <v>74.167500000000004</v>
      </c>
      <c r="N193" s="112">
        <v>29.667000000000002</v>
      </c>
      <c r="O193" s="204"/>
      <c r="P193" s="112"/>
      <c r="Q193" s="112"/>
      <c r="R193" s="112"/>
      <c r="S193" s="112"/>
      <c r="T193" s="112"/>
      <c r="U193" t="s">
        <v>4795</v>
      </c>
      <c r="V193" t="s">
        <v>4796</v>
      </c>
      <c r="W193" t="s">
        <v>3958</v>
      </c>
      <c r="X193" t="s">
        <v>4660</v>
      </c>
    </row>
    <row r="194" spans="1:24" x14ac:dyDescent="0.2">
      <c r="A194" t="s">
        <v>4794</v>
      </c>
      <c r="B194" t="s">
        <v>152</v>
      </c>
      <c r="C194" t="s">
        <v>1370</v>
      </c>
      <c r="D194" t="s">
        <v>56</v>
      </c>
      <c r="E194" t="s">
        <v>1371</v>
      </c>
      <c r="F194" t="s">
        <v>26</v>
      </c>
      <c r="G194" s="202">
        <v>66.88</v>
      </c>
      <c r="H194">
        <v>3</v>
      </c>
      <c r="I194" t="s">
        <v>3976</v>
      </c>
      <c r="J194" t="s">
        <v>4719</v>
      </c>
      <c r="K194" t="s">
        <v>1283</v>
      </c>
      <c r="L194" s="204">
        <v>0.12</v>
      </c>
      <c r="M194" s="112">
        <v>74.167500000000004</v>
      </c>
      <c r="N194" s="112">
        <v>8.9001000000000001</v>
      </c>
      <c r="O194" s="204"/>
      <c r="P194" s="112"/>
      <c r="Q194" s="112"/>
      <c r="R194" s="112"/>
      <c r="S194" s="112"/>
      <c r="T194" s="112"/>
      <c r="U194" t="s">
        <v>4795</v>
      </c>
      <c r="V194" t="s">
        <v>4796</v>
      </c>
      <c r="W194" t="s">
        <v>3958</v>
      </c>
      <c r="X194" t="s">
        <v>4660</v>
      </c>
    </row>
    <row r="195" spans="1:24" x14ac:dyDescent="0.2">
      <c r="A195" t="s">
        <v>4794</v>
      </c>
      <c r="B195" t="s">
        <v>152</v>
      </c>
      <c r="C195" t="s">
        <v>1370</v>
      </c>
      <c r="D195" t="s">
        <v>56</v>
      </c>
      <c r="E195" t="s">
        <v>1371</v>
      </c>
      <c r="F195" t="s">
        <v>26</v>
      </c>
      <c r="G195" s="202">
        <v>66.88</v>
      </c>
      <c r="H195">
        <v>4</v>
      </c>
      <c r="I195" t="s">
        <v>4017</v>
      </c>
      <c r="J195" t="s">
        <v>4720</v>
      </c>
      <c r="K195" t="s">
        <v>1283</v>
      </c>
      <c r="L195" s="204">
        <v>0.06</v>
      </c>
      <c r="M195" s="112">
        <v>74.167500000000004</v>
      </c>
      <c r="N195" s="112">
        <v>4.4500500000000001</v>
      </c>
      <c r="O195" s="204"/>
      <c r="P195" s="112"/>
      <c r="Q195" s="112"/>
      <c r="R195" s="112"/>
      <c r="S195" s="112"/>
      <c r="T195" s="112"/>
      <c r="U195" t="s">
        <v>4795</v>
      </c>
      <c r="V195" t="s">
        <v>4796</v>
      </c>
      <c r="W195" t="s">
        <v>3958</v>
      </c>
      <c r="X195" t="s">
        <v>4660</v>
      </c>
    </row>
    <row r="196" spans="1:24" x14ac:dyDescent="0.2">
      <c r="A196" t="s">
        <v>4794</v>
      </c>
      <c r="B196" t="s">
        <v>152</v>
      </c>
      <c r="C196" t="s">
        <v>1370</v>
      </c>
      <c r="D196" t="s">
        <v>56</v>
      </c>
      <c r="E196" t="s">
        <v>1371</v>
      </c>
      <c r="F196" t="s">
        <v>26</v>
      </c>
      <c r="G196" s="202">
        <v>66.88</v>
      </c>
      <c r="H196">
        <v>5</v>
      </c>
      <c r="I196" t="s">
        <v>3968</v>
      </c>
      <c r="J196" t="s">
        <v>3969</v>
      </c>
      <c r="K196" t="s">
        <v>26</v>
      </c>
      <c r="L196" s="204">
        <v>1</v>
      </c>
      <c r="M196" s="112"/>
      <c r="N196" s="112">
        <v>74.167500000000004</v>
      </c>
      <c r="O196" s="204">
        <v>0.22226531081931289</v>
      </c>
      <c r="P196" s="112">
        <v>16.484862440191392</v>
      </c>
      <c r="Q196" s="112">
        <v>90.652362440191396</v>
      </c>
      <c r="R196" s="112">
        <v>6062.83</v>
      </c>
      <c r="S196" s="112">
        <v>6062.83</v>
      </c>
      <c r="T196" s="112">
        <v>0</v>
      </c>
      <c r="U196" t="s">
        <v>4795</v>
      </c>
      <c r="V196" t="s">
        <v>4796</v>
      </c>
      <c r="W196" t="s">
        <v>4666</v>
      </c>
      <c r="X196" t="s">
        <v>4667</v>
      </c>
    </row>
    <row r="197" spans="1:24" x14ac:dyDescent="0.2">
      <c r="A197" t="s">
        <v>4797</v>
      </c>
      <c r="B197" t="s">
        <v>157</v>
      </c>
      <c r="C197" t="s">
        <v>1372</v>
      </c>
      <c r="D197" t="s">
        <v>24</v>
      </c>
      <c r="E197" t="s">
        <v>159</v>
      </c>
      <c r="F197" t="s">
        <v>84</v>
      </c>
      <c r="G197" s="202">
        <v>1</v>
      </c>
      <c r="H197">
        <v>1</v>
      </c>
      <c r="I197" t="s">
        <v>3954</v>
      </c>
      <c r="J197" t="s">
        <v>3955</v>
      </c>
      <c r="K197" t="s">
        <v>1283</v>
      </c>
      <c r="L197" s="204">
        <v>0.14000000000000001</v>
      </c>
      <c r="M197" s="112">
        <v>10702.0725</v>
      </c>
      <c r="N197" s="112">
        <v>1498.2901500000003</v>
      </c>
      <c r="O197" s="204"/>
      <c r="P197" s="112"/>
      <c r="Q197" s="112"/>
      <c r="R197" s="112"/>
      <c r="S197" s="112"/>
      <c r="T197" s="112"/>
      <c r="U197" t="s">
        <v>4798</v>
      </c>
      <c r="V197" t="s">
        <v>4799</v>
      </c>
      <c r="W197" t="s">
        <v>3958</v>
      </c>
      <c r="X197" t="s">
        <v>4660</v>
      </c>
    </row>
    <row r="198" spans="1:24" x14ac:dyDescent="0.2">
      <c r="A198" t="s">
        <v>4797</v>
      </c>
      <c r="B198" t="s">
        <v>157</v>
      </c>
      <c r="C198" t="s">
        <v>1372</v>
      </c>
      <c r="D198" t="s">
        <v>24</v>
      </c>
      <c r="E198" t="s">
        <v>159</v>
      </c>
      <c r="F198" t="s">
        <v>84</v>
      </c>
      <c r="G198" s="202">
        <v>1</v>
      </c>
      <c r="H198">
        <v>2</v>
      </c>
      <c r="I198" t="s">
        <v>3960</v>
      </c>
      <c r="J198" t="s">
        <v>4800</v>
      </c>
      <c r="K198" t="s">
        <v>1283</v>
      </c>
      <c r="L198" s="204">
        <v>0.5</v>
      </c>
      <c r="M198" s="112">
        <v>10702.0725</v>
      </c>
      <c r="N198" s="112">
        <v>5351.0362500000001</v>
      </c>
      <c r="O198" s="204"/>
      <c r="P198" s="112"/>
      <c r="Q198" s="112"/>
      <c r="R198" s="112"/>
      <c r="S198" s="112"/>
      <c r="T198" s="112"/>
      <c r="U198" t="s">
        <v>4798</v>
      </c>
      <c r="V198" t="s">
        <v>4799</v>
      </c>
      <c r="W198" t="s">
        <v>3958</v>
      </c>
      <c r="X198" t="s">
        <v>4660</v>
      </c>
    </row>
    <row r="199" spans="1:24" x14ac:dyDescent="0.2">
      <c r="A199" t="s">
        <v>4797</v>
      </c>
      <c r="B199" t="s">
        <v>157</v>
      </c>
      <c r="C199" t="s">
        <v>1372</v>
      </c>
      <c r="D199" t="s">
        <v>24</v>
      </c>
      <c r="E199" t="s">
        <v>159</v>
      </c>
      <c r="F199" t="s">
        <v>84</v>
      </c>
      <c r="G199" s="202">
        <v>1</v>
      </c>
      <c r="H199">
        <v>3</v>
      </c>
      <c r="I199" t="s">
        <v>3962</v>
      </c>
      <c r="J199" t="s">
        <v>4801</v>
      </c>
      <c r="K199" t="s">
        <v>1283</v>
      </c>
      <c r="L199" s="204">
        <v>0.26</v>
      </c>
      <c r="M199" s="112">
        <v>10702.0725</v>
      </c>
      <c r="N199" s="112">
        <v>2782.5388500000004</v>
      </c>
      <c r="O199" s="204"/>
      <c r="P199" s="112"/>
      <c r="Q199" s="112"/>
      <c r="R199" s="112"/>
      <c r="S199" s="112"/>
      <c r="T199" s="112"/>
      <c r="U199" t="s">
        <v>4798</v>
      </c>
      <c r="V199" t="s">
        <v>4799</v>
      </c>
      <c r="W199" t="s">
        <v>3958</v>
      </c>
      <c r="X199" t="s">
        <v>4660</v>
      </c>
    </row>
    <row r="200" spans="1:24" x14ac:dyDescent="0.2">
      <c r="A200" t="s">
        <v>4797</v>
      </c>
      <c r="B200" t="s">
        <v>157</v>
      </c>
      <c r="C200" t="s">
        <v>1372</v>
      </c>
      <c r="D200" t="s">
        <v>24</v>
      </c>
      <c r="E200" t="s">
        <v>159</v>
      </c>
      <c r="F200" t="s">
        <v>84</v>
      </c>
      <c r="G200" s="202">
        <v>1</v>
      </c>
      <c r="H200">
        <v>4</v>
      </c>
      <c r="I200" t="s">
        <v>3964</v>
      </c>
      <c r="J200" t="s">
        <v>4802</v>
      </c>
      <c r="K200" t="s">
        <v>1283</v>
      </c>
      <c r="L200" s="204">
        <v>7.0000000000000007E-2</v>
      </c>
      <c r="M200" s="112">
        <v>10702.0725</v>
      </c>
      <c r="N200" s="112">
        <v>749.14507500000013</v>
      </c>
      <c r="O200" s="204"/>
      <c r="P200" s="112"/>
      <c r="Q200" s="112"/>
      <c r="R200" s="112"/>
      <c r="S200" s="112"/>
      <c r="T200" s="112"/>
      <c r="U200" t="s">
        <v>4798</v>
      </c>
      <c r="V200" t="s">
        <v>4799</v>
      </c>
      <c r="W200" t="s">
        <v>3958</v>
      </c>
      <c r="X200" t="s">
        <v>4660</v>
      </c>
    </row>
    <row r="201" spans="1:24" x14ac:dyDescent="0.2">
      <c r="A201" t="s">
        <v>4797</v>
      </c>
      <c r="B201" t="s">
        <v>157</v>
      </c>
      <c r="C201" t="s">
        <v>1372</v>
      </c>
      <c r="D201" t="s">
        <v>24</v>
      </c>
      <c r="E201" t="s">
        <v>159</v>
      </c>
      <c r="F201" t="s">
        <v>84</v>
      </c>
      <c r="G201" s="202">
        <v>1</v>
      </c>
      <c r="H201">
        <v>5</v>
      </c>
      <c r="I201" t="s">
        <v>3966</v>
      </c>
      <c r="J201" t="s">
        <v>3967</v>
      </c>
      <c r="K201" t="s">
        <v>1283</v>
      </c>
      <c r="L201" s="204">
        <v>0.03</v>
      </c>
      <c r="M201" s="112">
        <v>10702.0725</v>
      </c>
      <c r="N201" s="112">
        <v>321.06217499999997</v>
      </c>
      <c r="O201" s="204"/>
      <c r="P201" s="112"/>
      <c r="Q201" s="112"/>
      <c r="R201" s="112"/>
      <c r="S201" s="112"/>
      <c r="T201" s="112"/>
      <c r="U201" t="s">
        <v>4798</v>
      </c>
      <c r="V201" t="s">
        <v>4799</v>
      </c>
      <c r="W201" t="s">
        <v>3958</v>
      </c>
      <c r="X201" t="s">
        <v>4660</v>
      </c>
    </row>
    <row r="202" spans="1:24" x14ac:dyDescent="0.2">
      <c r="A202" t="s">
        <v>4797</v>
      </c>
      <c r="B202" t="s">
        <v>157</v>
      </c>
      <c r="C202" t="s">
        <v>1372</v>
      </c>
      <c r="D202" t="s">
        <v>24</v>
      </c>
      <c r="E202" t="s">
        <v>159</v>
      </c>
      <c r="F202" t="s">
        <v>84</v>
      </c>
      <c r="G202" s="202">
        <v>1</v>
      </c>
      <c r="H202">
        <v>6</v>
      </c>
      <c r="I202" t="s">
        <v>3968</v>
      </c>
      <c r="J202" t="s">
        <v>3969</v>
      </c>
      <c r="K202" t="s">
        <v>84</v>
      </c>
      <c r="L202" s="204">
        <v>1</v>
      </c>
      <c r="M202" s="112"/>
      <c r="N202" s="112">
        <v>10702.0725</v>
      </c>
      <c r="O202" s="204">
        <v>0.22229969942737715</v>
      </c>
      <c r="P202" s="112">
        <v>2379.0674999999992</v>
      </c>
      <c r="Q202" s="112">
        <v>13081.14</v>
      </c>
      <c r="R202" s="112">
        <v>13081.14</v>
      </c>
      <c r="S202" s="112">
        <v>13081.14</v>
      </c>
      <c r="T202" s="112">
        <v>0</v>
      </c>
      <c r="U202" t="s">
        <v>4798</v>
      </c>
      <c r="V202" t="s">
        <v>4799</v>
      </c>
      <c r="W202" t="s">
        <v>4666</v>
      </c>
      <c r="X202" t="s">
        <v>4667</v>
      </c>
    </row>
    <row r="203" spans="1:24" x14ac:dyDescent="0.2">
      <c r="A203" t="s">
        <v>4803</v>
      </c>
      <c r="B203" t="s">
        <v>160</v>
      </c>
      <c r="C203" t="s">
        <v>161</v>
      </c>
      <c r="D203" t="s">
        <v>24</v>
      </c>
      <c r="E203" t="s">
        <v>162</v>
      </c>
      <c r="F203" t="s">
        <v>118</v>
      </c>
      <c r="G203" s="202">
        <v>352.26875000000001</v>
      </c>
      <c r="H203">
        <v>1</v>
      </c>
      <c r="I203" t="s">
        <v>3954</v>
      </c>
      <c r="J203" t="s">
        <v>4804</v>
      </c>
      <c r="K203" t="s">
        <v>1283</v>
      </c>
      <c r="L203" s="204">
        <v>0.28000000000000003</v>
      </c>
      <c r="M203" s="112">
        <v>45</v>
      </c>
      <c r="N203" s="112">
        <v>12.600000000000001</v>
      </c>
      <c r="O203" s="204"/>
      <c r="P203" s="112"/>
      <c r="Q203" s="112"/>
      <c r="R203" s="112"/>
      <c r="S203" s="112"/>
      <c r="T203" s="112"/>
      <c r="U203" t="s">
        <v>4805</v>
      </c>
      <c r="V203" t="s">
        <v>4806</v>
      </c>
      <c r="W203" t="s">
        <v>3958</v>
      </c>
      <c r="X203" t="s">
        <v>4660</v>
      </c>
    </row>
    <row r="204" spans="1:24" x14ac:dyDescent="0.2">
      <c r="A204" t="s">
        <v>4803</v>
      </c>
      <c r="B204" t="s">
        <v>160</v>
      </c>
      <c r="C204" t="s">
        <v>161</v>
      </c>
      <c r="D204" t="s">
        <v>24</v>
      </c>
      <c r="E204" t="s">
        <v>162</v>
      </c>
      <c r="F204" t="s">
        <v>118</v>
      </c>
      <c r="G204" s="202">
        <v>352.26875000000001</v>
      </c>
      <c r="H204">
        <v>2</v>
      </c>
      <c r="I204" t="s">
        <v>3960</v>
      </c>
      <c r="J204" t="s">
        <v>4807</v>
      </c>
      <c r="K204" t="s">
        <v>1283</v>
      </c>
      <c r="L204" s="204">
        <v>0.56000000000000005</v>
      </c>
      <c r="M204" s="112">
        <v>45</v>
      </c>
      <c r="N204" s="112">
        <v>25.200000000000003</v>
      </c>
      <c r="O204" s="204"/>
      <c r="P204" s="112"/>
      <c r="Q204" s="112"/>
      <c r="R204" s="112"/>
      <c r="S204" s="112"/>
      <c r="T204" s="112"/>
      <c r="U204" t="s">
        <v>4805</v>
      </c>
      <c r="V204" t="s">
        <v>4806</v>
      </c>
      <c r="W204" t="s">
        <v>3958</v>
      </c>
      <c r="X204" t="s">
        <v>4660</v>
      </c>
    </row>
    <row r="205" spans="1:24" x14ac:dyDescent="0.2">
      <c r="A205" t="s">
        <v>4803</v>
      </c>
      <c r="B205" t="s">
        <v>160</v>
      </c>
      <c r="C205" t="s">
        <v>161</v>
      </c>
      <c r="D205" t="s">
        <v>24</v>
      </c>
      <c r="E205" t="s">
        <v>162</v>
      </c>
      <c r="F205" t="s">
        <v>118</v>
      </c>
      <c r="G205" s="202">
        <v>352.26875000000001</v>
      </c>
      <c r="H205">
        <v>3</v>
      </c>
      <c r="I205" t="s">
        <v>3962</v>
      </c>
      <c r="J205" t="s">
        <v>4808</v>
      </c>
      <c r="K205" t="s">
        <v>1283</v>
      </c>
      <c r="L205" s="204">
        <v>0.1</v>
      </c>
      <c r="M205" s="112">
        <v>45</v>
      </c>
      <c r="N205" s="112">
        <v>4.5</v>
      </c>
      <c r="O205" s="204"/>
      <c r="P205" s="112"/>
      <c r="Q205" s="112"/>
      <c r="R205" s="112"/>
      <c r="S205" s="112"/>
      <c r="T205" s="112"/>
      <c r="U205" t="s">
        <v>4805</v>
      </c>
      <c r="V205" t="s">
        <v>4806</v>
      </c>
      <c r="W205" t="s">
        <v>3958</v>
      </c>
      <c r="X205" t="s">
        <v>4660</v>
      </c>
    </row>
    <row r="206" spans="1:24" x14ac:dyDescent="0.2">
      <c r="A206" t="s">
        <v>4803</v>
      </c>
      <c r="B206" t="s">
        <v>160</v>
      </c>
      <c r="C206" t="s">
        <v>161</v>
      </c>
      <c r="D206" t="s">
        <v>24</v>
      </c>
      <c r="E206" t="s">
        <v>162</v>
      </c>
      <c r="F206" t="s">
        <v>118</v>
      </c>
      <c r="G206" s="202">
        <v>352.26875000000001</v>
      </c>
      <c r="H206">
        <v>4</v>
      </c>
      <c r="I206" t="s">
        <v>4017</v>
      </c>
      <c r="J206" t="s">
        <v>4809</v>
      </c>
      <c r="K206" t="s">
        <v>1283</v>
      </c>
      <c r="L206" s="204">
        <v>0.06</v>
      </c>
      <c r="M206" s="112">
        <v>45</v>
      </c>
      <c r="N206" s="112">
        <v>2.6999999999999997</v>
      </c>
      <c r="O206" s="204"/>
      <c r="P206" s="112"/>
      <c r="Q206" s="112"/>
      <c r="R206" s="112"/>
      <c r="S206" s="112"/>
      <c r="T206" s="112"/>
      <c r="U206" t="s">
        <v>4805</v>
      </c>
      <c r="V206" t="s">
        <v>4806</v>
      </c>
      <c r="W206" t="s">
        <v>3958</v>
      </c>
      <c r="X206" t="s">
        <v>4660</v>
      </c>
    </row>
    <row r="207" spans="1:24" x14ac:dyDescent="0.2">
      <c r="A207" t="s">
        <v>4803</v>
      </c>
      <c r="B207" t="s">
        <v>160</v>
      </c>
      <c r="C207" t="s">
        <v>161</v>
      </c>
      <c r="D207" t="s">
        <v>24</v>
      </c>
      <c r="E207" t="s">
        <v>162</v>
      </c>
      <c r="F207" t="s">
        <v>118</v>
      </c>
      <c r="G207" s="202">
        <v>352.26875000000001</v>
      </c>
      <c r="H207">
        <v>5</v>
      </c>
      <c r="I207" t="s">
        <v>3968</v>
      </c>
      <c r="J207" t="s">
        <v>3969</v>
      </c>
      <c r="K207" t="s">
        <v>118</v>
      </c>
      <c r="L207" s="204">
        <v>1</v>
      </c>
      <c r="M207" s="112"/>
      <c r="N207" s="112">
        <v>45</v>
      </c>
      <c r="O207" s="204">
        <v>0.22216663019672089</v>
      </c>
      <c r="P207" s="112">
        <v>9.9974983588524395</v>
      </c>
      <c r="Q207" s="112">
        <v>54.99749835885244</v>
      </c>
      <c r="R207" s="112">
        <v>19373.900000000001</v>
      </c>
      <c r="S207" s="112">
        <v>19373.900000000001</v>
      </c>
      <c r="T207" s="112">
        <v>0</v>
      </c>
      <c r="U207" t="s">
        <v>4805</v>
      </c>
      <c r="V207" t="s">
        <v>4806</v>
      </c>
      <c r="W207" t="s">
        <v>4666</v>
      </c>
      <c r="X207" t="s">
        <v>4667</v>
      </c>
    </row>
    <row r="208" spans="1:24" x14ac:dyDescent="0.2">
      <c r="A208" t="s">
        <v>4810</v>
      </c>
      <c r="B208" t="s">
        <v>165</v>
      </c>
      <c r="C208" t="s">
        <v>1373</v>
      </c>
      <c r="D208" t="s">
        <v>56</v>
      </c>
      <c r="E208" t="s">
        <v>166</v>
      </c>
      <c r="F208" t="s">
        <v>99</v>
      </c>
      <c r="G208" s="202">
        <v>1795</v>
      </c>
      <c r="H208">
        <v>1</v>
      </c>
      <c r="I208" t="s">
        <v>3954</v>
      </c>
      <c r="J208" t="s">
        <v>3955</v>
      </c>
      <c r="K208" t="s">
        <v>1283</v>
      </c>
      <c r="L208" s="204">
        <v>0.14000000000000001</v>
      </c>
      <c r="M208" s="112">
        <v>210.70499999999998</v>
      </c>
      <c r="N208" s="112">
        <v>29.498699999999999</v>
      </c>
      <c r="O208" s="204"/>
      <c r="P208" s="112"/>
      <c r="Q208" s="112"/>
      <c r="R208" s="112"/>
      <c r="S208" s="112"/>
      <c r="T208" s="112"/>
      <c r="U208" t="s">
        <v>3956</v>
      </c>
      <c r="V208" t="s">
        <v>4811</v>
      </c>
      <c r="W208" t="s">
        <v>3958</v>
      </c>
      <c r="X208" t="s">
        <v>4660</v>
      </c>
    </row>
    <row r="209" spans="1:24" x14ac:dyDescent="0.2">
      <c r="A209" t="s">
        <v>4810</v>
      </c>
      <c r="B209" t="s">
        <v>165</v>
      </c>
      <c r="C209" t="s">
        <v>1373</v>
      </c>
      <c r="D209" t="s">
        <v>56</v>
      </c>
      <c r="E209" t="s">
        <v>166</v>
      </c>
      <c r="F209" t="s">
        <v>99</v>
      </c>
      <c r="G209" s="202">
        <v>1795</v>
      </c>
      <c r="H209">
        <v>2</v>
      </c>
      <c r="I209" t="s">
        <v>3960</v>
      </c>
      <c r="J209" t="s">
        <v>4800</v>
      </c>
      <c r="K209" t="s">
        <v>1283</v>
      </c>
      <c r="L209" s="204">
        <v>0.5</v>
      </c>
      <c r="M209" s="112">
        <v>210.70499999999998</v>
      </c>
      <c r="N209" s="112">
        <v>105.35249999999999</v>
      </c>
      <c r="O209" s="204"/>
      <c r="P209" s="112"/>
      <c r="Q209" s="112"/>
      <c r="R209" s="112"/>
      <c r="S209" s="112"/>
      <c r="T209" s="112"/>
      <c r="U209" t="s">
        <v>3956</v>
      </c>
      <c r="V209" t="s">
        <v>4811</v>
      </c>
      <c r="W209" t="s">
        <v>3958</v>
      </c>
      <c r="X209" t="s">
        <v>4660</v>
      </c>
    </row>
    <row r="210" spans="1:24" x14ac:dyDescent="0.2">
      <c r="A210" t="s">
        <v>4810</v>
      </c>
      <c r="B210" t="s">
        <v>165</v>
      </c>
      <c r="C210" t="s">
        <v>1373</v>
      </c>
      <c r="D210" t="s">
        <v>56</v>
      </c>
      <c r="E210" t="s">
        <v>166</v>
      </c>
      <c r="F210" t="s">
        <v>99</v>
      </c>
      <c r="G210" s="202">
        <v>1795</v>
      </c>
      <c r="H210">
        <v>3</v>
      </c>
      <c r="I210" t="s">
        <v>3962</v>
      </c>
      <c r="J210" t="s">
        <v>4801</v>
      </c>
      <c r="K210" t="s">
        <v>1283</v>
      </c>
      <c r="L210" s="204">
        <v>0.26</v>
      </c>
      <c r="M210" s="112">
        <v>210.70499999999998</v>
      </c>
      <c r="N210" s="112">
        <v>54.783299999999997</v>
      </c>
      <c r="O210" s="204"/>
      <c r="P210" s="112"/>
      <c r="Q210" s="112"/>
      <c r="R210" s="112"/>
      <c r="S210" s="112"/>
      <c r="T210" s="112"/>
      <c r="U210" t="s">
        <v>3956</v>
      </c>
      <c r="V210" t="s">
        <v>4811</v>
      </c>
      <c r="W210" t="s">
        <v>3958</v>
      </c>
      <c r="X210" t="s">
        <v>4660</v>
      </c>
    </row>
    <row r="211" spans="1:24" x14ac:dyDescent="0.2">
      <c r="A211" t="s">
        <v>4810</v>
      </c>
      <c r="B211" t="s">
        <v>165</v>
      </c>
      <c r="C211" t="s">
        <v>1373</v>
      </c>
      <c r="D211" t="s">
        <v>56</v>
      </c>
      <c r="E211" t="s">
        <v>166</v>
      </c>
      <c r="F211" t="s">
        <v>99</v>
      </c>
      <c r="G211" s="202">
        <v>1795</v>
      </c>
      <c r="H211">
        <v>4</v>
      </c>
      <c r="I211" t="s">
        <v>3964</v>
      </c>
      <c r="J211" t="s">
        <v>4802</v>
      </c>
      <c r="K211" t="s">
        <v>1283</v>
      </c>
      <c r="L211" s="204">
        <v>7.0000000000000007E-2</v>
      </c>
      <c r="M211" s="112">
        <v>210.70499999999998</v>
      </c>
      <c r="N211" s="112">
        <v>14.74935</v>
      </c>
      <c r="O211" s="204"/>
      <c r="P211" s="112"/>
      <c r="Q211" s="112"/>
      <c r="R211" s="112"/>
      <c r="S211" s="112"/>
      <c r="T211" s="112"/>
      <c r="U211" t="s">
        <v>3956</v>
      </c>
      <c r="V211" t="s">
        <v>4811</v>
      </c>
      <c r="W211" t="s">
        <v>3958</v>
      </c>
      <c r="X211" t="s">
        <v>4660</v>
      </c>
    </row>
    <row r="212" spans="1:24" x14ac:dyDescent="0.2">
      <c r="A212" t="s">
        <v>4810</v>
      </c>
      <c r="B212" t="s">
        <v>165</v>
      </c>
      <c r="C212" t="s">
        <v>1373</v>
      </c>
      <c r="D212" t="s">
        <v>56</v>
      </c>
      <c r="E212" t="s">
        <v>166</v>
      </c>
      <c r="F212" t="s">
        <v>99</v>
      </c>
      <c r="G212" s="202">
        <v>1795</v>
      </c>
      <c r="H212">
        <v>5</v>
      </c>
      <c r="I212" t="s">
        <v>3966</v>
      </c>
      <c r="J212" t="s">
        <v>3967</v>
      </c>
      <c r="K212" t="s">
        <v>1283</v>
      </c>
      <c r="L212" s="204">
        <v>0.03</v>
      </c>
      <c r="M212" s="112">
        <v>210.70499999999998</v>
      </c>
      <c r="N212" s="112">
        <v>6.3211499999999994</v>
      </c>
      <c r="O212" s="204"/>
      <c r="P212" s="112"/>
      <c r="Q212" s="112"/>
      <c r="R212" s="112"/>
      <c r="S212" s="112"/>
      <c r="T212" s="112"/>
      <c r="U212" t="s">
        <v>3956</v>
      </c>
      <c r="V212" t="s">
        <v>4811</v>
      </c>
      <c r="W212" t="s">
        <v>3958</v>
      </c>
      <c r="X212" t="s">
        <v>4660</v>
      </c>
    </row>
    <row r="213" spans="1:24" x14ac:dyDescent="0.2">
      <c r="A213" t="s">
        <v>4810</v>
      </c>
      <c r="B213" t="s">
        <v>165</v>
      </c>
      <c r="C213" t="s">
        <v>1373</v>
      </c>
      <c r="D213" t="s">
        <v>56</v>
      </c>
      <c r="E213" t="s">
        <v>166</v>
      </c>
      <c r="F213" t="s">
        <v>99</v>
      </c>
      <c r="G213" s="202">
        <v>1795</v>
      </c>
      <c r="H213">
        <v>6</v>
      </c>
      <c r="I213" t="s">
        <v>3968</v>
      </c>
      <c r="J213" t="s">
        <v>3969</v>
      </c>
      <c r="K213" t="s">
        <v>99</v>
      </c>
      <c r="L213" s="204">
        <v>1</v>
      </c>
      <c r="M213" s="112"/>
      <c r="N213" s="112">
        <v>210.70499999999998</v>
      </c>
      <c r="O213" s="204">
        <v>0.22228943699355508</v>
      </c>
      <c r="P213" s="112">
        <v>46.837495821727032</v>
      </c>
      <c r="Q213" s="112">
        <v>257.54249582172702</v>
      </c>
      <c r="R213" s="112">
        <v>462288.78</v>
      </c>
      <c r="S213" s="112">
        <v>462288.78</v>
      </c>
      <c r="T213" s="112">
        <v>0</v>
      </c>
      <c r="U213" t="s">
        <v>3956</v>
      </c>
      <c r="V213" t="s">
        <v>4811</v>
      </c>
      <c r="W213" t="s">
        <v>4666</v>
      </c>
      <c r="X213" t="s">
        <v>4667</v>
      </c>
    </row>
    <row r="214" spans="1:24" x14ac:dyDescent="0.2">
      <c r="A214" t="s">
        <v>4812</v>
      </c>
      <c r="B214" t="s">
        <v>167</v>
      </c>
      <c r="C214" t="s">
        <v>1374</v>
      </c>
      <c r="D214" t="s">
        <v>56</v>
      </c>
      <c r="E214" t="s">
        <v>1375</v>
      </c>
      <c r="F214" t="s">
        <v>84</v>
      </c>
      <c r="G214" s="202">
        <v>85</v>
      </c>
      <c r="H214">
        <v>1</v>
      </c>
      <c r="I214" t="s">
        <v>3954</v>
      </c>
      <c r="J214" t="s">
        <v>3955</v>
      </c>
      <c r="K214" t="s">
        <v>1283</v>
      </c>
      <c r="L214" s="204">
        <v>0.14000000000000001</v>
      </c>
      <c r="M214" s="112">
        <v>32.827500000000001</v>
      </c>
      <c r="N214" s="112">
        <v>4.5958500000000004</v>
      </c>
      <c r="O214" s="204"/>
      <c r="P214" s="112"/>
      <c r="Q214" s="112"/>
      <c r="R214" s="112"/>
      <c r="S214" s="112"/>
      <c r="T214" s="112"/>
      <c r="U214" t="s">
        <v>4813</v>
      </c>
      <c r="V214" t="s">
        <v>4814</v>
      </c>
      <c r="W214" t="s">
        <v>3958</v>
      </c>
      <c r="X214" t="s">
        <v>4660</v>
      </c>
    </row>
    <row r="215" spans="1:24" x14ac:dyDescent="0.2">
      <c r="A215" t="s">
        <v>4812</v>
      </c>
      <c r="B215" t="s">
        <v>167</v>
      </c>
      <c r="C215" t="s">
        <v>1374</v>
      </c>
      <c r="D215" t="s">
        <v>56</v>
      </c>
      <c r="E215" t="s">
        <v>1375</v>
      </c>
      <c r="F215" t="s">
        <v>84</v>
      </c>
      <c r="G215" s="202">
        <v>85</v>
      </c>
      <c r="H215">
        <v>2</v>
      </c>
      <c r="I215" t="s">
        <v>3960</v>
      </c>
      <c r="J215" t="s">
        <v>4800</v>
      </c>
      <c r="K215" t="s">
        <v>1283</v>
      </c>
      <c r="L215" s="204">
        <v>0.5</v>
      </c>
      <c r="M215" s="112">
        <v>32.827500000000001</v>
      </c>
      <c r="N215" s="112">
        <v>16.41375</v>
      </c>
      <c r="O215" s="204"/>
      <c r="P215" s="112"/>
      <c r="Q215" s="112"/>
      <c r="R215" s="112"/>
      <c r="S215" s="112"/>
      <c r="T215" s="112"/>
      <c r="U215" t="s">
        <v>4813</v>
      </c>
      <c r="V215" t="s">
        <v>4814</v>
      </c>
      <c r="W215" t="s">
        <v>3958</v>
      </c>
      <c r="X215" t="s">
        <v>4660</v>
      </c>
    </row>
    <row r="216" spans="1:24" x14ac:dyDescent="0.2">
      <c r="A216" t="s">
        <v>4812</v>
      </c>
      <c r="B216" t="s">
        <v>167</v>
      </c>
      <c r="C216" t="s">
        <v>1374</v>
      </c>
      <c r="D216" t="s">
        <v>56</v>
      </c>
      <c r="E216" t="s">
        <v>1375</v>
      </c>
      <c r="F216" t="s">
        <v>84</v>
      </c>
      <c r="G216" s="202">
        <v>85</v>
      </c>
      <c r="H216">
        <v>3</v>
      </c>
      <c r="I216" t="s">
        <v>3962</v>
      </c>
      <c r="J216" t="s">
        <v>4801</v>
      </c>
      <c r="K216" t="s">
        <v>1283</v>
      </c>
      <c r="L216" s="204">
        <v>0.26</v>
      </c>
      <c r="M216" s="112">
        <v>32.827500000000001</v>
      </c>
      <c r="N216" s="112">
        <v>8.5351499999999998</v>
      </c>
      <c r="O216" s="204"/>
      <c r="P216" s="112"/>
      <c r="Q216" s="112"/>
      <c r="R216" s="112"/>
      <c r="S216" s="112"/>
      <c r="T216" s="112"/>
      <c r="U216" t="s">
        <v>4813</v>
      </c>
      <c r="V216" t="s">
        <v>4814</v>
      </c>
      <c r="W216" t="s">
        <v>3958</v>
      </c>
      <c r="X216" t="s">
        <v>4660</v>
      </c>
    </row>
    <row r="217" spans="1:24" x14ac:dyDescent="0.2">
      <c r="A217" t="s">
        <v>4812</v>
      </c>
      <c r="B217" t="s">
        <v>167</v>
      </c>
      <c r="C217" t="s">
        <v>1374</v>
      </c>
      <c r="D217" t="s">
        <v>56</v>
      </c>
      <c r="E217" t="s">
        <v>1375</v>
      </c>
      <c r="F217" t="s">
        <v>84</v>
      </c>
      <c r="G217" s="202">
        <v>85</v>
      </c>
      <c r="H217">
        <v>4</v>
      </c>
      <c r="I217" t="s">
        <v>3964</v>
      </c>
      <c r="J217" t="s">
        <v>4802</v>
      </c>
      <c r="K217" t="s">
        <v>1283</v>
      </c>
      <c r="L217" s="204">
        <v>7.0000000000000007E-2</v>
      </c>
      <c r="M217" s="112">
        <v>32.827500000000001</v>
      </c>
      <c r="N217" s="112">
        <v>2.2979250000000002</v>
      </c>
      <c r="O217" s="204"/>
      <c r="P217" s="112"/>
      <c r="Q217" s="112"/>
      <c r="R217" s="112"/>
      <c r="S217" s="112"/>
      <c r="T217" s="112"/>
      <c r="U217" t="s">
        <v>4813</v>
      </c>
      <c r="V217" t="s">
        <v>4814</v>
      </c>
      <c r="W217" t="s">
        <v>3958</v>
      </c>
      <c r="X217" t="s">
        <v>4660</v>
      </c>
    </row>
    <row r="218" spans="1:24" x14ac:dyDescent="0.2">
      <c r="A218" t="s">
        <v>4812</v>
      </c>
      <c r="B218" t="s">
        <v>167</v>
      </c>
      <c r="C218" t="s">
        <v>1374</v>
      </c>
      <c r="D218" t="s">
        <v>56</v>
      </c>
      <c r="E218" t="s">
        <v>1375</v>
      </c>
      <c r="F218" t="s">
        <v>84</v>
      </c>
      <c r="G218" s="202">
        <v>85</v>
      </c>
      <c r="H218">
        <v>5</v>
      </c>
      <c r="I218" t="s">
        <v>3966</v>
      </c>
      <c r="J218" t="s">
        <v>3967</v>
      </c>
      <c r="K218" t="s">
        <v>1283</v>
      </c>
      <c r="L218" s="204">
        <v>0.03</v>
      </c>
      <c r="M218" s="112">
        <v>32.827500000000001</v>
      </c>
      <c r="N218" s="112">
        <v>0.98482499999999995</v>
      </c>
      <c r="O218" s="204"/>
      <c r="P218" s="112"/>
      <c r="Q218" s="112"/>
      <c r="R218" s="112"/>
      <c r="S218" s="112"/>
      <c r="T218" s="112"/>
      <c r="U218" t="s">
        <v>4813</v>
      </c>
      <c r="V218" t="s">
        <v>4814</v>
      </c>
      <c r="W218" t="s">
        <v>3958</v>
      </c>
      <c r="X218" t="s">
        <v>4660</v>
      </c>
    </row>
    <row r="219" spans="1:24" x14ac:dyDescent="0.2">
      <c r="A219" t="s">
        <v>4812</v>
      </c>
      <c r="B219" t="s">
        <v>167</v>
      </c>
      <c r="C219" t="s">
        <v>1374</v>
      </c>
      <c r="D219" t="s">
        <v>56</v>
      </c>
      <c r="E219" t="s">
        <v>1375</v>
      </c>
      <c r="F219" t="s">
        <v>84</v>
      </c>
      <c r="G219" s="202">
        <v>85</v>
      </c>
      <c r="H219">
        <v>6</v>
      </c>
      <c r="I219" t="s">
        <v>3968</v>
      </c>
      <c r="J219" t="s">
        <v>3969</v>
      </c>
      <c r="K219" t="s">
        <v>84</v>
      </c>
      <c r="L219" s="204">
        <v>1</v>
      </c>
      <c r="M219" s="112"/>
      <c r="N219" s="112">
        <v>32.827500000000001</v>
      </c>
      <c r="O219" s="204">
        <v>0.22229658598646207</v>
      </c>
      <c r="P219" s="112">
        <v>7.2974411764705849</v>
      </c>
      <c r="Q219" s="112">
        <v>40.124941176470585</v>
      </c>
      <c r="R219" s="112">
        <v>3410.62</v>
      </c>
      <c r="S219" s="112">
        <v>3410.62</v>
      </c>
      <c r="T219" s="112">
        <v>0</v>
      </c>
      <c r="U219" t="s">
        <v>4813</v>
      </c>
      <c r="V219" t="s">
        <v>4814</v>
      </c>
      <c r="W219" t="s">
        <v>4666</v>
      </c>
      <c r="X219" t="s">
        <v>4667</v>
      </c>
    </row>
    <row r="220" spans="1:24" x14ac:dyDescent="0.2">
      <c r="A220" t="s">
        <v>4815</v>
      </c>
      <c r="B220" t="s">
        <v>172</v>
      </c>
      <c r="C220" t="s">
        <v>1376</v>
      </c>
      <c r="D220" t="s">
        <v>56</v>
      </c>
      <c r="E220" t="s">
        <v>1377</v>
      </c>
      <c r="F220" t="s">
        <v>118</v>
      </c>
      <c r="G220" s="202">
        <v>3.121</v>
      </c>
      <c r="H220">
        <v>1</v>
      </c>
      <c r="I220" t="s">
        <v>3954</v>
      </c>
      <c r="J220" t="s">
        <v>4804</v>
      </c>
      <c r="K220" t="s">
        <v>1283</v>
      </c>
      <c r="L220" s="204">
        <v>0.28000000000000003</v>
      </c>
      <c r="M220" s="112">
        <v>431.58750000000003</v>
      </c>
      <c r="N220" s="112">
        <v>120.84450000000002</v>
      </c>
      <c r="O220" s="204"/>
      <c r="P220" s="112"/>
      <c r="Q220" s="112"/>
      <c r="R220" s="112"/>
      <c r="S220" s="112"/>
      <c r="T220" s="112"/>
      <c r="U220" t="s">
        <v>4816</v>
      </c>
      <c r="V220" t="s">
        <v>4817</v>
      </c>
      <c r="W220" t="s">
        <v>3958</v>
      </c>
      <c r="X220" t="s">
        <v>4660</v>
      </c>
    </row>
    <row r="221" spans="1:24" x14ac:dyDescent="0.2">
      <c r="A221" t="s">
        <v>4815</v>
      </c>
      <c r="B221" t="s">
        <v>172</v>
      </c>
      <c r="C221" t="s">
        <v>1376</v>
      </c>
      <c r="D221" t="s">
        <v>56</v>
      </c>
      <c r="E221" t="s">
        <v>1377</v>
      </c>
      <c r="F221" t="s">
        <v>118</v>
      </c>
      <c r="G221" s="202">
        <v>3.121</v>
      </c>
      <c r="H221">
        <v>2</v>
      </c>
      <c r="I221" t="s">
        <v>3960</v>
      </c>
      <c r="J221" t="s">
        <v>4807</v>
      </c>
      <c r="K221" t="s">
        <v>1283</v>
      </c>
      <c r="L221" s="204">
        <v>0.56000000000000005</v>
      </c>
      <c r="M221" s="112">
        <v>431.58750000000003</v>
      </c>
      <c r="N221" s="112">
        <v>241.68900000000005</v>
      </c>
      <c r="O221" s="204"/>
      <c r="P221" s="112"/>
      <c r="Q221" s="112"/>
      <c r="R221" s="112"/>
      <c r="S221" s="112"/>
      <c r="T221" s="112"/>
      <c r="U221" t="s">
        <v>4816</v>
      </c>
      <c r="V221" t="s">
        <v>4817</v>
      </c>
      <c r="W221" t="s">
        <v>3958</v>
      </c>
      <c r="X221" t="s">
        <v>4660</v>
      </c>
    </row>
    <row r="222" spans="1:24" x14ac:dyDescent="0.2">
      <c r="A222" t="s">
        <v>4815</v>
      </c>
      <c r="B222" t="s">
        <v>172</v>
      </c>
      <c r="C222" t="s">
        <v>1376</v>
      </c>
      <c r="D222" t="s">
        <v>56</v>
      </c>
      <c r="E222" t="s">
        <v>1377</v>
      </c>
      <c r="F222" t="s">
        <v>118</v>
      </c>
      <c r="G222" s="202">
        <v>3.121</v>
      </c>
      <c r="H222">
        <v>3</v>
      </c>
      <c r="I222" t="s">
        <v>3962</v>
      </c>
      <c r="J222" t="s">
        <v>4808</v>
      </c>
      <c r="K222" t="s">
        <v>1283</v>
      </c>
      <c r="L222" s="204">
        <v>0.1</v>
      </c>
      <c r="M222" s="112">
        <v>431.58750000000003</v>
      </c>
      <c r="N222" s="112">
        <v>43.158750000000005</v>
      </c>
      <c r="O222" s="204"/>
      <c r="P222" s="112"/>
      <c r="Q222" s="112"/>
      <c r="R222" s="112"/>
      <c r="S222" s="112"/>
      <c r="T222" s="112"/>
      <c r="U222" t="s">
        <v>4816</v>
      </c>
      <c r="V222" t="s">
        <v>4817</v>
      </c>
      <c r="W222" t="s">
        <v>3958</v>
      </c>
      <c r="X222" t="s">
        <v>4660</v>
      </c>
    </row>
    <row r="223" spans="1:24" x14ac:dyDescent="0.2">
      <c r="A223" t="s">
        <v>4815</v>
      </c>
      <c r="B223" t="s">
        <v>172</v>
      </c>
      <c r="C223" t="s">
        <v>1376</v>
      </c>
      <c r="D223" t="s">
        <v>56</v>
      </c>
      <c r="E223" t="s">
        <v>1377</v>
      </c>
      <c r="F223" t="s">
        <v>118</v>
      </c>
      <c r="G223" s="202">
        <v>3.121</v>
      </c>
      <c r="H223">
        <v>4</v>
      </c>
      <c r="I223" t="s">
        <v>4017</v>
      </c>
      <c r="J223" t="s">
        <v>4809</v>
      </c>
      <c r="K223" t="s">
        <v>1283</v>
      </c>
      <c r="L223" s="204">
        <v>0.06</v>
      </c>
      <c r="M223" s="112">
        <v>431.58750000000003</v>
      </c>
      <c r="N223" s="112">
        <v>25.895250000000001</v>
      </c>
      <c r="O223" s="204"/>
      <c r="P223" s="112"/>
      <c r="Q223" s="112"/>
      <c r="R223" s="112"/>
      <c r="S223" s="112"/>
      <c r="T223" s="112"/>
      <c r="U223" t="s">
        <v>4816</v>
      </c>
      <c r="V223" t="s">
        <v>4817</v>
      </c>
      <c r="W223" t="s">
        <v>3958</v>
      </c>
      <c r="X223" t="s">
        <v>4660</v>
      </c>
    </row>
    <row r="224" spans="1:24" x14ac:dyDescent="0.2">
      <c r="A224" t="s">
        <v>4815</v>
      </c>
      <c r="B224" t="s">
        <v>172</v>
      </c>
      <c r="C224" t="s">
        <v>1376</v>
      </c>
      <c r="D224" t="s">
        <v>56</v>
      </c>
      <c r="E224" t="s">
        <v>1377</v>
      </c>
      <c r="F224" t="s">
        <v>118</v>
      </c>
      <c r="G224" s="202">
        <v>3.121</v>
      </c>
      <c r="H224">
        <v>5</v>
      </c>
      <c r="I224" t="s">
        <v>3968</v>
      </c>
      <c r="J224" t="s">
        <v>3969</v>
      </c>
      <c r="K224" t="s">
        <v>118</v>
      </c>
      <c r="L224" s="204">
        <v>1</v>
      </c>
      <c r="M224" s="112"/>
      <c r="N224" s="112">
        <v>431.58750000000003</v>
      </c>
      <c r="O224" s="204">
        <v>0.22229312441928739</v>
      </c>
      <c r="P224" s="112">
        <v>95.938933835309228</v>
      </c>
      <c r="Q224" s="112">
        <v>527.52643383530926</v>
      </c>
      <c r="R224" s="112">
        <v>1646.41</v>
      </c>
      <c r="S224" s="112">
        <v>1646.41</v>
      </c>
      <c r="T224" s="112">
        <v>0</v>
      </c>
      <c r="U224" t="s">
        <v>4816</v>
      </c>
      <c r="V224" t="s">
        <v>4817</v>
      </c>
      <c r="W224" t="s">
        <v>4666</v>
      </c>
      <c r="X224" t="s">
        <v>4667</v>
      </c>
    </row>
    <row r="225" spans="1:24" x14ac:dyDescent="0.2">
      <c r="A225" t="s">
        <v>4818</v>
      </c>
      <c r="B225" t="s">
        <v>174</v>
      </c>
      <c r="C225" t="s">
        <v>1378</v>
      </c>
      <c r="D225" t="s">
        <v>56</v>
      </c>
      <c r="E225" t="s">
        <v>175</v>
      </c>
      <c r="F225" t="s">
        <v>26</v>
      </c>
      <c r="G225" s="202">
        <v>204.94</v>
      </c>
      <c r="H225">
        <v>1</v>
      </c>
      <c r="I225" t="s">
        <v>3954</v>
      </c>
      <c r="J225" t="s">
        <v>4715</v>
      </c>
      <c r="K225" t="s">
        <v>1283</v>
      </c>
      <c r="L225" s="204">
        <v>0.42</v>
      </c>
      <c r="M225" s="112">
        <v>124.46249999999999</v>
      </c>
      <c r="N225" s="112">
        <v>52.274249999999995</v>
      </c>
      <c r="O225" s="204"/>
      <c r="P225" s="112"/>
      <c r="Q225" s="112"/>
      <c r="R225" s="112"/>
      <c r="S225" s="112"/>
      <c r="T225" s="112"/>
      <c r="U225" t="s">
        <v>4300</v>
      </c>
      <c r="V225" t="s">
        <v>4819</v>
      </c>
      <c r="W225" t="s">
        <v>3958</v>
      </c>
      <c r="X225" t="s">
        <v>4660</v>
      </c>
    </row>
    <row r="226" spans="1:24" x14ac:dyDescent="0.2">
      <c r="A226" t="s">
        <v>4818</v>
      </c>
      <c r="B226" t="s">
        <v>174</v>
      </c>
      <c r="C226" t="s">
        <v>1378</v>
      </c>
      <c r="D226" t="s">
        <v>56</v>
      </c>
      <c r="E226" t="s">
        <v>175</v>
      </c>
      <c r="F226" t="s">
        <v>26</v>
      </c>
      <c r="G226" s="202">
        <v>204.94</v>
      </c>
      <c r="H226">
        <v>2</v>
      </c>
      <c r="I226" t="s">
        <v>3960</v>
      </c>
      <c r="J226" t="s">
        <v>4718</v>
      </c>
      <c r="K226" t="s">
        <v>1283</v>
      </c>
      <c r="L226" s="204">
        <v>0.4</v>
      </c>
      <c r="M226" s="112">
        <v>124.46249999999999</v>
      </c>
      <c r="N226" s="112">
        <v>49.784999999999997</v>
      </c>
      <c r="O226" s="204"/>
      <c r="P226" s="112"/>
      <c r="Q226" s="112"/>
      <c r="R226" s="112"/>
      <c r="S226" s="112"/>
      <c r="T226" s="112"/>
      <c r="U226" t="s">
        <v>4300</v>
      </c>
      <c r="V226" t="s">
        <v>4819</v>
      </c>
      <c r="W226" t="s">
        <v>3958</v>
      </c>
      <c r="X226" t="s">
        <v>4660</v>
      </c>
    </row>
    <row r="227" spans="1:24" x14ac:dyDescent="0.2">
      <c r="A227" t="s">
        <v>4818</v>
      </c>
      <c r="B227" t="s">
        <v>174</v>
      </c>
      <c r="C227" t="s">
        <v>1378</v>
      </c>
      <c r="D227" t="s">
        <v>56</v>
      </c>
      <c r="E227" t="s">
        <v>175</v>
      </c>
      <c r="F227" t="s">
        <v>26</v>
      </c>
      <c r="G227" s="202">
        <v>204.94</v>
      </c>
      <c r="H227">
        <v>3</v>
      </c>
      <c r="I227" t="s">
        <v>3976</v>
      </c>
      <c r="J227" t="s">
        <v>4719</v>
      </c>
      <c r="K227" t="s">
        <v>1283</v>
      </c>
      <c r="L227" s="204">
        <v>0.12</v>
      </c>
      <c r="M227" s="112">
        <v>124.46249999999999</v>
      </c>
      <c r="N227" s="112">
        <v>14.935499999999998</v>
      </c>
      <c r="O227" s="204"/>
      <c r="P227" s="112"/>
      <c r="Q227" s="112"/>
      <c r="R227" s="112"/>
      <c r="S227" s="112"/>
      <c r="T227" s="112"/>
      <c r="U227" t="s">
        <v>4300</v>
      </c>
      <c r="V227" t="s">
        <v>4819</v>
      </c>
      <c r="W227" t="s">
        <v>3958</v>
      </c>
      <c r="X227" t="s">
        <v>4660</v>
      </c>
    </row>
    <row r="228" spans="1:24" x14ac:dyDescent="0.2">
      <c r="A228" t="s">
        <v>4818</v>
      </c>
      <c r="B228" t="s">
        <v>174</v>
      </c>
      <c r="C228" t="s">
        <v>1378</v>
      </c>
      <c r="D228" t="s">
        <v>56</v>
      </c>
      <c r="E228" t="s">
        <v>175</v>
      </c>
      <c r="F228" t="s">
        <v>26</v>
      </c>
      <c r="G228" s="202">
        <v>204.94</v>
      </c>
      <c r="H228">
        <v>4</v>
      </c>
      <c r="I228" t="s">
        <v>4017</v>
      </c>
      <c r="J228" t="s">
        <v>4720</v>
      </c>
      <c r="K228" t="s">
        <v>1283</v>
      </c>
      <c r="L228" s="204">
        <v>0.06</v>
      </c>
      <c r="M228" s="112">
        <v>124.46249999999999</v>
      </c>
      <c r="N228" s="112">
        <v>7.4677499999999988</v>
      </c>
      <c r="O228" s="204"/>
      <c r="P228" s="112"/>
      <c r="Q228" s="112"/>
      <c r="R228" s="112"/>
      <c r="S228" s="112"/>
      <c r="T228" s="112"/>
      <c r="U228" t="s">
        <v>4300</v>
      </c>
      <c r="V228" t="s">
        <v>4819</v>
      </c>
      <c r="W228" t="s">
        <v>3958</v>
      </c>
      <c r="X228" t="s">
        <v>4660</v>
      </c>
    </row>
    <row r="229" spans="1:24" x14ac:dyDescent="0.2">
      <c r="A229" t="s">
        <v>4818</v>
      </c>
      <c r="B229" t="s">
        <v>174</v>
      </c>
      <c r="C229" t="s">
        <v>1378</v>
      </c>
      <c r="D229" t="s">
        <v>56</v>
      </c>
      <c r="E229" t="s">
        <v>175</v>
      </c>
      <c r="F229" t="s">
        <v>26</v>
      </c>
      <c r="G229" s="202">
        <v>204.94</v>
      </c>
      <c r="H229">
        <v>5</v>
      </c>
      <c r="I229" t="s">
        <v>3968</v>
      </c>
      <c r="J229" t="s">
        <v>3969</v>
      </c>
      <c r="K229" t="s">
        <v>26</v>
      </c>
      <c r="L229" s="204">
        <v>1</v>
      </c>
      <c r="M229" s="112"/>
      <c r="N229" s="112">
        <v>124.46249999999999</v>
      </c>
      <c r="O229" s="204">
        <v>0.22229578600101063</v>
      </c>
      <c r="P229" s="112">
        <v>27.667489265150792</v>
      </c>
      <c r="Q229" s="112">
        <v>152.12998926515078</v>
      </c>
      <c r="R229" s="112">
        <v>31177.52</v>
      </c>
      <c r="S229" s="112">
        <v>31177.52</v>
      </c>
      <c r="T229" s="112">
        <v>0</v>
      </c>
      <c r="U229" t="s">
        <v>4300</v>
      </c>
      <c r="V229" t="s">
        <v>4819</v>
      </c>
      <c r="W229" t="s">
        <v>4666</v>
      </c>
      <c r="X229" t="s">
        <v>4667</v>
      </c>
    </row>
    <row r="230" spans="1:24" x14ac:dyDescent="0.2">
      <c r="A230" t="s">
        <v>4820</v>
      </c>
      <c r="B230" t="s">
        <v>176</v>
      </c>
      <c r="C230" t="s">
        <v>1379</v>
      </c>
      <c r="D230" t="s">
        <v>56</v>
      </c>
      <c r="E230" t="s">
        <v>177</v>
      </c>
      <c r="F230" t="s">
        <v>26</v>
      </c>
      <c r="G230" s="202">
        <v>312.59800000000001</v>
      </c>
      <c r="H230">
        <v>1</v>
      </c>
      <c r="I230" t="s">
        <v>3954</v>
      </c>
      <c r="J230" t="s">
        <v>4715</v>
      </c>
      <c r="K230" t="s">
        <v>1283</v>
      </c>
      <c r="L230" s="204">
        <v>0.42</v>
      </c>
      <c r="M230" s="112">
        <v>65.760000000000005</v>
      </c>
      <c r="N230" s="112">
        <v>27.619200000000003</v>
      </c>
      <c r="O230" s="204"/>
      <c r="P230" s="112"/>
      <c r="Q230" s="112"/>
      <c r="R230" s="112"/>
      <c r="S230" s="112"/>
      <c r="T230" s="112"/>
      <c r="U230" t="s">
        <v>4340</v>
      </c>
      <c r="V230" t="s">
        <v>4821</v>
      </c>
      <c r="W230" t="s">
        <v>3958</v>
      </c>
      <c r="X230" t="s">
        <v>4660</v>
      </c>
    </row>
    <row r="231" spans="1:24" x14ac:dyDescent="0.2">
      <c r="A231" t="s">
        <v>4820</v>
      </c>
      <c r="B231" t="s">
        <v>176</v>
      </c>
      <c r="C231" t="s">
        <v>1379</v>
      </c>
      <c r="D231" t="s">
        <v>56</v>
      </c>
      <c r="E231" t="s">
        <v>177</v>
      </c>
      <c r="F231" t="s">
        <v>26</v>
      </c>
      <c r="G231" s="202">
        <v>312.59800000000001</v>
      </c>
      <c r="H231">
        <v>2</v>
      </c>
      <c r="I231" t="s">
        <v>3960</v>
      </c>
      <c r="J231" t="s">
        <v>4718</v>
      </c>
      <c r="K231" t="s">
        <v>1283</v>
      </c>
      <c r="L231" s="204">
        <v>0.4</v>
      </c>
      <c r="M231" s="112">
        <v>65.760000000000005</v>
      </c>
      <c r="N231" s="112">
        <v>26.304000000000002</v>
      </c>
      <c r="O231" s="204"/>
      <c r="P231" s="112"/>
      <c r="Q231" s="112"/>
      <c r="R231" s="112"/>
      <c r="S231" s="112"/>
      <c r="T231" s="112"/>
      <c r="U231" t="s">
        <v>4340</v>
      </c>
      <c r="V231" t="s">
        <v>4821</v>
      </c>
      <c r="W231" t="s">
        <v>3958</v>
      </c>
      <c r="X231" t="s">
        <v>4660</v>
      </c>
    </row>
    <row r="232" spans="1:24" x14ac:dyDescent="0.2">
      <c r="A232" t="s">
        <v>4820</v>
      </c>
      <c r="B232" t="s">
        <v>176</v>
      </c>
      <c r="C232" t="s">
        <v>1379</v>
      </c>
      <c r="D232" t="s">
        <v>56</v>
      </c>
      <c r="E232" t="s">
        <v>177</v>
      </c>
      <c r="F232" t="s">
        <v>26</v>
      </c>
      <c r="G232" s="202">
        <v>312.59800000000001</v>
      </c>
      <c r="H232">
        <v>3</v>
      </c>
      <c r="I232" t="s">
        <v>3976</v>
      </c>
      <c r="J232" t="s">
        <v>4719</v>
      </c>
      <c r="K232" t="s">
        <v>1283</v>
      </c>
      <c r="L232" s="204">
        <v>0.12</v>
      </c>
      <c r="M232" s="112">
        <v>65.760000000000005</v>
      </c>
      <c r="N232" s="112">
        <v>7.8912000000000004</v>
      </c>
      <c r="O232" s="204"/>
      <c r="P232" s="112"/>
      <c r="Q232" s="112"/>
      <c r="R232" s="112"/>
      <c r="S232" s="112"/>
      <c r="T232" s="112"/>
      <c r="U232" t="s">
        <v>4340</v>
      </c>
      <c r="V232" t="s">
        <v>4821</v>
      </c>
      <c r="W232" t="s">
        <v>3958</v>
      </c>
      <c r="X232" t="s">
        <v>4660</v>
      </c>
    </row>
    <row r="233" spans="1:24" x14ac:dyDescent="0.2">
      <c r="A233" t="s">
        <v>4820</v>
      </c>
      <c r="B233" t="s">
        <v>176</v>
      </c>
      <c r="C233" t="s">
        <v>1379</v>
      </c>
      <c r="D233" t="s">
        <v>56</v>
      </c>
      <c r="E233" t="s">
        <v>177</v>
      </c>
      <c r="F233" t="s">
        <v>26</v>
      </c>
      <c r="G233" s="202">
        <v>312.59800000000001</v>
      </c>
      <c r="H233">
        <v>4</v>
      </c>
      <c r="I233" t="s">
        <v>4017</v>
      </c>
      <c r="J233" t="s">
        <v>4720</v>
      </c>
      <c r="K233" t="s">
        <v>1283</v>
      </c>
      <c r="L233" s="204">
        <v>0.06</v>
      </c>
      <c r="M233" s="112">
        <v>65.760000000000005</v>
      </c>
      <c r="N233" s="112">
        <v>3.9456000000000002</v>
      </c>
      <c r="O233" s="204"/>
      <c r="P233" s="112"/>
      <c r="Q233" s="112"/>
      <c r="R233" s="112"/>
      <c r="S233" s="112"/>
      <c r="T233" s="112"/>
      <c r="U233" t="s">
        <v>4340</v>
      </c>
      <c r="V233" t="s">
        <v>4821</v>
      </c>
      <c r="W233" t="s">
        <v>3958</v>
      </c>
      <c r="X233" t="s">
        <v>4660</v>
      </c>
    </row>
    <row r="234" spans="1:24" x14ac:dyDescent="0.2">
      <c r="A234" t="s">
        <v>4820</v>
      </c>
      <c r="B234" t="s">
        <v>176</v>
      </c>
      <c r="C234" t="s">
        <v>1379</v>
      </c>
      <c r="D234" t="s">
        <v>56</v>
      </c>
      <c r="E234" t="s">
        <v>177</v>
      </c>
      <c r="F234" t="s">
        <v>26</v>
      </c>
      <c r="G234" s="202">
        <v>312.59800000000001</v>
      </c>
      <c r="H234">
        <v>5</v>
      </c>
      <c r="I234" t="s">
        <v>3968</v>
      </c>
      <c r="J234" t="s">
        <v>3969</v>
      </c>
      <c r="K234" t="s">
        <v>26</v>
      </c>
      <c r="L234" s="204">
        <v>1</v>
      </c>
      <c r="M234" s="112"/>
      <c r="N234" s="112">
        <v>65.760000000000005</v>
      </c>
      <c r="O234" s="204">
        <v>0.22228530446720507</v>
      </c>
      <c r="P234" s="112">
        <v>14.617481621763403</v>
      </c>
      <c r="Q234" s="112">
        <v>80.377481621763408</v>
      </c>
      <c r="R234" s="112">
        <v>25125.84</v>
      </c>
      <c r="S234" s="112">
        <v>25125.84</v>
      </c>
      <c r="T234" s="112">
        <v>0</v>
      </c>
      <c r="U234" t="s">
        <v>4340</v>
      </c>
      <c r="V234" t="s">
        <v>4821</v>
      </c>
      <c r="W234" t="s">
        <v>4666</v>
      </c>
      <c r="X234" t="s">
        <v>4667</v>
      </c>
    </row>
    <row r="235" spans="1:24" x14ac:dyDescent="0.2">
      <c r="A235" t="s">
        <v>4822</v>
      </c>
      <c r="B235" t="s">
        <v>178</v>
      </c>
      <c r="C235" t="s">
        <v>1380</v>
      </c>
      <c r="D235" t="s">
        <v>56</v>
      </c>
      <c r="E235" t="s">
        <v>179</v>
      </c>
      <c r="F235" t="s">
        <v>180</v>
      </c>
      <c r="G235" s="202">
        <v>4.774</v>
      </c>
      <c r="H235">
        <v>1</v>
      </c>
      <c r="I235" t="s">
        <v>3954</v>
      </c>
      <c r="J235" t="s">
        <v>4823</v>
      </c>
      <c r="K235" t="s">
        <v>1283</v>
      </c>
      <c r="L235" s="204">
        <v>0.18</v>
      </c>
      <c r="M235" s="112">
        <v>13.59</v>
      </c>
      <c r="N235" s="112">
        <v>2.4461999999999997</v>
      </c>
      <c r="O235" s="204"/>
      <c r="P235" s="112"/>
      <c r="Q235" s="112"/>
      <c r="R235" s="112"/>
      <c r="S235" s="112"/>
      <c r="T235" s="112"/>
      <c r="U235" t="s">
        <v>4824</v>
      </c>
      <c r="V235" t="s">
        <v>4825</v>
      </c>
      <c r="W235" t="s">
        <v>3958</v>
      </c>
      <c r="X235" t="s">
        <v>4660</v>
      </c>
    </row>
    <row r="236" spans="1:24" x14ac:dyDescent="0.2">
      <c r="A236" t="s">
        <v>4822</v>
      </c>
      <c r="B236" t="s">
        <v>178</v>
      </c>
      <c r="C236" t="s">
        <v>1380</v>
      </c>
      <c r="D236" t="s">
        <v>56</v>
      </c>
      <c r="E236" t="s">
        <v>179</v>
      </c>
      <c r="F236" t="s">
        <v>180</v>
      </c>
      <c r="G236" s="202">
        <v>4.774</v>
      </c>
      <c r="H236">
        <v>2</v>
      </c>
      <c r="I236" t="s">
        <v>3960</v>
      </c>
      <c r="J236" t="s">
        <v>4826</v>
      </c>
      <c r="K236" t="s">
        <v>1283</v>
      </c>
      <c r="L236" s="204">
        <v>0.72</v>
      </c>
      <c r="M236" s="112">
        <v>13.59</v>
      </c>
      <c r="N236" s="112">
        <v>9.7847999999999988</v>
      </c>
      <c r="O236" s="204"/>
      <c r="P236" s="112"/>
      <c r="Q236" s="112"/>
      <c r="R236" s="112"/>
      <c r="S236" s="112"/>
      <c r="T236" s="112"/>
      <c r="U236" t="s">
        <v>4824</v>
      </c>
      <c r="V236" t="s">
        <v>4825</v>
      </c>
      <c r="W236" t="s">
        <v>3958</v>
      </c>
      <c r="X236" t="s">
        <v>4660</v>
      </c>
    </row>
    <row r="237" spans="1:24" x14ac:dyDescent="0.2">
      <c r="A237" t="s">
        <v>4822</v>
      </c>
      <c r="B237" t="s">
        <v>178</v>
      </c>
      <c r="C237" t="s">
        <v>1380</v>
      </c>
      <c r="D237" t="s">
        <v>56</v>
      </c>
      <c r="E237" t="s">
        <v>179</v>
      </c>
      <c r="F237" t="s">
        <v>180</v>
      </c>
      <c r="G237" s="202">
        <v>4.774</v>
      </c>
      <c r="H237">
        <v>3</v>
      </c>
      <c r="I237" t="s">
        <v>3976</v>
      </c>
      <c r="J237" t="s">
        <v>4827</v>
      </c>
      <c r="K237" t="s">
        <v>1283</v>
      </c>
      <c r="L237" s="204">
        <v>0.05</v>
      </c>
      <c r="M237" s="112">
        <v>13.59</v>
      </c>
      <c r="N237" s="112">
        <v>0.67949999999999999</v>
      </c>
      <c r="O237" s="204"/>
      <c r="P237" s="112"/>
      <c r="Q237" s="112"/>
      <c r="R237" s="112"/>
      <c r="S237" s="112"/>
      <c r="T237" s="112"/>
      <c r="U237" t="s">
        <v>4824</v>
      </c>
      <c r="V237" t="s">
        <v>4825</v>
      </c>
      <c r="W237" t="s">
        <v>3958</v>
      </c>
      <c r="X237" t="s">
        <v>4660</v>
      </c>
    </row>
    <row r="238" spans="1:24" x14ac:dyDescent="0.2">
      <c r="A238" t="s">
        <v>4822</v>
      </c>
      <c r="B238" t="s">
        <v>178</v>
      </c>
      <c r="C238" t="s">
        <v>1380</v>
      </c>
      <c r="D238" t="s">
        <v>56</v>
      </c>
      <c r="E238" t="s">
        <v>179</v>
      </c>
      <c r="F238" t="s">
        <v>180</v>
      </c>
      <c r="G238" s="202">
        <v>4.774</v>
      </c>
      <c r="H238">
        <v>4</v>
      </c>
      <c r="I238" t="s">
        <v>4017</v>
      </c>
      <c r="J238" t="s">
        <v>4809</v>
      </c>
      <c r="K238" t="s">
        <v>1283</v>
      </c>
      <c r="L238" s="204">
        <v>0.05</v>
      </c>
      <c r="M238" s="112">
        <v>13.59</v>
      </c>
      <c r="N238" s="112">
        <v>0.67949999999999999</v>
      </c>
      <c r="O238" s="204"/>
      <c r="P238" s="112"/>
      <c r="Q238" s="112"/>
      <c r="R238" s="112"/>
      <c r="S238" s="112"/>
      <c r="T238" s="112"/>
      <c r="U238" t="s">
        <v>4824</v>
      </c>
      <c r="V238" t="s">
        <v>4825</v>
      </c>
      <c r="W238" t="s">
        <v>3958</v>
      </c>
      <c r="X238" t="s">
        <v>4660</v>
      </c>
    </row>
    <row r="239" spans="1:24" x14ac:dyDescent="0.2">
      <c r="A239" t="s">
        <v>4822</v>
      </c>
      <c r="B239" t="s">
        <v>178</v>
      </c>
      <c r="C239" t="s">
        <v>1380</v>
      </c>
      <c r="D239" t="s">
        <v>56</v>
      </c>
      <c r="E239" t="s">
        <v>179</v>
      </c>
      <c r="F239" t="s">
        <v>180</v>
      </c>
      <c r="G239" s="202">
        <v>4.774</v>
      </c>
      <c r="H239">
        <v>5</v>
      </c>
      <c r="I239" t="s">
        <v>3968</v>
      </c>
      <c r="J239" t="s">
        <v>3969</v>
      </c>
      <c r="K239" t="s">
        <v>180</v>
      </c>
      <c r="L239" s="204">
        <v>1</v>
      </c>
      <c r="M239" s="112"/>
      <c r="N239" s="112">
        <v>13.59</v>
      </c>
      <c r="O239" s="204">
        <v>0.22181931624358442</v>
      </c>
      <c r="P239" s="112">
        <v>3.0145245077503127</v>
      </c>
      <c r="Q239" s="112">
        <v>16.604524507750313</v>
      </c>
      <c r="R239" s="112">
        <v>79.27</v>
      </c>
      <c r="S239" s="112">
        <v>79.27</v>
      </c>
      <c r="T239" s="112">
        <v>0</v>
      </c>
      <c r="U239" t="s">
        <v>4824</v>
      </c>
      <c r="V239" t="s">
        <v>4825</v>
      </c>
      <c r="W239" t="s">
        <v>4666</v>
      </c>
      <c r="X239" t="s">
        <v>4667</v>
      </c>
    </row>
    <row r="240" spans="1:24" x14ac:dyDescent="0.2">
      <c r="A240" t="s">
        <v>4828</v>
      </c>
      <c r="B240" t="s">
        <v>181</v>
      </c>
      <c r="C240" t="s">
        <v>1381</v>
      </c>
      <c r="D240" t="s">
        <v>56</v>
      </c>
      <c r="E240" t="s">
        <v>1382</v>
      </c>
      <c r="F240" t="s">
        <v>180</v>
      </c>
      <c r="G240" s="202">
        <v>1839.22</v>
      </c>
      <c r="H240">
        <v>1</v>
      </c>
      <c r="I240" t="s">
        <v>3954</v>
      </c>
      <c r="J240" t="s">
        <v>4823</v>
      </c>
      <c r="K240" t="s">
        <v>1283</v>
      </c>
      <c r="L240" s="204">
        <v>0.18</v>
      </c>
      <c r="M240" s="112">
        <v>11.602500000000001</v>
      </c>
      <c r="N240" s="112">
        <v>2.0884499999999999</v>
      </c>
      <c r="O240" s="204"/>
      <c r="P240" s="112"/>
      <c r="Q240" s="112"/>
      <c r="R240" s="112"/>
      <c r="S240" s="112"/>
      <c r="T240" s="112"/>
      <c r="U240" t="s">
        <v>4336</v>
      </c>
      <c r="V240" t="s">
        <v>4829</v>
      </c>
      <c r="W240" t="s">
        <v>3958</v>
      </c>
      <c r="X240" t="s">
        <v>4660</v>
      </c>
    </row>
    <row r="241" spans="1:24" x14ac:dyDescent="0.2">
      <c r="A241" t="s">
        <v>4828</v>
      </c>
      <c r="B241" t="s">
        <v>181</v>
      </c>
      <c r="C241" t="s">
        <v>1381</v>
      </c>
      <c r="D241" t="s">
        <v>56</v>
      </c>
      <c r="E241" t="s">
        <v>1382</v>
      </c>
      <c r="F241" t="s">
        <v>180</v>
      </c>
      <c r="G241" s="202">
        <v>1839.22</v>
      </c>
      <c r="H241">
        <v>2</v>
      </c>
      <c r="I241" t="s">
        <v>3960</v>
      </c>
      <c r="J241" t="s">
        <v>4826</v>
      </c>
      <c r="K241" t="s">
        <v>1283</v>
      </c>
      <c r="L241" s="204">
        <v>0.72</v>
      </c>
      <c r="M241" s="112">
        <v>11.602500000000001</v>
      </c>
      <c r="N241" s="112">
        <v>8.3537999999999997</v>
      </c>
      <c r="O241" s="204"/>
      <c r="P241" s="112"/>
      <c r="Q241" s="112"/>
      <c r="R241" s="112"/>
      <c r="S241" s="112"/>
      <c r="T241" s="112"/>
      <c r="U241" t="s">
        <v>4336</v>
      </c>
      <c r="V241" t="s">
        <v>4829</v>
      </c>
      <c r="W241" t="s">
        <v>3958</v>
      </c>
      <c r="X241" t="s">
        <v>4660</v>
      </c>
    </row>
    <row r="242" spans="1:24" x14ac:dyDescent="0.2">
      <c r="A242" t="s">
        <v>4828</v>
      </c>
      <c r="B242" t="s">
        <v>181</v>
      </c>
      <c r="C242" t="s">
        <v>1381</v>
      </c>
      <c r="D242" t="s">
        <v>56</v>
      </c>
      <c r="E242" t="s">
        <v>1382</v>
      </c>
      <c r="F242" t="s">
        <v>180</v>
      </c>
      <c r="G242" s="202">
        <v>1839.22</v>
      </c>
      <c r="H242">
        <v>3</v>
      </c>
      <c r="I242" t="s">
        <v>3976</v>
      </c>
      <c r="J242" t="s">
        <v>4827</v>
      </c>
      <c r="K242" t="s">
        <v>1283</v>
      </c>
      <c r="L242" s="204">
        <v>0.05</v>
      </c>
      <c r="M242" s="112">
        <v>11.602500000000001</v>
      </c>
      <c r="N242" s="112">
        <v>0.58012500000000011</v>
      </c>
      <c r="O242" s="204"/>
      <c r="P242" s="112"/>
      <c r="Q242" s="112"/>
      <c r="R242" s="112"/>
      <c r="S242" s="112"/>
      <c r="T242" s="112"/>
      <c r="U242" t="s">
        <v>4336</v>
      </c>
      <c r="V242" t="s">
        <v>4829</v>
      </c>
      <c r="W242" t="s">
        <v>3958</v>
      </c>
      <c r="X242" t="s">
        <v>4660</v>
      </c>
    </row>
    <row r="243" spans="1:24" x14ac:dyDescent="0.2">
      <c r="A243" t="s">
        <v>4828</v>
      </c>
      <c r="B243" t="s">
        <v>181</v>
      </c>
      <c r="C243" t="s">
        <v>1381</v>
      </c>
      <c r="D243" t="s">
        <v>56</v>
      </c>
      <c r="E243" t="s">
        <v>1382</v>
      </c>
      <c r="F243" t="s">
        <v>180</v>
      </c>
      <c r="G243" s="202">
        <v>1839.22</v>
      </c>
      <c r="H243">
        <v>4</v>
      </c>
      <c r="I243" t="s">
        <v>4017</v>
      </c>
      <c r="J243" t="s">
        <v>4809</v>
      </c>
      <c r="K243" t="s">
        <v>1283</v>
      </c>
      <c r="L243" s="204">
        <v>0.05</v>
      </c>
      <c r="M243" s="112">
        <v>11.602500000000001</v>
      </c>
      <c r="N243" s="112">
        <v>0.58012500000000011</v>
      </c>
      <c r="O243" s="204"/>
      <c r="P243" s="112"/>
      <c r="Q243" s="112"/>
      <c r="R243" s="112"/>
      <c r="S243" s="112"/>
      <c r="T243" s="112"/>
      <c r="U243" t="s">
        <v>4336</v>
      </c>
      <c r="V243" t="s">
        <v>4829</v>
      </c>
      <c r="W243" t="s">
        <v>3958</v>
      </c>
      <c r="X243" t="s">
        <v>4660</v>
      </c>
    </row>
    <row r="244" spans="1:24" x14ac:dyDescent="0.2">
      <c r="A244" t="s">
        <v>4828</v>
      </c>
      <c r="B244" t="s">
        <v>181</v>
      </c>
      <c r="C244" t="s">
        <v>1381</v>
      </c>
      <c r="D244" t="s">
        <v>56</v>
      </c>
      <c r="E244" t="s">
        <v>1382</v>
      </c>
      <c r="F244" t="s">
        <v>180</v>
      </c>
      <c r="G244" s="202">
        <v>1839.22</v>
      </c>
      <c r="H244">
        <v>5</v>
      </c>
      <c r="I244" t="s">
        <v>3968</v>
      </c>
      <c r="J244" t="s">
        <v>3969</v>
      </c>
      <c r="K244" t="s">
        <v>180</v>
      </c>
      <c r="L244" s="204">
        <v>1</v>
      </c>
      <c r="M244" s="112"/>
      <c r="N244" s="112">
        <v>11.602500000000001</v>
      </c>
      <c r="O244" s="204">
        <v>0.22171929299886983</v>
      </c>
      <c r="P244" s="112">
        <v>2.5724980970193876</v>
      </c>
      <c r="Q244" s="112">
        <v>14.174998097019389</v>
      </c>
      <c r="R244" s="112">
        <v>26070.94</v>
      </c>
      <c r="S244" s="112">
        <v>26070.94</v>
      </c>
      <c r="T244" s="112">
        <v>0</v>
      </c>
      <c r="U244" t="s">
        <v>4336</v>
      </c>
      <c r="V244" t="s">
        <v>4829</v>
      </c>
      <c r="W244" t="s">
        <v>4666</v>
      </c>
      <c r="X244" t="s">
        <v>4667</v>
      </c>
    </row>
    <row r="245" spans="1:24" x14ac:dyDescent="0.2">
      <c r="A245" t="s">
        <v>4830</v>
      </c>
      <c r="B245" t="s">
        <v>183</v>
      </c>
      <c r="C245" t="s">
        <v>1383</v>
      </c>
      <c r="D245" t="s">
        <v>56</v>
      </c>
      <c r="E245" t="s">
        <v>184</v>
      </c>
      <c r="F245" t="s">
        <v>180</v>
      </c>
      <c r="G245" s="202">
        <v>353.91</v>
      </c>
      <c r="H245">
        <v>1</v>
      </c>
      <c r="I245" t="s">
        <v>3954</v>
      </c>
      <c r="J245" t="s">
        <v>4823</v>
      </c>
      <c r="K245" t="s">
        <v>1283</v>
      </c>
      <c r="L245" s="204">
        <v>0.18</v>
      </c>
      <c r="M245" s="112">
        <v>8.5874999999999986</v>
      </c>
      <c r="N245" s="112">
        <v>1.5457499999999997</v>
      </c>
      <c r="O245" s="204"/>
      <c r="P245" s="112"/>
      <c r="Q245" s="112"/>
      <c r="R245" s="112"/>
      <c r="S245" s="112"/>
      <c r="T245" s="112"/>
      <c r="U245" t="s">
        <v>4831</v>
      </c>
      <c r="V245" t="s">
        <v>4832</v>
      </c>
      <c r="W245" t="s">
        <v>3958</v>
      </c>
      <c r="X245" t="s">
        <v>4660</v>
      </c>
    </row>
    <row r="246" spans="1:24" x14ac:dyDescent="0.2">
      <c r="A246" t="s">
        <v>4830</v>
      </c>
      <c r="B246" t="s">
        <v>183</v>
      </c>
      <c r="C246" t="s">
        <v>1383</v>
      </c>
      <c r="D246" t="s">
        <v>56</v>
      </c>
      <c r="E246" t="s">
        <v>184</v>
      </c>
      <c r="F246" t="s">
        <v>180</v>
      </c>
      <c r="G246" s="202">
        <v>353.91</v>
      </c>
      <c r="H246">
        <v>2</v>
      </c>
      <c r="I246" t="s">
        <v>3960</v>
      </c>
      <c r="J246" t="s">
        <v>4826</v>
      </c>
      <c r="K246" t="s">
        <v>1283</v>
      </c>
      <c r="L246" s="204">
        <v>0.72</v>
      </c>
      <c r="M246" s="112">
        <v>8.5874999999999986</v>
      </c>
      <c r="N246" s="112">
        <v>6.1829999999999989</v>
      </c>
      <c r="O246" s="204"/>
      <c r="P246" s="112"/>
      <c r="Q246" s="112"/>
      <c r="R246" s="112"/>
      <c r="S246" s="112"/>
      <c r="T246" s="112"/>
      <c r="U246" t="s">
        <v>4831</v>
      </c>
      <c r="V246" t="s">
        <v>4832</v>
      </c>
      <c r="W246" t="s">
        <v>3958</v>
      </c>
      <c r="X246" t="s">
        <v>4660</v>
      </c>
    </row>
    <row r="247" spans="1:24" x14ac:dyDescent="0.2">
      <c r="A247" t="s">
        <v>4830</v>
      </c>
      <c r="B247" t="s">
        <v>183</v>
      </c>
      <c r="C247" t="s">
        <v>1383</v>
      </c>
      <c r="D247" t="s">
        <v>56</v>
      </c>
      <c r="E247" t="s">
        <v>184</v>
      </c>
      <c r="F247" t="s">
        <v>180</v>
      </c>
      <c r="G247" s="202">
        <v>353.91</v>
      </c>
      <c r="H247">
        <v>3</v>
      </c>
      <c r="I247" t="s">
        <v>3976</v>
      </c>
      <c r="J247" t="s">
        <v>4827</v>
      </c>
      <c r="K247" t="s">
        <v>1283</v>
      </c>
      <c r="L247" s="204">
        <v>0.05</v>
      </c>
      <c r="M247" s="112">
        <v>8.5874999999999986</v>
      </c>
      <c r="N247" s="112">
        <v>0.42937499999999995</v>
      </c>
      <c r="O247" s="204"/>
      <c r="P247" s="112"/>
      <c r="Q247" s="112"/>
      <c r="R247" s="112"/>
      <c r="S247" s="112"/>
      <c r="T247" s="112"/>
      <c r="U247" t="s">
        <v>4831</v>
      </c>
      <c r="V247" t="s">
        <v>4832</v>
      </c>
      <c r="W247" t="s">
        <v>3958</v>
      </c>
      <c r="X247" t="s">
        <v>4660</v>
      </c>
    </row>
    <row r="248" spans="1:24" x14ac:dyDescent="0.2">
      <c r="A248" t="s">
        <v>4830</v>
      </c>
      <c r="B248" t="s">
        <v>183</v>
      </c>
      <c r="C248" t="s">
        <v>1383</v>
      </c>
      <c r="D248" t="s">
        <v>56</v>
      </c>
      <c r="E248" t="s">
        <v>184</v>
      </c>
      <c r="F248" t="s">
        <v>180</v>
      </c>
      <c r="G248" s="202">
        <v>353.91</v>
      </c>
      <c r="H248">
        <v>4</v>
      </c>
      <c r="I248" t="s">
        <v>4017</v>
      </c>
      <c r="J248" t="s">
        <v>4809</v>
      </c>
      <c r="K248" t="s">
        <v>1283</v>
      </c>
      <c r="L248" s="204">
        <v>0.05</v>
      </c>
      <c r="M248" s="112">
        <v>8.5874999999999986</v>
      </c>
      <c r="N248" s="112">
        <v>0.42937499999999995</v>
      </c>
      <c r="O248" s="204"/>
      <c r="P248" s="112"/>
      <c r="Q248" s="112"/>
      <c r="R248" s="112"/>
      <c r="S248" s="112"/>
      <c r="T248" s="112"/>
      <c r="U248" t="s">
        <v>4831</v>
      </c>
      <c r="V248" t="s">
        <v>4832</v>
      </c>
      <c r="W248" t="s">
        <v>3958</v>
      </c>
      <c r="X248" t="s">
        <v>4660</v>
      </c>
    </row>
    <row r="249" spans="1:24" x14ac:dyDescent="0.2">
      <c r="A249" t="s">
        <v>4830</v>
      </c>
      <c r="B249" t="s">
        <v>183</v>
      </c>
      <c r="C249" t="s">
        <v>1383</v>
      </c>
      <c r="D249" t="s">
        <v>56</v>
      </c>
      <c r="E249" t="s">
        <v>184</v>
      </c>
      <c r="F249" t="s">
        <v>180</v>
      </c>
      <c r="G249" s="202">
        <v>353.91</v>
      </c>
      <c r="H249">
        <v>5</v>
      </c>
      <c r="I249" t="s">
        <v>3968</v>
      </c>
      <c r="J249" t="s">
        <v>3969</v>
      </c>
      <c r="K249" t="s">
        <v>180</v>
      </c>
      <c r="L249" s="204">
        <v>1</v>
      </c>
      <c r="M249" s="112"/>
      <c r="N249" s="112">
        <v>8.5874999999999986</v>
      </c>
      <c r="O249" s="204">
        <v>0.22183383903760601</v>
      </c>
      <c r="P249" s="112">
        <v>1.9049980927354415</v>
      </c>
      <c r="Q249" s="112">
        <v>10.49249809273544</v>
      </c>
      <c r="R249" s="112">
        <v>3713.4</v>
      </c>
      <c r="S249" s="112">
        <v>3713.4</v>
      </c>
      <c r="T249" s="112">
        <v>0</v>
      </c>
      <c r="U249" t="s">
        <v>4831</v>
      </c>
      <c r="V249" t="s">
        <v>4832</v>
      </c>
      <c r="W249" t="s">
        <v>4666</v>
      </c>
      <c r="X249" t="s">
        <v>4667</v>
      </c>
    </row>
    <row r="250" spans="1:24" x14ac:dyDescent="0.2">
      <c r="A250" t="s">
        <v>4833</v>
      </c>
      <c r="B250" t="s">
        <v>185</v>
      </c>
      <c r="C250" t="s">
        <v>1384</v>
      </c>
      <c r="D250" t="s">
        <v>56</v>
      </c>
      <c r="E250" t="s">
        <v>186</v>
      </c>
      <c r="F250" t="s">
        <v>180</v>
      </c>
      <c r="G250" s="202">
        <v>346.74599999999998</v>
      </c>
      <c r="H250">
        <v>1</v>
      </c>
      <c r="I250" t="s">
        <v>3954</v>
      </c>
      <c r="J250" t="s">
        <v>4823</v>
      </c>
      <c r="K250" t="s">
        <v>1283</v>
      </c>
      <c r="L250" s="204">
        <v>0.18</v>
      </c>
      <c r="M250" s="112">
        <v>14.782500000000001</v>
      </c>
      <c r="N250" s="112">
        <v>2.6608499999999999</v>
      </c>
      <c r="O250" s="204"/>
      <c r="P250" s="112"/>
      <c r="Q250" s="112"/>
      <c r="R250" s="112"/>
      <c r="S250" s="112"/>
      <c r="T250" s="112"/>
      <c r="U250" t="s">
        <v>4834</v>
      </c>
      <c r="V250" t="s">
        <v>4835</v>
      </c>
      <c r="W250" t="s">
        <v>3958</v>
      </c>
      <c r="X250" t="s">
        <v>4660</v>
      </c>
    </row>
    <row r="251" spans="1:24" x14ac:dyDescent="0.2">
      <c r="A251" t="s">
        <v>4833</v>
      </c>
      <c r="B251" t="s">
        <v>185</v>
      </c>
      <c r="C251" t="s">
        <v>1384</v>
      </c>
      <c r="D251" t="s">
        <v>56</v>
      </c>
      <c r="E251" t="s">
        <v>186</v>
      </c>
      <c r="F251" t="s">
        <v>180</v>
      </c>
      <c r="G251" s="202">
        <v>346.74599999999998</v>
      </c>
      <c r="H251">
        <v>2</v>
      </c>
      <c r="I251" t="s">
        <v>3960</v>
      </c>
      <c r="J251" t="s">
        <v>4826</v>
      </c>
      <c r="K251" t="s">
        <v>1283</v>
      </c>
      <c r="L251" s="204">
        <v>0.72</v>
      </c>
      <c r="M251" s="112">
        <v>14.782500000000001</v>
      </c>
      <c r="N251" s="112">
        <v>10.6434</v>
      </c>
      <c r="O251" s="204"/>
      <c r="P251" s="112"/>
      <c r="Q251" s="112"/>
      <c r="R251" s="112"/>
      <c r="S251" s="112"/>
      <c r="T251" s="112"/>
      <c r="U251" t="s">
        <v>4834</v>
      </c>
      <c r="V251" t="s">
        <v>4835</v>
      </c>
      <c r="W251" t="s">
        <v>3958</v>
      </c>
      <c r="X251" t="s">
        <v>4660</v>
      </c>
    </row>
    <row r="252" spans="1:24" x14ac:dyDescent="0.2">
      <c r="A252" t="s">
        <v>4833</v>
      </c>
      <c r="B252" t="s">
        <v>185</v>
      </c>
      <c r="C252" t="s">
        <v>1384</v>
      </c>
      <c r="D252" t="s">
        <v>56</v>
      </c>
      <c r="E252" t="s">
        <v>186</v>
      </c>
      <c r="F252" t="s">
        <v>180</v>
      </c>
      <c r="G252" s="202">
        <v>346.74599999999998</v>
      </c>
      <c r="H252">
        <v>3</v>
      </c>
      <c r="I252" t="s">
        <v>3976</v>
      </c>
      <c r="J252" t="s">
        <v>4827</v>
      </c>
      <c r="K252" t="s">
        <v>1283</v>
      </c>
      <c r="L252" s="204">
        <v>0.05</v>
      </c>
      <c r="M252" s="112">
        <v>14.782500000000001</v>
      </c>
      <c r="N252" s="112">
        <v>0.73912500000000003</v>
      </c>
      <c r="O252" s="204"/>
      <c r="P252" s="112"/>
      <c r="Q252" s="112"/>
      <c r="R252" s="112"/>
      <c r="S252" s="112"/>
      <c r="T252" s="112"/>
      <c r="U252" t="s">
        <v>4834</v>
      </c>
      <c r="V252" t="s">
        <v>4835</v>
      </c>
      <c r="W252" t="s">
        <v>3958</v>
      </c>
      <c r="X252" t="s">
        <v>4660</v>
      </c>
    </row>
    <row r="253" spans="1:24" x14ac:dyDescent="0.2">
      <c r="A253" t="s">
        <v>4833</v>
      </c>
      <c r="B253" t="s">
        <v>185</v>
      </c>
      <c r="C253" t="s">
        <v>1384</v>
      </c>
      <c r="D253" t="s">
        <v>56</v>
      </c>
      <c r="E253" t="s">
        <v>186</v>
      </c>
      <c r="F253" t="s">
        <v>180</v>
      </c>
      <c r="G253" s="202">
        <v>346.74599999999998</v>
      </c>
      <c r="H253">
        <v>4</v>
      </c>
      <c r="I253" t="s">
        <v>4017</v>
      </c>
      <c r="J253" t="s">
        <v>4809</v>
      </c>
      <c r="K253" t="s">
        <v>1283</v>
      </c>
      <c r="L253" s="204">
        <v>0.05</v>
      </c>
      <c r="M253" s="112">
        <v>14.782500000000001</v>
      </c>
      <c r="N253" s="112">
        <v>0.73912500000000003</v>
      </c>
      <c r="O253" s="204"/>
      <c r="P253" s="112"/>
      <c r="Q253" s="112"/>
      <c r="R253" s="112"/>
      <c r="S253" s="112"/>
      <c r="T253" s="112"/>
      <c r="U253" t="s">
        <v>4834</v>
      </c>
      <c r="V253" t="s">
        <v>4835</v>
      </c>
      <c r="W253" t="s">
        <v>3958</v>
      </c>
      <c r="X253" t="s">
        <v>4660</v>
      </c>
    </row>
    <row r="254" spans="1:24" x14ac:dyDescent="0.2">
      <c r="A254" t="s">
        <v>4833</v>
      </c>
      <c r="B254" t="s">
        <v>185</v>
      </c>
      <c r="C254" t="s">
        <v>1384</v>
      </c>
      <c r="D254" t="s">
        <v>56</v>
      </c>
      <c r="E254" t="s">
        <v>186</v>
      </c>
      <c r="F254" t="s">
        <v>180</v>
      </c>
      <c r="G254" s="202">
        <v>346.74599999999998</v>
      </c>
      <c r="H254">
        <v>5</v>
      </c>
      <c r="I254" t="s">
        <v>3968</v>
      </c>
      <c r="J254" t="s">
        <v>3969</v>
      </c>
      <c r="K254" t="s">
        <v>180</v>
      </c>
      <c r="L254" s="204">
        <v>1</v>
      </c>
      <c r="M254" s="112"/>
      <c r="N254" s="112">
        <v>14.782500000000001</v>
      </c>
      <c r="O254" s="204">
        <v>0.22222156768676649</v>
      </c>
      <c r="P254" s="112">
        <v>3.284990324329625</v>
      </c>
      <c r="Q254" s="112">
        <v>18.067490324329626</v>
      </c>
      <c r="R254" s="112">
        <v>6264.83</v>
      </c>
      <c r="S254" s="112">
        <v>6264.83</v>
      </c>
      <c r="T254" s="112">
        <v>0</v>
      </c>
      <c r="U254" t="s">
        <v>4834</v>
      </c>
      <c r="V254" t="s">
        <v>4835</v>
      </c>
      <c r="W254" t="s">
        <v>4666</v>
      </c>
      <c r="X254" t="s">
        <v>4667</v>
      </c>
    </row>
    <row r="255" spans="1:24" x14ac:dyDescent="0.2">
      <c r="A255" t="s">
        <v>4836</v>
      </c>
      <c r="B255" t="s">
        <v>187</v>
      </c>
      <c r="C255" t="s">
        <v>1385</v>
      </c>
      <c r="D255" t="s">
        <v>56</v>
      </c>
      <c r="E255" t="s">
        <v>188</v>
      </c>
      <c r="F255" t="s">
        <v>180</v>
      </c>
      <c r="G255" s="202">
        <v>666.88400000000001</v>
      </c>
      <c r="H255">
        <v>1</v>
      </c>
      <c r="I255" t="s">
        <v>3954</v>
      </c>
      <c r="J255" t="s">
        <v>4823</v>
      </c>
      <c r="K255" t="s">
        <v>1283</v>
      </c>
      <c r="L255" s="204">
        <v>0.18</v>
      </c>
      <c r="M255" s="112">
        <v>11.692499999999999</v>
      </c>
      <c r="N255" s="112">
        <v>2.1046499999999999</v>
      </c>
      <c r="O255" s="204"/>
      <c r="P255" s="112"/>
      <c r="Q255" s="112"/>
      <c r="R255" s="112"/>
      <c r="S255" s="112"/>
      <c r="T255" s="112"/>
      <c r="U255" t="s">
        <v>4837</v>
      </c>
      <c r="V255" t="s">
        <v>4838</v>
      </c>
      <c r="W255" t="s">
        <v>3958</v>
      </c>
      <c r="X255" t="s">
        <v>4660</v>
      </c>
    </row>
    <row r="256" spans="1:24" x14ac:dyDescent="0.2">
      <c r="A256" t="s">
        <v>4836</v>
      </c>
      <c r="B256" t="s">
        <v>187</v>
      </c>
      <c r="C256" t="s">
        <v>1385</v>
      </c>
      <c r="D256" t="s">
        <v>56</v>
      </c>
      <c r="E256" t="s">
        <v>188</v>
      </c>
      <c r="F256" t="s">
        <v>180</v>
      </c>
      <c r="G256" s="202">
        <v>666.88400000000001</v>
      </c>
      <c r="H256">
        <v>2</v>
      </c>
      <c r="I256" t="s">
        <v>3960</v>
      </c>
      <c r="J256" t="s">
        <v>4826</v>
      </c>
      <c r="K256" t="s">
        <v>1283</v>
      </c>
      <c r="L256" s="204">
        <v>0.72</v>
      </c>
      <c r="M256" s="112">
        <v>11.692499999999999</v>
      </c>
      <c r="N256" s="112">
        <v>8.4185999999999996</v>
      </c>
      <c r="O256" s="204"/>
      <c r="P256" s="112"/>
      <c r="Q256" s="112"/>
      <c r="R256" s="112"/>
      <c r="S256" s="112"/>
      <c r="T256" s="112"/>
      <c r="U256" t="s">
        <v>4837</v>
      </c>
      <c r="V256" t="s">
        <v>4838</v>
      </c>
      <c r="W256" t="s">
        <v>3958</v>
      </c>
      <c r="X256" t="s">
        <v>4660</v>
      </c>
    </row>
    <row r="257" spans="1:24" x14ac:dyDescent="0.2">
      <c r="A257" t="s">
        <v>4836</v>
      </c>
      <c r="B257" t="s">
        <v>187</v>
      </c>
      <c r="C257" t="s">
        <v>1385</v>
      </c>
      <c r="D257" t="s">
        <v>56</v>
      </c>
      <c r="E257" t="s">
        <v>188</v>
      </c>
      <c r="F257" t="s">
        <v>180</v>
      </c>
      <c r="G257" s="202">
        <v>666.88400000000001</v>
      </c>
      <c r="H257">
        <v>3</v>
      </c>
      <c r="I257" t="s">
        <v>3976</v>
      </c>
      <c r="J257" t="s">
        <v>4827</v>
      </c>
      <c r="K257" t="s">
        <v>1283</v>
      </c>
      <c r="L257" s="204">
        <v>0.05</v>
      </c>
      <c r="M257" s="112">
        <v>11.692499999999999</v>
      </c>
      <c r="N257" s="112">
        <v>0.58462499999999995</v>
      </c>
      <c r="O257" s="204"/>
      <c r="P257" s="112"/>
      <c r="Q257" s="112"/>
      <c r="R257" s="112"/>
      <c r="S257" s="112"/>
      <c r="T257" s="112"/>
      <c r="U257" t="s">
        <v>4837</v>
      </c>
      <c r="V257" t="s">
        <v>4838</v>
      </c>
      <c r="W257" t="s">
        <v>3958</v>
      </c>
      <c r="X257" t="s">
        <v>4660</v>
      </c>
    </row>
    <row r="258" spans="1:24" x14ac:dyDescent="0.2">
      <c r="A258" t="s">
        <v>4836</v>
      </c>
      <c r="B258" t="s">
        <v>187</v>
      </c>
      <c r="C258" t="s">
        <v>1385</v>
      </c>
      <c r="D258" t="s">
        <v>56</v>
      </c>
      <c r="E258" t="s">
        <v>188</v>
      </c>
      <c r="F258" t="s">
        <v>180</v>
      </c>
      <c r="G258" s="202">
        <v>666.88400000000001</v>
      </c>
      <c r="H258">
        <v>4</v>
      </c>
      <c r="I258" t="s">
        <v>4017</v>
      </c>
      <c r="J258" t="s">
        <v>4809</v>
      </c>
      <c r="K258" t="s">
        <v>1283</v>
      </c>
      <c r="L258" s="204">
        <v>0.05</v>
      </c>
      <c r="M258" s="112">
        <v>11.692499999999999</v>
      </c>
      <c r="N258" s="112">
        <v>0.58462499999999995</v>
      </c>
      <c r="O258" s="204"/>
      <c r="P258" s="112"/>
      <c r="Q258" s="112"/>
      <c r="R258" s="112"/>
      <c r="S258" s="112"/>
      <c r="T258" s="112"/>
      <c r="U258" t="s">
        <v>4837</v>
      </c>
      <c r="V258" t="s">
        <v>4838</v>
      </c>
      <c r="W258" t="s">
        <v>3958</v>
      </c>
      <c r="X258" t="s">
        <v>4660</v>
      </c>
    </row>
    <row r="259" spans="1:24" x14ac:dyDescent="0.2">
      <c r="A259" t="s">
        <v>4836</v>
      </c>
      <c r="B259" t="s">
        <v>187</v>
      </c>
      <c r="C259" t="s">
        <v>1385</v>
      </c>
      <c r="D259" t="s">
        <v>56</v>
      </c>
      <c r="E259" t="s">
        <v>188</v>
      </c>
      <c r="F259" t="s">
        <v>180</v>
      </c>
      <c r="G259" s="202">
        <v>666.88400000000001</v>
      </c>
      <c r="H259">
        <v>5</v>
      </c>
      <c r="I259" t="s">
        <v>3968</v>
      </c>
      <c r="J259" t="s">
        <v>3969</v>
      </c>
      <c r="K259" t="s">
        <v>180</v>
      </c>
      <c r="L259" s="204">
        <v>1</v>
      </c>
      <c r="M259" s="112"/>
      <c r="N259" s="112">
        <v>11.692499999999999</v>
      </c>
      <c r="O259" s="204">
        <v>0.22193647872717825</v>
      </c>
      <c r="P259" s="112">
        <v>2.5949922775175303</v>
      </c>
      <c r="Q259" s="112">
        <v>14.287492277517529</v>
      </c>
      <c r="R259" s="112">
        <v>9528.1</v>
      </c>
      <c r="S259" s="112">
        <v>9528.1</v>
      </c>
      <c r="T259" s="112">
        <v>0</v>
      </c>
      <c r="U259" t="s">
        <v>4837</v>
      </c>
      <c r="V259" t="s">
        <v>4838</v>
      </c>
      <c r="W259" t="s">
        <v>4666</v>
      </c>
      <c r="X259" t="s">
        <v>4667</v>
      </c>
    </row>
    <row r="260" spans="1:24" x14ac:dyDescent="0.2">
      <c r="A260" t="s">
        <v>4839</v>
      </c>
      <c r="B260" t="s">
        <v>189</v>
      </c>
      <c r="C260" t="s">
        <v>1386</v>
      </c>
      <c r="D260" t="s">
        <v>56</v>
      </c>
      <c r="E260" t="s">
        <v>190</v>
      </c>
      <c r="F260" t="s">
        <v>180</v>
      </c>
      <c r="G260" s="202">
        <v>40.027000000000001</v>
      </c>
      <c r="H260">
        <v>1</v>
      </c>
      <c r="I260" t="s">
        <v>3954</v>
      </c>
      <c r="J260" t="s">
        <v>4823</v>
      </c>
      <c r="K260" t="s">
        <v>1283</v>
      </c>
      <c r="L260" s="204">
        <v>0.18</v>
      </c>
      <c r="M260" s="112">
        <v>10.23</v>
      </c>
      <c r="N260" s="112">
        <v>1.8413999999999999</v>
      </c>
      <c r="O260" s="204"/>
      <c r="P260" s="112"/>
      <c r="Q260" s="112"/>
      <c r="R260" s="112"/>
      <c r="S260" s="112"/>
      <c r="T260" s="112"/>
      <c r="U260" t="s">
        <v>4840</v>
      </c>
      <c r="V260" t="s">
        <v>4841</v>
      </c>
      <c r="W260" t="s">
        <v>3958</v>
      </c>
      <c r="X260" t="s">
        <v>4660</v>
      </c>
    </row>
    <row r="261" spans="1:24" x14ac:dyDescent="0.2">
      <c r="A261" t="s">
        <v>4839</v>
      </c>
      <c r="B261" t="s">
        <v>189</v>
      </c>
      <c r="C261" t="s">
        <v>1386</v>
      </c>
      <c r="D261" t="s">
        <v>56</v>
      </c>
      <c r="E261" t="s">
        <v>190</v>
      </c>
      <c r="F261" t="s">
        <v>180</v>
      </c>
      <c r="G261" s="202">
        <v>40.027000000000001</v>
      </c>
      <c r="H261">
        <v>2</v>
      </c>
      <c r="I261" t="s">
        <v>3960</v>
      </c>
      <c r="J261" t="s">
        <v>4826</v>
      </c>
      <c r="K261" t="s">
        <v>1283</v>
      </c>
      <c r="L261" s="204">
        <v>0.72</v>
      </c>
      <c r="M261" s="112">
        <v>10.23</v>
      </c>
      <c r="N261" s="112">
        <v>7.3655999999999997</v>
      </c>
      <c r="O261" s="204"/>
      <c r="P261" s="112"/>
      <c r="Q261" s="112"/>
      <c r="R261" s="112"/>
      <c r="S261" s="112"/>
      <c r="T261" s="112"/>
      <c r="U261" t="s">
        <v>4840</v>
      </c>
      <c r="V261" t="s">
        <v>4841</v>
      </c>
      <c r="W261" t="s">
        <v>3958</v>
      </c>
      <c r="X261" t="s">
        <v>4660</v>
      </c>
    </row>
    <row r="262" spans="1:24" x14ac:dyDescent="0.2">
      <c r="A262" t="s">
        <v>4839</v>
      </c>
      <c r="B262" t="s">
        <v>189</v>
      </c>
      <c r="C262" t="s">
        <v>1386</v>
      </c>
      <c r="D262" t="s">
        <v>56</v>
      </c>
      <c r="E262" t="s">
        <v>190</v>
      </c>
      <c r="F262" t="s">
        <v>180</v>
      </c>
      <c r="G262" s="202">
        <v>40.027000000000001</v>
      </c>
      <c r="H262">
        <v>3</v>
      </c>
      <c r="I262" t="s">
        <v>3976</v>
      </c>
      <c r="J262" t="s">
        <v>4827</v>
      </c>
      <c r="K262" t="s">
        <v>1283</v>
      </c>
      <c r="L262" s="204">
        <v>0.05</v>
      </c>
      <c r="M262" s="112">
        <v>10.23</v>
      </c>
      <c r="N262" s="112">
        <v>0.51150000000000007</v>
      </c>
      <c r="O262" s="204"/>
      <c r="P262" s="112"/>
      <c r="Q262" s="112"/>
      <c r="R262" s="112"/>
      <c r="S262" s="112"/>
      <c r="T262" s="112"/>
      <c r="U262" t="s">
        <v>4840</v>
      </c>
      <c r="V262" t="s">
        <v>4841</v>
      </c>
      <c r="W262" t="s">
        <v>3958</v>
      </c>
      <c r="X262" t="s">
        <v>4660</v>
      </c>
    </row>
    <row r="263" spans="1:24" x14ac:dyDescent="0.2">
      <c r="A263" t="s">
        <v>4839</v>
      </c>
      <c r="B263" t="s">
        <v>189</v>
      </c>
      <c r="C263" t="s">
        <v>1386</v>
      </c>
      <c r="D263" t="s">
        <v>56</v>
      </c>
      <c r="E263" t="s">
        <v>190</v>
      </c>
      <c r="F263" t="s">
        <v>180</v>
      </c>
      <c r="G263" s="202">
        <v>40.027000000000001</v>
      </c>
      <c r="H263">
        <v>4</v>
      </c>
      <c r="I263" t="s">
        <v>4017</v>
      </c>
      <c r="J263" t="s">
        <v>4809</v>
      </c>
      <c r="K263" t="s">
        <v>1283</v>
      </c>
      <c r="L263" s="204">
        <v>0.05</v>
      </c>
      <c r="M263" s="112">
        <v>10.23</v>
      </c>
      <c r="N263" s="112">
        <v>0.51150000000000007</v>
      </c>
      <c r="O263" s="204"/>
      <c r="P263" s="112"/>
      <c r="Q263" s="112"/>
      <c r="R263" s="112"/>
      <c r="S263" s="112"/>
      <c r="T263" s="112"/>
      <c r="U263" t="s">
        <v>4840</v>
      </c>
      <c r="V263" t="s">
        <v>4841</v>
      </c>
      <c r="W263" t="s">
        <v>3958</v>
      </c>
      <c r="X263" t="s">
        <v>4660</v>
      </c>
    </row>
    <row r="264" spans="1:24" x14ac:dyDescent="0.2">
      <c r="A264" t="s">
        <v>4839</v>
      </c>
      <c r="B264" t="s">
        <v>189</v>
      </c>
      <c r="C264" t="s">
        <v>1386</v>
      </c>
      <c r="D264" t="s">
        <v>56</v>
      </c>
      <c r="E264" t="s">
        <v>190</v>
      </c>
      <c r="F264" t="s">
        <v>180</v>
      </c>
      <c r="G264" s="202">
        <v>40.027000000000001</v>
      </c>
      <c r="H264">
        <v>5</v>
      </c>
      <c r="I264" t="s">
        <v>3968</v>
      </c>
      <c r="J264" t="s">
        <v>3969</v>
      </c>
      <c r="K264" t="s">
        <v>180</v>
      </c>
      <c r="L264" s="204">
        <v>1</v>
      </c>
      <c r="M264" s="112"/>
      <c r="N264" s="112">
        <v>10.23</v>
      </c>
      <c r="O264" s="204">
        <v>0.22212228153620939</v>
      </c>
      <c r="P264" s="112">
        <v>2.2723109401154211</v>
      </c>
      <c r="Q264" s="112">
        <v>12.502310940115422</v>
      </c>
      <c r="R264" s="112">
        <v>500.43</v>
      </c>
      <c r="S264" s="112">
        <v>500.43</v>
      </c>
      <c r="T264" s="112">
        <v>0</v>
      </c>
      <c r="U264" t="s">
        <v>4840</v>
      </c>
      <c r="V264" t="s">
        <v>4841</v>
      </c>
      <c r="W264" t="s">
        <v>4666</v>
      </c>
      <c r="X264" t="s">
        <v>4667</v>
      </c>
    </row>
    <row r="265" spans="1:24" x14ac:dyDescent="0.2">
      <c r="A265" t="s">
        <v>4842</v>
      </c>
      <c r="B265" t="s">
        <v>1387</v>
      </c>
      <c r="C265" t="s">
        <v>1383</v>
      </c>
      <c r="D265" t="s">
        <v>56</v>
      </c>
      <c r="E265" t="s">
        <v>184</v>
      </c>
      <c r="F265" t="s">
        <v>180</v>
      </c>
      <c r="G265" s="202">
        <v>12.164999999999999</v>
      </c>
      <c r="H265">
        <v>1</v>
      </c>
      <c r="I265" t="s">
        <v>3954</v>
      </c>
      <c r="J265" t="s">
        <v>4823</v>
      </c>
      <c r="K265" t="s">
        <v>1283</v>
      </c>
      <c r="L265" s="204">
        <v>0.18</v>
      </c>
      <c r="M265" s="112">
        <v>8.5874999999999986</v>
      </c>
      <c r="N265" s="112">
        <v>1.5457499999999997</v>
      </c>
      <c r="O265" s="204"/>
      <c r="P265" s="112"/>
      <c r="Q265" s="112"/>
      <c r="R265" s="112"/>
      <c r="S265" s="112"/>
      <c r="T265" s="112"/>
      <c r="U265" t="s">
        <v>4831</v>
      </c>
      <c r="V265" t="s">
        <v>4843</v>
      </c>
      <c r="W265" t="s">
        <v>3958</v>
      </c>
      <c r="X265" t="s">
        <v>4660</v>
      </c>
    </row>
    <row r="266" spans="1:24" x14ac:dyDescent="0.2">
      <c r="A266" t="s">
        <v>4842</v>
      </c>
      <c r="B266" t="s">
        <v>1387</v>
      </c>
      <c r="C266" t="s">
        <v>1383</v>
      </c>
      <c r="D266" t="s">
        <v>56</v>
      </c>
      <c r="E266" t="s">
        <v>184</v>
      </c>
      <c r="F266" t="s">
        <v>180</v>
      </c>
      <c r="G266" s="202">
        <v>12.164999999999999</v>
      </c>
      <c r="H266">
        <v>2</v>
      </c>
      <c r="I266" t="s">
        <v>3960</v>
      </c>
      <c r="J266" t="s">
        <v>4826</v>
      </c>
      <c r="K266" t="s">
        <v>1283</v>
      </c>
      <c r="L266" s="204">
        <v>0.72</v>
      </c>
      <c r="M266" s="112">
        <v>8.5874999999999986</v>
      </c>
      <c r="N266" s="112">
        <v>6.1829999999999989</v>
      </c>
      <c r="O266" s="204"/>
      <c r="P266" s="112"/>
      <c r="Q266" s="112"/>
      <c r="R266" s="112"/>
      <c r="S266" s="112"/>
      <c r="T266" s="112"/>
      <c r="U266" t="s">
        <v>4831</v>
      </c>
      <c r="V266" t="s">
        <v>4843</v>
      </c>
      <c r="W266" t="s">
        <v>3958</v>
      </c>
      <c r="X266" t="s">
        <v>4660</v>
      </c>
    </row>
    <row r="267" spans="1:24" x14ac:dyDescent="0.2">
      <c r="A267" t="s">
        <v>4842</v>
      </c>
      <c r="B267" t="s">
        <v>1387</v>
      </c>
      <c r="C267" t="s">
        <v>1383</v>
      </c>
      <c r="D267" t="s">
        <v>56</v>
      </c>
      <c r="E267" t="s">
        <v>184</v>
      </c>
      <c r="F267" t="s">
        <v>180</v>
      </c>
      <c r="G267" s="202">
        <v>12.164999999999999</v>
      </c>
      <c r="H267">
        <v>3</v>
      </c>
      <c r="I267" t="s">
        <v>3976</v>
      </c>
      <c r="J267" t="s">
        <v>4827</v>
      </c>
      <c r="K267" t="s">
        <v>1283</v>
      </c>
      <c r="L267" s="204">
        <v>0.05</v>
      </c>
      <c r="M267" s="112">
        <v>8.5874999999999986</v>
      </c>
      <c r="N267" s="112">
        <v>0.42937499999999995</v>
      </c>
      <c r="O267" s="204"/>
      <c r="P267" s="112"/>
      <c r="Q267" s="112"/>
      <c r="R267" s="112"/>
      <c r="S267" s="112"/>
      <c r="T267" s="112"/>
      <c r="U267" t="s">
        <v>4831</v>
      </c>
      <c r="V267" t="s">
        <v>4843</v>
      </c>
      <c r="W267" t="s">
        <v>3958</v>
      </c>
      <c r="X267" t="s">
        <v>4660</v>
      </c>
    </row>
    <row r="268" spans="1:24" x14ac:dyDescent="0.2">
      <c r="A268" t="s">
        <v>4842</v>
      </c>
      <c r="B268" t="s">
        <v>1387</v>
      </c>
      <c r="C268" t="s">
        <v>1383</v>
      </c>
      <c r="D268" t="s">
        <v>56</v>
      </c>
      <c r="E268" t="s">
        <v>184</v>
      </c>
      <c r="F268" t="s">
        <v>180</v>
      </c>
      <c r="G268" s="202">
        <v>12.164999999999999</v>
      </c>
      <c r="H268">
        <v>4</v>
      </c>
      <c r="I268" t="s">
        <v>4017</v>
      </c>
      <c r="J268" t="s">
        <v>4809</v>
      </c>
      <c r="K268" t="s">
        <v>1283</v>
      </c>
      <c r="L268" s="204">
        <v>0.05</v>
      </c>
      <c r="M268" s="112">
        <v>8.5874999999999986</v>
      </c>
      <c r="N268" s="112">
        <v>0.42937499999999995</v>
      </c>
      <c r="O268" s="204"/>
      <c r="P268" s="112"/>
      <c r="Q268" s="112"/>
      <c r="R268" s="112"/>
      <c r="S268" s="112"/>
      <c r="T268" s="112"/>
      <c r="U268" t="s">
        <v>4831</v>
      </c>
      <c r="V268" t="s">
        <v>4843</v>
      </c>
      <c r="W268" t="s">
        <v>3958</v>
      </c>
      <c r="X268" t="s">
        <v>4660</v>
      </c>
    </row>
    <row r="269" spans="1:24" x14ac:dyDescent="0.2">
      <c r="A269" t="s">
        <v>4842</v>
      </c>
      <c r="B269" t="s">
        <v>1387</v>
      </c>
      <c r="C269" t="s">
        <v>1383</v>
      </c>
      <c r="D269" t="s">
        <v>56</v>
      </c>
      <c r="E269" t="s">
        <v>184</v>
      </c>
      <c r="F269" t="s">
        <v>180</v>
      </c>
      <c r="G269" s="202">
        <v>12.164999999999999</v>
      </c>
      <c r="H269">
        <v>5</v>
      </c>
      <c r="I269" t="s">
        <v>3968</v>
      </c>
      <c r="J269" t="s">
        <v>3969</v>
      </c>
      <c r="K269" t="s">
        <v>180</v>
      </c>
      <c r="L269" s="204">
        <v>1</v>
      </c>
      <c r="M269" s="112"/>
      <c r="N269" s="112">
        <v>8.5874999999999986</v>
      </c>
      <c r="O269" s="204">
        <v>0.22182197597206343</v>
      </c>
      <c r="P269" s="112">
        <v>1.9048962186600935</v>
      </c>
      <c r="Q269" s="112">
        <v>10.492396218660092</v>
      </c>
      <c r="R269" s="112">
        <v>127.64</v>
      </c>
      <c r="S269" s="112">
        <v>127.64</v>
      </c>
      <c r="T269" s="112">
        <v>0</v>
      </c>
      <c r="U269" t="s">
        <v>4831</v>
      </c>
      <c r="V269" t="s">
        <v>4843</v>
      </c>
      <c r="W269" t="s">
        <v>4666</v>
      </c>
      <c r="X269" t="s">
        <v>4667</v>
      </c>
    </row>
    <row r="270" spans="1:24" x14ac:dyDescent="0.2">
      <c r="A270" t="s">
        <v>4844</v>
      </c>
      <c r="B270" t="s">
        <v>1388</v>
      </c>
      <c r="C270" t="s">
        <v>1389</v>
      </c>
      <c r="D270" t="s">
        <v>56</v>
      </c>
      <c r="E270" t="s">
        <v>191</v>
      </c>
      <c r="F270" t="s">
        <v>118</v>
      </c>
      <c r="G270" s="202">
        <v>63.536999999999999</v>
      </c>
      <c r="H270">
        <v>1</v>
      </c>
      <c r="I270" t="s">
        <v>3954</v>
      </c>
      <c r="J270" t="s">
        <v>4804</v>
      </c>
      <c r="K270" t="s">
        <v>1283</v>
      </c>
      <c r="L270" s="204">
        <v>0.28000000000000003</v>
      </c>
      <c r="M270" s="112">
        <v>551.95500000000004</v>
      </c>
      <c r="N270" s="112">
        <v>154.54740000000004</v>
      </c>
      <c r="O270" s="204"/>
      <c r="P270" s="112"/>
      <c r="Q270" s="112"/>
      <c r="R270" s="112"/>
      <c r="S270" s="112"/>
      <c r="T270" s="112"/>
      <c r="U270" t="s">
        <v>4248</v>
      </c>
      <c r="V270" t="s">
        <v>4845</v>
      </c>
      <c r="W270" t="s">
        <v>3958</v>
      </c>
      <c r="X270" t="s">
        <v>4660</v>
      </c>
    </row>
    <row r="271" spans="1:24" x14ac:dyDescent="0.2">
      <c r="A271" t="s">
        <v>4844</v>
      </c>
      <c r="B271" t="s">
        <v>1388</v>
      </c>
      <c r="C271" t="s">
        <v>1389</v>
      </c>
      <c r="D271" t="s">
        <v>56</v>
      </c>
      <c r="E271" t="s">
        <v>191</v>
      </c>
      <c r="F271" t="s">
        <v>118</v>
      </c>
      <c r="G271" s="202">
        <v>63.536999999999999</v>
      </c>
      <c r="H271">
        <v>2</v>
      </c>
      <c r="I271" t="s">
        <v>3960</v>
      </c>
      <c r="J271" t="s">
        <v>4807</v>
      </c>
      <c r="K271" t="s">
        <v>1283</v>
      </c>
      <c r="L271" s="204">
        <v>0.56000000000000005</v>
      </c>
      <c r="M271" s="112">
        <v>551.95500000000004</v>
      </c>
      <c r="N271" s="112">
        <v>309.09480000000008</v>
      </c>
      <c r="O271" s="204"/>
      <c r="P271" s="112"/>
      <c r="Q271" s="112"/>
      <c r="R271" s="112"/>
      <c r="S271" s="112"/>
      <c r="T271" s="112"/>
      <c r="U271" t="s">
        <v>4248</v>
      </c>
      <c r="V271" t="s">
        <v>4845</v>
      </c>
      <c r="W271" t="s">
        <v>3958</v>
      </c>
      <c r="X271" t="s">
        <v>4660</v>
      </c>
    </row>
    <row r="272" spans="1:24" x14ac:dyDescent="0.2">
      <c r="A272" t="s">
        <v>4844</v>
      </c>
      <c r="B272" t="s">
        <v>1388</v>
      </c>
      <c r="C272" t="s">
        <v>1389</v>
      </c>
      <c r="D272" t="s">
        <v>56</v>
      </c>
      <c r="E272" t="s">
        <v>191</v>
      </c>
      <c r="F272" t="s">
        <v>118</v>
      </c>
      <c r="G272" s="202">
        <v>63.536999999999999</v>
      </c>
      <c r="H272">
        <v>3</v>
      </c>
      <c r="I272" t="s">
        <v>3962</v>
      </c>
      <c r="J272" t="s">
        <v>4808</v>
      </c>
      <c r="K272" t="s">
        <v>1283</v>
      </c>
      <c r="L272" s="204">
        <v>0.1</v>
      </c>
      <c r="M272" s="112">
        <v>551.95500000000004</v>
      </c>
      <c r="N272" s="112">
        <v>55.19550000000001</v>
      </c>
      <c r="O272" s="204"/>
      <c r="P272" s="112"/>
      <c r="Q272" s="112"/>
      <c r="R272" s="112"/>
      <c r="S272" s="112"/>
      <c r="T272" s="112"/>
      <c r="U272" t="s">
        <v>4248</v>
      </c>
      <c r="V272" t="s">
        <v>4845</v>
      </c>
      <c r="W272" t="s">
        <v>3958</v>
      </c>
      <c r="X272" t="s">
        <v>4660</v>
      </c>
    </row>
    <row r="273" spans="1:24" x14ac:dyDescent="0.2">
      <c r="A273" t="s">
        <v>4844</v>
      </c>
      <c r="B273" t="s">
        <v>1388</v>
      </c>
      <c r="C273" t="s">
        <v>1389</v>
      </c>
      <c r="D273" t="s">
        <v>56</v>
      </c>
      <c r="E273" t="s">
        <v>191</v>
      </c>
      <c r="F273" t="s">
        <v>118</v>
      </c>
      <c r="G273" s="202">
        <v>63.536999999999999</v>
      </c>
      <c r="H273">
        <v>4</v>
      </c>
      <c r="I273" t="s">
        <v>4017</v>
      </c>
      <c r="J273" t="s">
        <v>4809</v>
      </c>
      <c r="K273" t="s">
        <v>1283</v>
      </c>
      <c r="L273" s="204">
        <v>0.06</v>
      </c>
      <c r="M273" s="112">
        <v>551.95500000000004</v>
      </c>
      <c r="N273" s="112">
        <v>33.1173</v>
      </c>
      <c r="O273" s="204"/>
      <c r="P273" s="112"/>
      <c r="Q273" s="112"/>
      <c r="R273" s="112"/>
      <c r="S273" s="112"/>
      <c r="T273" s="112"/>
      <c r="U273" t="s">
        <v>4248</v>
      </c>
      <c r="V273" t="s">
        <v>4845</v>
      </c>
      <c r="W273" t="s">
        <v>3958</v>
      </c>
      <c r="X273" t="s">
        <v>4660</v>
      </c>
    </row>
    <row r="274" spans="1:24" x14ac:dyDescent="0.2">
      <c r="A274" t="s">
        <v>4844</v>
      </c>
      <c r="B274" t="s">
        <v>1388</v>
      </c>
      <c r="C274" t="s">
        <v>1389</v>
      </c>
      <c r="D274" t="s">
        <v>56</v>
      </c>
      <c r="E274" t="s">
        <v>191</v>
      </c>
      <c r="F274" t="s">
        <v>118</v>
      </c>
      <c r="G274" s="202">
        <v>63.536999999999999</v>
      </c>
      <c r="H274">
        <v>5</v>
      </c>
      <c r="I274" t="s">
        <v>3968</v>
      </c>
      <c r="J274" t="s">
        <v>3969</v>
      </c>
      <c r="K274" t="s">
        <v>118</v>
      </c>
      <c r="L274" s="204">
        <v>1</v>
      </c>
      <c r="M274" s="112"/>
      <c r="N274" s="112">
        <v>551.95500000000004</v>
      </c>
      <c r="O274" s="204">
        <v>0.22228690893877179</v>
      </c>
      <c r="P274" s="112">
        <v>122.69237082329983</v>
      </c>
      <c r="Q274" s="112">
        <v>674.64737082329987</v>
      </c>
      <c r="R274" s="112">
        <v>42865.07</v>
      </c>
      <c r="S274" s="112">
        <v>42865.07</v>
      </c>
      <c r="T274" s="112">
        <v>0</v>
      </c>
      <c r="U274" t="s">
        <v>4248</v>
      </c>
      <c r="V274" t="s">
        <v>4845</v>
      </c>
      <c r="W274" t="s">
        <v>4666</v>
      </c>
      <c r="X274" t="s">
        <v>4667</v>
      </c>
    </row>
    <row r="275" spans="1:24" x14ac:dyDescent="0.2">
      <c r="A275" t="s">
        <v>4846</v>
      </c>
      <c r="B275" t="s">
        <v>1390</v>
      </c>
      <c r="C275" t="s">
        <v>1391</v>
      </c>
      <c r="D275" t="s">
        <v>56</v>
      </c>
      <c r="E275" t="s">
        <v>192</v>
      </c>
      <c r="F275" t="s">
        <v>26</v>
      </c>
      <c r="G275" s="202">
        <v>517.53800000000001</v>
      </c>
      <c r="H275">
        <v>1</v>
      </c>
      <c r="I275" t="s">
        <v>3954</v>
      </c>
      <c r="J275" t="s">
        <v>4847</v>
      </c>
      <c r="K275" t="s">
        <v>1283</v>
      </c>
      <c r="L275" s="204">
        <v>0.24</v>
      </c>
      <c r="M275" s="112">
        <v>43.852499999999999</v>
      </c>
      <c r="N275" s="112">
        <v>10.5246</v>
      </c>
      <c r="O275" s="204"/>
      <c r="P275" s="112"/>
      <c r="Q275" s="112"/>
      <c r="R275" s="112"/>
      <c r="S275" s="112"/>
      <c r="T275" s="112"/>
      <c r="U275" t="s">
        <v>4328</v>
      </c>
      <c r="V275" t="s">
        <v>4848</v>
      </c>
      <c r="W275" t="s">
        <v>3958</v>
      </c>
      <c r="X275" t="s">
        <v>4660</v>
      </c>
    </row>
    <row r="276" spans="1:24" x14ac:dyDescent="0.2">
      <c r="A276" t="s">
        <v>4846</v>
      </c>
      <c r="B276" t="s">
        <v>1390</v>
      </c>
      <c r="C276" t="s">
        <v>1391</v>
      </c>
      <c r="D276" t="s">
        <v>56</v>
      </c>
      <c r="E276" t="s">
        <v>192</v>
      </c>
      <c r="F276" t="s">
        <v>26</v>
      </c>
      <c r="G276" s="202">
        <v>517.53800000000001</v>
      </c>
      <c r="H276">
        <v>2</v>
      </c>
      <c r="I276" t="s">
        <v>3960</v>
      </c>
      <c r="J276" t="s">
        <v>4849</v>
      </c>
      <c r="K276" t="s">
        <v>1283</v>
      </c>
      <c r="L276" s="204">
        <v>0.64</v>
      </c>
      <c r="M276" s="112">
        <v>43.852499999999999</v>
      </c>
      <c r="N276" s="112">
        <v>28.0656</v>
      </c>
      <c r="O276" s="204"/>
      <c r="P276" s="112"/>
      <c r="Q276" s="112"/>
      <c r="R276" s="112"/>
      <c r="S276" s="112"/>
      <c r="T276" s="112"/>
      <c r="U276" t="s">
        <v>4328</v>
      </c>
      <c r="V276" t="s">
        <v>4848</v>
      </c>
      <c r="W276" t="s">
        <v>3958</v>
      </c>
      <c r="X276" t="s">
        <v>4660</v>
      </c>
    </row>
    <row r="277" spans="1:24" x14ac:dyDescent="0.2">
      <c r="A277" t="s">
        <v>4846</v>
      </c>
      <c r="B277" t="s">
        <v>1390</v>
      </c>
      <c r="C277" t="s">
        <v>1391</v>
      </c>
      <c r="D277" t="s">
        <v>56</v>
      </c>
      <c r="E277" t="s">
        <v>192</v>
      </c>
      <c r="F277" t="s">
        <v>26</v>
      </c>
      <c r="G277" s="202">
        <v>517.53800000000001</v>
      </c>
      <c r="H277">
        <v>3</v>
      </c>
      <c r="I277" t="s">
        <v>3976</v>
      </c>
      <c r="J277" t="s">
        <v>4850</v>
      </c>
      <c r="K277" t="s">
        <v>1283</v>
      </c>
      <c r="L277" s="204">
        <v>7.0000000000000007E-2</v>
      </c>
      <c r="M277" s="112">
        <v>43.852499999999999</v>
      </c>
      <c r="N277" s="112">
        <v>3.0696750000000002</v>
      </c>
      <c r="O277" s="204"/>
      <c r="P277" s="112"/>
      <c r="Q277" s="112"/>
      <c r="R277" s="112"/>
      <c r="S277" s="112"/>
      <c r="T277" s="112"/>
      <c r="U277" t="s">
        <v>4328</v>
      </c>
      <c r="V277" t="s">
        <v>4848</v>
      </c>
      <c r="W277" t="s">
        <v>3958</v>
      </c>
      <c r="X277" t="s">
        <v>4660</v>
      </c>
    </row>
    <row r="278" spans="1:24" x14ac:dyDescent="0.2">
      <c r="A278" t="s">
        <v>4846</v>
      </c>
      <c r="B278" t="s">
        <v>1390</v>
      </c>
      <c r="C278" t="s">
        <v>1391</v>
      </c>
      <c r="D278" t="s">
        <v>56</v>
      </c>
      <c r="E278" t="s">
        <v>192</v>
      </c>
      <c r="F278" t="s">
        <v>26</v>
      </c>
      <c r="G278" s="202">
        <v>517.53800000000001</v>
      </c>
      <c r="H278">
        <v>4</v>
      </c>
      <c r="I278" t="s">
        <v>4017</v>
      </c>
      <c r="J278" t="s">
        <v>4851</v>
      </c>
      <c r="K278" t="s">
        <v>1283</v>
      </c>
      <c r="L278" s="204">
        <v>0.05</v>
      </c>
      <c r="M278" s="112">
        <v>43.852499999999999</v>
      </c>
      <c r="N278" s="112">
        <v>2.192625</v>
      </c>
      <c r="O278" s="204"/>
      <c r="P278" s="112"/>
      <c r="Q278" s="112"/>
      <c r="R278" s="112"/>
      <c r="S278" s="112"/>
      <c r="T278" s="112"/>
      <c r="U278" t="s">
        <v>4328</v>
      </c>
      <c r="V278" t="s">
        <v>4848</v>
      </c>
      <c r="W278" t="s">
        <v>3958</v>
      </c>
      <c r="X278" t="s">
        <v>4660</v>
      </c>
    </row>
    <row r="279" spans="1:24" x14ac:dyDescent="0.2">
      <c r="A279" t="s">
        <v>4846</v>
      </c>
      <c r="B279" t="s">
        <v>1390</v>
      </c>
      <c r="C279" t="s">
        <v>1391</v>
      </c>
      <c r="D279" t="s">
        <v>56</v>
      </c>
      <c r="E279" t="s">
        <v>192</v>
      </c>
      <c r="F279" t="s">
        <v>26</v>
      </c>
      <c r="G279" s="202">
        <v>517.53800000000001</v>
      </c>
      <c r="H279">
        <v>5</v>
      </c>
      <c r="I279" t="s">
        <v>3968</v>
      </c>
      <c r="J279" t="s">
        <v>3969</v>
      </c>
      <c r="K279" t="s">
        <v>26</v>
      </c>
      <c r="L279" s="204">
        <v>1</v>
      </c>
      <c r="M279" s="112"/>
      <c r="N279" s="112">
        <v>43.852499999999999</v>
      </c>
      <c r="O279" s="204">
        <v>0.22216481152563294</v>
      </c>
      <c r="P279" s="112">
        <v>9.7424823974278212</v>
      </c>
      <c r="Q279" s="112">
        <v>53.59498239742782</v>
      </c>
      <c r="R279" s="112">
        <v>27737.439999999999</v>
      </c>
      <c r="S279" s="112">
        <v>27737.439999999999</v>
      </c>
      <c r="T279" s="112">
        <v>0</v>
      </c>
      <c r="U279" t="s">
        <v>4328</v>
      </c>
      <c r="V279" t="s">
        <v>4848</v>
      </c>
      <c r="W279" t="s">
        <v>4666</v>
      </c>
      <c r="X279" t="s">
        <v>4667</v>
      </c>
    </row>
    <row r="280" spans="1:24" x14ac:dyDescent="0.2">
      <c r="A280" t="s">
        <v>4852</v>
      </c>
      <c r="B280" t="s">
        <v>1392</v>
      </c>
      <c r="C280" t="s">
        <v>1393</v>
      </c>
      <c r="D280" t="s">
        <v>24</v>
      </c>
      <c r="E280" t="s">
        <v>194</v>
      </c>
      <c r="F280" t="s">
        <v>180</v>
      </c>
      <c r="G280" s="202">
        <v>1270.74</v>
      </c>
      <c r="H280">
        <v>1</v>
      </c>
      <c r="I280" t="s">
        <v>3954</v>
      </c>
      <c r="J280" t="s">
        <v>4804</v>
      </c>
      <c r="K280" t="s">
        <v>1283</v>
      </c>
      <c r="L280" s="204">
        <v>0.28000000000000003</v>
      </c>
      <c r="M280" s="112">
        <v>23.13</v>
      </c>
      <c r="N280" s="112">
        <v>6.4763999999999999</v>
      </c>
      <c r="O280" s="204"/>
      <c r="P280" s="112"/>
      <c r="Q280" s="112"/>
      <c r="R280" s="112"/>
      <c r="S280" s="112"/>
      <c r="T280" s="112"/>
      <c r="U280" t="s">
        <v>4853</v>
      </c>
      <c r="V280" t="s">
        <v>4854</v>
      </c>
      <c r="W280" t="s">
        <v>3958</v>
      </c>
      <c r="X280" t="s">
        <v>4660</v>
      </c>
    </row>
    <row r="281" spans="1:24" x14ac:dyDescent="0.2">
      <c r="A281" t="s">
        <v>4852</v>
      </c>
      <c r="B281" t="s">
        <v>1392</v>
      </c>
      <c r="C281" t="s">
        <v>1393</v>
      </c>
      <c r="D281" t="s">
        <v>24</v>
      </c>
      <c r="E281" t="s">
        <v>194</v>
      </c>
      <c r="F281" t="s">
        <v>180</v>
      </c>
      <c r="G281" s="202">
        <v>1270.74</v>
      </c>
      <c r="H281">
        <v>2</v>
      </c>
      <c r="I281" t="s">
        <v>3960</v>
      </c>
      <c r="J281" t="s">
        <v>4807</v>
      </c>
      <c r="K281" t="s">
        <v>1283</v>
      </c>
      <c r="L281" s="204">
        <v>0.56000000000000005</v>
      </c>
      <c r="M281" s="112">
        <v>23.13</v>
      </c>
      <c r="N281" s="112">
        <v>12.9528</v>
      </c>
      <c r="O281" s="204"/>
      <c r="P281" s="112"/>
      <c r="Q281" s="112"/>
      <c r="R281" s="112"/>
      <c r="S281" s="112"/>
      <c r="T281" s="112"/>
      <c r="U281" t="s">
        <v>4853</v>
      </c>
      <c r="V281" t="s">
        <v>4854</v>
      </c>
      <c r="W281" t="s">
        <v>3958</v>
      </c>
      <c r="X281" t="s">
        <v>4660</v>
      </c>
    </row>
    <row r="282" spans="1:24" x14ac:dyDescent="0.2">
      <c r="A282" t="s">
        <v>4852</v>
      </c>
      <c r="B282" t="s">
        <v>1392</v>
      </c>
      <c r="C282" t="s">
        <v>1393</v>
      </c>
      <c r="D282" t="s">
        <v>24</v>
      </c>
      <c r="E282" t="s">
        <v>194</v>
      </c>
      <c r="F282" t="s">
        <v>180</v>
      </c>
      <c r="G282" s="202">
        <v>1270.74</v>
      </c>
      <c r="H282">
        <v>3</v>
      </c>
      <c r="I282" t="s">
        <v>3962</v>
      </c>
      <c r="J282" t="s">
        <v>4808</v>
      </c>
      <c r="K282" t="s">
        <v>1283</v>
      </c>
      <c r="L282" s="204">
        <v>0.1</v>
      </c>
      <c r="M282" s="112">
        <v>23.13</v>
      </c>
      <c r="N282" s="112">
        <v>2.3130000000000002</v>
      </c>
      <c r="O282" s="204"/>
      <c r="P282" s="112"/>
      <c r="Q282" s="112"/>
      <c r="R282" s="112"/>
      <c r="S282" s="112"/>
      <c r="T282" s="112"/>
      <c r="U282" t="s">
        <v>4853</v>
      </c>
      <c r="V282" t="s">
        <v>4854</v>
      </c>
      <c r="W282" t="s">
        <v>3958</v>
      </c>
      <c r="X282" t="s">
        <v>4660</v>
      </c>
    </row>
    <row r="283" spans="1:24" x14ac:dyDescent="0.2">
      <c r="A283" t="s">
        <v>4852</v>
      </c>
      <c r="B283" t="s">
        <v>1392</v>
      </c>
      <c r="C283" t="s">
        <v>1393</v>
      </c>
      <c r="D283" t="s">
        <v>24</v>
      </c>
      <c r="E283" t="s">
        <v>194</v>
      </c>
      <c r="F283" t="s">
        <v>180</v>
      </c>
      <c r="G283" s="202">
        <v>1270.74</v>
      </c>
      <c r="H283">
        <v>4</v>
      </c>
      <c r="I283" t="s">
        <v>4017</v>
      </c>
      <c r="J283" t="s">
        <v>4809</v>
      </c>
      <c r="K283" t="s">
        <v>1283</v>
      </c>
      <c r="L283" s="204">
        <v>0.06</v>
      </c>
      <c r="M283" s="112">
        <v>23.13</v>
      </c>
      <c r="N283" s="112">
        <v>1.3877999999999999</v>
      </c>
      <c r="O283" s="204"/>
      <c r="P283" s="112"/>
      <c r="Q283" s="112"/>
      <c r="R283" s="112"/>
      <c r="S283" s="112"/>
      <c r="T283" s="112"/>
      <c r="U283" t="s">
        <v>4853</v>
      </c>
      <c r="V283" t="s">
        <v>4854</v>
      </c>
      <c r="W283" t="s">
        <v>3958</v>
      </c>
      <c r="X283" t="s">
        <v>4660</v>
      </c>
    </row>
    <row r="284" spans="1:24" x14ac:dyDescent="0.2">
      <c r="A284" t="s">
        <v>4852</v>
      </c>
      <c r="B284" t="s">
        <v>1392</v>
      </c>
      <c r="C284" t="s">
        <v>1393</v>
      </c>
      <c r="D284" t="s">
        <v>24</v>
      </c>
      <c r="E284" t="s">
        <v>194</v>
      </c>
      <c r="F284" t="s">
        <v>180</v>
      </c>
      <c r="G284" s="202">
        <v>1270.74</v>
      </c>
      <c r="H284">
        <v>5</v>
      </c>
      <c r="I284" t="s">
        <v>3968</v>
      </c>
      <c r="J284" t="s">
        <v>3969</v>
      </c>
      <c r="K284" t="s">
        <v>180</v>
      </c>
      <c r="L284" s="204">
        <v>1</v>
      </c>
      <c r="M284" s="112"/>
      <c r="N284" s="112">
        <v>23.13</v>
      </c>
      <c r="O284" s="204">
        <v>0.22211403711707867</v>
      </c>
      <c r="P284" s="112">
        <v>5.1374976785180309</v>
      </c>
      <c r="Q284" s="112">
        <v>28.26749767851803</v>
      </c>
      <c r="R284" s="112">
        <v>35920.639999999999</v>
      </c>
      <c r="S284" s="112">
        <v>35920.639999999999</v>
      </c>
      <c r="T284" s="112">
        <v>0</v>
      </c>
      <c r="U284" t="s">
        <v>4853</v>
      </c>
      <c r="V284" t="s">
        <v>4854</v>
      </c>
      <c r="W284" t="s">
        <v>4666</v>
      </c>
      <c r="X284" t="s">
        <v>4667</v>
      </c>
    </row>
    <row r="285" spans="1:24" x14ac:dyDescent="0.2">
      <c r="A285" t="s">
        <v>4855</v>
      </c>
      <c r="B285" t="s">
        <v>197</v>
      </c>
      <c r="C285" t="s">
        <v>1394</v>
      </c>
      <c r="D285" t="s">
        <v>56</v>
      </c>
      <c r="E285" t="s">
        <v>198</v>
      </c>
      <c r="F285" t="s">
        <v>26</v>
      </c>
      <c r="G285" s="202">
        <v>680.04700000000003</v>
      </c>
      <c r="H285">
        <v>1</v>
      </c>
      <c r="I285" t="s">
        <v>3954</v>
      </c>
      <c r="J285" t="s">
        <v>4715</v>
      </c>
      <c r="K285" t="s">
        <v>1283</v>
      </c>
      <c r="L285" s="204">
        <v>0.42</v>
      </c>
      <c r="M285" s="112">
        <v>83.594999999999999</v>
      </c>
      <c r="N285" s="112">
        <v>35.109899999999996</v>
      </c>
      <c r="O285" s="204"/>
      <c r="P285" s="112"/>
      <c r="Q285" s="112"/>
      <c r="R285" s="112"/>
      <c r="S285" s="112"/>
      <c r="T285" s="112"/>
      <c r="U285" t="s">
        <v>4170</v>
      </c>
      <c r="V285" t="s">
        <v>4856</v>
      </c>
      <c r="W285" t="s">
        <v>3958</v>
      </c>
      <c r="X285" t="s">
        <v>4660</v>
      </c>
    </row>
    <row r="286" spans="1:24" x14ac:dyDescent="0.2">
      <c r="A286" t="s">
        <v>4855</v>
      </c>
      <c r="B286" t="s">
        <v>197</v>
      </c>
      <c r="C286" t="s">
        <v>1394</v>
      </c>
      <c r="D286" t="s">
        <v>56</v>
      </c>
      <c r="E286" t="s">
        <v>198</v>
      </c>
      <c r="F286" t="s">
        <v>26</v>
      </c>
      <c r="G286" s="202">
        <v>680.04700000000003</v>
      </c>
      <c r="H286">
        <v>2</v>
      </c>
      <c r="I286" t="s">
        <v>3960</v>
      </c>
      <c r="J286" t="s">
        <v>4718</v>
      </c>
      <c r="K286" t="s">
        <v>1283</v>
      </c>
      <c r="L286" s="204">
        <v>0.4</v>
      </c>
      <c r="M286" s="112">
        <v>83.594999999999999</v>
      </c>
      <c r="N286" s="112">
        <v>33.438000000000002</v>
      </c>
      <c r="O286" s="204"/>
      <c r="P286" s="112"/>
      <c r="Q286" s="112"/>
      <c r="R286" s="112"/>
      <c r="S286" s="112"/>
      <c r="T286" s="112"/>
      <c r="U286" t="s">
        <v>4170</v>
      </c>
      <c r="V286" t="s">
        <v>4856</v>
      </c>
      <c r="W286" t="s">
        <v>3958</v>
      </c>
      <c r="X286" t="s">
        <v>4660</v>
      </c>
    </row>
    <row r="287" spans="1:24" x14ac:dyDescent="0.2">
      <c r="A287" t="s">
        <v>4855</v>
      </c>
      <c r="B287" t="s">
        <v>197</v>
      </c>
      <c r="C287" t="s">
        <v>1394</v>
      </c>
      <c r="D287" t="s">
        <v>56</v>
      </c>
      <c r="E287" t="s">
        <v>198</v>
      </c>
      <c r="F287" t="s">
        <v>26</v>
      </c>
      <c r="G287" s="202">
        <v>680.04700000000003</v>
      </c>
      <c r="H287">
        <v>3</v>
      </c>
      <c r="I287" t="s">
        <v>3976</v>
      </c>
      <c r="J287" t="s">
        <v>4719</v>
      </c>
      <c r="K287" t="s">
        <v>1283</v>
      </c>
      <c r="L287" s="204">
        <v>0.12</v>
      </c>
      <c r="M287" s="112">
        <v>83.594999999999999</v>
      </c>
      <c r="N287" s="112">
        <v>10.0314</v>
      </c>
      <c r="O287" s="204"/>
      <c r="P287" s="112"/>
      <c r="Q287" s="112"/>
      <c r="R287" s="112"/>
      <c r="S287" s="112"/>
      <c r="T287" s="112"/>
      <c r="U287" t="s">
        <v>4170</v>
      </c>
      <c r="V287" t="s">
        <v>4856</v>
      </c>
      <c r="W287" t="s">
        <v>3958</v>
      </c>
      <c r="X287" t="s">
        <v>4660</v>
      </c>
    </row>
    <row r="288" spans="1:24" x14ac:dyDescent="0.2">
      <c r="A288" t="s">
        <v>4855</v>
      </c>
      <c r="B288" t="s">
        <v>197</v>
      </c>
      <c r="C288" t="s">
        <v>1394</v>
      </c>
      <c r="D288" t="s">
        <v>56</v>
      </c>
      <c r="E288" t="s">
        <v>198</v>
      </c>
      <c r="F288" t="s">
        <v>26</v>
      </c>
      <c r="G288" s="202">
        <v>680.04700000000003</v>
      </c>
      <c r="H288">
        <v>4</v>
      </c>
      <c r="I288" t="s">
        <v>4017</v>
      </c>
      <c r="J288" t="s">
        <v>4720</v>
      </c>
      <c r="K288" t="s">
        <v>1283</v>
      </c>
      <c r="L288" s="204">
        <v>0.06</v>
      </c>
      <c r="M288" s="112">
        <v>83.594999999999999</v>
      </c>
      <c r="N288" s="112">
        <v>5.0156999999999998</v>
      </c>
      <c r="O288" s="204"/>
      <c r="P288" s="112"/>
      <c r="Q288" s="112"/>
      <c r="R288" s="112"/>
      <c r="S288" s="112"/>
      <c r="T288" s="112"/>
      <c r="U288" t="s">
        <v>4170</v>
      </c>
      <c r="V288" t="s">
        <v>4856</v>
      </c>
      <c r="W288" t="s">
        <v>3958</v>
      </c>
      <c r="X288" t="s">
        <v>4660</v>
      </c>
    </row>
    <row r="289" spans="1:24" x14ac:dyDescent="0.2">
      <c r="A289" t="s">
        <v>4855</v>
      </c>
      <c r="B289" t="s">
        <v>197</v>
      </c>
      <c r="C289" t="s">
        <v>1394</v>
      </c>
      <c r="D289" t="s">
        <v>56</v>
      </c>
      <c r="E289" t="s">
        <v>198</v>
      </c>
      <c r="F289" t="s">
        <v>26</v>
      </c>
      <c r="G289" s="202">
        <v>680.04700000000003</v>
      </c>
      <c r="H289">
        <v>5</v>
      </c>
      <c r="I289" t="s">
        <v>3968</v>
      </c>
      <c r="J289" t="s">
        <v>3969</v>
      </c>
      <c r="K289" t="s">
        <v>26</v>
      </c>
      <c r="L289" s="204">
        <v>1</v>
      </c>
      <c r="M289" s="112"/>
      <c r="N289" s="112">
        <v>83.594999999999999</v>
      </c>
      <c r="O289" s="204">
        <v>0.2222321538483103</v>
      </c>
      <c r="P289" s="112">
        <v>18.577496900949498</v>
      </c>
      <c r="Q289" s="112">
        <v>102.1724969009495</v>
      </c>
      <c r="R289" s="112">
        <v>69482.100000000006</v>
      </c>
      <c r="S289" s="112">
        <v>69482.100000000006</v>
      </c>
      <c r="T289" s="112">
        <v>0</v>
      </c>
      <c r="U289" t="s">
        <v>4170</v>
      </c>
      <c r="V289" t="s">
        <v>4856</v>
      </c>
      <c r="W289" t="s">
        <v>4666</v>
      </c>
      <c r="X289" t="s">
        <v>4667</v>
      </c>
    </row>
    <row r="290" spans="1:24" x14ac:dyDescent="0.2">
      <c r="A290" t="s">
        <v>4857</v>
      </c>
      <c r="B290" t="s">
        <v>199</v>
      </c>
      <c r="C290" t="s">
        <v>1395</v>
      </c>
      <c r="D290" t="s">
        <v>56</v>
      </c>
      <c r="E290" t="s">
        <v>200</v>
      </c>
      <c r="F290" t="s">
        <v>180</v>
      </c>
      <c r="G290" s="202">
        <v>1252.8889999999999</v>
      </c>
      <c r="H290">
        <v>1</v>
      </c>
      <c r="I290" t="s">
        <v>3954</v>
      </c>
      <c r="J290" t="s">
        <v>4804</v>
      </c>
      <c r="K290" t="s">
        <v>1283</v>
      </c>
      <c r="L290" s="204">
        <v>0.28000000000000003</v>
      </c>
      <c r="M290" s="112">
        <v>11.925000000000001</v>
      </c>
      <c r="N290" s="112">
        <v>3.3390000000000004</v>
      </c>
      <c r="O290" s="204"/>
      <c r="P290" s="112"/>
      <c r="Q290" s="112"/>
      <c r="R290" s="112"/>
      <c r="S290" s="112"/>
      <c r="T290" s="112"/>
      <c r="U290" t="s">
        <v>4320</v>
      </c>
      <c r="V290" t="s">
        <v>4858</v>
      </c>
      <c r="W290" t="s">
        <v>3958</v>
      </c>
      <c r="X290" t="s">
        <v>4660</v>
      </c>
    </row>
    <row r="291" spans="1:24" x14ac:dyDescent="0.2">
      <c r="A291" t="s">
        <v>4857</v>
      </c>
      <c r="B291" t="s">
        <v>199</v>
      </c>
      <c r="C291" t="s">
        <v>1395</v>
      </c>
      <c r="D291" t="s">
        <v>56</v>
      </c>
      <c r="E291" t="s">
        <v>200</v>
      </c>
      <c r="F291" t="s">
        <v>180</v>
      </c>
      <c r="G291" s="202">
        <v>1252.8889999999999</v>
      </c>
      <c r="H291">
        <v>2</v>
      </c>
      <c r="I291" t="s">
        <v>3960</v>
      </c>
      <c r="J291" t="s">
        <v>4807</v>
      </c>
      <c r="K291" t="s">
        <v>1283</v>
      </c>
      <c r="L291" s="204">
        <v>0.56000000000000005</v>
      </c>
      <c r="M291" s="112">
        <v>11.925000000000001</v>
      </c>
      <c r="N291" s="112">
        <v>6.6780000000000008</v>
      </c>
      <c r="O291" s="204"/>
      <c r="P291" s="112"/>
      <c r="Q291" s="112"/>
      <c r="R291" s="112"/>
      <c r="S291" s="112"/>
      <c r="T291" s="112"/>
      <c r="U291" t="s">
        <v>4320</v>
      </c>
      <c r="V291" t="s">
        <v>4858</v>
      </c>
      <c r="W291" t="s">
        <v>3958</v>
      </c>
      <c r="X291" t="s">
        <v>4660</v>
      </c>
    </row>
    <row r="292" spans="1:24" x14ac:dyDescent="0.2">
      <c r="A292" t="s">
        <v>4857</v>
      </c>
      <c r="B292" t="s">
        <v>199</v>
      </c>
      <c r="C292" t="s">
        <v>1395</v>
      </c>
      <c r="D292" t="s">
        <v>56</v>
      </c>
      <c r="E292" t="s">
        <v>200</v>
      </c>
      <c r="F292" t="s">
        <v>180</v>
      </c>
      <c r="G292" s="202">
        <v>1252.8889999999999</v>
      </c>
      <c r="H292">
        <v>3</v>
      </c>
      <c r="I292" t="s">
        <v>3962</v>
      </c>
      <c r="J292" t="s">
        <v>4808</v>
      </c>
      <c r="K292" t="s">
        <v>1283</v>
      </c>
      <c r="L292" s="204">
        <v>0.1</v>
      </c>
      <c r="M292" s="112">
        <v>11.925000000000001</v>
      </c>
      <c r="N292" s="112">
        <v>1.1925000000000001</v>
      </c>
      <c r="O292" s="204"/>
      <c r="P292" s="112"/>
      <c r="Q292" s="112"/>
      <c r="R292" s="112"/>
      <c r="S292" s="112"/>
      <c r="T292" s="112"/>
      <c r="U292" t="s">
        <v>4320</v>
      </c>
      <c r="V292" t="s">
        <v>4858</v>
      </c>
      <c r="W292" t="s">
        <v>3958</v>
      </c>
      <c r="X292" t="s">
        <v>4660</v>
      </c>
    </row>
    <row r="293" spans="1:24" x14ac:dyDescent="0.2">
      <c r="A293" t="s">
        <v>4857</v>
      </c>
      <c r="B293" t="s">
        <v>199</v>
      </c>
      <c r="C293" t="s">
        <v>1395</v>
      </c>
      <c r="D293" t="s">
        <v>56</v>
      </c>
      <c r="E293" t="s">
        <v>200</v>
      </c>
      <c r="F293" t="s">
        <v>180</v>
      </c>
      <c r="G293" s="202">
        <v>1252.8889999999999</v>
      </c>
      <c r="H293">
        <v>4</v>
      </c>
      <c r="I293" t="s">
        <v>4017</v>
      </c>
      <c r="J293" t="s">
        <v>4809</v>
      </c>
      <c r="K293" t="s">
        <v>1283</v>
      </c>
      <c r="L293" s="204">
        <v>0.06</v>
      </c>
      <c r="M293" s="112">
        <v>11.925000000000001</v>
      </c>
      <c r="N293" s="112">
        <v>0.71550000000000002</v>
      </c>
      <c r="O293" s="204"/>
      <c r="P293" s="112"/>
      <c r="Q293" s="112"/>
      <c r="R293" s="112"/>
      <c r="S293" s="112"/>
      <c r="T293" s="112"/>
      <c r="U293" t="s">
        <v>4320</v>
      </c>
      <c r="V293" t="s">
        <v>4858</v>
      </c>
      <c r="W293" t="s">
        <v>3958</v>
      </c>
      <c r="X293" t="s">
        <v>4660</v>
      </c>
    </row>
    <row r="294" spans="1:24" x14ac:dyDescent="0.2">
      <c r="A294" t="s">
        <v>4857</v>
      </c>
      <c r="B294" t="s">
        <v>199</v>
      </c>
      <c r="C294" t="s">
        <v>1395</v>
      </c>
      <c r="D294" t="s">
        <v>56</v>
      </c>
      <c r="E294" t="s">
        <v>200</v>
      </c>
      <c r="F294" t="s">
        <v>180</v>
      </c>
      <c r="G294" s="202">
        <v>1252.8889999999999</v>
      </c>
      <c r="H294">
        <v>5</v>
      </c>
      <c r="I294" t="s">
        <v>3968</v>
      </c>
      <c r="J294" t="s">
        <v>3969</v>
      </c>
      <c r="K294" t="s">
        <v>180</v>
      </c>
      <c r="L294" s="204">
        <v>1</v>
      </c>
      <c r="M294" s="112"/>
      <c r="N294" s="112">
        <v>11.925000000000001</v>
      </c>
      <c r="O294" s="204">
        <v>0.22201224713927559</v>
      </c>
      <c r="P294" s="112">
        <v>2.6474960471358617</v>
      </c>
      <c r="Q294" s="112">
        <v>14.572496047135862</v>
      </c>
      <c r="R294" s="112">
        <v>18257.72</v>
      </c>
      <c r="S294" s="112">
        <v>18257.72</v>
      </c>
      <c r="T294" s="112">
        <v>0</v>
      </c>
      <c r="U294" t="s">
        <v>4320</v>
      </c>
      <c r="V294" t="s">
        <v>4858</v>
      </c>
      <c r="W294" t="s">
        <v>4666</v>
      </c>
      <c r="X294" t="s">
        <v>4667</v>
      </c>
    </row>
    <row r="295" spans="1:24" x14ac:dyDescent="0.2">
      <c r="A295" t="s">
        <v>4859</v>
      </c>
      <c r="B295" t="s">
        <v>201</v>
      </c>
      <c r="C295" t="s">
        <v>1396</v>
      </c>
      <c r="D295" t="s">
        <v>56</v>
      </c>
      <c r="E295" t="s">
        <v>202</v>
      </c>
      <c r="F295" t="s">
        <v>180</v>
      </c>
      <c r="G295" s="202">
        <v>33.081000000000003</v>
      </c>
      <c r="H295">
        <v>1</v>
      </c>
      <c r="I295" t="s">
        <v>3954</v>
      </c>
      <c r="J295" t="s">
        <v>4804</v>
      </c>
      <c r="K295" t="s">
        <v>1283</v>
      </c>
      <c r="L295" s="204">
        <v>0.28000000000000003</v>
      </c>
      <c r="M295" s="112">
        <v>10.672499999999999</v>
      </c>
      <c r="N295" s="112">
        <v>2.9883000000000002</v>
      </c>
      <c r="O295" s="204"/>
      <c r="P295" s="112"/>
      <c r="Q295" s="112"/>
      <c r="R295" s="112"/>
      <c r="S295" s="112"/>
      <c r="T295" s="112"/>
      <c r="U295" t="s">
        <v>4860</v>
      </c>
      <c r="V295" t="s">
        <v>4861</v>
      </c>
      <c r="W295" t="s">
        <v>3958</v>
      </c>
      <c r="X295" t="s">
        <v>4660</v>
      </c>
    </row>
    <row r="296" spans="1:24" x14ac:dyDescent="0.2">
      <c r="A296" t="s">
        <v>4859</v>
      </c>
      <c r="B296" t="s">
        <v>201</v>
      </c>
      <c r="C296" t="s">
        <v>1396</v>
      </c>
      <c r="D296" t="s">
        <v>56</v>
      </c>
      <c r="E296" t="s">
        <v>202</v>
      </c>
      <c r="F296" t="s">
        <v>180</v>
      </c>
      <c r="G296" s="202">
        <v>33.081000000000003</v>
      </c>
      <c r="H296">
        <v>2</v>
      </c>
      <c r="I296" t="s">
        <v>3960</v>
      </c>
      <c r="J296" t="s">
        <v>4807</v>
      </c>
      <c r="K296" t="s">
        <v>1283</v>
      </c>
      <c r="L296" s="204">
        <v>0.56000000000000005</v>
      </c>
      <c r="M296" s="112">
        <v>10.672499999999999</v>
      </c>
      <c r="N296" s="112">
        <v>5.9766000000000004</v>
      </c>
      <c r="O296" s="204"/>
      <c r="P296" s="112"/>
      <c r="Q296" s="112"/>
      <c r="R296" s="112"/>
      <c r="S296" s="112"/>
      <c r="T296" s="112"/>
      <c r="U296" t="s">
        <v>4860</v>
      </c>
      <c r="V296" t="s">
        <v>4861</v>
      </c>
      <c r="W296" t="s">
        <v>3958</v>
      </c>
      <c r="X296" t="s">
        <v>4660</v>
      </c>
    </row>
    <row r="297" spans="1:24" x14ac:dyDescent="0.2">
      <c r="A297" t="s">
        <v>4859</v>
      </c>
      <c r="B297" t="s">
        <v>201</v>
      </c>
      <c r="C297" t="s">
        <v>1396</v>
      </c>
      <c r="D297" t="s">
        <v>56</v>
      </c>
      <c r="E297" t="s">
        <v>202</v>
      </c>
      <c r="F297" t="s">
        <v>180</v>
      </c>
      <c r="G297" s="202">
        <v>33.081000000000003</v>
      </c>
      <c r="H297">
        <v>3</v>
      </c>
      <c r="I297" t="s">
        <v>3962</v>
      </c>
      <c r="J297" t="s">
        <v>4808</v>
      </c>
      <c r="K297" t="s">
        <v>1283</v>
      </c>
      <c r="L297" s="204">
        <v>0.1</v>
      </c>
      <c r="M297" s="112">
        <v>10.672499999999999</v>
      </c>
      <c r="N297" s="112">
        <v>1.06725</v>
      </c>
      <c r="O297" s="204"/>
      <c r="P297" s="112"/>
      <c r="Q297" s="112"/>
      <c r="R297" s="112"/>
      <c r="S297" s="112"/>
      <c r="T297" s="112"/>
      <c r="U297" t="s">
        <v>4860</v>
      </c>
      <c r="V297" t="s">
        <v>4861</v>
      </c>
      <c r="W297" t="s">
        <v>3958</v>
      </c>
      <c r="X297" t="s">
        <v>4660</v>
      </c>
    </row>
    <row r="298" spans="1:24" x14ac:dyDescent="0.2">
      <c r="A298" t="s">
        <v>4859</v>
      </c>
      <c r="B298" t="s">
        <v>201</v>
      </c>
      <c r="C298" t="s">
        <v>1396</v>
      </c>
      <c r="D298" t="s">
        <v>56</v>
      </c>
      <c r="E298" t="s">
        <v>202</v>
      </c>
      <c r="F298" t="s">
        <v>180</v>
      </c>
      <c r="G298" s="202">
        <v>33.081000000000003</v>
      </c>
      <c r="H298">
        <v>4</v>
      </c>
      <c r="I298" t="s">
        <v>4017</v>
      </c>
      <c r="J298" t="s">
        <v>4809</v>
      </c>
      <c r="K298" t="s">
        <v>1283</v>
      </c>
      <c r="L298" s="204">
        <v>0.06</v>
      </c>
      <c r="M298" s="112">
        <v>10.672499999999999</v>
      </c>
      <c r="N298" s="112">
        <v>0.64034999999999997</v>
      </c>
      <c r="O298" s="204"/>
      <c r="P298" s="112"/>
      <c r="Q298" s="112"/>
      <c r="R298" s="112"/>
      <c r="S298" s="112"/>
      <c r="T298" s="112"/>
      <c r="U298" t="s">
        <v>4860</v>
      </c>
      <c r="V298" t="s">
        <v>4861</v>
      </c>
      <c r="W298" t="s">
        <v>3958</v>
      </c>
      <c r="X298" t="s">
        <v>4660</v>
      </c>
    </row>
    <row r="299" spans="1:24" x14ac:dyDescent="0.2">
      <c r="A299" t="s">
        <v>4859</v>
      </c>
      <c r="B299" t="s">
        <v>201</v>
      </c>
      <c r="C299" t="s">
        <v>1396</v>
      </c>
      <c r="D299" t="s">
        <v>56</v>
      </c>
      <c r="E299" t="s">
        <v>202</v>
      </c>
      <c r="F299" t="s">
        <v>180</v>
      </c>
      <c r="G299" s="202">
        <v>33.081000000000003</v>
      </c>
      <c r="H299">
        <v>5</v>
      </c>
      <c r="I299" t="s">
        <v>3968</v>
      </c>
      <c r="J299" t="s">
        <v>3969</v>
      </c>
      <c r="K299" t="s">
        <v>180</v>
      </c>
      <c r="L299" s="204">
        <v>1</v>
      </c>
      <c r="M299" s="112"/>
      <c r="N299" s="112">
        <v>10.672499999999999</v>
      </c>
      <c r="O299" s="204">
        <v>0.22204072885148873</v>
      </c>
      <c r="P299" s="112">
        <v>2.3697296786675128</v>
      </c>
      <c r="Q299" s="112">
        <v>13.042229678667512</v>
      </c>
      <c r="R299" s="112">
        <v>431.45</v>
      </c>
      <c r="S299" s="112">
        <v>431.45</v>
      </c>
      <c r="T299" s="112">
        <v>0</v>
      </c>
      <c r="U299" t="s">
        <v>4860</v>
      </c>
      <c r="V299" t="s">
        <v>4861</v>
      </c>
      <c r="W299" t="s">
        <v>4666</v>
      </c>
      <c r="X299" t="s">
        <v>4667</v>
      </c>
    </row>
    <row r="300" spans="1:24" x14ac:dyDescent="0.2">
      <c r="A300" t="s">
        <v>4862</v>
      </c>
      <c r="B300" t="s">
        <v>203</v>
      </c>
      <c r="C300" t="s">
        <v>1397</v>
      </c>
      <c r="D300" t="s">
        <v>56</v>
      </c>
      <c r="E300" t="s">
        <v>204</v>
      </c>
      <c r="F300" t="s">
        <v>180</v>
      </c>
      <c r="G300" s="202">
        <v>2033.6669999999999</v>
      </c>
      <c r="H300">
        <v>1</v>
      </c>
      <c r="I300" t="s">
        <v>3954</v>
      </c>
      <c r="J300" t="s">
        <v>4804</v>
      </c>
      <c r="K300" t="s">
        <v>1283</v>
      </c>
      <c r="L300" s="204">
        <v>0.28000000000000003</v>
      </c>
      <c r="M300" s="112">
        <v>8.3925000000000001</v>
      </c>
      <c r="N300" s="112">
        <v>2.3499000000000003</v>
      </c>
      <c r="O300" s="204"/>
      <c r="P300" s="112"/>
      <c r="Q300" s="112"/>
      <c r="R300" s="112"/>
      <c r="S300" s="112"/>
      <c r="T300" s="112"/>
      <c r="U300" t="s">
        <v>4288</v>
      </c>
      <c r="V300" t="s">
        <v>4863</v>
      </c>
      <c r="W300" t="s">
        <v>3958</v>
      </c>
      <c r="X300" t="s">
        <v>4660</v>
      </c>
    </row>
    <row r="301" spans="1:24" x14ac:dyDescent="0.2">
      <c r="A301" t="s">
        <v>4862</v>
      </c>
      <c r="B301" t="s">
        <v>203</v>
      </c>
      <c r="C301" t="s">
        <v>1397</v>
      </c>
      <c r="D301" t="s">
        <v>56</v>
      </c>
      <c r="E301" t="s">
        <v>204</v>
      </c>
      <c r="F301" t="s">
        <v>180</v>
      </c>
      <c r="G301" s="202">
        <v>2033.6669999999999</v>
      </c>
      <c r="H301">
        <v>2</v>
      </c>
      <c r="I301" t="s">
        <v>3960</v>
      </c>
      <c r="J301" t="s">
        <v>4807</v>
      </c>
      <c r="K301" t="s">
        <v>1283</v>
      </c>
      <c r="L301" s="204">
        <v>0.56000000000000005</v>
      </c>
      <c r="M301" s="112">
        <v>8.3925000000000001</v>
      </c>
      <c r="N301" s="112">
        <v>4.6998000000000006</v>
      </c>
      <c r="O301" s="204"/>
      <c r="P301" s="112"/>
      <c r="Q301" s="112"/>
      <c r="R301" s="112"/>
      <c r="S301" s="112"/>
      <c r="T301" s="112"/>
      <c r="U301" t="s">
        <v>4288</v>
      </c>
      <c r="V301" t="s">
        <v>4863</v>
      </c>
      <c r="W301" t="s">
        <v>3958</v>
      </c>
      <c r="X301" t="s">
        <v>4660</v>
      </c>
    </row>
    <row r="302" spans="1:24" x14ac:dyDescent="0.2">
      <c r="A302" t="s">
        <v>4862</v>
      </c>
      <c r="B302" t="s">
        <v>203</v>
      </c>
      <c r="C302" t="s">
        <v>1397</v>
      </c>
      <c r="D302" t="s">
        <v>56</v>
      </c>
      <c r="E302" t="s">
        <v>204</v>
      </c>
      <c r="F302" t="s">
        <v>180</v>
      </c>
      <c r="G302" s="202">
        <v>2033.6669999999999</v>
      </c>
      <c r="H302">
        <v>3</v>
      </c>
      <c r="I302" t="s">
        <v>3962</v>
      </c>
      <c r="J302" t="s">
        <v>4808</v>
      </c>
      <c r="K302" t="s">
        <v>1283</v>
      </c>
      <c r="L302" s="204">
        <v>0.1</v>
      </c>
      <c r="M302" s="112">
        <v>8.3925000000000001</v>
      </c>
      <c r="N302" s="112">
        <v>0.83925000000000005</v>
      </c>
      <c r="O302" s="204"/>
      <c r="P302" s="112"/>
      <c r="Q302" s="112"/>
      <c r="R302" s="112"/>
      <c r="S302" s="112"/>
      <c r="T302" s="112"/>
      <c r="U302" t="s">
        <v>4288</v>
      </c>
      <c r="V302" t="s">
        <v>4863</v>
      </c>
      <c r="W302" t="s">
        <v>3958</v>
      </c>
      <c r="X302" t="s">
        <v>4660</v>
      </c>
    </row>
    <row r="303" spans="1:24" x14ac:dyDescent="0.2">
      <c r="A303" t="s">
        <v>4862</v>
      </c>
      <c r="B303" t="s">
        <v>203</v>
      </c>
      <c r="C303" t="s">
        <v>1397</v>
      </c>
      <c r="D303" t="s">
        <v>56</v>
      </c>
      <c r="E303" t="s">
        <v>204</v>
      </c>
      <c r="F303" t="s">
        <v>180</v>
      </c>
      <c r="G303" s="202">
        <v>2033.6669999999999</v>
      </c>
      <c r="H303">
        <v>4</v>
      </c>
      <c r="I303" t="s">
        <v>4017</v>
      </c>
      <c r="J303" t="s">
        <v>4809</v>
      </c>
      <c r="K303" t="s">
        <v>1283</v>
      </c>
      <c r="L303" s="204">
        <v>0.06</v>
      </c>
      <c r="M303" s="112">
        <v>8.3925000000000001</v>
      </c>
      <c r="N303" s="112">
        <v>0.50354999999999994</v>
      </c>
      <c r="O303" s="204"/>
      <c r="P303" s="112"/>
      <c r="Q303" s="112"/>
      <c r="R303" s="112"/>
      <c r="S303" s="112"/>
      <c r="T303" s="112"/>
      <c r="U303" t="s">
        <v>4288</v>
      </c>
      <c r="V303" t="s">
        <v>4863</v>
      </c>
      <c r="W303" t="s">
        <v>3958</v>
      </c>
      <c r="X303" t="s">
        <v>4660</v>
      </c>
    </row>
    <row r="304" spans="1:24" x14ac:dyDescent="0.2">
      <c r="A304" t="s">
        <v>4862</v>
      </c>
      <c r="B304" t="s">
        <v>203</v>
      </c>
      <c r="C304" t="s">
        <v>1397</v>
      </c>
      <c r="D304" t="s">
        <v>56</v>
      </c>
      <c r="E304" t="s">
        <v>204</v>
      </c>
      <c r="F304" t="s">
        <v>180</v>
      </c>
      <c r="G304" s="202">
        <v>2033.6669999999999</v>
      </c>
      <c r="H304">
        <v>5</v>
      </c>
      <c r="I304" t="s">
        <v>3968</v>
      </c>
      <c r="J304" t="s">
        <v>3969</v>
      </c>
      <c r="K304" t="s">
        <v>180</v>
      </c>
      <c r="L304" s="204">
        <v>1</v>
      </c>
      <c r="M304" s="112"/>
      <c r="N304" s="112">
        <v>8.3925000000000001</v>
      </c>
      <c r="O304" s="204">
        <v>0.22162639843247245</v>
      </c>
      <c r="P304" s="112">
        <v>1.8599995488445256</v>
      </c>
      <c r="Q304" s="112">
        <v>10.252499548844526</v>
      </c>
      <c r="R304" s="112">
        <v>20850.169999999998</v>
      </c>
      <c r="S304" s="112">
        <v>20850.169999999998</v>
      </c>
      <c r="T304" s="112">
        <v>0</v>
      </c>
      <c r="U304" t="s">
        <v>4288</v>
      </c>
      <c r="V304" t="s">
        <v>4863</v>
      </c>
      <c r="W304" t="s">
        <v>4666</v>
      </c>
      <c r="X304" t="s">
        <v>4667</v>
      </c>
    </row>
    <row r="305" spans="1:24" x14ac:dyDescent="0.2">
      <c r="A305" t="s">
        <v>4864</v>
      </c>
      <c r="B305" t="s">
        <v>205</v>
      </c>
      <c r="C305" t="s">
        <v>1398</v>
      </c>
      <c r="D305" t="s">
        <v>56</v>
      </c>
      <c r="E305" t="s">
        <v>206</v>
      </c>
      <c r="F305" t="s">
        <v>180</v>
      </c>
      <c r="G305" s="202">
        <v>718.09900000000005</v>
      </c>
      <c r="H305">
        <v>1</v>
      </c>
      <c r="I305" t="s">
        <v>3954</v>
      </c>
      <c r="J305" t="s">
        <v>4804</v>
      </c>
      <c r="K305" t="s">
        <v>1283</v>
      </c>
      <c r="L305" s="204">
        <v>0.28000000000000003</v>
      </c>
      <c r="M305" s="112">
        <v>6.9375</v>
      </c>
      <c r="N305" s="112">
        <v>1.9425000000000001</v>
      </c>
      <c r="O305" s="204"/>
      <c r="P305" s="112"/>
      <c r="Q305" s="112"/>
      <c r="R305" s="112"/>
      <c r="S305" s="112"/>
      <c r="T305" s="112"/>
      <c r="U305" t="s">
        <v>4865</v>
      </c>
      <c r="V305" t="s">
        <v>4866</v>
      </c>
      <c r="W305" t="s">
        <v>3958</v>
      </c>
      <c r="X305" t="s">
        <v>4660</v>
      </c>
    </row>
    <row r="306" spans="1:24" x14ac:dyDescent="0.2">
      <c r="A306" t="s">
        <v>4864</v>
      </c>
      <c r="B306" t="s">
        <v>205</v>
      </c>
      <c r="C306" t="s">
        <v>1398</v>
      </c>
      <c r="D306" t="s">
        <v>56</v>
      </c>
      <c r="E306" t="s">
        <v>206</v>
      </c>
      <c r="F306" t="s">
        <v>180</v>
      </c>
      <c r="G306" s="202">
        <v>718.09900000000005</v>
      </c>
      <c r="H306">
        <v>2</v>
      </c>
      <c r="I306" t="s">
        <v>3960</v>
      </c>
      <c r="J306" t="s">
        <v>4807</v>
      </c>
      <c r="K306" t="s">
        <v>1283</v>
      </c>
      <c r="L306" s="204">
        <v>0.56000000000000005</v>
      </c>
      <c r="M306" s="112">
        <v>6.9375</v>
      </c>
      <c r="N306" s="112">
        <v>3.8850000000000002</v>
      </c>
      <c r="O306" s="204"/>
      <c r="P306" s="112"/>
      <c r="Q306" s="112"/>
      <c r="R306" s="112"/>
      <c r="S306" s="112"/>
      <c r="T306" s="112"/>
      <c r="U306" t="s">
        <v>4865</v>
      </c>
      <c r="V306" t="s">
        <v>4866</v>
      </c>
      <c r="W306" t="s">
        <v>3958</v>
      </c>
      <c r="X306" t="s">
        <v>4660</v>
      </c>
    </row>
    <row r="307" spans="1:24" x14ac:dyDescent="0.2">
      <c r="A307" t="s">
        <v>4864</v>
      </c>
      <c r="B307" t="s">
        <v>205</v>
      </c>
      <c r="C307" t="s">
        <v>1398</v>
      </c>
      <c r="D307" t="s">
        <v>56</v>
      </c>
      <c r="E307" t="s">
        <v>206</v>
      </c>
      <c r="F307" t="s">
        <v>180</v>
      </c>
      <c r="G307" s="202">
        <v>718.09900000000005</v>
      </c>
      <c r="H307">
        <v>3</v>
      </c>
      <c r="I307" t="s">
        <v>3962</v>
      </c>
      <c r="J307" t="s">
        <v>4808</v>
      </c>
      <c r="K307" t="s">
        <v>1283</v>
      </c>
      <c r="L307" s="204">
        <v>0.1</v>
      </c>
      <c r="M307" s="112">
        <v>6.9375</v>
      </c>
      <c r="N307" s="112">
        <v>0.69375000000000009</v>
      </c>
      <c r="O307" s="204"/>
      <c r="P307" s="112"/>
      <c r="Q307" s="112"/>
      <c r="R307" s="112"/>
      <c r="S307" s="112"/>
      <c r="T307" s="112"/>
      <c r="U307" t="s">
        <v>4865</v>
      </c>
      <c r="V307" t="s">
        <v>4866</v>
      </c>
      <c r="W307" t="s">
        <v>3958</v>
      </c>
      <c r="X307" t="s">
        <v>4660</v>
      </c>
    </row>
    <row r="308" spans="1:24" x14ac:dyDescent="0.2">
      <c r="A308" t="s">
        <v>4864</v>
      </c>
      <c r="B308" t="s">
        <v>205</v>
      </c>
      <c r="C308" t="s">
        <v>1398</v>
      </c>
      <c r="D308" t="s">
        <v>56</v>
      </c>
      <c r="E308" t="s">
        <v>206</v>
      </c>
      <c r="F308" t="s">
        <v>180</v>
      </c>
      <c r="G308" s="202">
        <v>718.09900000000005</v>
      </c>
      <c r="H308">
        <v>4</v>
      </c>
      <c r="I308" t="s">
        <v>4017</v>
      </c>
      <c r="J308" t="s">
        <v>4809</v>
      </c>
      <c r="K308" t="s">
        <v>1283</v>
      </c>
      <c r="L308" s="204">
        <v>0.06</v>
      </c>
      <c r="M308" s="112">
        <v>6.9375</v>
      </c>
      <c r="N308" s="112">
        <v>0.41625000000000001</v>
      </c>
      <c r="O308" s="204"/>
      <c r="P308" s="112"/>
      <c r="Q308" s="112"/>
      <c r="R308" s="112"/>
      <c r="S308" s="112"/>
      <c r="T308" s="112"/>
      <c r="U308" t="s">
        <v>4865</v>
      </c>
      <c r="V308" t="s">
        <v>4866</v>
      </c>
      <c r="W308" t="s">
        <v>3958</v>
      </c>
      <c r="X308" t="s">
        <v>4660</v>
      </c>
    </row>
    <row r="309" spans="1:24" x14ac:dyDescent="0.2">
      <c r="A309" t="s">
        <v>4864</v>
      </c>
      <c r="B309" t="s">
        <v>205</v>
      </c>
      <c r="C309" t="s">
        <v>1398</v>
      </c>
      <c r="D309" t="s">
        <v>56</v>
      </c>
      <c r="E309" t="s">
        <v>206</v>
      </c>
      <c r="F309" t="s">
        <v>180</v>
      </c>
      <c r="G309" s="202">
        <v>718.09900000000005</v>
      </c>
      <c r="H309">
        <v>5</v>
      </c>
      <c r="I309" t="s">
        <v>3968</v>
      </c>
      <c r="J309" t="s">
        <v>3969</v>
      </c>
      <c r="K309" t="s">
        <v>180</v>
      </c>
      <c r="L309" s="204">
        <v>1</v>
      </c>
      <c r="M309" s="112"/>
      <c r="N309" s="112">
        <v>6.9375</v>
      </c>
      <c r="O309" s="204">
        <v>0.22161981003171416</v>
      </c>
      <c r="P309" s="112">
        <v>1.5374874320950163</v>
      </c>
      <c r="Q309" s="112">
        <v>8.4749874320950163</v>
      </c>
      <c r="R309" s="112">
        <v>6085.88</v>
      </c>
      <c r="S309" s="112">
        <v>6085.88</v>
      </c>
      <c r="T309" s="112">
        <v>0</v>
      </c>
      <c r="U309" t="s">
        <v>4865</v>
      </c>
      <c r="V309" t="s">
        <v>4866</v>
      </c>
      <c r="W309" t="s">
        <v>4666</v>
      </c>
      <c r="X309" t="s">
        <v>4667</v>
      </c>
    </row>
    <row r="310" spans="1:24" x14ac:dyDescent="0.2">
      <c r="A310" t="s">
        <v>4867</v>
      </c>
      <c r="B310" t="s">
        <v>207</v>
      </c>
      <c r="C310" t="s">
        <v>208</v>
      </c>
      <c r="D310" t="s">
        <v>209</v>
      </c>
      <c r="E310" t="s">
        <v>210</v>
      </c>
      <c r="F310" t="s">
        <v>118</v>
      </c>
      <c r="G310" s="202">
        <v>52.64</v>
      </c>
      <c r="H310">
        <v>1</v>
      </c>
      <c r="I310" t="s">
        <v>3954</v>
      </c>
      <c r="J310" t="s">
        <v>4804</v>
      </c>
      <c r="K310" t="s">
        <v>1283</v>
      </c>
      <c r="L310" s="204">
        <v>0.28000000000000003</v>
      </c>
      <c r="M310" s="112">
        <v>520.93500000000006</v>
      </c>
      <c r="N310" s="112">
        <v>145.86180000000002</v>
      </c>
      <c r="O310" s="204"/>
      <c r="P310" s="112"/>
      <c r="Q310" s="112"/>
      <c r="R310" s="112"/>
      <c r="S310" s="112"/>
      <c r="T310" s="112"/>
      <c r="U310" t="s">
        <v>4296</v>
      </c>
      <c r="V310" t="s">
        <v>4297</v>
      </c>
      <c r="W310" t="s">
        <v>3958</v>
      </c>
      <c r="X310" t="s">
        <v>4660</v>
      </c>
    </row>
    <row r="311" spans="1:24" x14ac:dyDescent="0.2">
      <c r="A311" t="s">
        <v>4867</v>
      </c>
      <c r="B311" t="s">
        <v>207</v>
      </c>
      <c r="C311" t="s">
        <v>208</v>
      </c>
      <c r="D311" t="s">
        <v>209</v>
      </c>
      <c r="E311" t="s">
        <v>210</v>
      </c>
      <c r="F311" t="s">
        <v>118</v>
      </c>
      <c r="G311" s="202">
        <v>52.64</v>
      </c>
      <c r="H311">
        <v>2</v>
      </c>
      <c r="I311" t="s">
        <v>3960</v>
      </c>
      <c r="J311" t="s">
        <v>4807</v>
      </c>
      <c r="K311" t="s">
        <v>1283</v>
      </c>
      <c r="L311" s="204">
        <v>0.56000000000000005</v>
      </c>
      <c r="M311" s="112">
        <v>520.93500000000006</v>
      </c>
      <c r="N311" s="112">
        <v>291.72360000000003</v>
      </c>
      <c r="O311" s="204"/>
      <c r="P311" s="112"/>
      <c r="Q311" s="112"/>
      <c r="R311" s="112"/>
      <c r="S311" s="112"/>
      <c r="T311" s="112"/>
      <c r="U311" t="s">
        <v>4296</v>
      </c>
      <c r="V311" t="s">
        <v>4297</v>
      </c>
      <c r="W311" t="s">
        <v>3958</v>
      </c>
      <c r="X311" t="s">
        <v>4660</v>
      </c>
    </row>
    <row r="312" spans="1:24" x14ac:dyDescent="0.2">
      <c r="A312" t="s">
        <v>4867</v>
      </c>
      <c r="B312" t="s">
        <v>207</v>
      </c>
      <c r="C312" t="s">
        <v>208</v>
      </c>
      <c r="D312" t="s">
        <v>209</v>
      </c>
      <c r="E312" t="s">
        <v>210</v>
      </c>
      <c r="F312" t="s">
        <v>118</v>
      </c>
      <c r="G312" s="202">
        <v>52.64</v>
      </c>
      <c r="H312">
        <v>3</v>
      </c>
      <c r="I312" t="s">
        <v>3962</v>
      </c>
      <c r="J312" t="s">
        <v>4808</v>
      </c>
      <c r="K312" t="s">
        <v>1283</v>
      </c>
      <c r="L312" s="204">
        <v>0.1</v>
      </c>
      <c r="M312" s="112">
        <v>520.93500000000006</v>
      </c>
      <c r="N312" s="112">
        <v>52.093500000000006</v>
      </c>
      <c r="O312" s="204"/>
      <c r="P312" s="112"/>
      <c r="Q312" s="112"/>
      <c r="R312" s="112"/>
      <c r="S312" s="112"/>
      <c r="T312" s="112"/>
      <c r="U312" t="s">
        <v>4296</v>
      </c>
      <c r="V312" t="s">
        <v>4297</v>
      </c>
      <c r="W312" t="s">
        <v>3958</v>
      </c>
      <c r="X312" t="s">
        <v>4660</v>
      </c>
    </row>
    <row r="313" spans="1:24" x14ac:dyDescent="0.2">
      <c r="A313" t="s">
        <v>4867</v>
      </c>
      <c r="B313" t="s">
        <v>207</v>
      </c>
      <c r="C313" t="s">
        <v>208</v>
      </c>
      <c r="D313" t="s">
        <v>209</v>
      </c>
      <c r="E313" t="s">
        <v>210</v>
      </c>
      <c r="F313" t="s">
        <v>118</v>
      </c>
      <c r="G313" s="202">
        <v>52.64</v>
      </c>
      <c r="H313">
        <v>4</v>
      </c>
      <c r="I313" t="s">
        <v>4017</v>
      </c>
      <c r="J313" t="s">
        <v>4809</v>
      </c>
      <c r="K313" t="s">
        <v>1283</v>
      </c>
      <c r="L313" s="204">
        <v>0.06</v>
      </c>
      <c r="M313" s="112">
        <v>520.93500000000006</v>
      </c>
      <c r="N313" s="112">
        <v>31.256100000000004</v>
      </c>
      <c r="O313" s="204"/>
      <c r="P313" s="112"/>
      <c r="Q313" s="112"/>
      <c r="R313" s="112"/>
      <c r="S313" s="112"/>
      <c r="T313" s="112"/>
      <c r="U313" t="s">
        <v>4296</v>
      </c>
      <c r="V313" t="s">
        <v>4297</v>
      </c>
      <c r="W313" t="s">
        <v>3958</v>
      </c>
      <c r="X313" t="s">
        <v>4660</v>
      </c>
    </row>
    <row r="314" spans="1:24" x14ac:dyDescent="0.2">
      <c r="A314" t="s">
        <v>4867</v>
      </c>
      <c r="B314" t="s">
        <v>207</v>
      </c>
      <c r="C314" t="s">
        <v>208</v>
      </c>
      <c r="D314" t="s">
        <v>209</v>
      </c>
      <c r="E314" t="s">
        <v>210</v>
      </c>
      <c r="F314" t="s">
        <v>118</v>
      </c>
      <c r="G314" s="202">
        <v>52.64</v>
      </c>
      <c r="H314">
        <v>5</v>
      </c>
      <c r="I314" t="s">
        <v>3968</v>
      </c>
      <c r="J314" t="s">
        <v>3969</v>
      </c>
      <c r="K314" t="s">
        <v>118</v>
      </c>
      <c r="L314" s="204">
        <v>1</v>
      </c>
      <c r="M314" s="112"/>
      <c r="N314" s="112">
        <v>520.93500000000006</v>
      </c>
      <c r="O314" s="204">
        <v>0.22229259389600586</v>
      </c>
      <c r="P314" s="112">
        <v>115.79999240121583</v>
      </c>
      <c r="Q314" s="112">
        <v>636.73499240121589</v>
      </c>
      <c r="R314" s="112">
        <v>33517.730000000003</v>
      </c>
      <c r="S314" s="112">
        <v>33517.730000000003</v>
      </c>
      <c r="T314" s="112">
        <v>0</v>
      </c>
      <c r="U314" t="s">
        <v>4296</v>
      </c>
      <c r="V314" t="s">
        <v>4297</v>
      </c>
      <c r="W314" t="s">
        <v>4666</v>
      </c>
      <c r="X314" t="s">
        <v>4667</v>
      </c>
    </row>
    <row r="315" spans="1:24" x14ac:dyDescent="0.2">
      <c r="A315" t="s">
        <v>4868</v>
      </c>
      <c r="B315" t="s">
        <v>213</v>
      </c>
      <c r="C315" t="s">
        <v>1399</v>
      </c>
      <c r="D315" t="s">
        <v>56</v>
      </c>
      <c r="E315" t="s">
        <v>214</v>
      </c>
      <c r="F315" t="s">
        <v>26</v>
      </c>
      <c r="G315" s="202">
        <v>1460.3979999999999</v>
      </c>
      <c r="H315">
        <v>1</v>
      </c>
      <c r="I315" t="s">
        <v>3954</v>
      </c>
      <c r="J315" t="s">
        <v>4715</v>
      </c>
      <c r="K315" t="s">
        <v>1283</v>
      </c>
      <c r="L315" s="204">
        <v>0.42</v>
      </c>
      <c r="M315" s="112">
        <v>113.57250000000001</v>
      </c>
      <c r="N315" s="112">
        <v>47.700450000000004</v>
      </c>
      <c r="O315" s="204"/>
      <c r="P315" s="112"/>
      <c r="Q315" s="112"/>
      <c r="R315" s="112"/>
      <c r="S315" s="112"/>
      <c r="T315" s="112"/>
      <c r="U315" t="s">
        <v>3992</v>
      </c>
      <c r="V315" t="s">
        <v>4869</v>
      </c>
      <c r="W315" t="s">
        <v>3958</v>
      </c>
      <c r="X315" t="s">
        <v>4660</v>
      </c>
    </row>
    <row r="316" spans="1:24" x14ac:dyDescent="0.2">
      <c r="A316" t="s">
        <v>4868</v>
      </c>
      <c r="B316" t="s">
        <v>213</v>
      </c>
      <c r="C316" t="s">
        <v>1399</v>
      </c>
      <c r="D316" t="s">
        <v>56</v>
      </c>
      <c r="E316" t="s">
        <v>214</v>
      </c>
      <c r="F316" t="s">
        <v>26</v>
      </c>
      <c r="G316" s="202">
        <v>1460.3979999999999</v>
      </c>
      <c r="H316">
        <v>2</v>
      </c>
      <c r="I316" t="s">
        <v>3960</v>
      </c>
      <c r="J316" t="s">
        <v>4718</v>
      </c>
      <c r="K316" t="s">
        <v>1283</v>
      </c>
      <c r="L316" s="204">
        <v>0.4</v>
      </c>
      <c r="M316" s="112">
        <v>113.57250000000001</v>
      </c>
      <c r="N316" s="112">
        <v>45.429000000000002</v>
      </c>
      <c r="O316" s="204"/>
      <c r="P316" s="112"/>
      <c r="Q316" s="112"/>
      <c r="R316" s="112"/>
      <c r="S316" s="112"/>
      <c r="T316" s="112"/>
      <c r="U316" t="s">
        <v>3992</v>
      </c>
      <c r="V316" t="s">
        <v>4869</v>
      </c>
      <c r="W316" t="s">
        <v>3958</v>
      </c>
      <c r="X316" t="s">
        <v>4660</v>
      </c>
    </row>
    <row r="317" spans="1:24" x14ac:dyDescent="0.2">
      <c r="A317" t="s">
        <v>4868</v>
      </c>
      <c r="B317" t="s">
        <v>213</v>
      </c>
      <c r="C317" t="s">
        <v>1399</v>
      </c>
      <c r="D317" t="s">
        <v>56</v>
      </c>
      <c r="E317" t="s">
        <v>214</v>
      </c>
      <c r="F317" t="s">
        <v>26</v>
      </c>
      <c r="G317" s="202">
        <v>1460.3979999999999</v>
      </c>
      <c r="H317">
        <v>3</v>
      </c>
      <c r="I317" t="s">
        <v>3976</v>
      </c>
      <c r="J317" t="s">
        <v>4719</v>
      </c>
      <c r="K317" t="s">
        <v>1283</v>
      </c>
      <c r="L317" s="204">
        <v>0.12</v>
      </c>
      <c r="M317" s="112">
        <v>113.57250000000001</v>
      </c>
      <c r="N317" s="112">
        <v>13.6287</v>
      </c>
      <c r="O317" s="204"/>
      <c r="P317" s="112"/>
      <c r="Q317" s="112"/>
      <c r="R317" s="112"/>
      <c r="S317" s="112"/>
      <c r="T317" s="112"/>
      <c r="U317" t="s">
        <v>3992</v>
      </c>
      <c r="V317" t="s">
        <v>4869</v>
      </c>
      <c r="W317" t="s">
        <v>3958</v>
      </c>
      <c r="X317" t="s">
        <v>4660</v>
      </c>
    </row>
    <row r="318" spans="1:24" x14ac:dyDescent="0.2">
      <c r="A318" t="s">
        <v>4868</v>
      </c>
      <c r="B318" t="s">
        <v>213</v>
      </c>
      <c r="C318" t="s">
        <v>1399</v>
      </c>
      <c r="D318" t="s">
        <v>56</v>
      </c>
      <c r="E318" t="s">
        <v>214</v>
      </c>
      <c r="F318" t="s">
        <v>26</v>
      </c>
      <c r="G318" s="202">
        <v>1460.3979999999999</v>
      </c>
      <c r="H318">
        <v>4</v>
      </c>
      <c r="I318" t="s">
        <v>4017</v>
      </c>
      <c r="J318" t="s">
        <v>4720</v>
      </c>
      <c r="K318" t="s">
        <v>1283</v>
      </c>
      <c r="L318" s="204">
        <v>0.06</v>
      </c>
      <c r="M318" s="112">
        <v>113.57250000000001</v>
      </c>
      <c r="N318" s="112">
        <v>6.8143500000000001</v>
      </c>
      <c r="O318" s="204"/>
      <c r="P318" s="112"/>
      <c r="Q318" s="112"/>
      <c r="R318" s="112"/>
      <c r="S318" s="112"/>
      <c r="T318" s="112"/>
      <c r="U318" t="s">
        <v>3992</v>
      </c>
      <c r="V318" t="s">
        <v>4869</v>
      </c>
      <c r="W318" t="s">
        <v>3958</v>
      </c>
      <c r="X318" t="s">
        <v>4660</v>
      </c>
    </row>
    <row r="319" spans="1:24" x14ac:dyDescent="0.2">
      <c r="A319" t="s">
        <v>4868</v>
      </c>
      <c r="B319" t="s">
        <v>213</v>
      </c>
      <c r="C319" t="s">
        <v>1399</v>
      </c>
      <c r="D319" t="s">
        <v>56</v>
      </c>
      <c r="E319" t="s">
        <v>214</v>
      </c>
      <c r="F319" t="s">
        <v>26</v>
      </c>
      <c r="G319" s="202">
        <v>1460.3979999999999</v>
      </c>
      <c r="H319">
        <v>5</v>
      </c>
      <c r="I319" t="s">
        <v>3968</v>
      </c>
      <c r="J319" t="s">
        <v>3969</v>
      </c>
      <c r="K319" t="s">
        <v>26</v>
      </c>
      <c r="L319" s="204">
        <v>1</v>
      </c>
      <c r="M319" s="112"/>
      <c r="N319" s="112">
        <v>113.57250000000001</v>
      </c>
      <c r="O319" s="204">
        <v>0.22228086541517156</v>
      </c>
      <c r="P319" s="112">
        <v>25.244993587364561</v>
      </c>
      <c r="Q319" s="112">
        <v>138.81749358736457</v>
      </c>
      <c r="R319" s="112">
        <v>202728.79</v>
      </c>
      <c r="S319" s="112">
        <v>202728.79</v>
      </c>
      <c r="T319" s="112">
        <v>0</v>
      </c>
      <c r="U319" t="s">
        <v>3992</v>
      </c>
      <c r="V319" t="s">
        <v>4869</v>
      </c>
      <c r="W319" t="s">
        <v>4666</v>
      </c>
      <c r="X319" t="s">
        <v>4667</v>
      </c>
    </row>
    <row r="320" spans="1:24" x14ac:dyDescent="0.2">
      <c r="A320" t="s">
        <v>4870</v>
      </c>
      <c r="B320" t="s">
        <v>215</v>
      </c>
      <c r="C320" t="s">
        <v>1400</v>
      </c>
      <c r="D320" t="s">
        <v>56</v>
      </c>
      <c r="E320" t="s">
        <v>216</v>
      </c>
      <c r="F320" t="s">
        <v>26</v>
      </c>
      <c r="G320" s="202">
        <v>2614.143</v>
      </c>
      <c r="H320">
        <v>1</v>
      </c>
      <c r="I320" t="s">
        <v>3954</v>
      </c>
      <c r="J320" t="s">
        <v>4715</v>
      </c>
      <c r="K320" t="s">
        <v>1283</v>
      </c>
      <c r="L320" s="204">
        <v>0.42</v>
      </c>
      <c r="M320" s="112">
        <v>57.885000000000005</v>
      </c>
      <c r="N320" s="112">
        <v>24.311700000000002</v>
      </c>
      <c r="O320" s="204"/>
      <c r="P320" s="112"/>
      <c r="Q320" s="112"/>
      <c r="R320" s="112"/>
      <c r="S320" s="112"/>
      <c r="T320" s="112"/>
      <c r="U320" t="s">
        <v>4021</v>
      </c>
      <c r="V320" t="s">
        <v>4871</v>
      </c>
      <c r="W320" t="s">
        <v>3958</v>
      </c>
      <c r="X320" t="s">
        <v>4660</v>
      </c>
    </row>
    <row r="321" spans="1:24" x14ac:dyDescent="0.2">
      <c r="A321" t="s">
        <v>4870</v>
      </c>
      <c r="B321" t="s">
        <v>215</v>
      </c>
      <c r="C321" t="s">
        <v>1400</v>
      </c>
      <c r="D321" t="s">
        <v>56</v>
      </c>
      <c r="E321" t="s">
        <v>216</v>
      </c>
      <c r="F321" t="s">
        <v>26</v>
      </c>
      <c r="G321" s="202">
        <v>2614.143</v>
      </c>
      <c r="H321">
        <v>2</v>
      </c>
      <c r="I321" t="s">
        <v>3960</v>
      </c>
      <c r="J321" t="s">
        <v>4718</v>
      </c>
      <c r="K321" t="s">
        <v>1283</v>
      </c>
      <c r="L321" s="204">
        <v>0.4</v>
      </c>
      <c r="M321" s="112">
        <v>57.885000000000005</v>
      </c>
      <c r="N321" s="112">
        <v>23.154000000000003</v>
      </c>
      <c r="O321" s="204"/>
      <c r="P321" s="112"/>
      <c r="Q321" s="112"/>
      <c r="R321" s="112"/>
      <c r="S321" s="112"/>
      <c r="T321" s="112"/>
      <c r="U321" t="s">
        <v>4021</v>
      </c>
      <c r="V321" t="s">
        <v>4871</v>
      </c>
      <c r="W321" t="s">
        <v>3958</v>
      </c>
      <c r="X321" t="s">
        <v>4660</v>
      </c>
    </row>
    <row r="322" spans="1:24" x14ac:dyDescent="0.2">
      <c r="A322" t="s">
        <v>4870</v>
      </c>
      <c r="B322" t="s">
        <v>215</v>
      </c>
      <c r="C322" t="s">
        <v>1400</v>
      </c>
      <c r="D322" t="s">
        <v>56</v>
      </c>
      <c r="E322" t="s">
        <v>216</v>
      </c>
      <c r="F322" t="s">
        <v>26</v>
      </c>
      <c r="G322" s="202">
        <v>2614.143</v>
      </c>
      <c r="H322">
        <v>3</v>
      </c>
      <c r="I322" t="s">
        <v>3976</v>
      </c>
      <c r="J322" t="s">
        <v>4719</v>
      </c>
      <c r="K322" t="s">
        <v>1283</v>
      </c>
      <c r="L322" s="204">
        <v>0.12</v>
      </c>
      <c r="M322" s="112">
        <v>57.885000000000005</v>
      </c>
      <c r="N322" s="112">
        <v>6.9462000000000002</v>
      </c>
      <c r="O322" s="204"/>
      <c r="P322" s="112"/>
      <c r="Q322" s="112"/>
      <c r="R322" s="112"/>
      <c r="S322" s="112"/>
      <c r="T322" s="112"/>
      <c r="U322" t="s">
        <v>4021</v>
      </c>
      <c r="V322" t="s">
        <v>4871</v>
      </c>
      <c r="W322" t="s">
        <v>3958</v>
      </c>
      <c r="X322" t="s">
        <v>4660</v>
      </c>
    </row>
    <row r="323" spans="1:24" x14ac:dyDescent="0.2">
      <c r="A323" t="s">
        <v>4870</v>
      </c>
      <c r="B323" t="s">
        <v>215</v>
      </c>
      <c r="C323" t="s">
        <v>1400</v>
      </c>
      <c r="D323" t="s">
        <v>56</v>
      </c>
      <c r="E323" t="s">
        <v>216</v>
      </c>
      <c r="F323" t="s">
        <v>26</v>
      </c>
      <c r="G323" s="202">
        <v>2614.143</v>
      </c>
      <c r="H323">
        <v>4</v>
      </c>
      <c r="I323" t="s">
        <v>4017</v>
      </c>
      <c r="J323" t="s">
        <v>4720</v>
      </c>
      <c r="K323" t="s">
        <v>1283</v>
      </c>
      <c r="L323" s="204">
        <v>0.06</v>
      </c>
      <c r="M323" s="112">
        <v>57.885000000000005</v>
      </c>
      <c r="N323" s="112">
        <v>3.4731000000000001</v>
      </c>
      <c r="O323" s="204"/>
      <c r="P323" s="112"/>
      <c r="Q323" s="112"/>
      <c r="R323" s="112"/>
      <c r="S323" s="112"/>
      <c r="T323" s="112"/>
      <c r="U323" t="s">
        <v>4021</v>
      </c>
      <c r="V323" t="s">
        <v>4871</v>
      </c>
      <c r="W323" t="s">
        <v>3958</v>
      </c>
      <c r="X323" t="s">
        <v>4660</v>
      </c>
    </row>
    <row r="324" spans="1:24" x14ac:dyDescent="0.2">
      <c r="A324" t="s">
        <v>4870</v>
      </c>
      <c r="B324" t="s">
        <v>215</v>
      </c>
      <c r="C324" t="s">
        <v>1400</v>
      </c>
      <c r="D324" t="s">
        <v>56</v>
      </c>
      <c r="E324" t="s">
        <v>216</v>
      </c>
      <c r="F324" t="s">
        <v>26</v>
      </c>
      <c r="G324" s="202">
        <v>2614.143</v>
      </c>
      <c r="H324">
        <v>5</v>
      </c>
      <c r="I324" t="s">
        <v>3968</v>
      </c>
      <c r="J324" t="s">
        <v>3969</v>
      </c>
      <c r="K324" t="s">
        <v>26</v>
      </c>
      <c r="L324" s="204">
        <v>1</v>
      </c>
      <c r="M324" s="112"/>
      <c r="N324" s="112">
        <v>57.885000000000005</v>
      </c>
      <c r="O324" s="204">
        <v>0.22220781335498607</v>
      </c>
      <c r="P324" s="112">
        <v>12.86249927605337</v>
      </c>
      <c r="Q324" s="112">
        <v>70.747499276053375</v>
      </c>
      <c r="R324" s="112">
        <v>184944.08</v>
      </c>
      <c r="S324" s="112">
        <v>184944.08</v>
      </c>
      <c r="T324" s="112">
        <v>0</v>
      </c>
      <c r="U324" t="s">
        <v>4021</v>
      </c>
      <c r="V324" t="s">
        <v>4871</v>
      </c>
      <c r="W324" t="s">
        <v>4666</v>
      </c>
      <c r="X324" t="s">
        <v>4667</v>
      </c>
    </row>
    <row r="325" spans="1:24" x14ac:dyDescent="0.2">
      <c r="A325" t="s">
        <v>4872</v>
      </c>
      <c r="B325" t="s">
        <v>217</v>
      </c>
      <c r="C325" t="s">
        <v>1401</v>
      </c>
      <c r="D325" t="s">
        <v>56</v>
      </c>
      <c r="E325" t="s">
        <v>218</v>
      </c>
      <c r="F325" t="s">
        <v>118</v>
      </c>
      <c r="G325" s="202">
        <v>5400.143</v>
      </c>
      <c r="H325">
        <v>1</v>
      </c>
      <c r="I325" t="s">
        <v>3954</v>
      </c>
      <c r="J325" t="s">
        <v>4715</v>
      </c>
      <c r="K325" t="s">
        <v>1283</v>
      </c>
      <c r="L325" s="204">
        <v>0.42</v>
      </c>
      <c r="M325" s="112">
        <v>15.899999999999999</v>
      </c>
      <c r="N325" s="112">
        <v>6.677999999999999</v>
      </c>
      <c r="O325" s="204"/>
      <c r="P325" s="112"/>
      <c r="Q325" s="112"/>
      <c r="R325" s="112"/>
      <c r="S325" s="112"/>
      <c r="T325" s="112"/>
      <c r="U325" t="s">
        <v>4076</v>
      </c>
      <c r="V325" t="s">
        <v>4873</v>
      </c>
      <c r="W325" t="s">
        <v>3958</v>
      </c>
      <c r="X325" t="s">
        <v>4660</v>
      </c>
    </row>
    <row r="326" spans="1:24" x14ac:dyDescent="0.2">
      <c r="A326" t="s">
        <v>4872</v>
      </c>
      <c r="B326" t="s">
        <v>217</v>
      </c>
      <c r="C326" t="s">
        <v>1401</v>
      </c>
      <c r="D326" t="s">
        <v>56</v>
      </c>
      <c r="E326" t="s">
        <v>218</v>
      </c>
      <c r="F326" t="s">
        <v>118</v>
      </c>
      <c r="G326" s="202">
        <v>5400.143</v>
      </c>
      <c r="H326">
        <v>2</v>
      </c>
      <c r="I326" t="s">
        <v>3960</v>
      </c>
      <c r="J326" t="s">
        <v>4718</v>
      </c>
      <c r="K326" t="s">
        <v>1283</v>
      </c>
      <c r="L326" s="204">
        <v>0.4</v>
      </c>
      <c r="M326" s="112">
        <v>15.899999999999999</v>
      </c>
      <c r="N326" s="112">
        <v>6.3599999999999994</v>
      </c>
      <c r="O326" s="204"/>
      <c r="P326" s="112"/>
      <c r="Q326" s="112"/>
      <c r="R326" s="112"/>
      <c r="S326" s="112"/>
      <c r="T326" s="112"/>
      <c r="U326" t="s">
        <v>4076</v>
      </c>
      <c r="V326" t="s">
        <v>4873</v>
      </c>
      <c r="W326" t="s">
        <v>3958</v>
      </c>
      <c r="X326" t="s">
        <v>4660</v>
      </c>
    </row>
    <row r="327" spans="1:24" x14ac:dyDescent="0.2">
      <c r="A327" t="s">
        <v>4872</v>
      </c>
      <c r="B327" t="s">
        <v>217</v>
      </c>
      <c r="C327" t="s">
        <v>1401</v>
      </c>
      <c r="D327" t="s">
        <v>56</v>
      </c>
      <c r="E327" t="s">
        <v>218</v>
      </c>
      <c r="F327" t="s">
        <v>118</v>
      </c>
      <c r="G327" s="202">
        <v>5400.143</v>
      </c>
      <c r="H327">
        <v>3</v>
      </c>
      <c r="I327" t="s">
        <v>3976</v>
      </c>
      <c r="J327" t="s">
        <v>4719</v>
      </c>
      <c r="K327" t="s">
        <v>1283</v>
      </c>
      <c r="L327" s="204">
        <v>0.12</v>
      </c>
      <c r="M327" s="112">
        <v>15.899999999999999</v>
      </c>
      <c r="N327" s="112">
        <v>1.9079999999999997</v>
      </c>
      <c r="O327" s="204"/>
      <c r="P327" s="112"/>
      <c r="Q327" s="112"/>
      <c r="R327" s="112"/>
      <c r="S327" s="112"/>
      <c r="T327" s="112"/>
      <c r="U327" t="s">
        <v>4076</v>
      </c>
      <c r="V327" t="s">
        <v>4873</v>
      </c>
      <c r="W327" t="s">
        <v>3958</v>
      </c>
      <c r="X327" t="s">
        <v>4660</v>
      </c>
    </row>
    <row r="328" spans="1:24" x14ac:dyDescent="0.2">
      <c r="A328" t="s">
        <v>4872</v>
      </c>
      <c r="B328" t="s">
        <v>217</v>
      </c>
      <c r="C328" t="s">
        <v>1401</v>
      </c>
      <c r="D328" t="s">
        <v>56</v>
      </c>
      <c r="E328" t="s">
        <v>218</v>
      </c>
      <c r="F328" t="s">
        <v>118</v>
      </c>
      <c r="G328" s="202">
        <v>5400.143</v>
      </c>
      <c r="H328">
        <v>4</v>
      </c>
      <c r="I328" t="s">
        <v>4017</v>
      </c>
      <c r="J328" t="s">
        <v>4720</v>
      </c>
      <c r="K328" t="s">
        <v>1283</v>
      </c>
      <c r="L328" s="204">
        <v>0.06</v>
      </c>
      <c r="M328" s="112">
        <v>15.899999999999999</v>
      </c>
      <c r="N328" s="112">
        <v>0.95399999999999985</v>
      </c>
      <c r="O328" s="204"/>
      <c r="P328" s="112"/>
      <c r="Q328" s="112"/>
      <c r="R328" s="112"/>
      <c r="S328" s="112"/>
      <c r="T328" s="112"/>
      <c r="U328" t="s">
        <v>4076</v>
      </c>
      <c r="V328" t="s">
        <v>4873</v>
      </c>
      <c r="W328" t="s">
        <v>3958</v>
      </c>
      <c r="X328" t="s">
        <v>4660</v>
      </c>
    </row>
    <row r="329" spans="1:24" x14ac:dyDescent="0.2">
      <c r="A329" t="s">
        <v>4872</v>
      </c>
      <c r="B329" t="s">
        <v>217</v>
      </c>
      <c r="C329" t="s">
        <v>1401</v>
      </c>
      <c r="D329" t="s">
        <v>56</v>
      </c>
      <c r="E329" t="s">
        <v>218</v>
      </c>
      <c r="F329" t="s">
        <v>118</v>
      </c>
      <c r="G329" s="202">
        <v>5400.143</v>
      </c>
      <c r="H329">
        <v>5</v>
      </c>
      <c r="I329" t="s">
        <v>3968</v>
      </c>
      <c r="J329" t="s">
        <v>3969</v>
      </c>
      <c r="K329" t="s">
        <v>118</v>
      </c>
      <c r="L329" s="204">
        <v>1</v>
      </c>
      <c r="M329" s="112"/>
      <c r="N329" s="112">
        <v>15.899999999999999</v>
      </c>
      <c r="O329" s="204">
        <v>0.222169708277828</v>
      </c>
      <c r="P329" s="112">
        <v>3.5324983616174634</v>
      </c>
      <c r="Q329" s="112">
        <v>19.432498361617462</v>
      </c>
      <c r="R329" s="112">
        <v>104938.27</v>
      </c>
      <c r="S329" s="112">
        <v>104938.27</v>
      </c>
      <c r="T329" s="112">
        <v>0</v>
      </c>
      <c r="U329" t="s">
        <v>4076</v>
      </c>
      <c r="V329" t="s">
        <v>4873</v>
      </c>
      <c r="W329" t="s">
        <v>4666</v>
      </c>
      <c r="X329" t="s">
        <v>4667</v>
      </c>
    </row>
    <row r="330" spans="1:24" x14ac:dyDescent="0.2">
      <c r="A330" t="s">
        <v>4874</v>
      </c>
      <c r="B330" t="s">
        <v>219</v>
      </c>
      <c r="C330" t="s">
        <v>1395</v>
      </c>
      <c r="D330" t="s">
        <v>56</v>
      </c>
      <c r="E330" t="s">
        <v>200</v>
      </c>
      <c r="F330" t="s">
        <v>180</v>
      </c>
      <c r="G330" s="202">
        <v>1954.125</v>
      </c>
      <c r="H330">
        <v>1</v>
      </c>
      <c r="I330" t="s">
        <v>3954</v>
      </c>
      <c r="J330" t="s">
        <v>4804</v>
      </c>
      <c r="K330" t="s">
        <v>1283</v>
      </c>
      <c r="L330" s="204">
        <v>0.28000000000000003</v>
      </c>
      <c r="M330" s="112">
        <v>11.925000000000001</v>
      </c>
      <c r="N330" s="112">
        <v>3.3390000000000004</v>
      </c>
      <c r="O330" s="204"/>
      <c r="P330" s="112"/>
      <c r="Q330" s="112"/>
      <c r="R330" s="112"/>
      <c r="S330" s="112"/>
      <c r="T330" s="112"/>
      <c r="U330" t="s">
        <v>4320</v>
      </c>
      <c r="V330" t="s">
        <v>4875</v>
      </c>
      <c r="W330" t="s">
        <v>3958</v>
      </c>
      <c r="X330" t="s">
        <v>4660</v>
      </c>
    </row>
    <row r="331" spans="1:24" x14ac:dyDescent="0.2">
      <c r="A331" t="s">
        <v>4874</v>
      </c>
      <c r="B331" t="s">
        <v>219</v>
      </c>
      <c r="C331" t="s">
        <v>1395</v>
      </c>
      <c r="D331" t="s">
        <v>56</v>
      </c>
      <c r="E331" t="s">
        <v>200</v>
      </c>
      <c r="F331" t="s">
        <v>180</v>
      </c>
      <c r="G331" s="202">
        <v>1954.125</v>
      </c>
      <c r="H331">
        <v>2</v>
      </c>
      <c r="I331" t="s">
        <v>3960</v>
      </c>
      <c r="J331" t="s">
        <v>4807</v>
      </c>
      <c r="K331" t="s">
        <v>1283</v>
      </c>
      <c r="L331" s="204">
        <v>0.56000000000000005</v>
      </c>
      <c r="M331" s="112">
        <v>11.925000000000001</v>
      </c>
      <c r="N331" s="112">
        <v>6.6780000000000008</v>
      </c>
      <c r="O331" s="204"/>
      <c r="P331" s="112"/>
      <c r="Q331" s="112"/>
      <c r="R331" s="112"/>
      <c r="S331" s="112"/>
      <c r="T331" s="112"/>
      <c r="U331" t="s">
        <v>4320</v>
      </c>
      <c r="V331" t="s">
        <v>4875</v>
      </c>
      <c r="W331" t="s">
        <v>3958</v>
      </c>
      <c r="X331" t="s">
        <v>4660</v>
      </c>
    </row>
    <row r="332" spans="1:24" x14ac:dyDescent="0.2">
      <c r="A332" t="s">
        <v>4874</v>
      </c>
      <c r="B332" t="s">
        <v>219</v>
      </c>
      <c r="C332" t="s">
        <v>1395</v>
      </c>
      <c r="D332" t="s">
        <v>56</v>
      </c>
      <c r="E332" t="s">
        <v>200</v>
      </c>
      <c r="F332" t="s">
        <v>180</v>
      </c>
      <c r="G332" s="202">
        <v>1954.125</v>
      </c>
      <c r="H332">
        <v>3</v>
      </c>
      <c r="I332" t="s">
        <v>3962</v>
      </c>
      <c r="J332" t="s">
        <v>4808</v>
      </c>
      <c r="K332" t="s">
        <v>1283</v>
      </c>
      <c r="L332" s="204">
        <v>0.1</v>
      </c>
      <c r="M332" s="112">
        <v>11.925000000000001</v>
      </c>
      <c r="N332" s="112">
        <v>1.1925000000000001</v>
      </c>
      <c r="O332" s="204"/>
      <c r="P332" s="112"/>
      <c r="Q332" s="112"/>
      <c r="R332" s="112"/>
      <c r="S332" s="112"/>
      <c r="T332" s="112"/>
      <c r="U332" t="s">
        <v>4320</v>
      </c>
      <c r="V332" t="s">
        <v>4875</v>
      </c>
      <c r="W332" t="s">
        <v>3958</v>
      </c>
      <c r="X332" t="s">
        <v>4660</v>
      </c>
    </row>
    <row r="333" spans="1:24" x14ac:dyDescent="0.2">
      <c r="A333" t="s">
        <v>4874</v>
      </c>
      <c r="B333" t="s">
        <v>219</v>
      </c>
      <c r="C333" t="s">
        <v>1395</v>
      </c>
      <c r="D333" t="s">
        <v>56</v>
      </c>
      <c r="E333" t="s">
        <v>200</v>
      </c>
      <c r="F333" t="s">
        <v>180</v>
      </c>
      <c r="G333" s="202">
        <v>1954.125</v>
      </c>
      <c r="H333">
        <v>4</v>
      </c>
      <c r="I333" t="s">
        <v>4017</v>
      </c>
      <c r="J333" t="s">
        <v>4809</v>
      </c>
      <c r="K333" t="s">
        <v>1283</v>
      </c>
      <c r="L333" s="204">
        <v>0.06</v>
      </c>
      <c r="M333" s="112">
        <v>11.925000000000001</v>
      </c>
      <c r="N333" s="112">
        <v>0.71550000000000002</v>
      </c>
      <c r="O333" s="204"/>
      <c r="P333" s="112"/>
      <c r="Q333" s="112"/>
      <c r="R333" s="112"/>
      <c r="S333" s="112"/>
      <c r="T333" s="112"/>
      <c r="U333" t="s">
        <v>4320</v>
      </c>
      <c r="V333" t="s">
        <v>4875</v>
      </c>
      <c r="W333" t="s">
        <v>3958</v>
      </c>
      <c r="X333" t="s">
        <v>4660</v>
      </c>
    </row>
    <row r="334" spans="1:24" x14ac:dyDescent="0.2">
      <c r="A334" t="s">
        <v>4874</v>
      </c>
      <c r="B334" t="s">
        <v>219</v>
      </c>
      <c r="C334" t="s">
        <v>1395</v>
      </c>
      <c r="D334" t="s">
        <v>56</v>
      </c>
      <c r="E334" t="s">
        <v>200</v>
      </c>
      <c r="F334" t="s">
        <v>180</v>
      </c>
      <c r="G334" s="202">
        <v>1954.125</v>
      </c>
      <c r="H334">
        <v>5</v>
      </c>
      <c r="I334" t="s">
        <v>3968</v>
      </c>
      <c r="J334" t="s">
        <v>3969</v>
      </c>
      <c r="K334" t="s">
        <v>180</v>
      </c>
      <c r="L334" s="204">
        <v>1</v>
      </c>
      <c r="M334" s="112"/>
      <c r="N334" s="112">
        <v>11.925000000000001</v>
      </c>
      <c r="O334" s="204">
        <v>0.22201229699953373</v>
      </c>
      <c r="P334" s="112">
        <v>2.6474966417194388</v>
      </c>
      <c r="Q334" s="112">
        <v>14.572496641719439</v>
      </c>
      <c r="R334" s="112">
        <v>28476.48</v>
      </c>
      <c r="S334" s="112">
        <v>28476.48</v>
      </c>
      <c r="T334" s="112">
        <v>0</v>
      </c>
      <c r="U334" t="s">
        <v>4320</v>
      </c>
      <c r="V334" t="s">
        <v>4875</v>
      </c>
      <c r="W334" t="s">
        <v>4666</v>
      </c>
      <c r="X334" t="s">
        <v>4667</v>
      </c>
    </row>
    <row r="335" spans="1:24" x14ac:dyDescent="0.2">
      <c r="A335" t="s">
        <v>4876</v>
      </c>
      <c r="B335" t="s">
        <v>221</v>
      </c>
      <c r="C335" t="s">
        <v>1396</v>
      </c>
      <c r="D335" t="s">
        <v>56</v>
      </c>
      <c r="E335" t="s">
        <v>202</v>
      </c>
      <c r="F335" t="s">
        <v>180</v>
      </c>
      <c r="G335" s="202">
        <v>525.41700000000003</v>
      </c>
      <c r="H335">
        <v>1</v>
      </c>
      <c r="I335" t="s">
        <v>3954</v>
      </c>
      <c r="J335" t="s">
        <v>4804</v>
      </c>
      <c r="K335" t="s">
        <v>1283</v>
      </c>
      <c r="L335" s="204">
        <v>0.28000000000000003</v>
      </c>
      <c r="M335" s="112">
        <v>10.672499999999999</v>
      </c>
      <c r="N335" s="112">
        <v>2.9883000000000002</v>
      </c>
      <c r="O335" s="204"/>
      <c r="P335" s="112"/>
      <c r="Q335" s="112"/>
      <c r="R335" s="112"/>
      <c r="S335" s="112"/>
      <c r="T335" s="112"/>
      <c r="U335" t="s">
        <v>4860</v>
      </c>
      <c r="V335" t="s">
        <v>4877</v>
      </c>
      <c r="W335" t="s">
        <v>3958</v>
      </c>
      <c r="X335" t="s">
        <v>4660</v>
      </c>
    </row>
    <row r="336" spans="1:24" x14ac:dyDescent="0.2">
      <c r="A336" t="s">
        <v>4876</v>
      </c>
      <c r="B336" t="s">
        <v>221</v>
      </c>
      <c r="C336" t="s">
        <v>1396</v>
      </c>
      <c r="D336" t="s">
        <v>56</v>
      </c>
      <c r="E336" t="s">
        <v>202</v>
      </c>
      <c r="F336" t="s">
        <v>180</v>
      </c>
      <c r="G336" s="202">
        <v>525.41700000000003</v>
      </c>
      <c r="H336">
        <v>2</v>
      </c>
      <c r="I336" t="s">
        <v>3960</v>
      </c>
      <c r="J336" t="s">
        <v>4807</v>
      </c>
      <c r="K336" t="s">
        <v>1283</v>
      </c>
      <c r="L336" s="204">
        <v>0.56000000000000005</v>
      </c>
      <c r="M336" s="112">
        <v>10.672499999999999</v>
      </c>
      <c r="N336" s="112">
        <v>5.9766000000000004</v>
      </c>
      <c r="O336" s="204"/>
      <c r="P336" s="112"/>
      <c r="Q336" s="112"/>
      <c r="R336" s="112"/>
      <c r="S336" s="112"/>
      <c r="T336" s="112"/>
      <c r="U336" t="s">
        <v>4860</v>
      </c>
      <c r="V336" t="s">
        <v>4877</v>
      </c>
      <c r="W336" t="s">
        <v>3958</v>
      </c>
      <c r="X336" t="s">
        <v>4660</v>
      </c>
    </row>
    <row r="337" spans="1:24" x14ac:dyDescent="0.2">
      <c r="A337" t="s">
        <v>4876</v>
      </c>
      <c r="B337" t="s">
        <v>221</v>
      </c>
      <c r="C337" t="s">
        <v>1396</v>
      </c>
      <c r="D337" t="s">
        <v>56</v>
      </c>
      <c r="E337" t="s">
        <v>202</v>
      </c>
      <c r="F337" t="s">
        <v>180</v>
      </c>
      <c r="G337" s="202">
        <v>525.41700000000003</v>
      </c>
      <c r="H337">
        <v>3</v>
      </c>
      <c r="I337" t="s">
        <v>3962</v>
      </c>
      <c r="J337" t="s">
        <v>4808</v>
      </c>
      <c r="K337" t="s">
        <v>1283</v>
      </c>
      <c r="L337" s="204">
        <v>0.1</v>
      </c>
      <c r="M337" s="112">
        <v>10.672499999999999</v>
      </c>
      <c r="N337" s="112">
        <v>1.06725</v>
      </c>
      <c r="O337" s="204"/>
      <c r="P337" s="112"/>
      <c r="Q337" s="112"/>
      <c r="R337" s="112"/>
      <c r="S337" s="112"/>
      <c r="T337" s="112"/>
      <c r="U337" t="s">
        <v>4860</v>
      </c>
      <c r="V337" t="s">
        <v>4877</v>
      </c>
      <c r="W337" t="s">
        <v>3958</v>
      </c>
      <c r="X337" t="s">
        <v>4660</v>
      </c>
    </row>
    <row r="338" spans="1:24" x14ac:dyDescent="0.2">
      <c r="A338" t="s">
        <v>4876</v>
      </c>
      <c r="B338" t="s">
        <v>221</v>
      </c>
      <c r="C338" t="s">
        <v>1396</v>
      </c>
      <c r="D338" t="s">
        <v>56</v>
      </c>
      <c r="E338" t="s">
        <v>202</v>
      </c>
      <c r="F338" t="s">
        <v>180</v>
      </c>
      <c r="G338" s="202">
        <v>525.41700000000003</v>
      </c>
      <c r="H338">
        <v>4</v>
      </c>
      <c r="I338" t="s">
        <v>4017</v>
      </c>
      <c r="J338" t="s">
        <v>4809</v>
      </c>
      <c r="K338" t="s">
        <v>1283</v>
      </c>
      <c r="L338" s="204">
        <v>0.06</v>
      </c>
      <c r="M338" s="112">
        <v>10.672499999999999</v>
      </c>
      <c r="N338" s="112">
        <v>0.64034999999999997</v>
      </c>
      <c r="O338" s="204"/>
      <c r="P338" s="112"/>
      <c r="Q338" s="112"/>
      <c r="R338" s="112"/>
      <c r="S338" s="112"/>
      <c r="T338" s="112"/>
      <c r="U338" t="s">
        <v>4860</v>
      </c>
      <c r="V338" t="s">
        <v>4877</v>
      </c>
      <c r="W338" t="s">
        <v>3958</v>
      </c>
      <c r="X338" t="s">
        <v>4660</v>
      </c>
    </row>
    <row r="339" spans="1:24" x14ac:dyDescent="0.2">
      <c r="A339" t="s">
        <v>4876</v>
      </c>
      <c r="B339" t="s">
        <v>221</v>
      </c>
      <c r="C339" t="s">
        <v>1396</v>
      </c>
      <c r="D339" t="s">
        <v>56</v>
      </c>
      <c r="E339" t="s">
        <v>202</v>
      </c>
      <c r="F339" t="s">
        <v>180</v>
      </c>
      <c r="G339" s="202">
        <v>525.41700000000003</v>
      </c>
      <c r="H339">
        <v>5</v>
      </c>
      <c r="I339" t="s">
        <v>3968</v>
      </c>
      <c r="J339" t="s">
        <v>3969</v>
      </c>
      <c r="K339" t="s">
        <v>180</v>
      </c>
      <c r="L339" s="204">
        <v>1</v>
      </c>
      <c r="M339" s="112"/>
      <c r="N339" s="112">
        <v>10.672499999999999</v>
      </c>
      <c r="O339" s="204">
        <v>0.22206583961364768</v>
      </c>
      <c r="P339" s="112">
        <v>2.3699976732766537</v>
      </c>
      <c r="Q339" s="112">
        <v>13.042497673276653</v>
      </c>
      <c r="R339" s="112">
        <v>6852.75</v>
      </c>
      <c r="S339" s="112">
        <v>6852.75</v>
      </c>
      <c r="T339" s="112">
        <v>0</v>
      </c>
      <c r="U339" t="s">
        <v>4860</v>
      </c>
      <c r="V339" t="s">
        <v>4877</v>
      </c>
      <c r="W339" t="s">
        <v>4666</v>
      </c>
      <c r="X339" t="s">
        <v>4667</v>
      </c>
    </row>
    <row r="340" spans="1:24" x14ac:dyDescent="0.2">
      <c r="A340" t="s">
        <v>4878</v>
      </c>
      <c r="B340" t="s">
        <v>223</v>
      </c>
      <c r="C340" t="s">
        <v>1402</v>
      </c>
      <c r="D340" t="s">
        <v>56</v>
      </c>
      <c r="E340" t="s">
        <v>1403</v>
      </c>
      <c r="F340" t="s">
        <v>180</v>
      </c>
      <c r="G340" s="202">
        <v>895.10400000000004</v>
      </c>
      <c r="H340">
        <v>1</v>
      </c>
      <c r="I340" t="s">
        <v>3954</v>
      </c>
      <c r="J340" t="s">
        <v>4804</v>
      </c>
      <c r="K340" t="s">
        <v>1283</v>
      </c>
      <c r="L340" s="204">
        <v>0.28000000000000003</v>
      </c>
      <c r="M340" s="112">
        <v>9.6225000000000005</v>
      </c>
      <c r="N340" s="112">
        <v>2.6943000000000006</v>
      </c>
      <c r="O340" s="204"/>
      <c r="P340" s="112"/>
      <c r="Q340" s="112"/>
      <c r="R340" s="112"/>
      <c r="S340" s="112"/>
      <c r="T340" s="112"/>
      <c r="U340" t="s">
        <v>4879</v>
      </c>
      <c r="V340" t="s">
        <v>4880</v>
      </c>
      <c r="W340" t="s">
        <v>3958</v>
      </c>
      <c r="X340" t="s">
        <v>4660</v>
      </c>
    </row>
    <row r="341" spans="1:24" x14ac:dyDescent="0.2">
      <c r="A341" t="s">
        <v>4878</v>
      </c>
      <c r="B341" t="s">
        <v>223</v>
      </c>
      <c r="C341" t="s">
        <v>1402</v>
      </c>
      <c r="D341" t="s">
        <v>56</v>
      </c>
      <c r="E341" t="s">
        <v>1403</v>
      </c>
      <c r="F341" t="s">
        <v>180</v>
      </c>
      <c r="G341" s="202">
        <v>895.10400000000004</v>
      </c>
      <c r="H341">
        <v>2</v>
      </c>
      <c r="I341" t="s">
        <v>3960</v>
      </c>
      <c r="J341" t="s">
        <v>4807</v>
      </c>
      <c r="K341" t="s">
        <v>1283</v>
      </c>
      <c r="L341" s="204">
        <v>0.56000000000000005</v>
      </c>
      <c r="M341" s="112">
        <v>9.6225000000000005</v>
      </c>
      <c r="N341" s="112">
        <v>5.3886000000000012</v>
      </c>
      <c r="O341" s="204"/>
      <c r="P341" s="112"/>
      <c r="Q341" s="112"/>
      <c r="R341" s="112"/>
      <c r="S341" s="112"/>
      <c r="T341" s="112"/>
      <c r="U341" t="s">
        <v>4879</v>
      </c>
      <c r="V341" t="s">
        <v>4880</v>
      </c>
      <c r="W341" t="s">
        <v>3958</v>
      </c>
      <c r="X341" t="s">
        <v>4660</v>
      </c>
    </row>
    <row r="342" spans="1:24" x14ac:dyDescent="0.2">
      <c r="A342" t="s">
        <v>4878</v>
      </c>
      <c r="B342" t="s">
        <v>223</v>
      </c>
      <c r="C342" t="s">
        <v>1402</v>
      </c>
      <c r="D342" t="s">
        <v>56</v>
      </c>
      <c r="E342" t="s">
        <v>1403</v>
      </c>
      <c r="F342" t="s">
        <v>180</v>
      </c>
      <c r="G342" s="202">
        <v>895.10400000000004</v>
      </c>
      <c r="H342">
        <v>3</v>
      </c>
      <c r="I342" t="s">
        <v>3962</v>
      </c>
      <c r="J342" t="s">
        <v>4808</v>
      </c>
      <c r="K342" t="s">
        <v>1283</v>
      </c>
      <c r="L342" s="204">
        <v>0.1</v>
      </c>
      <c r="M342" s="112">
        <v>9.6225000000000005</v>
      </c>
      <c r="N342" s="112">
        <v>0.96225000000000005</v>
      </c>
      <c r="O342" s="204"/>
      <c r="P342" s="112"/>
      <c r="Q342" s="112"/>
      <c r="R342" s="112"/>
      <c r="S342" s="112"/>
      <c r="T342" s="112"/>
      <c r="U342" t="s">
        <v>4879</v>
      </c>
      <c r="V342" t="s">
        <v>4880</v>
      </c>
      <c r="W342" t="s">
        <v>3958</v>
      </c>
      <c r="X342" t="s">
        <v>4660</v>
      </c>
    </row>
    <row r="343" spans="1:24" x14ac:dyDescent="0.2">
      <c r="A343" t="s">
        <v>4878</v>
      </c>
      <c r="B343" t="s">
        <v>223</v>
      </c>
      <c r="C343" t="s">
        <v>1402</v>
      </c>
      <c r="D343" t="s">
        <v>56</v>
      </c>
      <c r="E343" t="s">
        <v>1403</v>
      </c>
      <c r="F343" t="s">
        <v>180</v>
      </c>
      <c r="G343" s="202">
        <v>895.10400000000004</v>
      </c>
      <c r="H343">
        <v>4</v>
      </c>
      <c r="I343" t="s">
        <v>4017</v>
      </c>
      <c r="J343" t="s">
        <v>4809</v>
      </c>
      <c r="K343" t="s">
        <v>1283</v>
      </c>
      <c r="L343" s="204">
        <v>0.06</v>
      </c>
      <c r="M343" s="112">
        <v>9.6225000000000005</v>
      </c>
      <c r="N343" s="112">
        <v>0.57735000000000003</v>
      </c>
      <c r="O343" s="204"/>
      <c r="P343" s="112"/>
      <c r="Q343" s="112"/>
      <c r="R343" s="112"/>
      <c r="S343" s="112"/>
      <c r="T343" s="112"/>
      <c r="U343" t="s">
        <v>4879</v>
      </c>
      <c r="V343" t="s">
        <v>4880</v>
      </c>
      <c r="W343" t="s">
        <v>3958</v>
      </c>
      <c r="X343" t="s">
        <v>4660</v>
      </c>
    </row>
    <row r="344" spans="1:24" x14ac:dyDescent="0.2">
      <c r="A344" t="s">
        <v>4878</v>
      </c>
      <c r="B344" t="s">
        <v>223</v>
      </c>
      <c r="C344" t="s">
        <v>1402</v>
      </c>
      <c r="D344" t="s">
        <v>56</v>
      </c>
      <c r="E344" t="s">
        <v>1403</v>
      </c>
      <c r="F344" t="s">
        <v>180</v>
      </c>
      <c r="G344" s="202">
        <v>895.10400000000004</v>
      </c>
      <c r="H344">
        <v>5</v>
      </c>
      <c r="I344" t="s">
        <v>3968</v>
      </c>
      <c r="J344" t="s">
        <v>3969</v>
      </c>
      <c r="K344" t="s">
        <v>180</v>
      </c>
      <c r="L344" s="204">
        <v>1</v>
      </c>
      <c r="M344" s="112"/>
      <c r="N344" s="112">
        <v>9.6225000000000005</v>
      </c>
      <c r="O344" s="204">
        <v>0.22213526669229444</v>
      </c>
      <c r="P344" s="112">
        <v>2.1374966037466034</v>
      </c>
      <c r="Q344" s="112">
        <v>11.759996603746604</v>
      </c>
      <c r="R344" s="112">
        <v>10526.42</v>
      </c>
      <c r="S344" s="112">
        <v>10526.42</v>
      </c>
      <c r="T344" s="112">
        <v>0</v>
      </c>
      <c r="U344" t="s">
        <v>4879</v>
      </c>
      <c r="V344" t="s">
        <v>4880</v>
      </c>
      <c r="W344" t="s">
        <v>4666</v>
      </c>
      <c r="X344" t="s">
        <v>4667</v>
      </c>
    </row>
    <row r="345" spans="1:24" x14ac:dyDescent="0.2">
      <c r="A345" t="s">
        <v>4881</v>
      </c>
      <c r="B345" t="s">
        <v>225</v>
      </c>
      <c r="C345" t="s">
        <v>1397</v>
      </c>
      <c r="D345" t="s">
        <v>56</v>
      </c>
      <c r="E345" t="s">
        <v>204</v>
      </c>
      <c r="F345" t="s">
        <v>180</v>
      </c>
      <c r="G345" s="202">
        <v>3357.0189999999998</v>
      </c>
      <c r="H345">
        <v>1</v>
      </c>
      <c r="I345" t="s">
        <v>3954</v>
      </c>
      <c r="J345" t="s">
        <v>4804</v>
      </c>
      <c r="K345" t="s">
        <v>1283</v>
      </c>
      <c r="L345" s="204">
        <v>0.28000000000000003</v>
      </c>
      <c r="M345" s="112">
        <v>8.3925000000000001</v>
      </c>
      <c r="N345" s="112">
        <v>2.3499000000000003</v>
      </c>
      <c r="O345" s="204"/>
      <c r="P345" s="112"/>
      <c r="Q345" s="112"/>
      <c r="R345" s="112"/>
      <c r="S345" s="112"/>
      <c r="T345" s="112"/>
      <c r="U345" t="s">
        <v>4288</v>
      </c>
      <c r="V345" t="s">
        <v>4882</v>
      </c>
      <c r="W345" t="s">
        <v>3958</v>
      </c>
      <c r="X345" t="s">
        <v>4660</v>
      </c>
    </row>
    <row r="346" spans="1:24" x14ac:dyDescent="0.2">
      <c r="A346" t="s">
        <v>4881</v>
      </c>
      <c r="B346" t="s">
        <v>225</v>
      </c>
      <c r="C346" t="s">
        <v>1397</v>
      </c>
      <c r="D346" t="s">
        <v>56</v>
      </c>
      <c r="E346" t="s">
        <v>204</v>
      </c>
      <c r="F346" t="s">
        <v>180</v>
      </c>
      <c r="G346" s="202">
        <v>3357.0189999999998</v>
      </c>
      <c r="H346">
        <v>2</v>
      </c>
      <c r="I346" t="s">
        <v>3960</v>
      </c>
      <c r="J346" t="s">
        <v>4807</v>
      </c>
      <c r="K346" t="s">
        <v>1283</v>
      </c>
      <c r="L346" s="204">
        <v>0.56000000000000005</v>
      </c>
      <c r="M346" s="112">
        <v>8.3925000000000001</v>
      </c>
      <c r="N346" s="112">
        <v>4.6998000000000006</v>
      </c>
      <c r="O346" s="204"/>
      <c r="P346" s="112"/>
      <c r="Q346" s="112"/>
      <c r="R346" s="112"/>
      <c r="S346" s="112"/>
      <c r="T346" s="112"/>
      <c r="U346" t="s">
        <v>4288</v>
      </c>
      <c r="V346" t="s">
        <v>4882</v>
      </c>
      <c r="W346" t="s">
        <v>3958</v>
      </c>
      <c r="X346" t="s">
        <v>4660</v>
      </c>
    </row>
    <row r="347" spans="1:24" x14ac:dyDescent="0.2">
      <c r="A347" t="s">
        <v>4881</v>
      </c>
      <c r="B347" t="s">
        <v>225</v>
      </c>
      <c r="C347" t="s">
        <v>1397</v>
      </c>
      <c r="D347" t="s">
        <v>56</v>
      </c>
      <c r="E347" t="s">
        <v>204</v>
      </c>
      <c r="F347" t="s">
        <v>180</v>
      </c>
      <c r="G347" s="202">
        <v>3357.0189999999998</v>
      </c>
      <c r="H347">
        <v>3</v>
      </c>
      <c r="I347" t="s">
        <v>3962</v>
      </c>
      <c r="J347" t="s">
        <v>4808</v>
      </c>
      <c r="K347" t="s">
        <v>1283</v>
      </c>
      <c r="L347" s="204">
        <v>0.1</v>
      </c>
      <c r="M347" s="112">
        <v>8.3925000000000001</v>
      </c>
      <c r="N347" s="112">
        <v>0.83925000000000005</v>
      </c>
      <c r="O347" s="204"/>
      <c r="P347" s="112"/>
      <c r="Q347" s="112"/>
      <c r="R347" s="112"/>
      <c r="S347" s="112"/>
      <c r="T347" s="112"/>
      <c r="U347" t="s">
        <v>4288</v>
      </c>
      <c r="V347" t="s">
        <v>4882</v>
      </c>
      <c r="W347" t="s">
        <v>3958</v>
      </c>
      <c r="X347" t="s">
        <v>4660</v>
      </c>
    </row>
    <row r="348" spans="1:24" x14ac:dyDescent="0.2">
      <c r="A348" t="s">
        <v>4881</v>
      </c>
      <c r="B348" t="s">
        <v>225</v>
      </c>
      <c r="C348" t="s">
        <v>1397</v>
      </c>
      <c r="D348" t="s">
        <v>56</v>
      </c>
      <c r="E348" t="s">
        <v>204</v>
      </c>
      <c r="F348" t="s">
        <v>180</v>
      </c>
      <c r="G348" s="202">
        <v>3357.0189999999998</v>
      </c>
      <c r="H348">
        <v>4</v>
      </c>
      <c r="I348" t="s">
        <v>4017</v>
      </c>
      <c r="J348" t="s">
        <v>4809</v>
      </c>
      <c r="K348" t="s">
        <v>1283</v>
      </c>
      <c r="L348" s="204">
        <v>0.06</v>
      </c>
      <c r="M348" s="112">
        <v>8.3925000000000001</v>
      </c>
      <c r="N348" s="112">
        <v>0.50354999999999994</v>
      </c>
      <c r="O348" s="204"/>
      <c r="P348" s="112"/>
      <c r="Q348" s="112"/>
      <c r="R348" s="112"/>
      <c r="S348" s="112"/>
      <c r="T348" s="112"/>
      <c r="U348" t="s">
        <v>4288</v>
      </c>
      <c r="V348" t="s">
        <v>4882</v>
      </c>
      <c r="W348" t="s">
        <v>3958</v>
      </c>
      <c r="X348" t="s">
        <v>4660</v>
      </c>
    </row>
    <row r="349" spans="1:24" x14ac:dyDescent="0.2">
      <c r="A349" t="s">
        <v>4881</v>
      </c>
      <c r="B349" t="s">
        <v>225</v>
      </c>
      <c r="C349" t="s">
        <v>1397</v>
      </c>
      <c r="D349" t="s">
        <v>56</v>
      </c>
      <c r="E349" t="s">
        <v>204</v>
      </c>
      <c r="F349" t="s">
        <v>180</v>
      </c>
      <c r="G349" s="202">
        <v>3357.0189999999998</v>
      </c>
      <c r="H349">
        <v>5</v>
      </c>
      <c r="I349" t="s">
        <v>3968</v>
      </c>
      <c r="J349" t="s">
        <v>3969</v>
      </c>
      <c r="K349" t="s">
        <v>180</v>
      </c>
      <c r="L349" s="204">
        <v>1</v>
      </c>
      <c r="M349" s="112"/>
      <c r="N349" s="112">
        <v>8.3925000000000001</v>
      </c>
      <c r="O349" s="204">
        <v>0.22162619317204602</v>
      </c>
      <c r="P349" s="112">
        <v>1.8599978261963965</v>
      </c>
      <c r="Q349" s="112">
        <v>10.252497826196397</v>
      </c>
      <c r="R349" s="112">
        <v>34417.83</v>
      </c>
      <c r="S349" s="112">
        <v>34417.83</v>
      </c>
      <c r="T349" s="112">
        <v>0</v>
      </c>
      <c r="U349" t="s">
        <v>4288</v>
      </c>
      <c r="V349" t="s">
        <v>4882</v>
      </c>
      <c r="W349" t="s">
        <v>4666</v>
      </c>
      <c r="X349" t="s">
        <v>4667</v>
      </c>
    </row>
    <row r="350" spans="1:24" x14ac:dyDescent="0.2">
      <c r="A350" t="s">
        <v>4883</v>
      </c>
      <c r="B350" t="s">
        <v>227</v>
      </c>
      <c r="C350" t="s">
        <v>1398</v>
      </c>
      <c r="D350" t="s">
        <v>56</v>
      </c>
      <c r="E350" t="s">
        <v>206</v>
      </c>
      <c r="F350" t="s">
        <v>180</v>
      </c>
      <c r="G350" s="202">
        <v>1619.701</v>
      </c>
      <c r="H350">
        <v>1</v>
      </c>
      <c r="I350" t="s">
        <v>3954</v>
      </c>
      <c r="J350" t="s">
        <v>4804</v>
      </c>
      <c r="K350" t="s">
        <v>1283</v>
      </c>
      <c r="L350" s="204">
        <v>0.28000000000000003</v>
      </c>
      <c r="M350" s="112">
        <v>6.9375</v>
      </c>
      <c r="N350" s="112">
        <v>1.9425000000000001</v>
      </c>
      <c r="O350" s="204"/>
      <c r="P350" s="112"/>
      <c r="Q350" s="112"/>
      <c r="R350" s="112"/>
      <c r="S350" s="112"/>
      <c r="T350" s="112"/>
      <c r="U350" t="s">
        <v>4865</v>
      </c>
      <c r="V350" t="s">
        <v>4884</v>
      </c>
      <c r="W350" t="s">
        <v>3958</v>
      </c>
      <c r="X350" t="s">
        <v>4660</v>
      </c>
    </row>
    <row r="351" spans="1:24" x14ac:dyDescent="0.2">
      <c r="A351" t="s">
        <v>4883</v>
      </c>
      <c r="B351" t="s">
        <v>227</v>
      </c>
      <c r="C351" t="s">
        <v>1398</v>
      </c>
      <c r="D351" t="s">
        <v>56</v>
      </c>
      <c r="E351" t="s">
        <v>206</v>
      </c>
      <c r="F351" t="s">
        <v>180</v>
      </c>
      <c r="G351" s="202">
        <v>1619.701</v>
      </c>
      <c r="H351">
        <v>2</v>
      </c>
      <c r="I351" t="s">
        <v>3960</v>
      </c>
      <c r="J351" t="s">
        <v>4807</v>
      </c>
      <c r="K351" t="s">
        <v>1283</v>
      </c>
      <c r="L351" s="204">
        <v>0.56000000000000005</v>
      </c>
      <c r="M351" s="112">
        <v>6.9375</v>
      </c>
      <c r="N351" s="112">
        <v>3.8850000000000002</v>
      </c>
      <c r="O351" s="204"/>
      <c r="P351" s="112"/>
      <c r="Q351" s="112"/>
      <c r="R351" s="112"/>
      <c r="S351" s="112"/>
      <c r="T351" s="112"/>
      <c r="U351" t="s">
        <v>4865</v>
      </c>
      <c r="V351" t="s">
        <v>4884</v>
      </c>
      <c r="W351" t="s">
        <v>3958</v>
      </c>
      <c r="X351" t="s">
        <v>4660</v>
      </c>
    </row>
    <row r="352" spans="1:24" x14ac:dyDescent="0.2">
      <c r="A352" t="s">
        <v>4883</v>
      </c>
      <c r="B352" t="s">
        <v>227</v>
      </c>
      <c r="C352" t="s">
        <v>1398</v>
      </c>
      <c r="D352" t="s">
        <v>56</v>
      </c>
      <c r="E352" t="s">
        <v>206</v>
      </c>
      <c r="F352" t="s">
        <v>180</v>
      </c>
      <c r="G352" s="202">
        <v>1619.701</v>
      </c>
      <c r="H352">
        <v>3</v>
      </c>
      <c r="I352" t="s">
        <v>3962</v>
      </c>
      <c r="J352" t="s">
        <v>4808</v>
      </c>
      <c r="K352" t="s">
        <v>1283</v>
      </c>
      <c r="L352" s="204">
        <v>0.1</v>
      </c>
      <c r="M352" s="112">
        <v>6.9375</v>
      </c>
      <c r="N352" s="112">
        <v>0.69375000000000009</v>
      </c>
      <c r="O352" s="204"/>
      <c r="P352" s="112"/>
      <c r="Q352" s="112"/>
      <c r="R352" s="112"/>
      <c r="S352" s="112"/>
      <c r="T352" s="112"/>
      <c r="U352" t="s">
        <v>4865</v>
      </c>
      <c r="V352" t="s">
        <v>4884</v>
      </c>
      <c r="W352" t="s">
        <v>3958</v>
      </c>
      <c r="X352" t="s">
        <v>4660</v>
      </c>
    </row>
    <row r="353" spans="1:24" x14ac:dyDescent="0.2">
      <c r="A353" t="s">
        <v>4883</v>
      </c>
      <c r="B353" t="s">
        <v>227</v>
      </c>
      <c r="C353" t="s">
        <v>1398</v>
      </c>
      <c r="D353" t="s">
        <v>56</v>
      </c>
      <c r="E353" t="s">
        <v>206</v>
      </c>
      <c r="F353" t="s">
        <v>180</v>
      </c>
      <c r="G353" s="202">
        <v>1619.701</v>
      </c>
      <c r="H353">
        <v>4</v>
      </c>
      <c r="I353" t="s">
        <v>4017</v>
      </c>
      <c r="J353" t="s">
        <v>4809</v>
      </c>
      <c r="K353" t="s">
        <v>1283</v>
      </c>
      <c r="L353" s="204">
        <v>0.06</v>
      </c>
      <c r="M353" s="112">
        <v>6.9375</v>
      </c>
      <c r="N353" s="112">
        <v>0.41625000000000001</v>
      </c>
      <c r="O353" s="204"/>
      <c r="P353" s="112"/>
      <c r="Q353" s="112"/>
      <c r="R353" s="112"/>
      <c r="S353" s="112"/>
      <c r="T353" s="112"/>
      <c r="U353" t="s">
        <v>4865</v>
      </c>
      <c r="V353" t="s">
        <v>4884</v>
      </c>
      <c r="W353" t="s">
        <v>3958</v>
      </c>
      <c r="X353" t="s">
        <v>4660</v>
      </c>
    </row>
    <row r="354" spans="1:24" x14ac:dyDescent="0.2">
      <c r="A354" t="s">
        <v>4883</v>
      </c>
      <c r="B354" t="s">
        <v>227</v>
      </c>
      <c r="C354" t="s">
        <v>1398</v>
      </c>
      <c r="D354" t="s">
        <v>56</v>
      </c>
      <c r="E354" t="s">
        <v>206</v>
      </c>
      <c r="F354" t="s">
        <v>180</v>
      </c>
      <c r="G354" s="202">
        <v>1619.701</v>
      </c>
      <c r="H354">
        <v>5</v>
      </c>
      <c r="I354" t="s">
        <v>3968</v>
      </c>
      <c r="J354" t="s">
        <v>3969</v>
      </c>
      <c r="K354" t="s">
        <v>180</v>
      </c>
      <c r="L354" s="204">
        <v>1</v>
      </c>
      <c r="M354" s="112"/>
      <c r="N354" s="112">
        <v>6.9375</v>
      </c>
      <c r="O354" s="204">
        <v>0.22162108988072537</v>
      </c>
      <c r="P354" s="112">
        <v>1.5374963110475317</v>
      </c>
      <c r="Q354" s="112">
        <v>8.4749963110475317</v>
      </c>
      <c r="R354" s="112">
        <v>13726.96</v>
      </c>
      <c r="S354" s="112">
        <v>13726.96</v>
      </c>
      <c r="T354" s="112">
        <v>0</v>
      </c>
      <c r="U354" t="s">
        <v>4865</v>
      </c>
      <c r="V354" t="s">
        <v>4884</v>
      </c>
      <c r="W354" t="s">
        <v>4666</v>
      </c>
      <c r="X354" t="s">
        <v>4667</v>
      </c>
    </row>
    <row r="355" spans="1:24" x14ac:dyDescent="0.2">
      <c r="A355" t="s">
        <v>4885</v>
      </c>
      <c r="B355" t="s">
        <v>229</v>
      </c>
      <c r="C355" t="s">
        <v>1404</v>
      </c>
      <c r="D355" t="s">
        <v>56</v>
      </c>
      <c r="E355" t="s">
        <v>1405</v>
      </c>
      <c r="F355" t="s">
        <v>180</v>
      </c>
      <c r="G355" s="202">
        <v>1056.7370000000001</v>
      </c>
      <c r="H355">
        <v>1</v>
      </c>
      <c r="I355" t="s">
        <v>3954</v>
      </c>
      <c r="J355" t="s">
        <v>4804</v>
      </c>
      <c r="K355" t="s">
        <v>1283</v>
      </c>
      <c r="L355" s="204">
        <v>0.28000000000000003</v>
      </c>
      <c r="M355" s="112">
        <v>7.86</v>
      </c>
      <c r="N355" s="112">
        <v>2.2008000000000001</v>
      </c>
      <c r="O355" s="204"/>
      <c r="P355" s="112"/>
      <c r="Q355" s="112"/>
      <c r="R355" s="112"/>
      <c r="S355" s="112"/>
      <c r="T355" s="112"/>
      <c r="U355" t="s">
        <v>4886</v>
      </c>
      <c r="V355" t="s">
        <v>4887</v>
      </c>
      <c r="W355" t="s">
        <v>3958</v>
      </c>
      <c r="X355" t="s">
        <v>4660</v>
      </c>
    </row>
    <row r="356" spans="1:24" x14ac:dyDescent="0.2">
      <c r="A356" t="s">
        <v>4885</v>
      </c>
      <c r="B356" t="s">
        <v>229</v>
      </c>
      <c r="C356" t="s">
        <v>1404</v>
      </c>
      <c r="D356" t="s">
        <v>56</v>
      </c>
      <c r="E356" t="s">
        <v>1405</v>
      </c>
      <c r="F356" t="s">
        <v>180</v>
      </c>
      <c r="G356" s="202">
        <v>1056.7370000000001</v>
      </c>
      <c r="H356">
        <v>2</v>
      </c>
      <c r="I356" t="s">
        <v>3960</v>
      </c>
      <c r="J356" t="s">
        <v>4807</v>
      </c>
      <c r="K356" t="s">
        <v>1283</v>
      </c>
      <c r="L356" s="204">
        <v>0.56000000000000005</v>
      </c>
      <c r="M356" s="112">
        <v>7.86</v>
      </c>
      <c r="N356" s="112">
        <v>4.4016000000000002</v>
      </c>
      <c r="O356" s="204"/>
      <c r="P356" s="112"/>
      <c r="Q356" s="112"/>
      <c r="R356" s="112"/>
      <c r="S356" s="112"/>
      <c r="T356" s="112"/>
      <c r="U356" t="s">
        <v>4886</v>
      </c>
      <c r="V356" t="s">
        <v>4887</v>
      </c>
      <c r="W356" t="s">
        <v>3958</v>
      </c>
      <c r="X356" t="s">
        <v>4660</v>
      </c>
    </row>
    <row r="357" spans="1:24" x14ac:dyDescent="0.2">
      <c r="A357" t="s">
        <v>4885</v>
      </c>
      <c r="B357" t="s">
        <v>229</v>
      </c>
      <c r="C357" t="s">
        <v>1404</v>
      </c>
      <c r="D357" t="s">
        <v>56</v>
      </c>
      <c r="E357" t="s">
        <v>1405</v>
      </c>
      <c r="F357" t="s">
        <v>180</v>
      </c>
      <c r="G357" s="202">
        <v>1056.7370000000001</v>
      </c>
      <c r="H357">
        <v>3</v>
      </c>
      <c r="I357" t="s">
        <v>3962</v>
      </c>
      <c r="J357" t="s">
        <v>4808</v>
      </c>
      <c r="K357" t="s">
        <v>1283</v>
      </c>
      <c r="L357" s="204">
        <v>0.1</v>
      </c>
      <c r="M357" s="112">
        <v>7.86</v>
      </c>
      <c r="N357" s="112">
        <v>0.78600000000000003</v>
      </c>
      <c r="O357" s="204"/>
      <c r="P357" s="112"/>
      <c r="Q357" s="112"/>
      <c r="R357" s="112"/>
      <c r="S357" s="112"/>
      <c r="T357" s="112"/>
      <c r="U357" t="s">
        <v>4886</v>
      </c>
      <c r="V357" t="s">
        <v>4887</v>
      </c>
      <c r="W357" t="s">
        <v>3958</v>
      </c>
      <c r="X357" t="s">
        <v>4660</v>
      </c>
    </row>
    <row r="358" spans="1:24" x14ac:dyDescent="0.2">
      <c r="A358" t="s">
        <v>4885</v>
      </c>
      <c r="B358" t="s">
        <v>229</v>
      </c>
      <c r="C358" t="s">
        <v>1404</v>
      </c>
      <c r="D358" t="s">
        <v>56</v>
      </c>
      <c r="E358" t="s">
        <v>1405</v>
      </c>
      <c r="F358" t="s">
        <v>180</v>
      </c>
      <c r="G358" s="202">
        <v>1056.7370000000001</v>
      </c>
      <c r="H358">
        <v>4</v>
      </c>
      <c r="I358" t="s">
        <v>4017</v>
      </c>
      <c r="J358" t="s">
        <v>4809</v>
      </c>
      <c r="K358" t="s">
        <v>1283</v>
      </c>
      <c r="L358" s="204">
        <v>0.06</v>
      </c>
      <c r="M358" s="112">
        <v>7.86</v>
      </c>
      <c r="N358" s="112">
        <v>0.47160000000000002</v>
      </c>
      <c r="O358" s="204"/>
      <c r="P358" s="112"/>
      <c r="Q358" s="112"/>
      <c r="R358" s="112"/>
      <c r="S358" s="112"/>
      <c r="T358" s="112"/>
      <c r="U358" t="s">
        <v>4886</v>
      </c>
      <c r="V358" t="s">
        <v>4887</v>
      </c>
      <c r="W358" t="s">
        <v>3958</v>
      </c>
      <c r="X358" t="s">
        <v>4660</v>
      </c>
    </row>
    <row r="359" spans="1:24" x14ac:dyDescent="0.2">
      <c r="A359" t="s">
        <v>4885</v>
      </c>
      <c r="B359" t="s">
        <v>229</v>
      </c>
      <c r="C359" t="s">
        <v>1404</v>
      </c>
      <c r="D359" t="s">
        <v>56</v>
      </c>
      <c r="E359" t="s">
        <v>1405</v>
      </c>
      <c r="F359" t="s">
        <v>180</v>
      </c>
      <c r="G359" s="202">
        <v>1056.7370000000001</v>
      </c>
      <c r="H359">
        <v>5</v>
      </c>
      <c r="I359" t="s">
        <v>3968</v>
      </c>
      <c r="J359" t="s">
        <v>3969</v>
      </c>
      <c r="K359" t="s">
        <v>180</v>
      </c>
      <c r="L359" s="204">
        <v>1</v>
      </c>
      <c r="M359" s="112"/>
      <c r="N359" s="112">
        <v>7.86</v>
      </c>
      <c r="O359" s="204">
        <v>0.22137341974451497</v>
      </c>
      <c r="P359" s="112">
        <v>1.7399950791918881</v>
      </c>
      <c r="Q359" s="112">
        <v>9.5999950791918884</v>
      </c>
      <c r="R359" s="112">
        <v>10144.67</v>
      </c>
      <c r="S359" s="112">
        <v>10144.67</v>
      </c>
      <c r="T359" s="112">
        <v>0</v>
      </c>
      <c r="U359" t="s">
        <v>4886</v>
      </c>
      <c r="V359" t="s">
        <v>4887</v>
      </c>
      <c r="W359" t="s">
        <v>4666</v>
      </c>
      <c r="X359" t="s">
        <v>4667</v>
      </c>
    </row>
    <row r="360" spans="1:24" x14ac:dyDescent="0.2">
      <c r="A360" t="s">
        <v>4888</v>
      </c>
      <c r="B360" t="s">
        <v>1406</v>
      </c>
      <c r="C360" t="s">
        <v>1407</v>
      </c>
      <c r="D360" t="s">
        <v>56</v>
      </c>
      <c r="E360" t="s">
        <v>231</v>
      </c>
      <c r="F360" t="s">
        <v>180</v>
      </c>
      <c r="G360" s="202">
        <v>4937.3140000000003</v>
      </c>
      <c r="H360">
        <v>1</v>
      </c>
      <c r="I360" t="s">
        <v>3954</v>
      </c>
      <c r="J360" t="s">
        <v>4804</v>
      </c>
      <c r="K360" t="s">
        <v>1283</v>
      </c>
      <c r="L360" s="204">
        <v>0.28000000000000003</v>
      </c>
      <c r="M360" s="112">
        <v>11.28</v>
      </c>
      <c r="N360" s="112">
        <v>3.1584000000000003</v>
      </c>
      <c r="O360" s="204"/>
      <c r="P360" s="112"/>
      <c r="Q360" s="112"/>
      <c r="R360" s="112"/>
      <c r="S360" s="112"/>
      <c r="T360" s="112"/>
      <c r="U360" t="s">
        <v>4174</v>
      </c>
      <c r="V360" t="s">
        <v>4889</v>
      </c>
      <c r="W360" t="s">
        <v>3958</v>
      </c>
      <c r="X360" t="s">
        <v>4660</v>
      </c>
    </row>
    <row r="361" spans="1:24" x14ac:dyDescent="0.2">
      <c r="A361" t="s">
        <v>4888</v>
      </c>
      <c r="B361" t="s">
        <v>1406</v>
      </c>
      <c r="C361" t="s">
        <v>1407</v>
      </c>
      <c r="D361" t="s">
        <v>56</v>
      </c>
      <c r="E361" t="s">
        <v>231</v>
      </c>
      <c r="F361" t="s">
        <v>180</v>
      </c>
      <c r="G361" s="202">
        <v>4937.3140000000003</v>
      </c>
      <c r="H361">
        <v>2</v>
      </c>
      <c r="I361" t="s">
        <v>3960</v>
      </c>
      <c r="J361" t="s">
        <v>4807</v>
      </c>
      <c r="K361" t="s">
        <v>1283</v>
      </c>
      <c r="L361" s="204">
        <v>0.56000000000000005</v>
      </c>
      <c r="M361" s="112">
        <v>11.28</v>
      </c>
      <c r="N361" s="112">
        <v>6.3168000000000006</v>
      </c>
      <c r="O361" s="204"/>
      <c r="P361" s="112"/>
      <c r="Q361" s="112"/>
      <c r="R361" s="112"/>
      <c r="S361" s="112"/>
      <c r="T361" s="112"/>
      <c r="U361" t="s">
        <v>4174</v>
      </c>
      <c r="V361" t="s">
        <v>4889</v>
      </c>
      <c r="W361" t="s">
        <v>3958</v>
      </c>
      <c r="X361" t="s">
        <v>4660</v>
      </c>
    </row>
    <row r="362" spans="1:24" x14ac:dyDescent="0.2">
      <c r="A362" t="s">
        <v>4888</v>
      </c>
      <c r="B362" t="s">
        <v>1406</v>
      </c>
      <c r="C362" t="s">
        <v>1407</v>
      </c>
      <c r="D362" t="s">
        <v>56</v>
      </c>
      <c r="E362" t="s">
        <v>231</v>
      </c>
      <c r="F362" t="s">
        <v>180</v>
      </c>
      <c r="G362" s="202">
        <v>4937.3140000000003</v>
      </c>
      <c r="H362">
        <v>3</v>
      </c>
      <c r="I362" t="s">
        <v>3962</v>
      </c>
      <c r="J362" t="s">
        <v>4808</v>
      </c>
      <c r="K362" t="s">
        <v>1283</v>
      </c>
      <c r="L362" s="204">
        <v>0.1</v>
      </c>
      <c r="M362" s="112">
        <v>11.28</v>
      </c>
      <c r="N362" s="112">
        <v>1.1279999999999999</v>
      </c>
      <c r="O362" s="204"/>
      <c r="P362" s="112"/>
      <c r="Q362" s="112"/>
      <c r="R362" s="112"/>
      <c r="S362" s="112"/>
      <c r="T362" s="112"/>
      <c r="U362" t="s">
        <v>4174</v>
      </c>
      <c r="V362" t="s">
        <v>4889</v>
      </c>
      <c r="W362" t="s">
        <v>3958</v>
      </c>
      <c r="X362" t="s">
        <v>4660</v>
      </c>
    </row>
    <row r="363" spans="1:24" x14ac:dyDescent="0.2">
      <c r="A363" t="s">
        <v>4888</v>
      </c>
      <c r="B363" t="s">
        <v>1406</v>
      </c>
      <c r="C363" t="s">
        <v>1407</v>
      </c>
      <c r="D363" t="s">
        <v>56</v>
      </c>
      <c r="E363" t="s">
        <v>231</v>
      </c>
      <c r="F363" t="s">
        <v>180</v>
      </c>
      <c r="G363" s="202">
        <v>4937.3140000000003</v>
      </c>
      <c r="H363">
        <v>4</v>
      </c>
      <c r="I363" t="s">
        <v>4017</v>
      </c>
      <c r="J363" t="s">
        <v>4809</v>
      </c>
      <c r="K363" t="s">
        <v>1283</v>
      </c>
      <c r="L363" s="204">
        <v>0.06</v>
      </c>
      <c r="M363" s="112">
        <v>11.28</v>
      </c>
      <c r="N363" s="112">
        <v>0.67679999999999996</v>
      </c>
      <c r="O363" s="204"/>
      <c r="P363" s="112"/>
      <c r="Q363" s="112"/>
      <c r="R363" s="112"/>
      <c r="S363" s="112"/>
      <c r="T363" s="112"/>
      <c r="U363" t="s">
        <v>4174</v>
      </c>
      <c r="V363" t="s">
        <v>4889</v>
      </c>
      <c r="W363" t="s">
        <v>3958</v>
      </c>
      <c r="X363" t="s">
        <v>4660</v>
      </c>
    </row>
    <row r="364" spans="1:24" x14ac:dyDescent="0.2">
      <c r="A364" t="s">
        <v>4888</v>
      </c>
      <c r="B364" t="s">
        <v>1406</v>
      </c>
      <c r="C364" t="s">
        <v>1407</v>
      </c>
      <c r="D364" t="s">
        <v>56</v>
      </c>
      <c r="E364" t="s">
        <v>231</v>
      </c>
      <c r="F364" t="s">
        <v>180</v>
      </c>
      <c r="G364" s="202">
        <v>4937.3140000000003</v>
      </c>
      <c r="H364">
        <v>5</v>
      </c>
      <c r="I364" t="s">
        <v>3968</v>
      </c>
      <c r="J364" t="s">
        <v>3969</v>
      </c>
      <c r="K364" t="s">
        <v>180</v>
      </c>
      <c r="L364" s="204">
        <v>1</v>
      </c>
      <c r="M364" s="112"/>
      <c r="N364" s="112">
        <v>11.28</v>
      </c>
      <c r="O364" s="204">
        <v>0.22207440542002899</v>
      </c>
      <c r="P364" s="112">
        <v>2.5049992931379279</v>
      </c>
      <c r="Q364" s="112">
        <v>13.784999293137927</v>
      </c>
      <c r="R364" s="112">
        <v>68060.87</v>
      </c>
      <c r="S364" s="112">
        <v>68060.87</v>
      </c>
      <c r="T364" s="112">
        <v>0</v>
      </c>
      <c r="U364" t="s">
        <v>4174</v>
      </c>
      <c r="V364" t="s">
        <v>4889</v>
      </c>
      <c r="W364" t="s">
        <v>4666</v>
      </c>
      <c r="X364" t="s">
        <v>4667</v>
      </c>
    </row>
    <row r="365" spans="1:24" x14ac:dyDescent="0.2">
      <c r="A365" t="s">
        <v>4890</v>
      </c>
      <c r="B365" t="s">
        <v>1408</v>
      </c>
      <c r="C365" t="s">
        <v>1409</v>
      </c>
      <c r="D365" t="s">
        <v>56</v>
      </c>
      <c r="E365" t="s">
        <v>232</v>
      </c>
      <c r="F365" t="s">
        <v>180</v>
      </c>
      <c r="G365" s="202">
        <v>7341.5159999999996</v>
      </c>
      <c r="H365">
        <v>1</v>
      </c>
      <c r="I365" t="s">
        <v>3954</v>
      </c>
      <c r="J365" t="s">
        <v>4804</v>
      </c>
      <c r="K365" t="s">
        <v>1283</v>
      </c>
      <c r="L365" s="204">
        <v>0.28000000000000003</v>
      </c>
      <c r="M365" s="112">
        <v>10.08</v>
      </c>
      <c r="N365" s="112">
        <v>2.8224000000000005</v>
      </c>
      <c r="O365" s="204"/>
      <c r="P365" s="112"/>
      <c r="Q365" s="112"/>
      <c r="R365" s="112"/>
      <c r="S365" s="112"/>
      <c r="T365" s="112"/>
      <c r="U365" t="s">
        <v>4118</v>
      </c>
      <c r="V365" t="s">
        <v>4891</v>
      </c>
      <c r="W365" t="s">
        <v>3958</v>
      </c>
      <c r="X365" t="s">
        <v>4660</v>
      </c>
    </row>
    <row r="366" spans="1:24" x14ac:dyDescent="0.2">
      <c r="A366" t="s">
        <v>4890</v>
      </c>
      <c r="B366" t="s">
        <v>1408</v>
      </c>
      <c r="C366" t="s">
        <v>1409</v>
      </c>
      <c r="D366" t="s">
        <v>56</v>
      </c>
      <c r="E366" t="s">
        <v>232</v>
      </c>
      <c r="F366" t="s">
        <v>180</v>
      </c>
      <c r="G366" s="202">
        <v>7341.5159999999996</v>
      </c>
      <c r="H366">
        <v>2</v>
      </c>
      <c r="I366" t="s">
        <v>3960</v>
      </c>
      <c r="J366" t="s">
        <v>4807</v>
      </c>
      <c r="K366" t="s">
        <v>1283</v>
      </c>
      <c r="L366" s="204">
        <v>0.56000000000000005</v>
      </c>
      <c r="M366" s="112">
        <v>10.08</v>
      </c>
      <c r="N366" s="112">
        <v>5.6448000000000009</v>
      </c>
      <c r="O366" s="204"/>
      <c r="P366" s="112"/>
      <c r="Q366" s="112"/>
      <c r="R366" s="112"/>
      <c r="S366" s="112"/>
      <c r="T366" s="112"/>
      <c r="U366" t="s">
        <v>4118</v>
      </c>
      <c r="V366" t="s">
        <v>4891</v>
      </c>
      <c r="W366" t="s">
        <v>3958</v>
      </c>
      <c r="X366" t="s">
        <v>4660</v>
      </c>
    </row>
    <row r="367" spans="1:24" x14ac:dyDescent="0.2">
      <c r="A367" t="s">
        <v>4890</v>
      </c>
      <c r="B367" t="s">
        <v>1408</v>
      </c>
      <c r="C367" t="s">
        <v>1409</v>
      </c>
      <c r="D367" t="s">
        <v>56</v>
      </c>
      <c r="E367" t="s">
        <v>232</v>
      </c>
      <c r="F367" t="s">
        <v>180</v>
      </c>
      <c r="G367" s="202">
        <v>7341.5159999999996</v>
      </c>
      <c r="H367">
        <v>3</v>
      </c>
      <c r="I367" t="s">
        <v>3962</v>
      </c>
      <c r="J367" t="s">
        <v>4808</v>
      </c>
      <c r="K367" t="s">
        <v>1283</v>
      </c>
      <c r="L367" s="204">
        <v>0.1</v>
      </c>
      <c r="M367" s="112">
        <v>10.08</v>
      </c>
      <c r="N367" s="112">
        <v>1.008</v>
      </c>
      <c r="O367" s="204"/>
      <c r="P367" s="112"/>
      <c r="Q367" s="112"/>
      <c r="R367" s="112"/>
      <c r="S367" s="112"/>
      <c r="T367" s="112"/>
      <c r="U367" t="s">
        <v>4118</v>
      </c>
      <c r="V367" t="s">
        <v>4891</v>
      </c>
      <c r="W367" t="s">
        <v>3958</v>
      </c>
      <c r="X367" t="s">
        <v>4660</v>
      </c>
    </row>
    <row r="368" spans="1:24" x14ac:dyDescent="0.2">
      <c r="A368" t="s">
        <v>4890</v>
      </c>
      <c r="B368" t="s">
        <v>1408</v>
      </c>
      <c r="C368" t="s">
        <v>1409</v>
      </c>
      <c r="D368" t="s">
        <v>56</v>
      </c>
      <c r="E368" t="s">
        <v>232</v>
      </c>
      <c r="F368" t="s">
        <v>180</v>
      </c>
      <c r="G368" s="202">
        <v>7341.5159999999996</v>
      </c>
      <c r="H368">
        <v>4</v>
      </c>
      <c r="I368" t="s">
        <v>4017</v>
      </c>
      <c r="J368" t="s">
        <v>4809</v>
      </c>
      <c r="K368" t="s">
        <v>1283</v>
      </c>
      <c r="L368" s="204">
        <v>0.06</v>
      </c>
      <c r="M368" s="112">
        <v>10.08</v>
      </c>
      <c r="N368" s="112">
        <v>0.6048</v>
      </c>
      <c r="O368" s="204"/>
      <c r="P368" s="112"/>
      <c r="Q368" s="112"/>
      <c r="R368" s="112"/>
      <c r="S368" s="112"/>
      <c r="T368" s="112"/>
      <c r="U368" t="s">
        <v>4118</v>
      </c>
      <c r="V368" t="s">
        <v>4891</v>
      </c>
      <c r="W368" t="s">
        <v>3958</v>
      </c>
      <c r="X368" t="s">
        <v>4660</v>
      </c>
    </row>
    <row r="369" spans="1:24" x14ac:dyDescent="0.2">
      <c r="A369" t="s">
        <v>4890</v>
      </c>
      <c r="B369" t="s">
        <v>1408</v>
      </c>
      <c r="C369" t="s">
        <v>1409</v>
      </c>
      <c r="D369" t="s">
        <v>56</v>
      </c>
      <c r="E369" t="s">
        <v>232</v>
      </c>
      <c r="F369" t="s">
        <v>180</v>
      </c>
      <c r="G369" s="202">
        <v>7341.5159999999996</v>
      </c>
      <c r="H369">
        <v>5</v>
      </c>
      <c r="I369" t="s">
        <v>3968</v>
      </c>
      <c r="J369" t="s">
        <v>3969</v>
      </c>
      <c r="K369" t="s">
        <v>180</v>
      </c>
      <c r="L369" s="204">
        <v>1</v>
      </c>
      <c r="M369" s="112"/>
      <c r="N369" s="112">
        <v>10.08</v>
      </c>
      <c r="O369" s="204">
        <v>0.22172606156159413</v>
      </c>
      <c r="P369" s="112">
        <v>2.2349987005408689</v>
      </c>
      <c r="Q369" s="112">
        <v>12.314998700540869</v>
      </c>
      <c r="R369" s="112">
        <v>90410.76</v>
      </c>
      <c r="S369" s="112">
        <v>90410.76</v>
      </c>
      <c r="T369" s="112">
        <v>0</v>
      </c>
      <c r="U369" t="s">
        <v>4118</v>
      </c>
      <c r="V369" t="s">
        <v>4891</v>
      </c>
      <c r="W369" t="s">
        <v>4666</v>
      </c>
      <c r="X369" t="s">
        <v>4667</v>
      </c>
    </row>
    <row r="370" spans="1:24" x14ac:dyDescent="0.2">
      <c r="A370" t="s">
        <v>4892</v>
      </c>
      <c r="B370" t="s">
        <v>1410</v>
      </c>
      <c r="C370" t="s">
        <v>1411</v>
      </c>
      <c r="D370" t="s">
        <v>56</v>
      </c>
      <c r="E370" t="s">
        <v>233</v>
      </c>
      <c r="F370" t="s">
        <v>180</v>
      </c>
      <c r="G370" s="202">
        <v>4850.1769999999997</v>
      </c>
      <c r="H370">
        <v>1</v>
      </c>
      <c r="I370" t="s">
        <v>3954</v>
      </c>
      <c r="J370" t="s">
        <v>4804</v>
      </c>
      <c r="K370" t="s">
        <v>1283</v>
      </c>
      <c r="L370" s="204">
        <v>0.28000000000000003</v>
      </c>
      <c r="M370" s="112">
        <v>9.0824999999999996</v>
      </c>
      <c r="N370" s="112">
        <v>2.5430999999999999</v>
      </c>
      <c r="O370" s="204"/>
      <c r="P370" s="112"/>
      <c r="Q370" s="112"/>
      <c r="R370" s="112"/>
      <c r="S370" s="112"/>
      <c r="T370" s="112"/>
      <c r="U370" t="s">
        <v>4206</v>
      </c>
      <c r="V370" t="s">
        <v>4893</v>
      </c>
      <c r="W370" t="s">
        <v>3958</v>
      </c>
      <c r="X370" t="s">
        <v>4660</v>
      </c>
    </row>
    <row r="371" spans="1:24" x14ac:dyDescent="0.2">
      <c r="A371" t="s">
        <v>4892</v>
      </c>
      <c r="B371" t="s">
        <v>1410</v>
      </c>
      <c r="C371" t="s">
        <v>1411</v>
      </c>
      <c r="D371" t="s">
        <v>56</v>
      </c>
      <c r="E371" t="s">
        <v>233</v>
      </c>
      <c r="F371" t="s">
        <v>180</v>
      </c>
      <c r="G371" s="202">
        <v>4850.1769999999997</v>
      </c>
      <c r="H371">
        <v>2</v>
      </c>
      <c r="I371" t="s">
        <v>3960</v>
      </c>
      <c r="J371" t="s">
        <v>4807</v>
      </c>
      <c r="K371" t="s">
        <v>1283</v>
      </c>
      <c r="L371" s="204">
        <v>0.56000000000000005</v>
      </c>
      <c r="M371" s="112">
        <v>9.0824999999999996</v>
      </c>
      <c r="N371" s="112">
        <v>5.0861999999999998</v>
      </c>
      <c r="O371" s="204"/>
      <c r="P371" s="112"/>
      <c r="Q371" s="112"/>
      <c r="R371" s="112"/>
      <c r="S371" s="112"/>
      <c r="T371" s="112"/>
      <c r="U371" t="s">
        <v>4206</v>
      </c>
      <c r="V371" t="s">
        <v>4893</v>
      </c>
      <c r="W371" t="s">
        <v>3958</v>
      </c>
      <c r="X371" t="s">
        <v>4660</v>
      </c>
    </row>
    <row r="372" spans="1:24" x14ac:dyDescent="0.2">
      <c r="A372" t="s">
        <v>4892</v>
      </c>
      <c r="B372" t="s">
        <v>1410</v>
      </c>
      <c r="C372" t="s">
        <v>1411</v>
      </c>
      <c r="D372" t="s">
        <v>56</v>
      </c>
      <c r="E372" t="s">
        <v>233</v>
      </c>
      <c r="F372" t="s">
        <v>180</v>
      </c>
      <c r="G372" s="202">
        <v>4850.1769999999997</v>
      </c>
      <c r="H372">
        <v>3</v>
      </c>
      <c r="I372" t="s">
        <v>3962</v>
      </c>
      <c r="J372" t="s">
        <v>4808</v>
      </c>
      <c r="K372" t="s">
        <v>1283</v>
      </c>
      <c r="L372" s="204">
        <v>0.1</v>
      </c>
      <c r="M372" s="112">
        <v>9.0824999999999996</v>
      </c>
      <c r="N372" s="112">
        <v>0.90825</v>
      </c>
      <c r="O372" s="204"/>
      <c r="P372" s="112"/>
      <c r="Q372" s="112"/>
      <c r="R372" s="112"/>
      <c r="S372" s="112"/>
      <c r="T372" s="112"/>
      <c r="U372" t="s">
        <v>4206</v>
      </c>
      <c r="V372" t="s">
        <v>4893</v>
      </c>
      <c r="W372" t="s">
        <v>3958</v>
      </c>
      <c r="X372" t="s">
        <v>4660</v>
      </c>
    </row>
    <row r="373" spans="1:24" x14ac:dyDescent="0.2">
      <c r="A373" t="s">
        <v>4892</v>
      </c>
      <c r="B373" t="s">
        <v>1410</v>
      </c>
      <c r="C373" t="s">
        <v>1411</v>
      </c>
      <c r="D373" t="s">
        <v>56</v>
      </c>
      <c r="E373" t="s">
        <v>233</v>
      </c>
      <c r="F373" t="s">
        <v>180</v>
      </c>
      <c r="G373" s="202">
        <v>4850.1769999999997</v>
      </c>
      <c r="H373">
        <v>4</v>
      </c>
      <c r="I373" t="s">
        <v>4017</v>
      </c>
      <c r="J373" t="s">
        <v>4809</v>
      </c>
      <c r="K373" t="s">
        <v>1283</v>
      </c>
      <c r="L373" s="204">
        <v>0.06</v>
      </c>
      <c r="M373" s="112">
        <v>9.0824999999999996</v>
      </c>
      <c r="N373" s="112">
        <v>0.54494999999999993</v>
      </c>
      <c r="O373" s="204"/>
      <c r="P373" s="112"/>
      <c r="Q373" s="112"/>
      <c r="R373" s="112"/>
      <c r="S373" s="112"/>
      <c r="T373" s="112"/>
      <c r="U373" t="s">
        <v>4206</v>
      </c>
      <c r="V373" t="s">
        <v>4893</v>
      </c>
      <c r="W373" t="s">
        <v>3958</v>
      </c>
      <c r="X373" t="s">
        <v>4660</v>
      </c>
    </row>
    <row r="374" spans="1:24" x14ac:dyDescent="0.2">
      <c r="A374" t="s">
        <v>4892</v>
      </c>
      <c r="B374" t="s">
        <v>1410</v>
      </c>
      <c r="C374" t="s">
        <v>1411</v>
      </c>
      <c r="D374" t="s">
        <v>56</v>
      </c>
      <c r="E374" t="s">
        <v>233</v>
      </c>
      <c r="F374" t="s">
        <v>180</v>
      </c>
      <c r="G374" s="202">
        <v>4850.1769999999997</v>
      </c>
      <c r="H374">
        <v>5</v>
      </c>
      <c r="I374" t="s">
        <v>3968</v>
      </c>
      <c r="J374" t="s">
        <v>3969</v>
      </c>
      <c r="K374" t="s">
        <v>180</v>
      </c>
      <c r="L374" s="204">
        <v>1</v>
      </c>
      <c r="M374" s="112"/>
      <c r="N374" s="112">
        <v>9.0824999999999996</v>
      </c>
      <c r="O374" s="204">
        <v>0.2221303639926453</v>
      </c>
      <c r="P374" s="112">
        <v>2.0174990309632008</v>
      </c>
      <c r="Q374" s="112">
        <v>11.0999990309632</v>
      </c>
      <c r="R374" s="112">
        <v>53836.959999999999</v>
      </c>
      <c r="S374" s="112">
        <v>53836.959999999999</v>
      </c>
      <c r="T374" s="112">
        <v>0</v>
      </c>
      <c r="U374" t="s">
        <v>4206</v>
      </c>
      <c r="V374" t="s">
        <v>4893</v>
      </c>
      <c r="W374" t="s">
        <v>4666</v>
      </c>
      <c r="X374" t="s">
        <v>4667</v>
      </c>
    </row>
    <row r="375" spans="1:24" x14ac:dyDescent="0.2">
      <c r="A375" t="s">
        <v>4894</v>
      </c>
      <c r="B375" t="s">
        <v>1412</v>
      </c>
      <c r="C375" t="s">
        <v>1413</v>
      </c>
      <c r="D375" t="s">
        <v>56</v>
      </c>
      <c r="E375" t="s">
        <v>234</v>
      </c>
      <c r="F375" t="s">
        <v>180</v>
      </c>
      <c r="G375" s="202">
        <v>1743.894</v>
      </c>
      <c r="H375">
        <v>1</v>
      </c>
      <c r="I375" t="s">
        <v>3954</v>
      </c>
      <c r="J375" t="s">
        <v>4804</v>
      </c>
      <c r="K375" t="s">
        <v>1283</v>
      </c>
      <c r="L375" s="204">
        <v>0.28000000000000003</v>
      </c>
      <c r="M375" s="112">
        <v>7.9049999999999994</v>
      </c>
      <c r="N375" s="112">
        <v>2.2134</v>
      </c>
      <c r="O375" s="204"/>
      <c r="P375" s="112"/>
      <c r="Q375" s="112"/>
      <c r="R375" s="112"/>
      <c r="S375" s="112"/>
      <c r="T375" s="112"/>
      <c r="U375" t="s">
        <v>4895</v>
      </c>
      <c r="V375" t="s">
        <v>4896</v>
      </c>
      <c r="W375" t="s">
        <v>3958</v>
      </c>
      <c r="X375" t="s">
        <v>4660</v>
      </c>
    </row>
    <row r="376" spans="1:24" x14ac:dyDescent="0.2">
      <c r="A376" t="s">
        <v>4894</v>
      </c>
      <c r="B376" t="s">
        <v>1412</v>
      </c>
      <c r="C376" t="s">
        <v>1413</v>
      </c>
      <c r="D376" t="s">
        <v>56</v>
      </c>
      <c r="E376" t="s">
        <v>234</v>
      </c>
      <c r="F376" t="s">
        <v>180</v>
      </c>
      <c r="G376" s="202">
        <v>1743.894</v>
      </c>
      <c r="H376">
        <v>2</v>
      </c>
      <c r="I376" t="s">
        <v>3960</v>
      </c>
      <c r="J376" t="s">
        <v>4807</v>
      </c>
      <c r="K376" t="s">
        <v>1283</v>
      </c>
      <c r="L376" s="204">
        <v>0.56000000000000005</v>
      </c>
      <c r="M376" s="112">
        <v>7.9049999999999994</v>
      </c>
      <c r="N376" s="112">
        <v>4.4268000000000001</v>
      </c>
      <c r="O376" s="204"/>
      <c r="P376" s="112"/>
      <c r="Q376" s="112"/>
      <c r="R376" s="112"/>
      <c r="S376" s="112"/>
      <c r="T376" s="112"/>
      <c r="U376" t="s">
        <v>4895</v>
      </c>
      <c r="V376" t="s">
        <v>4896</v>
      </c>
      <c r="W376" t="s">
        <v>3958</v>
      </c>
      <c r="X376" t="s">
        <v>4660</v>
      </c>
    </row>
    <row r="377" spans="1:24" x14ac:dyDescent="0.2">
      <c r="A377" t="s">
        <v>4894</v>
      </c>
      <c r="B377" t="s">
        <v>1412</v>
      </c>
      <c r="C377" t="s">
        <v>1413</v>
      </c>
      <c r="D377" t="s">
        <v>56</v>
      </c>
      <c r="E377" t="s">
        <v>234</v>
      </c>
      <c r="F377" t="s">
        <v>180</v>
      </c>
      <c r="G377" s="202">
        <v>1743.894</v>
      </c>
      <c r="H377">
        <v>3</v>
      </c>
      <c r="I377" t="s">
        <v>3962</v>
      </c>
      <c r="J377" t="s">
        <v>4808</v>
      </c>
      <c r="K377" t="s">
        <v>1283</v>
      </c>
      <c r="L377" s="204">
        <v>0.1</v>
      </c>
      <c r="M377" s="112">
        <v>7.9049999999999994</v>
      </c>
      <c r="N377" s="112">
        <v>0.79049999999999998</v>
      </c>
      <c r="O377" s="204"/>
      <c r="P377" s="112"/>
      <c r="Q377" s="112"/>
      <c r="R377" s="112"/>
      <c r="S377" s="112"/>
      <c r="T377" s="112"/>
      <c r="U377" t="s">
        <v>4895</v>
      </c>
      <c r="V377" t="s">
        <v>4896</v>
      </c>
      <c r="W377" t="s">
        <v>3958</v>
      </c>
      <c r="X377" t="s">
        <v>4660</v>
      </c>
    </row>
    <row r="378" spans="1:24" x14ac:dyDescent="0.2">
      <c r="A378" t="s">
        <v>4894</v>
      </c>
      <c r="B378" t="s">
        <v>1412</v>
      </c>
      <c r="C378" t="s">
        <v>1413</v>
      </c>
      <c r="D378" t="s">
        <v>56</v>
      </c>
      <c r="E378" t="s">
        <v>234</v>
      </c>
      <c r="F378" t="s">
        <v>180</v>
      </c>
      <c r="G378" s="202">
        <v>1743.894</v>
      </c>
      <c r="H378">
        <v>4</v>
      </c>
      <c r="I378" t="s">
        <v>4017</v>
      </c>
      <c r="J378" t="s">
        <v>4809</v>
      </c>
      <c r="K378" t="s">
        <v>1283</v>
      </c>
      <c r="L378" s="204">
        <v>0.06</v>
      </c>
      <c r="M378" s="112">
        <v>7.9049999999999994</v>
      </c>
      <c r="N378" s="112">
        <v>0.47429999999999994</v>
      </c>
      <c r="O378" s="204"/>
      <c r="P378" s="112"/>
      <c r="Q378" s="112"/>
      <c r="R378" s="112"/>
      <c r="S378" s="112"/>
      <c r="T378" s="112"/>
      <c r="U378" t="s">
        <v>4895</v>
      </c>
      <c r="V378" t="s">
        <v>4896</v>
      </c>
      <c r="W378" t="s">
        <v>3958</v>
      </c>
      <c r="X378" t="s">
        <v>4660</v>
      </c>
    </row>
    <row r="379" spans="1:24" x14ac:dyDescent="0.2">
      <c r="A379" t="s">
        <v>4894</v>
      </c>
      <c r="B379" t="s">
        <v>1412</v>
      </c>
      <c r="C379" t="s">
        <v>1413</v>
      </c>
      <c r="D379" t="s">
        <v>56</v>
      </c>
      <c r="E379" t="s">
        <v>234</v>
      </c>
      <c r="F379" t="s">
        <v>180</v>
      </c>
      <c r="G379" s="202">
        <v>1743.894</v>
      </c>
      <c r="H379">
        <v>5</v>
      </c>
      <c r="I379" t="s">
        <v>3968</v>
      </c>
      <c r="J379" t="s">
        <v>3969</v>
      </c>
      <c r="K379" t="s">
        <v>180</v>
      </c>
      <c r="L379" s="204">
        <v>1</v>
      </c>
      <c r="M379" s="112"/>
      <c r="N379" s="112">
        <v>7.9049999999999994</v>
      </c>
      <c r="O379" s="204">
        <v>0.22201094705714564</v>
      </c>
      <c r="P379" s="112">
        <v>1.7549965364867361</v>
      </c>
      <c r="Q379" s="112">
        <v>9.6599965364867355</v>
      </c>
      <c r="R379" s="112">
        <v>16846.009999999998</v>
      </c>
      <c r="S379" s="112">
        <v>16846.009999999998</v>
      </c>
      <c r="T379" s="112">
        <v>0</v>
      </c>
      <c r="U379" t="s">
        <v>4895</v>
      </c>
      <c r="V379" t="s">
        <v>4896</v>
      </c>
      <c r="W379" t="s">
        <v>4666</v>
      </c>
      <c r="X379" t="s">
        <v>4667</v>
      </c>
    </row>
    <row r="380" spans="1:24" x14ac:dyDescent="0.2">
      <c r="A380" t="s">
        <v>4897</v>
      </c>
      <c r="B380" t="s">
        <v>1414</v>
      </c>
      <c r="C380" t="s">
        <v>1415</v>
      </c>
      <c r="D380" t="s">
        <v>56</v>
      </c>
      <c r="E380" t="s">
        <v>235</v>
      </c>
      <c r="F380" t="s">
        <v>180</v>
      </c>
      <c r="G380" s="202">
        <v>187.40299999999999</v>
      </c>
      <c r="H380">
        <v>1</v>
      </c>
      <c r="I380" t="s">
        <v>3954</v>
      </c>
      <c r="J380" t="s">
        <v>4804</v>
      </c>
      <c r="K380" t="s">
        <v>1283</v>
      </c>
      <c r="L380" s="204">
        <v>0.28000000000000003</v>
      </c>
      <c r="M380" s="112">
        <v>6.5175000000000001</v>
      </c>
      <c r="N380" s="112">
        <v>1.8249000000000002</v>
      </c>
      <c r="O380" s="204"/>
      <c r="P380" s="112"/>
      <c r="Q380" s="112"/>
      <c r="R380" s="112"/>
      <c r="S380" s="112"/>
      <c r="T380" s="112"/>
      <c r="U380" t="s">
        <v>4898</v>
      </c>
      <c r="V380" t="s">
        <v>4899</v>
      </c>
      <c r="W380" t="s">
        <v>3958</v>
      </c>
      <c r="X380" t="s">
        <v>4660</v>
      </c>
    </row>
    <row r="381" spans="1:24" x14ac:dyDescent="0.2">
      <c r="A381" t="s">
        <v>4897</v>
      </c>
      <c r="B381" t="s">
        <v>1414</v>
      </c>
      <c r="C381" t="s">
        <v>1415</v>
      </c>
      <c r="D381" t="s">
        <v>56</v>
      </c>
      <c r="E381" t="s">
        <v>235</v>
      </c>
      <c r="F381" t="s">
        <v>180</v>
      </c>
      <c r="G381" s="202">
        <v>187.40299999999999</v>
      </c>
      <c r="H381">
        <v>2</v>
      </c>
      <c r="I381" t="s">
        <v>3960</v>
      </c>
      <c r="J381" t="s">
        <v>4807</v>
      </c>
      <c r="K381" t="s">
        <v>1283</v>
      </c>
      <c r="L381" s="204">
        <v>0.56000000000000005</v>
      </c>
      <c r="M381" s="112">
        <v>6.5175000000000001</v>
      </c>
      <c r="N381" s="112">
        <v>3.6498000000000004</v>
      </c>
      <c r="O381" s="204"/>
      <c r="P381" s="112"/>
      <c r="Q381" s="112"/>
      <c r="R381" s="112"/>
      <c r="S381" s="112"/>
      <c r="T381" s="112"/>
      <c r="U381" t="s">
        <v>4898</v>
      </c>
      <c r="V381" t="s">
        <v>4899</v>
      </c>
      <c r="W381" t="s">
        <v>3958</v>
      </c>
      <c r="X381" t="s">
        <v>4660</v>
      </c>
    </row>
    <row r="382" spans="1:24" x14ac:dyDescent="0.2">
      <c r="A382" t="s">
        <v>4897</v>
      </c>
      <c r="B382" t="s">
        <v>1414</v>
      </c>
      <c r="C382" t="s">
        <v>1415</v>
      </c>
      <c r="D382" t="s">
        <v>56</v>
      </c>
      <c r="E382" t="s">
        <v>235</v>
      </c>
      <c r="F382" t="s">
        <v>180</v>
      </c>
      <c r="G382" s="202">
        <v>187.40299999999999</v>
      </c>
      <c r="H382">
        <v>3</v>
      </c>
      <c r="I382" t="s">
        <v>3962</v>
      </c>
      <c r="J382" t="s">
        <v>4808</v>
      </c>
      <c r="K382" t="s">
        <v>1283</v>
      </c>
      <c r="L382" s="204">
        <v>0.1</v>
      </c>
      <c r="M382" s="112">
        <v>6.5175000000000001</v>
      </c>
      <c r="N382" s="112">
        <v>0.65175000000000005</v>
      </c>
      <c r="O382" s="204"/>
      <c r="P382" s="112"/>
      <c r="Q382" s="112"/>
      <c r="R382" s="112"/>
      <c r="S382" s="112"/>
      <c r="T382" s="112"/>
      <c r="U382" t="s">
        <v>4898</v>
      </c>
      <c r="V382" t="s">
        <v>4899</v>
      </c>
      <c r="W382" t="s">
        <v>3958</v>
      </c>
      <c r="X382" t="s">
        <v>4660</v>
      </c>
    </row>
    <row r="383" spans="1:24" x14ac:dyDescent="0.2">
      <c r="A383" t="s">
        <v>4897</v>
      </c>
      <c r="B383" t="s">
        <v>1414</v>
      </c>
      <c r="C383" t="s">
        <v>1415</v>
      </c>
      <c r="D383" t="s">
        <v>56</v>
      </c>
      <c r="E383" t="s">
        <v>235</v>
      </c>
      <c r="F383" t="s">
        <v>180</v>
      </c>
      <c r="G383" s="202">
        <v>187.40299999999999</v>
      </c>
      <c r="H383">
        <v>4</v>
      </c>
      <c r="I383" t="s">
        <v>4017</v>
      </c>
      <c r="J383" t="s">
        <v>4809</v>
      </c>
      <c r="K383" t="s">
        <v>1283</v>
      </c>
      <c r="L383" s="204">
        <v>0.06</v>
      </c>
      <c r="M383" s="112">
        <v>6.5175000000000001</v>
      </c>
      <c r="N383" s="112">
        <v>0.39105000000000001</v>
      </c>
      <c r="O383" s="204"/>
      <c r="P383" s="112"/>
      <c r="Q383" s="112"/>
      <c r="R383" s="112"/>
      <c r="S383" s="112"/>
      <c r="T383" s="112"/>
      <c r="U383" t="s">
        <v>4898</v>
      </c>
      <c r="V383" t="s">
        <v>4899</v>
      </c>
      <c r="W383" t="s">
        <v>3958</v>
      </c>
      <c r="X383" t="s">
        <v>4660</v>
      </c>
    </row>
    <row r="384" spans="1:24" x14ac:dyDescent="0.2">
      <c r="A384" t="s">
        <v>4897</v>
      </c>
      <c r="B384" t="s">
        <v>1414</v>
      </c>
      <c r="C384" t="s">
        <v>1415</v>
      </c>
      <c r="D384" t="s">
        <v>56</v>
      </c>
      <c r="E384" t="s">
        <v>235</v>
      </c>
      <c r="F384" t="s">
        <v>180</v>
      </c>
      <c r="G384" s="202">
        <v>187.40299999999999</v>
      </c>
      <c r="H384">
        <v>5</v>
      </c>
      <c r="I384" t="s">
        <v>3968</v>
      </c>
      <c r="J384" t="s">
        <v>3969</v>
      </c>
      <c r="K384" t="s">
        <v>180</v>
      </c>
      <c r="L384" s="204">
        <v>1</v>
      </c>
      <c r="M384" s="112"/>
      <c r="N384" s="112">
        <v>6.5175000000000001</v>
      </c>
      <c r="O384" s="204">
        <v>0.2220903536356722</v>
      </c>
      <c r="P384" s="112">
        <v>1.4474738798204942</v>
      </c>
      <c r="Q384" s="112">
        <v>7.9649738798204943</v>
      </c>
      <c r="R384" s="112">
        <v>1492.66</v>
      </c>
      <c r="S384" s="112">
        <v>1492.66</v>
      </c>
      <c r="T384" s="112">
        <v>0</v>
      </c>
      <c r="U384" t="s">
        <v>4898</v>
      </c>
      <c r="V384" t="s">
        <v>4899</v>
      </c>
      <c r="W384" t="s">
        <v>4666</v>
      </c>
      <c r="X384" t="s">
        <v>4667</v>
      </c>
    </row>
    <row r="385" spans="1:24" x14ac:dyDescent="0.2">
      <c r="A385" t="s">
        <v>4900</v>
      </c>
      <c r="B385" t="s">
        <v>1416</v>
      </c>
      <c r="C385" t="s">
        <v>236</v>
      </c>
      <c r="D385" t="s">
        <v>209</v>
      </c>
      <c r="E385" t="s">
        <v>271</v>
      </c>
      <c r="F385" t="s">
        <v>118</v>
      </c>
      <c r="G385" s="202">
        <v>147.48699999999999</v>
      </c>
      <c r="H385">
        <v>1</v>
      </c>
      <c r="I385" t="s">
        <v>3954</v>
      </c>
      <c r="J385" t="s">
        <v>4804</v>
      </c>
      <c r="K385" t="s">
        <v>1283</v>
      </c>
      <c r="L385" s="204">
        <v>0.28000000000000003</v>
      </c>
      <c r="M385" s="112">
        <v>521.81999999999994</v>
      </c>
      <c r="N385" s="112">
        <v>146.1096</v>
      </c>
      <c r="O385" s="204"/>
      <c r="P385" s="112"/>
      <c r="Q385" s="112"/>
      <c r="R385" s="112"/>
      <c r="S385" s="112"/>
      <c r="T385" s="112"/>
      <c r="U385" t="s">
        <v>4106</v>
      </c>
      <c r="V385" t="s">
        <v>4107</v>
      </c>
      <c r="W385" t="s">
        <v>3958</v>
      </c>
      <c r="X385" t="s">
        <v>4660</v>
      </c>
    </row>
    <row r="386" spans="1:24" x14ac:dyDescent="0.2">
      <c r="A386" t="s">
        <v>4900</v>
      </c>
      <c r="B386" t="s">
        <v>1416</v>
      </c>
      <c r="C386" t="s">
        <v>236</v>
      </c>
      <c r="D386" t="s">
        <v>209</v>
      </c>
      <c r="E386" t="s">
        <v>271</v>
      </c>
      <c r="F386" t="s">
        <v>118</v>
      </c>
      <c r="G386" s="202">
        <v>147.48699999999999</v>
      </c>
      <c r="H386">
        <v>2</v>
      </c>
      <c r="I386" t="s">
        <v>3960</v>
      </c>
      <c r="J386" t="s">
        <v>4807</v>
      </c>
      <c r="K386" t="s">
        <v>1283</v>
      </c>
      <c r="L386" s="204">
        <v>0.56000000000000005</v>
      </c>
      <c r="M386" s="112">
        <v>521.81999999999994</v>
      </c>
      <c r="N386" s="112">
        <v>292.2192</v>
      </c>
      <c r="O386" s="204"/>
      <c r="P386" s="112"/>
      <c r="Q386" s="112"/>
      <c r="R386" s="112"/>
      <c r="S386" s="112"/>
      <c r="T386" s="112"/>
      <c r="U386" t="s">
        <v>4106</v>
      </c>
      <c r="V386" t="s">
        <v>4107</v>
      </c>
      <c r="W386" t="s">
        <v>3958</v>
      </c>
      <c r="X386" t="s">
        <v>4660</v>
      </c>
    </row>
    <row r="387" spans="1:24" x14ac:dyDescent="0.2">
      <c r="A387" t="s">
        <v>4900</v>
      </c>
      <c r="B387" t="s">
        <v>1416</v>
      </c>
      <c r="C387" t="s">
        <v>236</v>
      </c>
      <c r="D387" t="s">
        <v>209</v>
      </c>
      <c r="E387" t="s">
        <v>271</v>
      </c>
      <c r="F387" t="s">
        <v>118</v>
      </c>
      <c r="G387" s="202">
        <v>147.48699999999999</v>
      </c>
      <c r="H387">
        <v>3</v>
      </c>
      <c r="I387" t="s">
        <v>3962</v>
      </c>
      <c r="J387" t="s">
        <v>4808</v>
      </c>
      <c r="K387" t="s">
        <v>1283</v>
      </c>
      <c r="L387" s="204">
        <v>0.1</v>
      </c>
      <c r="M387" s="112">
        <v>521.81999999999994</v>
      </c>
      <c r="N387" s="112">
        <v>52.181999999999995</v>
      </c>
      <c r="O387" s="204"/>
      <c r="P387" s="112"/>
      <c r="Q387" s="112"/>
      <c r="R387" s="112"/>
      <c r="S387" s="112"/>
      <c r="T387" s="112"/>
      <c r="U387" t="s">
        <v>4106</v>
      </c>
      <c r="V387" t="s">
        <v>4107</v>
      </c>
      <c r="W387" t="s">
        <v>3958</v>
      </c>
      <c r="X387" t="s">
        <v>4660</v>
      </c>
    </row>
    <row r="388" spans="1:24" x14ac:dyDescent="0.2">
      <c r="A388" t="s">
        <v>4900</v>
      </c>
      <c r="B388" t="s">
        <v>1416</v>
      </c>
      <c r="C388" t="s">
        <v>236</v>
      </c>
      <c r="D388" t="s">
        <v>209</v>
      </c>
      <c r="E388" t="s">
        <v>271</v>
      </c>
      <c r="F388" t="s">
        <v>118</v>
      </c>
      <c r="G388" s="202">
        <v>147.48699999999999</v>
      </c>
      <c r="H388">
        <v>4</v>
      </c>
      <c r="I388" t="s">
        <v>4017</v>
      </c>
      <c r="J388" t="s">
        <v>4809</v>
      </c>
      <c r="K388" t="s">
        <v>1283</v>
      </c>
      <c r="L388" s="204">
        <v>0.06</v>
      </c>
      <c r="M388" s="112">
        <v>521.81999999999994</v>
      </c>
      <c r="N388" s="112">
        <v>31.309199999999993</v>
      </c>
      <c r="O388" s="204"/>
      <c r="P388" s="112"/>
      <c r="Q388" s="112"/>
      <c r="R388" s="112"/>
      <c r="S388" s="112"/>
      <c r="T388" s="112"/>
      <c r="U388" t="s">
        <v>4106</v>
      </c>
      <c r="V388" t="s">
        <v>4107</v>
      </c>
      <c r="W388" t="s">
        <v>3958</v>
      </c>
      <c r="X388" t="s">
        <v>4660</v>
      </c>
    </row>
    <row r="389" spans="1:24" x14ac:dyDescent="0.2">
      <c r="A389" t="s">
        <v>4900</v>
      </c>
      <c r="B389" t="s">
        <v>1416</v>
      </c>
      <c r="C389" t="s">
        <v>236</v>
      </c>
      <c r="D389" t="s">
        <v>209</v>
      </c>
      <c r="E389" t="s">
        <v>271</v>
      </c>
      <c r="F389" t="s">
        <v>118</v>
      </c>
      <c r="G389" s="202">
        <v>147.48699999999999</v>
      </c>
      <c r="H389">
        <v>5</v>
      </c>
      <c r="I389" t="s">
        <v>3968</v>
      </c>
      <c r="J389" t="s">
        <v>3969</v>
      </c>
      <c r="K389" t="s">
        <v>118</v>
      </c>
      <c r="L389" s="204">
        <v>1</v>
      </c>
      <c r="M389" s="112"/>
      <c r="N389" s="112">
        <v>521.81999999999994</v>
      </c>
      <c r="O389" s="204">
        <v>0.22228928340014953</v>
      </c>
      <c r="P389" s="112">
        <v>115.99499386386606</v>
      </c>
      <c r="Q389" s="112">
        <v>637.81499386386599</v>
      </c>
      <c r="R389" s="112">
        <v>94069.42</v>
      </c>
      <c r="S389" s="112">
        <v>94069.42</v>
      </c>
      <c r="T389" s="112">
        <v>0</v>
      </c>
      <c r="U389" t="s">
        <v>4106</v>
      </c>
      <c r="V389" t="s">
        <v>4107</v>
      </c>
      <c r="W389" t="s">
        <v>4666</v>
      </c>
      <c r="X389" t="s">
        <v>4667</v>
      </c>
    </row>
    <row r="390" spans="1:24" x14ac:dyDescent="0.2">
      <c r="A390" t="s">
        <v>4901</v>
      </c>
      <c r="B390" t="s">
        <v>240</v>
      </c>
      <c r="C390" t="s">
        <v>1417</v>
      </c>
      <c r="D390" t="s">
        <v>56</v>
      </c>
      <c r="E390" t="s">
        <v>241</v>
      </c>
      <c r="F390" t="s">
        <v>26</v>
      </c>
      <c r="G390" s="202">
        <v>26.538</v>
      </c>
      <c r="H390">
        <v>1</v>
      </c>
      <c r="I390" t="s">
        <v>3954</v>
      </c>
      <c r="J390" t="s">
        <v>4715</v>
      </c>
      <c r="K390" t="s">
        <v>1283</v>
      </c>
      <c r="L390" s="204">
        <v>0.42</v>
      </c>
      <c r="M390" s="112">
        <v>116.0175</v>
      </c>
      <c r="N390" s="112">
        <v>48.727349999999994</v>
      </c>
      <c r="O390" s="204"/>
      <c r="P390" s="112"/>
      <c r="Q390" s="112"/>
      <c r="R390" s="112"/>
      <c r="S390" s="112"/>
      <c r="T390" s="112"/>
      <c r="U390" t="s">
        <v>4902</v>
      </c>
      <c r="V390" t="s">
        <v>4903</v>
      </c>
      <c r="W390" t="s">
        <v>3958</v>
      </c>
      <c r="X390" t="s">
        <v>4660</v>
      </c>
    </row>
    <row r="391" spans="1:24" x14ac:dyDescent="0.2">
      <c r="A391" t="s">
        <v>4901</v>
      </c>
      <c r="B391" t="s">
        <v>240</v>
      </c>
      <c r="C391" t="s">
        <v>1417</v>
      </c>
      <c r="D391" t="s">
        <v>56</v>
      </c>
      <c r="E391" t="s">
        <v>241</v>
      </c>
      <c r="F391" t="s">
        <v>26</v>
      </c>
      <c r="G391" s="202">
        <v>26.538</v>
      </c>
      <c r="H391">
        <v>2</v>
      </c>
      <c r="I391" t="s">
        <v>3960</v>
      </c>
      <c r="J391" t="s">
        <v>4718</v>
      </c>
      <c r="K391" t="s">
        <v>1283</v>
      </c>
      <c r="L391" s="204">
        <v>0.4</v>
      </c>
      <c r="M391" s="112">
        <v>116.0175</v>
      </c>
      <c r="N391" s="112">
        <v>46.407000000000004</v>
      </c>
      <c r="O391" s="204"/>
      <c r="P391" s="112"/>
      <c r="Q391" s="112"/>
      <c r="R391" s="112"/>
      <c r="S391" s="112"/>
      <c r="T391" s="112"/>
      <c r="U391" t="s">
        <v>4902</v>
      </c>
      <c r="V391" t="s">
        <v>4903</v>
      </c>
      <c r="W391" t="s">
        <v>3958</v>
      </c>
      <c r="X391" t="s">
        <v>4660</v>
      </c>
    </row>
    <row r="392" spans="1:24" x14ac:dyDescent="0.2">
      <c r="A392" t="s">
        <v>4901</v>
      </c>
      <c r="B392" t="s">
        <v>240</v>
      </c>
      <c r="C392" t="s">
        <v>1417</v>
      </c>
      <c r="D392" t="s">
        <v>56</v>
      </c>
      <c r="E392" t="s">
        <v>241</v>
      </c>
      <c r="F392" t="s">
        <v>26</v>
      </c>
      <c r="G392" s="202">
        <v>26.538</v>
      </c>
      <c r="H392">
        <v>3</v>
      </c>
      <c r="I392" t="s">
        <v>3976</v>
      </c>
      <c r="J392" t="s">
        <v>4719</v>
      </c>
      <c r="K392" t="s">
        <v>1283</v>
      </c>
      <c r="L392" s="204">
        <v>0.12</v>
      </c>
      <c r="M392" s="112">
        <v>116.0175</v>
      </c>
      <c r="N392" s="112">
        <v>13.922099999999999</v>
      </c>
      <c r="O392" s="204"/>
      <c r="P392" s="112"/>
      <c r="Q392" s="112"/>
      <c r="R392" s="112"/>
      <c r="S392" s="112"/>
      <c r="T392" s="112"/>
      <c r="U392" t="s">
        <v>4902</v>
      </c>
      <c r="V392" t="s">
        <v>4903</v>
      </c>
      <c r="W392" t="s">
        <v>3958</v>
      </c>
      <c r="X392" t="s">
        <v>4660</v>
      </c>
    </row>
    <row r="393" spans="1:24" x14ac:dyDescent="0.2">
      <c r="A393" t="s">
        <v>4901</v>
      </c>
      <c r="B393" t="s">
        <v>240</v>
      </c>
      <c r="C393" t="s">
        <v>1417</v>
      </c>
      <c r="D393" t="s">
        <v>56</v>
      </c>
      <c r="E393" t="s">
        <v>241</v>
      </c>
      <c r="F393" t="s">
        <v>26</v>
      </c>
      <c r="G393" s="202">
        <v>26.538</v>
      </c>
      <c r="H393">
        <v>4</v>
      </c>
      <c r="I393" t="s">
        <v>4017</v>
      </c>
      <c r="J393" t="s">
        <v>4720</v>
      </c>
      <c r="K393" t="s">
        <v>1283</v>
      </c>
      <c r="L393" s="204">
        <v>0.06</v>
      </c>
      <c r="M393" s="112">
        <v>116.0175</v>
      </c>
      <c r="N393" s="112">
        <v>6.9610499999999993</v>
      </c>
      <c r="O393" s="204"/>
      <c r="P393" s="112"/>
      <c r="Q393" s="112"/>
      <c r="R393" s="112"/>
      <c r="S393" s="112"/>
      <c r="T393" s="112"/>
      <c r="U393" t="s">
        <v>4902</v>
      </c>
      <c r="V393" t="s">
        <v>4903</v>
      </c>
      <c r="W393" t="s">
        <v>3958</v>
      </c>
      <c r="X393" t="s">
        <v>4660</v>
      </c>
    </row>
    <row r="394" spans="1:24" x14ac:dyDescent="0.2">
      <c r="A394" t="s">
        <v>4901</v>
      </c>
      <c r="B394" t="s">
        <v>240</v>
      </c>
      <c r="C394" t="s">
        <v>1417</v>
      </c>
      <c r="D394" t="s">
        <v>56</v>
      </c>
      <c r="E394" t="s">
        <v>241</v>
      </c>
      <c r="F394" t="s">
        <v>26</v>
      </c>
      <c r="G394" s="202">
        <v>26.538</v>
      </c>
      <c r="H394">
        <v>5</v>
      </c>
      <c r="I394" t="s">
        <v>3968</v>
      </c>
      <c r="J394" t="s">
        <v>3969</v>
      </c>
      <c r="K394" t="s">
        <v>26</v>
      </c>
      <c r="L394" s="204">
        <v>1</v>
      </c>
      <c r="M394" s="112"/>
      <c r="N394" s="112">
        <v>116.0175</v>
      </c>
      <c r="O394" s="204">
        <v>0.22224941237131457</v>
      </c>
      <c r="P394" s="112">
        <v>25.784821199788993</v>
      </c>
      <c r="Q394" s="112">
        <v>141.80232119978899</v>
      </c>
      <c r="R394" s="112">
        <v>3763.15</v>
      </c>
      <c r="S394" s="112">
        <v>3763.15</v>
      </c>
      <c r="T394" s="112">
        <v>0</v>
      </c>
      <c r="U394" t="s">
        <v>4902</v>
      </c>
      <c r="V394" t="s">
        <v>4903</v>
      </c>
      <c r="W394" t="s">
        <v>4666</v>
      </c>
      <c r="X394" t="s">
        <v>4667</v>
      </c>
    </row>
    <row r="395" spans="1:24" x14ac:dyDescent="0.2">
      <c r="A395" t="s">
        <v>4904</v>
      </c>
      <c r="B395" t="s">
        <v>242</v>
      </c>
      <c r="C395" t="s">
        <v>1418</v>
      </c>
      <c r="D395" t="s">
        <v>56</v>
      </c>
      <c r="E395" t="s">
        <v>243</v>
      </c>
      <c r="F395" t="s">
        <v>26</v>
      </c>
      <c r="G395" s="202">
        <v>34.006999999999998</v>
      </c>
      <c r="H395">
        <v>1</v>
      </c>
      <c r="I395" t="s">
        <v>3954</v>
      </c>
      <c r="J395" t="s">
        <v>4715</v>
      </c>
      <c r="K395" t="s">
        <v>1283</v>
      </c>
      <c r="L395" s="204">
        <v>0.42</v>
      </c>
      <c r="M395" s="112">
        <v>133.125</v>
      </c>
      <c r="N395" s="112">
        <v>55.912500000000001</v>
      </c>
      <c r="O395" s="204"/>
      <c r="P395" s="112"/>
      <c r="Q395" s="112"/>
      <c r="R395" s="112"/>
      <c r="S395" s="112"/>
      <c r="T395" s="112"/>
      <c r="U395" t="s">
        <v>4905</v>
      </c>
      <c r="V395" t="s">
        <v>4906</v>
      </c>
      <c r="W395" t="s">
        <v>3958</v>
      </c>
      <c r="X395" t="s">
        <v>4660</v>
      </c>
    </row>
    <row r="396" spans="1:24" x14ac:dyDescent="0.2">
      <c r="A396" t="s">
        <v>4904</v>
      </c>
      <c r="B396" t="s">
        <v>242</v>
      </c>
      <c r="C396" t="s">
        <v>1418</v>
      </c>
      <c r="D396" t="s">
        <v>56</v>
      </c>
      <c r="E396" t="s">
        <v>243</v>
      </c>
      <c r="F396" t="s">
        <v>26</v>
      </c>
      <c r="G396" s="202">
        <v>34.006999999999998</v>
      </c>
      <c r="H396">
        <v>2</v>
      </c>
      <c r="I396" t="s">
        <v>3960</v>
      </c>
      <c r="J396" t="s">
        <v>4718</v>
      </c>
      <c r="K396" t="s">
        <v>1283</v>
      </c>
      <c r="L396" s="204">
        <v>0.4</v>
      </c>
      <c r="M396" s="112">
        <v>133.125</v>
      </c>
      <c r="N396" s="112">
        <v>53.25</v>
      </c>
      <c r="O396" s="204"/>
      <c r="P396" s="112"/>
      <c r="Q396" s="112"/>
      <c r="R396" s="112"/>
      <c r="S396" s="112"/>
      <c r="T396" s="112"/>
      <c r="U396" t="s">
        <v>4905</v>
      </c>
      <c r="V396" t="s">
        <v>4906</v>
      </c>
      <c r="W396" t="s">
        <v>3958</v>
      </c>
      <c r="X396" t="s">
        <v>4660</v>
      </c>
    </row>
    <row r="397" spans="1:24" x14ac:dyDescent="0.2">
      <c r="A397" t="s">
        <v>4904</v>
      </c>
      <c r="B397" t="s">
        <v>242</v>
      </c>
      <c r="C397" t="s">
        <v>1418</v>
      </c>
      <c r="D397" t="s">
        <v>56</v>
      </c>
      <c r="E397" t="s">
        <v>243</v>
      </c>
      <c r="F397" t="s">
        <v>26</v>
      </c>
      <c r="G397" s="202">
        <v>34.006999999999998</v>
      </c>
      <c r="H397">
        <v>3</v>
      </c>
      <c r="I397" t="s">
        <v>3976</v>
      </c>
      <c r="J397" t="s">
        <v>4719</v>
      </c>
      <c r="K397" t="s">
        <v>1283</v>
      </c>
      <c r="L397" s="204">
        <v>0.12</v>
      </c>
      <c r="M397" s="112">
        <v>133.125</v>
      </c>
      <c r="N397" s="112">
        <v>15.975</v>
      </c>
      <c r="O397" s="204"/>
      <c r="P397" s="112"/>
      <c r="Q397" s="112"/>
      <c r="R397" s="112"/>
      <c r="S397" s="112"/>
      <c r="T397" s="112"/>
      <c r="U397" t="s">
        <v>4905</v>
      </c>
      <c r="V397" t="s">
        <v>4906</v>
      </c>
      <c r="W397" t="s">
        <v>3958</v>
      </c>
      <c r="X397" t="s">
        <v>4660</v>
      </c>
    </row>
    <row r="398" spans="1:24" x14ac:dyDescent="0.2">
      <c r="A398" t="s">
        <v>4904</v>
      </c>
      <c r="B398" t="s">
        <v>242</v>
      </c>
      <c r="C398" t="s">
        <v>1418</v>
      </c>
      <c r="D398" t="s">
        <v>56</v>
      </c>
      <c r="E398" t="s">
        <v>243</v>
      </c>
      <c r="F398" t="s">
        <v>26</v>
      </c>
      <c r="G398" s="202">
        <v>34.006999999999998</v>
      </c>
      <c r="H398">
        <v>4</v>
      </c>
      <c r="I398" t="s">
        <v>4017</v>
      </c>
      <c r="J398" t="s">
        <v>4720</v>
      </c>
      <c r="K398" t="s">
        <v>1283</v>
      </c>
      <c r="L398" s="204">
        <v>0.06</v>
      </c>
      <c r="M398" s="112">
        <v>133.125</v>
      </c>
      <c r="N398" s="112">
        <v>7.9874999999999998</v>
      </c>
      <c r="O398" s="204"/>
      <c r="P398" s="112"/>
      <c r="Q398" s="112"/>
      <c r="R398" s="112"/>
      <c r="S398" s="112"/>
      <c r="T398" s="112"/>
      <c r="U398" t="s">
        <v>4905</v>
      </c>
      <c r="V398" t="s">
        <v>4906</v>
      </c>
      <c r="W398" t="s">
        <v>3958</v>
      </c>
      <c r="X398" t="s">
        <v>4660</v>
      </c>
    </row>
    <row r="399" spans="1:24" x14ac:dyDescent="0.2">
      <c r="A399" t="s">
        <v>4904</v>
      </c>
      <c r="B399" t="s">
        <v>242</v>
      </c>
      <c r="C399" t="s">
        <v>1418</v>
      </c>
      <c r="D399" t="s">
        <v>56</v>
      </c>
      <c r="E399" t="s">
        <v>243</v>
      </c>
      <c r="F399" t="s">
        <v>26</v>
      </c>
      <c r="G399" s="202">
        <v>34.006999999999998</v>
      </c>
      <c r="H399">
        <v>5</v>
      </c>
      <c r="I399" t="s">
        <v>3968</v>
      </c>
      <c r="J399" t="s">
        <v>3969</v>
      </c>
      <c r="K399" t="s">
        <v>26</v>
      </c>
      <c r="L399" s="204">
        <v>1</v>
      </c>
      <c r="M399" s="112"/>
      <c r="N399" s="112">
        <v>133.125</v>
      </c>
      <c r="O399" s="204">
        <v>0.22225264033599279</v>
      </c>
      <c r="P399" s="112">
        <v>29.587382744729041</v>
      </c>
      <c r="Q399" s="112">
        <v>162.71238274472904</v>
      </c>
      <c r="R399" s="112">
        <v>5533.36</v>
      </c>
      <c r="S399" s="112">
        <v>5533.36</v>
      </c>
      <c r="T399" s="112">
        <v>0</v>
      </c>
      <c r="U399" t="s">
        <v>4905</v>
      </c>
      <c r="V399" t="s">
        <v>4906</v>
      </c>
      <c r="W399" t="s">
        <v>4666</v>
      </c>
      <c r="X399" t="s">
        <v>4667</v>
      </c>
    </row>
    <row r="400" spans="1:24" x14ac:dyDescent="0.2">
      <c r="A400" t="s">
        <v>4907</v>
      </c>
      <c r="B400" t="s">
        <v>244</v>
      </c>
      <c r="C400" t="s">
        <v>1419</v>
      </c>
      <c r="D400" t="s">
        <v>56</v>
      </c>
      <c r="E400" t="s">
        <v>1420</v>
      </c>
      <c r="F400" t="s">
        <v>180</v>
      </c>
      <c r="G400" s="202">
        <v>24.114999999999998</v>
      </c>
      <c r="H400">
        <v>1</v>
      </c>
      <c r="I400" t="s">
        <v>3954</v>
      </c>
      <c r="J400" t="s">
        <v>4804</v>
      </c>
      <c r="K400" t="s">
        <v>1283</v>
      </c>
      <c r="L400" s="204">
        <v>0.28000000000000003</v>
      </c>
      <c r="M400" s="112">
        <v>20.647500000000001</v>
      </c>
      <c r="N400" s="112">
        <v>5.7813000000000008</v>
      </c>
      <c r="O400" s="204"/>
      <c r="P400" s="112"/>
      <c r="Q400" s="112"/>
      <c r="R400" s="112"/>
      <c r="S400" s="112"/>
      <c r="T400" s="112"/>
      <c r="U400" t="s">
        <v>4908</v>
      </c>
      <c r="V400" t="s">
        <v>4909</v>
      </c>
      <c r="W400" t="s">
        <v>3958</v>
      </c>
      <c r="X400" t="s">
        <v>4660</v>
      </c>
    </row>
    <row r="401" spans="1:24" x14ac:dyDescent="0.2">
      <c r="A401" t="s">
        <v>4907</v>
      </c>
      <c r="B401" t="s">
        <v>244</v>
      </c>
      <c r="C401" t="s">
        <v>1419</v>
      </c>
      <c r="D401" t="s">
        <v>56</v>
      </c>
      <c r="E401" t="s">
        <v>1420</v>
      </c>
      <c r="F401" t="s">
        <v>180</v>
      </c>
      <c r="G401" s="202">
        <v>24.114999999999998</v>
      </c>
      <c r="H401">
        <v>2</v>
      </c>
      <c r="I401" t="s">
        <v>3960</v>
      </c>
      <c r="J401" t="s">
        <v>4807</v>
      </c>
      <c r="K401" t="s">
        <v>1283</v>
      </c>
      <c r="L401" s="204">
        <v>0.56000000000000005</v>
      </c>
      <c r="M401" s="112">
        <v>20.647500000000001</v>
      </c>
      <c r="N401" s="112">
        <v>11.562600000000002</v>
      </c>
      <c r="O401" s="204"/>
      <c r="P401" s="112"/>
      <c r="Q401" s="112"/>
      <c r="R401" s="112"/>
      <c r="S401" s="112"/>
      <c r="T401" s="112"/>
      <c r="U401" t="s">
        <v>4908</v>
      </c>
      <c r="V401" t="s">
        <v>4909</v>
      </c>
      <c r="W401" t="s">
        <v>3958</v>
      </c>
      <c r="X401" t="s">
        <v>4660</v>
      </c>
    </row>
    <row r="402" spans="1:24" x14ac:dyDescent="0.2">
      <c r="A402" t="s">
        <v>4907</v>
      </c>
      <c r="B402" t="s">
        <v>244</v>
      </c>
      <c r="C402" t="s">
        <v>1419</v>
      </c>
      <c r="D402" t="s">
        <v>56</v>
      </c>
      <c r="E402" t="s">
        <v>1420</v>
      </c>
      <c r="F402" t="s">
        <v>180</v>
      </c>
      <c r="G402" s="202">
        <v>24.114999999999998</v>
      </c>
      <c r="H402">
        <v>3</v>
      </c>
      <c r="I402" t="s">
        <v>3962</v>
      </c>
      <c r="J402" t="s">
        <v>4808</v>
      </c>
      <c r="K402" t="s">
        <v>1283</v>
      </c>
      <c r="L402" s="204">
        <v>0.1</v>
      </c>
      <c r="M402" s="112">
        <v>20.647500000000001</v>
      </c>
      <c r="N402" s="112">
        <v>2.0647500000000001</v>
      </c>
      <c r="O402" s="204"/>
      <c r="P402" s="112"/>
      <c r="Q402" s="112"/>
      <c r="R402" s="112"/>
      <c r="S402" s="112"/>
      <c r="T402" s="112"/>
      <c r="U402" t="s">
        <v>4908</v>
      </c>
      <c r="V402" t="s">
        <v>4909</v>
      </c>
      <c r="W402" t="s">
        <v>3958</v>
      </c>
      <c r="X402" t="s">
        <v>4660</v>
      </c>
    </row>
    <row r="403" spans="1:24" x14ac:dyDescent="0.2">
      <c r="A403" t="s">
        <v>4907</v>
      </c>
      <c r="B403" t="s">
        <v>244</v>
      </c>
      <c r="C403" t="s">
        <v>1419</v>
      </c>
      <c r="D403" t="s">
        <v>56</v>
      </c>
      <c r="E403" t="s">
        <v>1420</v>
      </c>
      <c r="F403" t="s">
        <v>180</v>
      </c>
      <c r="G403" s="202">
        <v>24.114999999999998</v>
      </c>
      <c r="H403">
        <v>4</v>
      </c>
      <c r="I403" t="s">
        <v>4017</v>
      </c>
      <c r="J403" t="s">
        <v>4809</v>
      </c>
      <c r="K403" t="s">
        <v>1283</v>
      </c>
      <c r="L403" s="204">
        <v>0.06</v>
      </c>
      <c r="M403" s="112">
        <v>20.647500000000001</v>
      </c>
      <c r="N403" s="112">
        <v>1.23885</v>
      </c>
      <c r="O403" s="204"/>
      <c r="P403" s="112"/>
      <c r="Q403" s="112"/>
      <c r="R403" s="112"/>
      <c r="S403" s="112"/>
      <c r="T403" s="112"/>
      <c r="U403" t="s">
        <v>4908</v>
      </c>
      <c r="V403" t="s">
        <v>4909</v>
      </c>
      <c r="W403" t="s">
        <v>3958</v>
      </c>
      <c r="X403" t="s">
        <v>4660</v>
      </c>
    </row>
    <row r="404" spans="1:24" x14ac:dyDescent="0.2">
      <c r="A404" t="s">
        <v>4907</v>
      </c>
      <c r="B404" t="s">
        <v>244</v>
      </c>
      <c r="C404" t="s">
        <v>1419</v>
      </c>
      <c r="D404" t="s">
        <v>56</v>
      </c>
      <c r="E404" t="s">
        <v>1420</v>
      </c>
      <c r="F404" t="s">
        <v>180</v>
      </c>
      <c r="G404" s="202">
        <v>24.114999999999998</v>
      </c>
      <c r="H404">
        <v>5</v>
      </c>
      <c r="I404" t="s">
        <v>3968</v>
      </c>
      <c r="J404" t="s">
        <v>3969</v>
      </c>
      <c r="K404" t="s">
        <v>180</v>
      </c>
      <c r="L404" s="204">
        <v>1</v>
      </c>
      <c r="M404" s="112"/>
      <c r="N404" s="112">
        <v>20.647500000000001</v>
      </c>
      <c r="O404" s="204">
        <v>0.22193678999633382</v>
      </c>
      <c r="P404" s="112">
        <v>4.5824398714493029</v>
      </c>
      <c r="Q404" s="112">
        <v>25.229939871449304</v>
      </c>
      <c r="R404" s="112">
        <v>608.41999999999996</v>
      </c>
      <c r="S404" s="112">
        <v>608.41999999999996</v>
      </c>
      <c r="T404" s="112">
        <v>0</v>
      </c>
      <c r="U404" t="s">
        <v>4908</v>
      </c>
      <c r="V404" t="s">
        <v>4909</v>
      </c>
      <c r="W404" t="s">
        <v>4666</v>
      </c>
      <c r="X404" t="s">
        <v>4667</v>
      </c>
    </row>
    <row r="405" spans="1:24" x14ac:dyDescent="0.2">
      <c r="A405" t="s">
        <v>4910</v>
      </c>
      <c r="B405" t="s">
        <v>246</v>
      </c>
      <c r="C405" t="s">
        <v>1421</v>
      </c>
      <c r="D405" t="s">
        <v>56</v>
      </c>
      <c r="E405" t="s">
        <v>1422</v>
      </c>
      <c r="F405" t="s">
        <v>180</v>
      </c>
      <c r="G405" s="202">
        <v>47.104999999999997</v>
      </c>
      <c r="H405">
        <v>1</v>
      </c>
      <c r="I405" t="s">
        <v>3954</v>
      </c>
      <c r="J405" t="s">
        <v>4804</v>
      </c>
      <c r="K405" t="s">
        <v>1283</v>
      </c>
      <c r="L405" s="204">
        <v>0.28000000000000003</v>
      </c>
      <c r="M405" s="112">
        <v>18.015000000000001</v>
      </c>
      <c r="N405" s="112">
        <v>5.0442000000000009</v>
      </c>
      <c r="O405" s="204"/>
      <c r="P405" s="112"/>
      <c r="Q405" s="112"/>
      <c r="R405" s="112"/>
      <c r="S405" s="112"/>
      <c r="T405" s="112"/>
      <c r="U405" t="s">
        <v>4911</v>
      </c>
      <c r="V405" t="s">
        <v>4912</v>
      </c>
      <c r="W405" t="s">
        <v>3958</v>
      </c>
      <c r="X405" t="s">
        <v>4660</v>
      </c>
    </row>
    <row r="406" spans="1:24" x14ac:dyDescent="0.2">
      <c r="A406" t="s">
        <v>4910</v>
      </c>
      <c r="B406" t="s">
        <v>246</v>
      </c>
      <c r="C406" t="s">
        <v>1421</v>
      </c>
      <c r="D406" t="s">
        <v>56</v>
      </c>
      <c r="E406" t="s">
        <v>1422</v>
      </c>
      <c r="F406" t="s">
        <v>180</v>
      </c>
      <c r="G406" s="202">
        <v>47.104999999999997</v>
      </c>
      <c r="H406">
        <v>2</v>
      </c>
      <c r="I406" t="s">
        <v>3960</v>
      </c>
      <c r="J406" t="s">
        <v>4807</v>
      </c>
      <c r="K406" t="s">
        <v>1283</v>
      </c>
      <c r="L406" s="204">
        <v>0.56000000000000005</v>
      </c>
      <c r="M406" s="112">
        <v>18.015000000000001</v>
      </c>
      <c r="N406" s="112">
        <v>10.088400000000002</v>
      </c>
      <c r="O406" s="204"/>
      <c r="P406" s="112"/>
      <c r="Q406" s="112"/>
      <c r="R406" s="112"/>
      <c r="S406" s="112"/>
      <c r="T406" s="112"/>
      <c r="U406" t="s">
        <v>4911</v>
      </c>
      <c r="V406" t="s">
        <v>4912</v>
      </c>
      <c r="W406" t="s">
        <v>3958</v>
      </c>
      <c r="X406" t="s">
        <v>4660</v>
      </c>
    </row>
    <row r="407" spans="1:24" x14ac:dyDescent="0.2">
      <c r="A407" t="s">
        <v>4910</v>
      </c>
      <c r="B407" t="s">
        <v>246</v>
      </c>
      <c r="C407" t="s">
        <v>1421</v>
      </c>
      <c r="D407" t="s">
        <v>56</v>
      </c>
      <c r="E407" t="s">
        <v>1422</v>
      </c>
      <c r="F407" t="s">
        <v>180</v>
      </c>
      <c r="G407" s="202">
        <v>47.104999999999997</v>
      </c>
      <c r="H407">
        <v>3</v>
      </c>
      <c r="I407" t="s">
        <v>3962</v>
      </c>
      <c r="J407" t="s">
        <v>4808</v>
      </c>
      <c r="K407" t="s">
        <v>1283</v>
      </c>
      <c r="L407" s="204">
        <v>0.1</v>
      </c>
      <c r="M407" s="112">
        <v>18.015000000000001</v>
      </c>
      <c r="N407" s="112">
        <v>1.8015000000000001</v>
      </c>
      <c r="O407" s="204"/>
      <c r="P407" s="112"/>
      <c r="Q407" s="112"/>
      <c r="R407" s="112"/>
      <c r="S407" s="112"/>
      <c r="T407" s="112"/>
      <c r="U407" t="s">
        <v>4911</v>
      </c>
      <c r="V407" t="s">
        <v>4912</v>
      </c>
      <c r="W407" t="s">
        <v>3958</v>
      </c>
      <c r="X407" t="s">
        <v>4660</v>
      </c>
    </row>
    <row r="408" spans="1:24" x14ac:dyDescent="0.2">
      <c r="A408" t="s">
        <v>4910</v>
      </c>
      <c r="B408" t="s">
        <v>246</v>
      </c>
      <c r="C408" t="s">
        <v>1421</v>
      </c>
      <c r="D408" t="s">
        <v>56</v>
      </c>
      <c r="E408" t="s">
        <v>1422</v>
      </c>
      <c r="F408" t="s">
        <v>180</v>
      </c>
      <c r="G408" s="202">
        <v>47.104999999999997</v>
      </c>
      <c r="H408">
        <v>4</v>
      </c>
      <c r="I408" t="s">
        <v>4017</v>
      </c>
      <c r="J408" t="s">
        <v>4809</v>
      </c>
      <c r="K408" t="s">
        <v>1283</v>
      </c>
      <c r="L408" s="204">
        <v>0.06</v>
      </c>
      <c r="M408" s="112">
        <v>18.015000000000001</v>
      </c>
      <c r="N408" s="112">
        <v>1.0809</v>
      </c>
      <c r="O408" s="204"/>
      <c r="P408" s="112"/>
      <c r="Q408" s="112"/>
      <c r="R408" s="112"/>
      <c r="S408" s="112"/>
      <c r="T408" s="112"/>
      <c r="U408" t="s">
        <v>4911</v>
      </c>
      <c r="V408" t="s">
        <v>4912</v>
      </c>
      <c r="W408" t="s">
        <v>3958</v>
      </c>
      <c r="X408" t="s">
        <v>4660</v>
      </c>
    </row>
    <row r="409" spans="1:24" x14ac:dyDescent="0.2">
      <c r="A409" t="s">
        <v>4910</v>
      </c>
      <c r="B409" t="s">
        <v>246</v>
      </c>
      <c r="C409" t="s">
        <v>1421</v>
      </c>
      <c r="D409" t="s">
        <v>56</v>
      </c>
      <c r="E409" t="s">
        <v>1422</v>
      </c>
      <c r="F409" t="s">
        <v>180</v>
      </c>
      <c r="G409" s="202">
        <v>47.104999999999997</v>
      </c>
      <c r="H409">
        <v>5</v>
      </c>
      <c r="I409" t="s">
        <v>3968</v>
      </c>
      <c r="J409" t="s">
        <v>3969</v>
      </c>
      <c r="K409" t="s">
        <v>180</v>
      </c>
      <c r="L409" s="204">
        <v>1</v>
      </c>
      <c r="M409" s="112"/>
      <c r="N409" s="112">
        <v>18.015000000000001</v>
      </c>
      <c r="O409" s="204">
        <v>0.22188803319174388</v>
      </c>
      <c r="P409" s="112">
        <v>3.9973129179492659</v>
      </c>
      <c r="Q409" s="112">
        <v>22.012312917949266</v>
      </c>
      <c r="R409" s="112">
        <v>1036.8900000000001</v>
      </c>
      <c r="S409" s="112">
        <v>1036.8900000000001</v>
      </c>
      <c r="T409" s="112">
        <v>0</v>
      </c>
      <c r="U409" t="s">
        <v>4911</v>
      </c>
      <c r="V409" t="s">
        <v>4912</v>
      </c>
      <c r="W409" t="s">
        <v>4666</v>
      </c>
      <c r="X409" t="s">
        <v>4667</v>
      </c>
    </row>
    <row r="410" spans="1:24" x14ac:dyDescent="0.2">
      <c r="A410" t="s">
        <v>4913</v>
      </c>
      <c r="B410" t="s">
        <v>248</v>
      </c>
      <c r="C410" t="s">
        <v>1423</v>
      </c>
      <c r="D410" t="s">
        <v>56</v>
      </c>
      <c r="E410" t="s">
        <v>1424</v>
      </c>
      <c r="F410" t="s">
        <v>180</v>
      </c>
      <c r="G410" s="202">
        <v>44.402999999999999</v>
      </c>
      <c r="H410">
        <v>1</v>
      </c>
      <c r="I410" t="s">
        <v>3954</v>
      </c>
      <c r="J410" t="s">
        <v>4804</v>
      </c>
      <c r="K410" t="s">
        <v>1283</v>
      </c>
      <c r="L410" s="204">
        <v>0.28000000000000003</v>
      </c>
      <c r="M410" s="112">
        <v>13.627500000000001</v>
      </c>
      <c r="N410" s="112">
        <v>3.8157000000000005</v>
      </c>
      <c r="O410" s="204"/>
      <c r="P410" s="112"/>
      <c r="Q410" s="112"/>
      <c r="R410" s="112"/>
      <c r="S410" s="112"/>
      <c r="T410" s="112"/>
      <c r="U410" t="s">
        <v>4914</v>
      </c>
      <c r="V410" t="s">
        <v>4915</v>
      </c>
      <c r="W410" t="s">
        <v>3958</v>
      </c>
      <c r="X410" t="s">
        <v>4660</v>
      </c>
    </row>
    <row r="411" spans="1:24" x14ac:dyDescent="0.2">
      <c r="A411" t="s">
        <v>4913</v>
      </c>
      <c r="B411" t="s">
        <v>248</v>
      </c>
      <c r="C411" t="s">
        <v>1423</v>
      </c>
      <c r="D411" t="s">
        <v>56</v>
      </c>
      <c r="E411" t="s">
        <v>1424</v>
      </c>
      <c r="F411" t="s">
        <v>180</v>
      </c>
      <c r="G411" s="202">
        <v>44.402999999999999</v>
      </c>
      <c r="H411">
        <v>2</v>
      </c>
      <c r="I411" t="s">
        <v>3960</v>
      </c>
      <c r="J411" t="s">
        <v>4807</v>
      </c>
      <c r="K411" t="s">
        <v>1283</v>
      </c>
      <c r="L411" s="204">
        <v>0.56000000000000005</v>
      </c>
      <c r="M411" s="112">
        <v>13.627500000000001</v>
      </c>
      <c r="N411" s="112">
        <v>7.6314000000000011</v>
      </c>
      <c r="O411" s="204"/>
      <c r="P411" s="112"/>
      <c r="Q411" s="112"/>
      <c r="R411" s="112"/>
      <c r="S411" s="112"/>
      <c r="T411" s="112"/>
      <c r="U411" t="s">
        <v>4914</v>
      </c>
      <c r="V411" t="s">
        <v>4915</v>
      </c>
      <c r="W411" t="s">
        <v>3958</v>
      </c>
      <c r="X411" t="s">
        <v>4660</v>
      </c>
    </row>
    <row r="412" spans="1:24" x14ac:dyDescent="0.2">
      <c r="A412" t="s">
        <v>4913</v>
      </c>
      <c r="B412" t="s">
        <v>248</v>
      </c>
      <c r="C412" t="s">
        <v>1423</v>
      </c>
      <c r="D412" t="s">
        <v>56</v>
      </c>
      <c r="E412" t="s">
        <v>1424</v>
      </c>
      <c r="F412" t="s">
        <v>180</v>
      </c>
      <c r="G412" s="202">
        <v>44.402999999999999</v>
      </c>
      <c r="H412">
        <v>3</v>
      </c>
      <c r="I412" t="s">
        <v>3962</v>
      </c>
      <c r="J412" t="s">
        <v>4808</v>
      </c>
      <c r="K412" t="s">
        <v>1283</v>
      </c>
      <c r="L412" s="204">
        <v>0.1</v>
      </c>
      <c r="M412" s="112">
        <v>13.627500000000001</v>
      </c>
      <c r="N412" s="112">
        <v>1.3627500000000001</v>
      </c>
      <c r="O412" s="204"/>
      <c r="P412" s="112"/>
      <c r="Q412" s="112"/>
      <c r="R412" s="112"/>
      <c r="S412" s="112"/>
      <c r="T412" s="112"/>
      <c r="U412" t="s">
        <v>4914</v>
      </c>
      <c r="V412" t="s">
        <v>4915</v>
      </c>
      <c r="W412" t="s">
        <v>3958</v>
      </c>
      <c r="X412" t="s">
        <v>4660</v>
      </c>
    </row>
    <row r="413" spans="1:24" x14ac:dyDescent="0.2">
      <c r="A413" t="s">
        <v>4913</v>
      </c>
      <c r="B413" t="s">
        <v>248</v>
      </c>
      <c r="C413" t="s">
        <v>1423</v>
      </c>
      <c r="D413" t="s">
        <v>56</v>
      </c>
      <c r="E413" t="s">
        <v>1424</v>
      </c>
      <c r="F413" t="s">
        <v>180</v>
      </c>
      <c r="G413" s="202">
        <v>44.402999999999999</v>
      </c>
      <c r="H413">
        <v>4</v>
      </c>
      <c r="I413" t="s">
        <v>4017</v>
      </c>
      <c r="J413" t="s">
        <v>4809</v>
      </c>
      <c r="K413" t="s">
        <v>1283</v>
      </c>
      <c r="L413" s="204">
        <v>0.06</v>
      </c>
      <c r="M413" s="112">
        <v>13.627500000000001</v>
      </c>
      <c r="N413" s="112">
        <v>0.8176500000000001</v>
      </c>
      <c r="O413" s="204"/>
      <c r="P413" s="112"/>
      <c r="Q413" s="112"/>
      <c r="R413" s="112"/>
      <c r="S413" s="112"/>
      <c r="T413" s="112"/>
      <c r="U413" t="s">
        <v>4914</v>
      </c>
      <c r="V413" t="s">
        <v>4915</v>
      </c>
      <c r="W413" t="s">
        <v>3958</v>
      </c>
      <c r="X413" t="s">
        <v>4660</v>
      </c>
    </row>
    <row r="414" spans="1:24" x14ac:dyDescent="0.2">
      <c r="A414" t="s">
        <v>4913</v>
      </c>
      <c r="B414" t="s">
        <v>248</v>
      </c>
      <c r="C414" t="s">
        <v>1423</v>
      </c>
      <c r="D414" t="s">
        <v>56</v>
      </c>
      <c r="E414" t="s">
        <v>1424</v>
      </c>
      <c r="F414" t="s">
        <v>180</v>
      </c>
      <c r="G414" s="202">
        <v>44.402999999999999</v>
      </c>
      <c r="H414">
        <v>5</v>
      </c>
      <c r="I414" t="s">
        <v>3968</v>
      </c>
      <c r="J414" t="s">
        <v>3969</v>
      </c>
      <c r="K414" t="s">
        <v>180</v>
      </c>
      <c r="L414" s="204">
        <v>1</v>
      </c>
      <c r="M414" s="112"/>
      <c r="N414" s="112">
        <v>13.627500000000001</v>
      </c>
      <c r="O414" s="204">
        <v>0.22177772269614437</v>
      </c>
      <c r="P414" s="112">
        <v>3.022275916041707</v>
      </c>
      <c r="Q414" s="112">
        <v>16.649775916041708</v>
      </c>
      <c r="R414" s="112">
        <v>739.3</v>
      </c>
      <c r="S414" s="112">
        <v>739.3</v>
      </c>
      <c r="T414" s="112">
        <v>0</v>
      </c>
      <c r="U414" t="s">
        <v>4914</v>
      </c>
      <c r="V414" t="s">
        <v>4915</v>
      </c>
      <c r="W414" t="s">
        <v>4666</v>
      </c>
      <c r="X414" t="s">
        <v>4667</v>
      </c>
    </row>
    <row r="415" spans="1:24" x14ac:dyDescent="0.2">
      <c r="A415" t="s">
        <v>4916</v>
      </c>
      <c r="B415" t="s">
        <v>250</v>
      </c>
      <c r="C415" t="s">
        <v>1425</v>
      </c>
      <c r="D415" t="s">
        <v>56</v>
      </c>
      <c r="E415" t="s">
        <v>251</v>
      </c>
      <c r="F415" t="s">
        <v>118</v>
      </c>
      <c r="G415" s="202">
        <v>3.4220000000000002</v>
      </c>
      <c r="H415">
        <v>1</v>
      </c>
      <c r="I415" t="s">
        <v>3954</v>
      </c>
      <c r="J415" t="s">
        <v>4804</v>
      </c>
      <c r="K415" t="s">
        <v>1283</v>
      </c>
      <c r="L415" s="204">
        <v>0.28000000000000003</v>
      </c>
      <c r="M415" s="112">
        <v>580.20749999999998</v>
      </c>
      <c r="N415" s="112">
        <v>162.4581</v>
      </c>
      <c r="O415" s="204"/>
      <c r="P415" s="112"/>
      <c r="Q415" s="112"/>
      <c r="R415" s="112"/>
      <c r="S415" s="112"/>
      <c r="T415" s="112"/>
      <c r="U415" t="s">
        <v>4917</v>
      </c>
      <c r="V415" t="s">
        <v>4918</v>
      </c>
      <c r="W415" t="s">
        <v>3958</v>
      </c>
      <c r="X415" t="s">
        <v>4660</v>
      </c>
    </row>
    <row r="416" spans="1:24" x14ac:dyDescent="0.2">
      <c r="A416" t="s">
        <v>4916</v>
      </c>
      <c r="B416" t="s">
        <v>250</v>
      </c>
      <c r="C416" t="s">
        <v>1425</v>
      </c>
      <c r="D416" t="s">
        <v>56</v>
      </c>
      <c r="E416" t="s">
        <v>251</v>
      </c>
      <c r="F416" t="s">
        <v>118</v>
      </c>
      <c r="G416" s="202">
        <v>3.4220000000000002</v>
      </c>
      <c r="H416">
        <v>2</v>
      </c>
      <c r="I416" t="s">
        <v>3960</v>
      </c>
      <c r="J416" t="s">
        <v>4807</v>
      </c>
      <c r="K416" t="s">
        <v>1283</v>
      </c>
      <c r="L416" s="204">
        <v>0.56000000000000005</v>
      </c>
      <c r="M416" s="112">
        <v>580.20749999999998</v>
      </c>
      <c r="N416" s="112">
        <v>324.9162</v>
      </c>
      <c r="O416" s="204"/>
      <c r="P416" s="112"/>
      <c r="Q416" s="112"/>
      <c r="R416" s="112"/>
      <c r="S416" s="112"/>
      <c r="T416" s="112"/>
      <c r="U416" t="s">
        <v>4917</v>
      </c>
      <c r="V416" t="s">
        <v>4918</v>
      </c>
      <c r="W416" t="s">
        <v>3958</v>
      </c>
      <c r="X416" t="s">
        <v>4660</v>
      </c>
    </row>
    <row r="417" spans="1:24" x14ac:dyDescent="0.2">
      <c r="A417" t="s">
        <v>4916</v>
      </c>
      <c r="B417" t="s">
        <v>250</v>
      </c>
      <c r="C417" t="s">
        <v>1425</v>
      </c>
      <c r="D417" t="s">
        <v>56</v>
      </c>
      <c r="E417" t="s">
        <v>251</v>
      </c>
      <c r="F417" t="s">
        <v>118</v>
      </c>
      <c r="G417" s="202">
        <v>3.4220000000000002</v>
      </c>
      <c r="H417">
        <v>3</v>
      </c>
      <c r="I417" t="s">
        <v>3962</v>
      </c>
      <c r="J417" t="s">
        <v>4808</v>
      </c>
      <c r="K417" t="s">
        <v>1283</v>
      </c>
      <c r="L417" s="204">
        <v>0.1</v>
      </c>
      <c r="M417" s="112">
        <v>580.20749999999998</v>
      </c>
      <c r="N417" s="112">
        <v>58.02075</v>
      </c>
      <c r="O417" s="204"/>
      <c r="P417" s="112"/>
      <c r="Q417" s="112"/>
      <c r="R417" s="112"/>
      <c r="S417" s="112"/>
      <c r="T417" s="112"/>
      <c r="U417" t="s">
        <v>4917</v>
      </c>
      <c r="V417" t="s">
        <v>4918</v>
      </c>
      <c r="W417" t="s">
        <v>3958</v>
      </c>
      <c r="X417" t="s">
        <v>4660</v>
      </c>
    </row>
    <row r="418" spans="1:24" x14ac:dyDescent="0.2">
      <c r="A418" t="s">
        <v>4916</v>
      </c>
      <c r="B418" t="s">
        <v>250</v>
      </c>
      <c r="C418" t="s">
        <v>1425</v>
      </c>
      <c r="D418" t="s">
        <v>56</v>
      </c>
      <c r="E418" t="s">
        <v>251</v>
      </c>
      <c r="F418" t="s">
        <v>118</v>
      </c>
      <c r="G418" s="202">
        <v>3.4220000000000002</v>
      </c>
      <c r="H418">
        <v>4</v>
      </c>
      <c r="I418" t="s">
        <v>4017</v>
      </c>
      <c r="J418" t="s">
        <v>4809</v>
      </c>
      <c r="K418" t="s">
        <v>1283</v>
      </c>
      <c r="L418" s="204">
        <v>0.06</v>
      </c>
      <c r="M418" s="112">
        <v>580.20749999999998</v>
      </c>
      <c r="N418" s="112">
        <v>34.812449999999998</v>
      </c>
      <c r="O418" s="204"/>
      <c r="P418" s="112"/>
      <c r="Q418" s="112"/>
      <c r="R418" s="112"/>
      <c r="S418" s="112"/>
      <c r="T418" s="112"/>
      <c r="U418" t="s">
        <v>4917</v>
      </c>
      <c r="V418" t="s">
        <v>4918</v>
      </c>
      <c r="W418" t="s">
        <v>3958</v>
      </c>
      <c r="X418" t="s">
        <v>4660</v>
      </c>
    </row>
    <row r="419" spans="1:24" x14ac:dyDescent="0.2">
      <c r="A419" t="s">
        <v>4916</v>
      </c>
      <c r="B419" t="s">
        <v>250</v>
      </c>
      <c r="C419" t="s">
        <v>1425</v>
      </c>
      <c r="D419" t="s">
        <v>56</v>
      </c>
      <c r="E419" t="s">
        <v>251</v>
      </c>
      <c r="F419" t="s">
        <v>118</v>
      </c>
      <c r="G419" s="202">
        <v>3.4220000000000002</v>
      </c>
      <c r="H419">
        <v>5</v>
      </c>
      <c r="I419" t="s">
        <v>3968</v>
      </c>
      <c r="J419" t="s">
        <v>3969</v>
      </c>
      <c r="K419" t="s">
        <v>118</v>
      </c>
      <c r="L419" s="204">
        <v>1</v>
      </c>
      <c r="M419" s="112"/>
      <c r="N419" s="112">
        <v>580.20749999999998</v>
      </c>
      <c r="O419" s="204">
        <v>0.22229493296339364</v>
      </c>
      <c r="P419" s="112">
        <v>128.97718731735824</v>
      </c>
      <c r="Q419" s="112">
        <v>709.18468731735823</v>
      </c>
      <c r="R419" s="112">
        <v>2426.83</v>
      </c>
      <c r="S419" s="112">
        <v>2426.83</v>
      </c>
      <c r="T419" s="112">
        <v>0</v>
      </c>
      <c r="U419" t="s">
        <v>4917</v>
      </c>
      <c r="V419" t="s">
        <v>4918</v>
      </c>
      <c r="W419" t="s">
        <v>4666</v>
      </c>
      <c r="X419" t="s">
        <v>4667</v>
      </c>
    </row>
    <row r="420" spans="1:24" x14ac:dyDescent="0.2">
      <c r="A420" t="s">
        <v>4919</v>
      </c>
      <c r="B420" t="s">
        <v>254</v>
      </c>
      <c r="C420" t="s">
        <v>1400</v>
      </c>
      <c r="D420" t="s">
        <v>56</v>
      </c>
      <c r="E420" t="s">
        <v>216</v>
      </c>
      <c r="F420" t="s">
        <v>26</v>
      </c>
      <c r="G420" s="202">
        <v>104.732</v>
      </c>
      <c r="H420">
        <v>1</v>
      </c>
      <c r="I420" t="s">
        <v>3954</v>
      </c>
      <c r="J420" t="s">
        <v>4715</v>
      </c>
      <c r="K420" t="s">
        <v>1283</v>
      </c>
      <c r="L420" s="204">
        <v>0.42</v>
      </c>
      <c r="M420" s="112">
        <v>57.885000000000005</v>
      </c>
      <c r="N420" s="112">
        <v>24.311700000000002</v>
      </c>
      <c r="O420" s="204"/>
      <c r="P420" s="112"/>
      <c r="Q420" s="112"/>
      <c r="R420" s="112"/>
      <c r="S420" s="112"/>
      <c r="T420" s="112"/>
      <c r="U420" t="s">
        <v>4021</v>
      </c>
      <c r="V420" t="s">
        <v>4920</v>
      </c>
      <c r="W420" t="s">
        <v>3958</v>
      </c>
      <c r="X420" t="s">
        <v>4660</v>
      </c>
    </row>
    <row r="421" spans="1:24" x14ac:dyDescent="0.2">
      <c r="A421" t="s">
        <v>4919</v>
      </c>
      <c r="B421" t="s">
        <v>254</v>
      </c>
      <c r="C421" t="s">
        <v>1400</v>
      </c>
      <c r="D421" t="s">
        <v>56</v>
      </c>
      <c r="E421" t="s">
        <v>216</v>
      </c>
      <c r="F421" t="s">
        <v>26</v>
      </c>
      <c r="G421" s="202">
        <v>104.732</v>
      </c>
      <c r="H421">
        <v>2</v>
      </c>
      <c r="I421" t="s">
        <v>3960</v>
      </c>
      <c r="J421" t="s">
        <v>4718</v>
      </c>
      <c r="K421" t="s">
        <v>1283</v>
      </c>
      <c r="L421" s="204">
        <v>0.4</v>
      </c>
      <c r="M421" s="112">
        <v>57.885000000000005</v>
      </c>
      <c r="N421" s="112">
        <v>23.154000000000003</v>
      </c>
      <c r="O421" s="204"/>
      <c r="P421" s="112"/>
      <c r="Q421" s="112"/>
      <c r="R421" s="112"/>
      <c r="S421" s="112"/>
      <c r="T421" s="112"/>
      <c r="U421" t="s">
        <v>4021</v>
      </c>
      <c r="V421" t="s">
        <v>4920</v>
      </c>
      <c r="W421" t="s">
        <v>3958</v>
      </c>
      <c r="X421" t="s">
        <v>4660</v>
      </c>
    </row>
    <row r="422" spans="1:24" x14ac:dyDescent="0.2">
      <c r="A422" t="s">
        <v>4919</v>
      </c>
      <c r="B422" t="s">
        <v>254</v>
      </c>
      <c r="C422" t="s">
        <v>1400</v>
      </c>
      <c r="D422" t="s">
        <v>56</v>
      </c>
      <c r="E422" t="s">
        <v>216</v>
      </c>
      <c r="F422" t="s">
        <v>26</v>
      </c>
      <c r="G422" s="202">
        <v>104.732</v>
      </c>
      <c r="H422">
        <v>3</v>
      </c>
      <c r="I422" t="s">
        <v>3976</v>
      </c>
      <c r="J422" t="s">
        <v>4719</v>
      </c>
      <c r="K422" t="s">
        <v>1283</v>
      </c>
      <c r="L422" s="204">
        <v>0.12</v>
      </c>
      <c r="M422" s="112">
        <v>57.885000000000005</v>
      </c>
      <c r="N422" s="112">
        <v>6.9462000000000002</v>
      </c>
      <c r="O422" s="204"/>
      <c r="P422" s="112"/>
      <c r="Q422" s="112"/>
      <c r="R422" s="112"/>
      <c r="S422" s="112"/>
      <c r="T422" s="112"/>
      <c r="U422" t="s">
        <v>4021</v>
      </c>
      <c r="V422" t="s">
        <v>4920</v>
      </c>
      <c r="W422" t="s">
        <v>3958</v>
      </c>
      <c r="X422" t="s">
        <v>4660</v>
      </c>
    </row>
    <row r="423" spans="1:24" x14ac:dyDescent="0.2">
      <c r="A423" t="s">
        <v>4919</v>
      </c>
      <c r="B423" t="s">
        <v>254</v>
      </c>
      <c r="C423" t="s">
        <v>1400</v>
      </c>
      <c r="D423" t="s">
        <v>56</v>
      </c>
      <c r="E423" t="s">
        <v>216</v>
      </c>
      <c r="F423" t="s">
        <v>26</v>
      </c>
      <c r="G423" s="202">
        <v>104.732</v>
      </c>
      <c r="H423">
        <v>4</v>
      </c>
      <c r="I423" t="s">
        <v>4017</v>
      </c>
      <c r="J423" t="s">
        <v>4720</v>
      </c>
      <c r="K423" t="s">
        <v>1283</v>
      </c>
      <c r="L423" s="204">
        <v>0.06</v>
      </c>
      <c r="M423" s="112">
        <v>57.885000000000005</v>
      </c>
      <c r="N423" s="112">
        <v>3.4731000000000001</v>
      </c>
      <c r="O423" s="204"/>
      <c r="P423" s="112"/>
      <c r="Q423" s="112"/>
      <c r="R423" s="112"/>
      <c r="S423" s="112"/>
      <c r="T423" s="112"/>
      <c r="U423" t="s">
        <v>4021</v>
      </c>
      <c r="V423" t="s">
        <v>4920</v>
      </c>
      <c r="W423" t="s">
        <v>3958</v>
      </c>
      <c r="X423" t="s">
        <v>4660</v>
      </c>
    </row>
    <row r="424" spans="1:24" x14ac:dyDescent="0.2">
      <c r="A424" t="s">
        <v>4919</v>
      </c>
      <c r="B424" t="s">
        <v>254</v>
      </c>
      <c r="C424" t="s">
        <v>1400</v>
      </c>
      <c r="D424" t="s">
        <v>56</v>
      </c>
      <c r="E424" t="s">
        <v>216</v>
      </c>
      <c r="F424" t="s">
        <v>26</v>
      </c>
      <c r="G424" s="202">
        <v>104.732</v>
      </c>
      <c r="H424">
        <v>5</v>
      </c>
      <c r="I424" t="s">
        <v>3968</v>
      </c>
      <c r="J424" t="s">
        <v>3969</v>
      </c>
      <c r="K424" t="s">
        <v>26</v>
      </c>
      <c r="L424" s="204">
        <v>1</v>
      </c>
      <c r="M424" s="112"/>
      <c r="N424" s="112">
        <v>57.885000000000005</v>
      </c>
      <c r="O424" s="204">
        <v>0.22220664316400729</v>
      </c>
      <c r="P424" s="112">
        <v>12.862431539548567</v>
      </c>
      <c r="Q424" s="112">
        <v>70.747431539548572</v>
      </c>
      <c r="R424" s="112">
        <v>7409.52</v>
      </c>
      <c r="S424" s="112">
        <v>7409.52</v>
      </c>
      <c r="T424" s="112">
        <v>0</v>
      </c>
      <c r="U424" t="s">
        <v>4021</v>
      </c>
      <c r="V424" t="s">
        <v>4920</v>
      </c>
      <c r="W424" t="s">
        <v>4666</v>
      </c>
      <c r="X424" t="s">
        <v>4667</v>
      </c>
    </row>
    <row r="425" spans="1:24" x14ac:dyDescent="0.2">
      <c r="A425" t="s">
        <v>4921</v>
      </c>
      <c r="B425" t="s">
        <v>256</v>
      </c>
      <c r="C425" t="s">
        <v>1426</v>
      </c>
      <c r="D425" t="s">
        <v>24</v>
      </c>
      <c r="E425" t="s">
        <v>1427</v>
      </c>
      <c r="F425" t="s">
        <v>26</v>
      </c>
      <c r="G425" s="202">
        <v>290.88900000000001</v>
      </c>
      <c r="H425">
        <v>1</v>
      </c>
      <c r="I425" t="s">
        <v>3954</v>
      </c>
      <c r="J425" t="s">
        <v>4804</v>
      </c>
      <c r="K425" t="s">
        <v>1283</v>
      </c>
      <c r="L425" s="204">
        <v>0.28000000000000003</v>
      </c>
      <c r="M425" s="112">
        <v>59.872500000000002</v>
      </c>
      <c r="N425" s="112">
        <v>16.764300000000002</v>
      </c>
      <c r="O425" s="204"/>
      <c r="P425" s="112"/>
      <c r="Q425" s="112"/>
      <c r="R425" s="112"/>
      <c r="S425" s="112"/>
      <c r="T425" s="112"/>
      <c r="U425" t="s">
        <v>4922</v>
      </c>
      <c r="V425" t="s">
        <v>4923</v>
      </c>
      <c r="W425" t="s">
        <v>3958</v>
      </c>
      <c r="X425" t="s">
        <v>4660</v>
      </c>
    </row>
    <row r="426" spans="1:24" x14ac:dyDescent="0.2">
      <c r="A426" t="s">
        <v>4921</v>
      </c>
      <c r="B426" t="s">
        <v>256</v>
      </c>
      <c r="C426" t="s">
        <v>1426</v>
      </c>
      <c r="D426" t="s">
        <v>24</v>
      </c>
      <c r="E426" t="s">
        <v>1427</v>
      </c>
      <c r="F426" t="s">
        <v>26</v>
      </c>
      <c r="G426" s="202">
        <v>290.88900000000001</v>
      </c>
      <c r="H426">
        <v>2</v>
      </c>
      <c r="I426" t="s">
        <v>3960</v>
      </c>
      <c r="J426" t="s">
        <v>4807</v>
      </c>
      <c r="K426" t="s">
        <v>1283</v>
      </c>
      <c r="L426" s="204">
        <v>0.56000000000000005</v>
      </c>
      <c r="M426" s="112">
        <v>59.872500000000002</v>
      </c>
      <c r="N426" s="112">
        <v>33.528600000000004</v>
      </c>
      <c r="O426" s="204"/>
      <c r="P426" s="112"/>
      <c r="Q426" s="112"/>
      <c r="R426" s="112"/>
      <c r="S426" s="112"/>
      <c r="T426" s="112"/>
      <c r="U426" t="s">
        <v>4922</v>
      </c>
      <c r="V426" t="s">
        <v>4923</v>
      </c>
      <c r="W426" t="s">
        <v>3958</v>
      </c>
      <c r="X426" t="s">
        <v>4660</v>
      </c>
    </row>
    <row r="427" spans="1:24" x14ac:dyDescent="0.2">
      <c r="A427" t="s">
        <v>4921</v>
      </c>
      <c r="B427" t="s">
        <v>256</v>
      </c>
      <c r="C427" t="s">
        <v>1426</v>
      </c>
      <c r="D427" t="s">
        <v>24</v>
      </c>
      <c r="E427" t="s">
        <v>1427</v>
      </c>
      <c r="F427" t="s">
        <v>26</v>
      </c>
      <c r="G427" s="202">
        <v>290.88900000000001</v>
      </c>
      <c r="H427">
        <v>3</v>
      </c>
      <c r="I427" t="s">
        <v>3962</v>
      </c>
      <c r="J427" t="s">
        <v>4808</v>
      </c>
      <c r="K427" t="s">
        <v>1283</v>
      </c>
      <c r="L427" s="204">
        <v>0.1</v>
      </c>
      <c r="M427" s="112">
        <v>59.872500000000002</v>
      </c>
      <c r="N427" s="112">
        <v>5.9872500000000004</v>
      </c>
      <c r="O427" s="204"/>
      <c r="P427" s="112"/>
      <c r="Q427" s="112"/>
      <c r="R427" s="112"/>
      <c r="S427" s="112"/>
      <c r="T427" s="112"/>
      <c r="U427" t="s">
        <v>4922</v>
      </c>
      <c r="V427" t="s">
        <v>4923</v>
      </c>
      <c r="W427" t="s">
        <v>3958</v>
      </c>
      <c r="X427" t="s">
        <v>4660</v>
      </c>
    </row>
    <row r="428" spans="1:24" x14ac:dyDescent="0.2">
      <c r="A428" t="s">
        <v>4921</v>
      </c>
      <c r="B428" t="s">
        <v>256</v>
      </c>
      <c r="C428" t="s">
        <v>1426</v>
      </c>
      <c r="D428" t="s">
        <v>24</v>
      </c>
      <c r="E428" t="s">
        <v>1427</v>
      </c>
      <c r="F428" t="s">
        <v>26</v>
      </c>
      <c r="G428" s="202">
        <v>290.88900000000001</v>
      </c>
      <c r="H428">
        <v>4</v>
      </c>
      <c r="I428" t="s">
        <v>4017</v>
      </c>
      <c r="J428" t="s">
        <v>4809</v>
      </c>
      <c r="K428" t="s">
        <v>1283</v>
      </c>
      <c r="L428" s="204">
        <v>0.06</v>
      </c>
      <c r="M428" s="112">
        <v>59.872500000000002</v>
      </c>
      <c r="N428" s="112">
        <v>3.5923500000000002</v>
      </c>
      <c r="O428" s="204"/>
      <c r="P428" s="112"/>
      <c r="Q428" s="112"/>
      <c r="R428" s="112"/>
      <c r="S428" s="112"/>
      <c r="T428" s="112"/>
      <c r="U428" t="s">
        <v>4922</v>
      </c>
      <c r="V428" t="s">
        <v>4923</v>
      </c>
      <c r="W428" t="s">
        <v>3958</v>
      </c>
      <c r="X428" t="s">
        <v>4660</v>
      </c>
    </row>
    <row r="429" spans="1:24" x14ac:dyDescent="0.2">
      <c r="A429" t="s">
        <v>4921</v>
      </c>
      <c r="B429" t="s">
        <v>256</v>
      </c>
      <c r="C429" t="s">
        <v>1426</v>
      </c>
      <c r="D429" t="s">
        <v>24</v>
      </c>
      <c r="E429" t="s">
        <v>1427</v>
      </c>
      <c r="F429" t="s">
        <v>26</v>
      </c>
      <c r="G429" s="202">
        <v>290.88900000000001</v>
      </c>
      <c r="H429">
        <v>5</v>
      </c>
      <c r="I429" t="s">
        <v>3968</v>
      </c>
      <c r="J429" t="s">
        <v>3969</v>
      </c>
      <c r="K429" t="s">
        <v>26</v>
      </c>
      <c r="L429" s="204">
        <v>1</v>
      </c>
      <c r="M429" s="112"/>
      <c r="N429" s="112">
        <v>59.872500000000002</v>
      </c>
      <c r="O429" s="204">
        <v>0.22222165967293228</v>
      </c>
      <c r="P429" s="112">
        <v>13.30496631876764</v>
      </c>
      <c r="Q429" s="112">
        <v>73.177466318767642</v>
      </c>
      <c r="R429" s="112">
        <v>21286.52</v>
      </c>
      <c r="S429" s="112">
        <v>21286.52</v>
      </c>
      <c r="T429" s="112">
        <v>0</v>
      </c>
      <c r="U429" t="s">
        <v>4922</v>
      </c>
      <c r="V429" t="s">
        <v>4923</v>
      </c>
      <c r="W429" t="s">
        <v>4666</v>
      </c>
      <c r="X429" t="s">
        <v>4667</v>
      </c>
    </row>
    <row r="430" spans="1:24" x14ac:dyDescent="0.2">
      <c r="A430" t="s">
        <v>4924</v>
      </c>
      <c r="B430" t="s">
        <v>259</v>
      </c>
      <c r="C430" t="s">
        <v>1401</v>
      </c>
      <c r="D430" t="s">
        <v>56</v>
      </c>
      <c r="E430" t="s">
        <v>218</v>
      </c>
      <c r="F430" t="s">
        <v>118</v>
      </c>
      <c r="G430" s="202">
        <v>98.238</v>
      </c>
      <c r="H430">
        <v>1</v>
      </c>
      <c r="I430" t="s">
        <v>3954</v>
      </c>
      <c r="J430" t="s">
        <v>4715</v>
      </c>
      <c r="K430" t="s">
        <v>1283</v>
      </c>
      <c r="L430" s="204">
        <v>0.42</v>
      </c>
      <c r="M430" s="112">
        <v>15.899999999999999</v>
      </c>
      <c r="N430" s="112">
        <v>6.677999999999999</v>
      </c>
      <c r="O430" s="204"/>
      <c r="P430" s="112"/>
      <c r="Q430" s="112"/>
      <c r="R430" s="112"/>
      <c r="S430" s="112"/>
      <c r="T430" s="112"/>
      <c r="U430" t="s">
        <v>4076</v>
      </c>
      <c r="V430" t="s">
        <v>4925</v>
      </c>
      <c r="W430" t="s">
        <v>3958</v>
      </c>
      <c r="X430" t="s">
        <v>4660</v>
      </c>
    </row>
    <row r="431" spans="1:24" x14ac:dyDescent="0.2">
      <c r="A431" t="s">
        <v>4924</v>
      </c>
      <c r="B431" t="s">
        <v>259</v>
      </c>
      <c r="C431" t="s">
        <v>1401</v>
      </c>
      <c r="D431" t="s">
        <v>56</v>
      </c>
      <c r="E431" t="s">
        <v>218</v>
      </c>
      <c r="F431" t="s">
        <v>118</v>
      </c>
      <c r="G431" s="202">
        <v>98.238</v>
      </c>
      <c r="H431">
        <v>2</v>
      </c>
      <c r="I431" t="s">
        <v>3960</v>
      </c>
      <c r="J431" t="s">
        <v>4718</v>
      </c>
      <c r="K431" t="s">
        <v>1283</v>
      </c>
      <c r="L431" s="204">
        <v>0.4</v>
      </c>
      <c r="M431" s="112">
        <v>15.899999999999999</v>
      </c>
      <c r="N431" s="112">
        <v>6.3599999999999994</v>
      </c>
      <c r="O431" s="204"/>
      <c r="P431" s="112"/>
      <c r="Q431" s="112"/>
      <c r="R431" s="112"/>
      <c r="S431" s="112"/>
      <c r="T431" s="112"/>
      <c r="U431" t="s">
        <v>4076</v>
      </c>
      <c r="V431" t="s">
        <v>4925</v>
      </c>
      <c r="W431" t="s">
        <v>3958</v>
      </c>
      <c r="X431" t="s">
        <v>4660</v>
      </c>
    </row>
    <row r="432" spans="1:24" x14ac:dyDescent="0.2">
      <c r="A432" t="s">
        <v>4924</v>
      </c>
      <c r="B432" t="s">
        <v>259</v>
      </c>
      <c r="C432" t="s">
        <v>1401</v>
      </c>
      <c r="D432" t="s">
        <v>56</v>
      </c>
      <c r="E432" t="s">
        <v>218</v>
      </c>
      <c r="F432" t="s">
        <v>118</v>
      </c>
      <c r="G432" s="202">
        <v>98.238</v>
      </c>
      <c r="H432">
        <v>3</v>
      </c>
      <c r="I432" t="s">
        <v>3976</v>
      </c>
      <c r="J432" t="s">
        <v>4719</v>
      </c>
      <c r="K432" t="s">
        <v>1283</v>
      </c>
      <c r="L432" s="204">
        <v>0.12</v>
      </c>
      <c r="M432" s="112">
        <v>15.899999999999999</v>
      </c>
      <c r="N432" s="112">
        <v>1.9079999999999997</v>
      </c>
      <c r="O432" s="204"/>
      <c r="P432" s="112"/>
      <c r="Q432" s="112"/>
      <c r="R432" s="112"/>
      <c r="S432" s="112"/>
      <c r="T432" s="112"/>
      <c r="U432" t="s">
        <v>4076</v>
      </c>
      <c r="V432" t="s">
        <v>4925</v>
      </c>
      <c r="W432" t="s">
        <v>3958</v>
      </c>
      <c r="X432" t="s">
        <v>4660</v>
      </c>
    </row>
    <row r="433" spans="1:24" x14ac:dyDescent="0.2">
      <c r="A433" t="s">
        <v>4924</v>
      </c>
      <c r="B433" t="s">
        <v>259</v>
      </c>
      <c r="C433" t="s">
        <v>1401</v>
      </c>
      <c r="D433" t="s">
        <v>56</v>
      </c>
      <c r="E433" t="s">
        <v>218</v>
      </c>
      <c r="F433" t="s">
        <v>118</v>
      </c>
      <c r="G433" s="202">
        <v>98.238</v>
      </c>
      <c r="H433">
        <v>4</v>
      </c>
      <c r="I433" t="s">
        <v>4017</v>
      </c>
      <c r="J433" t="s">
        <v>4720</v>
      </c>
      <c r="K433" t="s">
        <v>1283</v>
      </c>
      <c r="L433" s="204">
        <v>0.06</v>
      </c>
      <c r="M433" s="112">
        <v>15.899999999999999</v>
      </c>
      <c r="N433" s="112">
        <v>0.95399999999999985</v>
      </c>
      <c r="O433" s="204"/>
      <c r="P433" s="112"/>
      <c r="Q433" s="112"/>
      <c r="R433" s="112"/>
      <c r="S433" s="112"/>
      <c r="T433" s="112"/>
      <c r="U433" t="s">
        <v>4076</v>
      </c>
      <c r="V433" t="s">
        <v>4925</v>
      </c>
      <c r="W433" t="s">
        <v>3958</v>
      </c>
      <c r="X433" t="s">
        <v>4660</v>
      </c>
    </row>
    <row r="434" spans="1:24" x14ac:dyDescent="0.2">
      <c r="A434" t="s">
        <v>4924</v>
      </c>
      <c r="B434" t="s">
        <v>259</v>
      </c>
      <c r="C434" t="s">
        <v>1401</v>
      </c>
      <c r="D434" t="s">
        <v>56</v>
      </c>
      <c r="E434" t="s">
        <v>218</v>
      </c>
      <c r="F434" t="s">
        <v>118</v>
      </c>
      <c r="G434" s="202">
        <v>98.238</v>
      </c>
      <c r="H434">
        <v>5</v>
      </c>
      <c r="I434" t="s">
        <v>3968</v>
      </c>
      <c r="J434" t="s">
        <v>3969</v>
      </c>
      <c r="K434" t="s">
        <v>118</v>
      </c>
      <c r="L434" s="204">
        <v>1</v>
      </c>
      <c r="M434" s="112"/>
      <c r="N434" s="112">
        <v>15.899999999999999</v>
      </c>
      <c r="O434" s="204">
        <v>0.22216345082107747</v>
      </c>
      <c r="P434" s="112">
        <v>3.5323988680551324</v>
      </c>
      <c r="Q434" s="112">
        <v>19.432398868055131</v>
      </c>
      <c r="R434" s="112">
        <v>1909</v>
      </c>
      <c r="S434" s="112">
        <v>1909</v>
      </c>
      <c r="T434" s="112">
        <v>0</v>
      </c>
      <c r="U434" t="s">
        <v>4076</v>
      </c>
      <c r="V434" t="s">
        <v>4925</v>
      </c>
      <c r="W434" t="s">
        <v>4666</v>
      </c>
      <c r="X434" t="s">
        <v>4667</v>
      </c>
    </row>
    <row r="435" spans="1:24" x14ac:dyDescent="0.2">
      <c r="A435" t="s">
        <v>4926</v>
      </c>
      <c r="B435" t="s">
        <v>261</v>
      </c>
      <c r="C435" t="s">
        <v>1407</v>
      </c>
      <c r="D435" t="s">
        <v>56</v>
      </c>
      <c r="E435" t="s">
        <v>231</v>
      </c>
      <c r="F435" t="s">
        <v>180</v>
      </c>
      <c r="G435" s="202">
        <v>283.24400000000003</v>
      </c>
      <c r="H435">
        <v>1</v>
      </c>
      <c r="I435" t="s">
        <v>3954</v>
      </c>
      <c r="J435" t="s">
        <v>4804</v>
      </c>
      <c r="K435" t="s">
        <v>1283</v>
      </c>
      <c r="L435" s="204">
        <v>0.28000000000000003</v>
      </c>
      <c r="M435" s="112">
        <v>11.28</v>
      </c>
      <c r="N435" s="112">
        <v>3.1584000000000003</v>
      </c>
      <c r="O435" s="204"/>
      <c r="P435" s="112"/>
      <c r="Q435" s="112"/>
      <c r="R435" s="112"/>
      <c r="S435" s="112"/>
      <c r="T435" s="112"/>
      <c r="U435" t="s">
        <v>4174</v>
      </c>
      <c r="V435" t="s">
        <v>4927</v>
      </c>
      <c r="W435" t="s">
        <v>3958</v>
      </c>
      <c r="X435" t="s">
        <v>4660</v>
      </c>
    </row>
    <row r="436" spans="1:24" x14ac:dyDescent="0.2">
      <c r="A436" t="s">
        <v>4926</v>
      </c>
      <c r="B436" t="s">
        <v>261</v>
      </c>
      <c r="C436" t="s">
        <v>1407</v>
      </c>
      <c r="D436" t="s">
        <v>56</v>
      </c>
      <c r="E436" t="s">
        <v>231</v>
      </c>
      <c r="F436" t="s">
        <v>180</v>
      </c>
      <c r="G436" s="202">
        <v>283.24400000000003</v>
      </c>
      <c r="H436">
        <v>2</v>
      </c>
      <c r="I436" t="s">
        <v>3960</v>
      </c>
      <c r="J436" t="s">
        <v>4807</v>
      </c>
      <c r="K436" t="s">
        <v>1283</v>
      </c>
      <c r="L436" s="204">
        <v>0.56000000000000005</v>
      </c>
      <c r="M436" s="112">
        <v>11.28</v>
      </c>
      <c r="N436" s="112">
        <v>6.3168000000000006</v>
      </c>
      <c r="O436" s="204"/>
      <c r="P436" s="112"/>
      <c r="Q436" s="112"/>
      <c r="R436" s="112"/>
      <c r="S436" s="112"/>
      <c r="T436" s="112"/>
      <c r="U436" t="s">
        <v>4174</v>
      </c>
      <c r="V436" t="s">
        <v>4927</v>
      </c>
      <c r="W436" t="s">
        <v>3958</v>
      </c>
      <c r="X436" t="s">
        <v>4660</v>
      </c>
    </row>
    <row r="437" spans="1:24" x14ac:dyDescent="0.2">
      <c r="A437" t="s">
        <v>4926</v>
      </c>
      <c r="B437" t="s">
        <v>261</v>
      </c>
      <c r="C437" t="s">
        <v>1407</v>
      </c>
      <c r="D437" t="s">
        <v>56</v>
      </c>
      <c r="E437" t="s">
        <v>231</v>
      </c>
      <c r="F437" t="s">
        <v>180</v>
      </c>
      <c r="G437" s="202">
        <v>283.24400000000003</v>
      </c>
      <c r="H437">
        <v>3</v>
      </c>
      <c r="I437" t="s">
        <v>3962</v>
      </c>
      <c r="J437" t="s">
        <v>4808</v>
      </c>
      <c r="K437" t="s">
        <v>1283</v>
      </c>
      <c r="L437" s="204">
        <v>0.1</v>
      </c>
      <c r="M437" s="112">
        <v>11.28</v>
      </c>
      <c r="N437" s="112">
        <v>1.1279999999999999</v>
      </c>
      <c r="O437" s="204"/>
      <c r="P437" s="112"/>
      <c r="Q437" s="112"/>
      <c r="R437" s="112"/>
      <c r="S437" s="112"/>
      <c r="T437" s="112"/>
      <c r="U437" t="s">
        <v>4174</v>
      </c>
      <c r="V437" t="s">
        <v>4927</v>
      </c>
      <c r="W437" t="s">
        <v>3958</v>
      </c>
      <c r="X437" t="s">
        <v>4660</v>
      </c>
    </row>
    <row r="438" spans="1:24" x14ac:dyDescent="0.2">
      <c r="A438" t="s">
        <v>4926</v>
      </c>
      <c r="B438" t="s">
        <v>261</v>
      </c>
      <c r="C438" t="s">
        <v>1407</v>
      </c>
      <c r="D438" t="s">
        <v>56</v>
      </c>
      <c r="E438" t="s">
        <v>231</v>
      </c>
      <c r="F438" t="s">
        <v>180</v>
      </c>
      <c r="G438" s="202">
        <v>283.24400000000003</v>
      </c>
      <c r="H438">
        <v>4</v>
      </c>
      <c r="I438" t="s">
        <v>4017</v>
      </c>
      <c r="J438" t="s">
        <v>4809</v>
      </c>
      <c r="K438" t="s">
        <v>1283</v>
      </c>
      <c r="L438" s="204">
        <v>0.06</v>
      </c>
      <c r="M438" s="112">
        <v>11.28</v>
      </c>
      <c r="N438" s="112">
        <v>0.67679999999999996</v>
      </c>
      <c r="O438" s="204"/>
      <c r="P438" s="112"/>
      <c r="Q438" s="112"/>
      <c r="R438" s="112"/>
      <c r="S438" s="112"/>
      <c r="T438" s="112"/>
      <c r="U438" t="s">
        <v>4174</v>
      </c>
      <c r="V438" t="s">
        <v>4927</v>
      </c>
      <c r="W438" t="s">
        <v>3958</v>
      </c>
      <c r="X438" t="s">
        <v>4660</v>
      </c>
    </row>
    <row r="439" spans="1:24" x14ac:dyDescent="0.2">
      <c r="A439" t="s">
        <v>4926</v>
      </c>
      <c r="B439" t="s">
        <v>261</v>
      </c>
      <c r="C439" t="s">
        <v>1407</v>
      </c>
      <c r="D439" t="s">
        <v>56</v>
      </c>
      <c r="E439" t="s">
        <v>231</v>
      </c>
      <c r="F439" t="s">
        <v>180</v>
      </c>
      <c r="G439" s="202">
        <v>283.24400000000003</v>
      </c>
      <c r="H439">
        <v>5</v>
      </c>
      <c r="I439" t="s">
        <v>3968</v>
      </c>
      <c r="J439" t="s">
        <v>3969</v>
      </c>
      <c r="K439" t="s">
        <v>180</v>
      </c>
      <c r="L439" s="204">
        <v>1</v>
      </c>
      <c r="M439" s="112"/>
      <c r="N439" s="112">
        <v>11.28</v>
      </c>
      <c r="O439" s="204">
        <v>0.22207179515223374</v>
      </c>
      <c r="P439" s="112">
        <v>2.504969849317197</v>
      </c>
      <c r="Q439" s="112">
        <v>13.784969849317196</v>
      </c>
      <c r="R439" s="112">
        <v>3904.51</v>
      </c>
      <c r="S439" s="112">
        <v>3904.51</v>
      </c>
      <c r="T439" s="112">
        <v>0</v>
      </c>
      <c r="U439" t="s">
        <v>4174</v>
      </c>
      <c r="V439" t="s">
        <v>4927</v>
      </c>
      <c r="W439" t="s">
        <v>4666</v>
      </c>
      <c r="X439" t="s">
        <v>4667</v>
      </c>
    </row>
    <row r="440" spans="1:24" x14ac:dyDescent="0.2">
      <c r="A440" t="s">
        <v>4928</v>
      </c>
      <c r="B440" t="s">
        <v>262</v>
      </c>
      <c r="C440" t="s">
        <v>1411</v>
      </c>
      <c r="D440" t="s">
        <v>56</v>
      </c>
      <c r="E440" t="s">
        <v>233</v>
      </c>
      <c r="F440" t="s">
        <v>180</v>
      </c>
      <c r="G440" s="202">
        <v>724.18200000000002</v>
      </c>
      <c r="H440">
        <v>1</v>
      </c>
      <c r="I440" t="s">
        <v>3954</v>
      </c>
      <c r="J440" t="s">
        <v>4804</v>
      </c>
      <c r="K440" t="s">
        <v>1283</v>
      </c>
      <c r="L440" s="204">
        <v>0.28000000000000003</v>
      </c>
      <c r="M440" s="112">
        <v>9.0824999999999996</v>
      </c>
      <c r="N440" s="112">
        <v>2.5430999999999999</v>
      </c>
      <c r="O440" s="204"/>
      <c r="P440" s="112"/>
      <c r="Q440" s="112"/>
      <c r="R440" s="112"/>
      <c r="S440" s="112"/>
      <c r="T440" s="112"/>
      <c r="U440" t="s">
        <v>4206</v>
      </c>
      <c r="V440" t="s">
        <v>4929</v>
      </c>
      <c r="W440" t="s">
        <v>3958</v>
      </c>
      <c r="X440" t="s">
        <v>4660</v>
      </c>
    </row>
    <row r="441" spans="1:24" x14ac:dyDescent="0.2">
      <c r="A441" t="s">
        <v>4928</v>
      </c>
      <c r="B441" t="s">
        <v>262</v>
      </c>
      <c r="C441" t="s">
        <v>1411</v>
      </c>
      <c r="D441" t="s">
        <v>56</v>
      </c>
      <c r="E441" t="s">
        <v>233</v>
      </c>
      <c r="F441" t="s">
        <v>180</v>
      </c>
      <c r="G441" s="202">
        <v>724.18200000000002</v>
      </c>
      <c r="H441">
        <v>2</v>
      </c>
      <c r="I441" t="s">
        <v>3960</v>
      </c>
      <c r="J441" t="s">
        <v>4807</v>
      </c>
      <c r="K441" t="s">
        <v>1283</v>
      </c>
      <c r="L441" s="204">
        <v>0.56000000000000005</v>
      </c>
      <c r="M441" s="112">
        <v>9.0824999999999996</v>
      </c>
      <c r="N441" s="112">
        <v>5.0861999999999998</v>
      </c>
      <c r="O441" s="204"/>
      <c r="P441" s="112"/>
      <c r="Q441" s="112"/>
      <c r="R441" s="112"/>
      <c r="S441" s="112"/>
      <c r="T441" s="112"/>
      <c r="U441" t="s">
        <v>4206</v>
      </c>
      <c r="V441" t="s">
        <v>4929</v>
      </c>
      <c r="W441" t="s">
        <v>3958</v>
      </c>
      <c r="X441" t="s">
        <v>4660</v>
      </c>
    </row>
    <row r="442" spans="1:24" x14ac:dyDescent="0.2">
      <c r="A442" t="s">
        <v>4928</v>
      </c>
      <c r="B442" t="s">
        <v>262</v>
      </c>
      <c r="C442" t="s">
        <v>1411</v>
      </c>
      <c r="D442" t="s">
        <v>56</v>
      </c>
      <c r="E442" t="s">
        <v>233</v>
      </c>
      <c r="F442" t="s">
        <v>180</v>
      </c>
      <c r="G442" s="202">
        <v>724.18200000000002</v>
      </c>
      <c r="H442">
        <v>3</v>
      </c>
      <c r="I442" t="s">
        <v>3962</v>
      </c>
      <c r="J442" t="s">
        <v>4808</v>
      </c>
      <c r="K442" t="s">
        <v>1283</v>
      </c>
      <c r="L442" s="204">
        <v>0.1</v>
      </c>
      <c r="M442" s="112">
        <v>9.0824999999999996</v>
      </c>
      <c r="N442" s="112">
        <v>0.90825</v>
      </c>
      <c r="O442" s="204"/>
      <c r="P442" s="112"/>
      <c r="Q442" s="112"/>
      <c r="R442" s="112"/>
      <c r="S442" s="112"/>
      <c r="T442" s="112"/>
      <c r="U442" t="s">
        <v>4206</v>
      </c>
      <c r="V442" t="s">
        <v>4929</v>
      </c>
      <c r="W442" t="s">
        <v>3958</v>
      </c>
      <c r="X442" t="s">
        <v>4660</v>
      </c>
    </row>
    <row r="443" spans="1:24" x14ac:dyDescent="0.2">
      <c r="A443" t="s">
        <v>4928</v>
      </c>
      <c r="B443" t="s">
        <v>262</v>
      </c>
      <c r="C443" t="s">
        <v>1411</v>
      </c>
      <c r="D443" t="s">
        <v>56</v>
      </c>
      <c r="E443" t="s">
        <v>233</v>
      </c>
      <c r="F443" t="s">
        <v>180</v>
      </c>
      <c r="G443" s="202">
        <v>724.18200000000002</v>
      </c>
      <c r="H443">
        <v>4</v>
      </c>
      <c r="I443" t="s">
        <v>4017</v>
      </c>
      <c r="J443" t="s">
        <v>4809</v>
      </c>
      <c r="K443" t="s">
        <v>1283</v>
      </c>
      <c r="L443" s="204">
        <v>0.06</v>
      </c>
      <c r="M443" s="112">
        <v>9.0824999999999996</v>
      </c>
      <c r="N443" s="112">
        <v>0.54494999999999993</v>
      </c>
      <c r="O443" s="204"/>
      <c r="P443" s="112"/>
      <c r="Q443" s="112"/>
      <c r="R443" s="112"/>
      <c r="S443" s="112"/>
      <c r="T443" s="112"/>
      <c r="U443" t="s">
        <v>4206</v>
      </c>
      <c r="V443" t="s">
        <v>4929</v>
      </c>
      <c r="W443" t="s">
        <v>3958</v>
      </c>
      <c r="X443" t="s">
        <v>4660</v>
      </c>
    </row>
    <row r="444" spans="1:24" x14ac:dyDescent="0.2">
      <c r="A444" t="s">
        <v>4928</v>
      </c>
      <c r="B444" t="s">
        <v>262</v>
      </c>
      <c r="C444" t="s">
        <v>1411</v>
      </c>
      <c r="D444" t="s">
        <v>56</v>
      </c>
      <c r="E444" t="s">
        <v>233</v>
      </c>
      <c r="F444" t="s">
        <v>180</v>
      </c>
      <c r="G444" s="202">
        <v>724.18200000000002</v>
      </c>
      <c r="H444">
        <v>5</v>
      </c>
      <c r="I444" t="s">
        <v>3968</v>
      </c>
      <c r="J444" t="s">
        <v>3969</v>
      </c>
      <c r="K444" t="s">
        <v>180</v>
      </c>
      <c r="L444" s="204">
        <v>1</v>
      </c>
      <c r="M444" s="112"/>
      <c r="N444" s="112">
        <v>9.0824999999999996</v>
      </c>
      <c r="O444" s="204">
        <v>0.22213044027815365</v>
      </c>
      <c r="P444" s="112">
        <v>2.0174997238263312</v>
      </c>
      <c r="Q444" s="112">
        <v>11.099999723826331</v>
      </c>
      <c r="R444" s="112">
        <v>8038.42</v>
      </c>
      <c r="S444" s="112">
        <v>8038.42</v>
      </c>
      <c r="T444" s="112">
        <v>0</v>
      </c>
      <c r="U444" t="s">
        <v>4206</v>
      </c>
      <c r="V444" t="s">
        <v>4929</v>
      </c>
      <c r="W444" t="s">
        <v>4666</v>
      </c>
      <c r="X444" t="s">
        <v>4667</v>
      </c>
    </row>
    <row r="445" spans="1:24" x14ac:dyDescent="0.2">
      <c r="A445" t="s">
        <v>4930</v>
      </c>
      <c r="B445" t="s">
        <v>263</v>
      </c>
      <c r="C445" t="s">
        <v>1413</v>
      </c>
      <c r="D445" t="s">
        <v>56</v>
      </c>
      <c r="E445" t="s">
        <v>234</v>
      </c>
      <c r="F445" t="s">
        <v>180</v>
      </c>
      <c r="G445" s="202">
        <v>237.01300000000001</v>
      </c>
      <c r="H445">
        <v>1</v>
      </c>
      <c r="I445" t="s">
        <v>3954</v>
      </c>
      <c r="J445" t="s">
        <v>4804</v>
      </c>
      <c r="K445" t="s">
        <v>1283</v>
      </c>
      <c r="L445" s="204">
        <v>0.28000000000000003</v>
      </c>
      <c r="M445" s="112">
        <v>7.9049999999999994</v>
      </c>
      <c r="N445" s="112">
        <v>2.2134</v>
      </c>
      <c r="O445" s="204"/>
      <c r="P445" s="112"/>
      <c r="Q445" s="112"/>
      <c r="R445" s="112"/>
      <c r="S445" s="112"/>
      <c r="T445" s="112"/>
      <c r="U445" t="s">
        <v>4895</v>
      </c>
      <c r="V445" t="s">
        <v>4931</v>
      </c>
      <c r="W445" t="s">
        <v>3958</v>
      </c>
      <c r="X445" t="s">
        <v>4660</v>
      </c>
    </row>
    <row r="446" spans="1:24" x14ac:dyDescent="0.2">
      <c r="A446" t="s">
        <v>4930</v>
      </c>
      <c r="B446" t="s">
        <v>263</v>
      </c>
      <c r="C446" t="s">
        <v>1413</v>
      </c>
      <c r="D446" t="s">
        <v>56</v>
      </c>
      <c r="E446" t="s">
        <v>234</v>
      </c>
      <c r="F446" t="s">
        <v>180</v>
      </c>
      <c r="G446" s="202">
        <v>237.01300000000001</v>
      </c>
      <c r="H446">
        <v>2</v>
      </c>
      <c r="I446" t="s">
        <v>3960</v>
      </c>
      <c r="J446" t="s">
        <v>4807</v>
      </c>
      <c r="K446" t="s">
        <v>1283</v>
      </c>
      <c r="L446" s="204">
        <v>0.56000000000000005</v>
      </c>
      <c r="M446" s="112">
        <v>7.9049999999999994</v>
      </c>
      <c r="N446" s="112">
        <v>4.4268000000000001</v>
      </c>
      <c r="O446" s="204"/>
      <c r="P446" s="112"/>
      <c r="Q446" s="112"/>
      <c r="R446" s="112"/>
      <c r="S446" s="112"/>
      <c r="T446" s="112"/>
      <c r="U446" t="s">
        <v>4895</v>
      </c>
      <c r="V446" t="s">
        <v>4931</v>
      </c>
      <c r="W446" t="s">
        <v>3958</v>
      </c>
      <c r="X446" t="s">
        <v>4660</v>
      </c>
    </row>
    <row r="447" spans="1:24" x14ac:dyDescent="0.2">
      <c r="A447" t="s">
        <v>4930</v>
      </c>
      <c r="B447" t="s">
        <v>263</v>
      </c>
      <c r="C447" t="s">
        <v>1413</v>
      </c>
      <c r="D447" t="s">
        <v>56</v>
      </c>
      <c r="E447" t="s">
        <v>234</v>
      </c>
      <c r="F447" t="s">
        <v>180</v>
      </c>
      <c r="G447" s="202">
        <v>237.01300000000001</v>
      </c>
      <c r="H447">
        <v>3</v>
      </c>
      <c r="I447" t="s">
        <v>3962</v>
      </c>
      <c r="J447" t="s">
        <v>4808</v>
      </c>
      <c r="K447" t="s">
        <v>1283</v>
      </c>
      <c r="L447" s="204">
        <v>0.1</v>
      </c>
      <c r="M447" s="112">
        <v>7.9049999999999994</v>
      </c>
      <c r="N447" s="112">
        <v>0.79049999999999998</v>
      </c>
      <c r="O447" s="204"/>
      <c r="P447" s="112"/>
      <c r="Q447" s="112"/>
      <c r="R447" s="112"/>
      <c r="S447" s="112"/>
      <c r="T447" s="112"/>
      <c r="U447" t="s">
        <v>4895</v>
      </c>
      <c r="V447" t="s">
        <v>4931</v>
      </c>
      <c r="W447" t="s">
        <v>3958</v>
      </c>
      <c r="X447" t="s">
        <v>4660</v>
      </c>
    </row>
    <row r="448" spans="1:24" x14ac:dyDescent="0.2">
      <c r="A448" t="s">
        <v>4930</v>
      </c>
      <c r="B448" t="s">
        <v>263</v>
      </c>
      <c r="C448" t="s">
        <v>1413</v>
      </c>
      <c r="D448" t="s">
        <v>56</v>
      </c>
      <c r="E448" t="s">
        <v>234</v>
      </c>
      <c r="F448" t="s">
        <v>180</v>
      </c>
      <c r="G448" s="202">
        <v>237.01300000000001</v>
      </c>
      <c r="H448">
        <v>4</v>
      </c>
      <c r="I448" t="s">
        <v>4017</v>
      </c>
      <c r="J448" t="s">
        <v>4809</v>
      </c>
      <c r="K448" t="s">
        <v>1283</v>
      </c>
      <c r="L448" s="204">
        <v>0.06</v>
      </c>
      <c r="M448" s="112">
        <v>7.9049999999999994</v>
      </c>
      <c r="N448" s="112">
        <v>0.47429999999999994</v>
      </c>
      <c r="O448" s="204"/>
      <c r="P448" s="112"/>
      <c r="Q448" s="112"/>
      <c r="R448" s="112"/>
      <c r="S448" s="112"/>
      <c r="T448" s="112"/>
      <c r="U448" t="s">
        <v>4895</v>
      </c>
      <c r="V448" t="s">
        <v>4931</v>
      </c>
      <c r="W448" t="s">
        <v>3958</v>
      </c>
      <c r="X448" t="s">
        <v>4660</v>
      </c>
    </row>
    <row r="449" spans="1:24" x14ac:dyDescent="0.2">
      <c r="A449" t="s">
        <v>4930</v>
      </c>
      <c r="B449" t="s">
        <v>263</v>
      </c>
      <c r="C449" t="s">
        <v>1413</v>
      </c>
      <c r="D449" t="s">
        <v>56</v>
      </c>
      <c r="E449" t="s">
        <v>234</v>
      </c>
      <c r="F449" t="s">
        <v>180</v>
      </c>
      <c r="G449" s="202">
        <v>237.01300000000001</v>
      </c>
      <c r="H449">
        <v>5</v>
      </c>
      <c r="I449" t="s">
        <v>3968</v>
      </c>
      <c r="J449" t="s">
        <v>3969</v>
      </c>
      <c r="K449" t="s">
        <v>180</v>
      </c>
      <c r="L449" s="204">
        <v>1</v>
      </c>
      <c r="M449" s="112"/>
      <c r="N449" s="112">
        <v>7.9049999999999994</v>
      </c>
      <c r="O449" s="204">
        <v>0.22200840695605217</v>
      </c>
      <c r="P449" s="112">
        <v>1.7549764569875919</v>
      </c>
      <c r="Q449" s="112">
        <v>9.6599764569875912</v>
      </c>
      <c r="R449" s="112">
        <v>2289.54</v>
      </c>
      <c r="S449" s="112">
        <v>2289.54</v>
      </c>
      <c r="T449" s="112">
        <v>0</v>
      </c>
      <c r="U449" t="s">
        <v>4895</v>
      </c>
      <c r="V449" t="s">
        <v>4931</v>
      </c>
      <c r="W449" t="s">
        <v>4666</v>
      </c>
      <c r="X449" t="s">
        <v>4667</v>
      </c>
    </row>
    <row r="450" spans="1:24" x14ac:dyDescent="0.2">
      <c r="A450" t="s">
        <v>4932</v>
      </c>
      <c r="B450" t="s">
        <v>264</v>
      </c>
      <c r="C450" t="s">
        <v>1415</v>
      </c>
      <c r="D450" t="s">
        <v>56</v>
      </c>
      <c r="E450" t="s">
        <v>235</v>
      </c>
      <c r="F450" t="s">
        <v>180</v>
      </c>
      <c r="G450" s="202">
        <v>26.658000000000001</v>
      </c>
      <c r="H450">
        <v>1</v>
      </c>
      <c r="I450" t="s">
        <v>3954</v>
      </c>
      <c r="J450" t="s">
        <v>4804</v>
      </c>
      <c r="K450" t="s">
        <v>1283</v>
      </c>
      <c r="L450" s="204">
        <v>0.28000000000000003</v>
      </c>
      <c r="M450" s="112">
        <v>6.5175000000000001</v>
      </c>
      <c r="N450" s="112">
        <v>1.8249000000000002</v>
      </c>
      <c r="O450" s="204"/>
      <c r="P450" s="112"/>
      <c r="Q450" s="112"/>
      <c r="R450" s="112"/>
      <c r="S450" s="112"/>
      <c r="T450" s="112"/>
      <c r="U450" t="s">
        <v>4898</v>
      </c>
      <c r="V450" t="s">
        <v>4933</v>
      </c>
      <c r="W450" t="s">
        <v>3958</v>
      </c>
      <c r="X450" t="s">
        <v>4660</v>
      </c>
    </row>
    <row r="451" spans="1:24" x14ac:dyDescent="0.2">
      <c r="A451" t="s">
        <v>4932</v>
      </c>
      <c r="B451" t="s">
        <v>264</v>
      </c>
      <c r="C451" t="s">
        <v>1415</v>
      </c>
      <c r="D451" t="s">
        <v>56</v>
      </c>
      <c r="E451" t="s">
        <v>235</v>
      </c>
      <c r="F451" t="s">
        <v>180</v>
      </c>
      <c r="G451" s="202">
        <v>26.658000000000001</v>
      </c>
      <c r="H451">
        <v>2</v>
      </c>
      <c r="I451" t="s">
        <v>3960</v>
      </c>
      <c r="J451" t="s">
        <v>4807</v>
      </c>
      <c r="K451" t="s">
        <v>1283</v>
      </c>
      <c r="L451" s="204">
        <v>0.56000000000000005</v>
      </c>
      <c r="M451" s="112">
        <v>6.5175000000000001</v>
      </c>
      <c r="N451" s="112">
        <v>3.6498000000000004</v>
      </c>
      <c r="O451" s="204"/>
      <c r="P451" s="112"/>
      <c r="Q451" s="112"/>
      <c r="R451" s="112"/>
      <c r="S451" s="112"/>
      <c r="T451" s="112"/>
      <c r="U451" t="s">
        <v>4898</v>
      </c>
      <c r="V451" t="s">
        <v>4933</v>
      </c>
      <c r="W451" t="s">
        <v>3958</v>
      </c>
      <c r="X451" t="s">
        <v>4660</v>
      </c>
    </row>
    <row r="452" spans="1:24" x14ac:dyDescent="0.2">
      <c r="A452" t="s">
        <v>4932</v>
      </c>
      <c r="B452" t="s">
        <v>264</v>
      </c>
      <c r="C452" t="s">
        <v>1415</v>
      </c>
      <c r="D452" t="s">
        <v>56</v>
      </c>
      <c r="E452" t="s">
        <v>235</v>
      </c>
      <c r="F452" t="s">
        <v>180</v>
      </c>
      <c r="G452" s="202">
        <v>26.658000000000001</v>
      </c>
      <c r="H452">
        <v>3</v>
      </c>
      <c r="I452" t="s">
        <v>3962</v>
      </c>
      <c r="J452" t="s">
        <v>4808</v>
      </c>
      <c r="K452" t="s">
        <v>1283</v>
      </c>
      <c r="L452" s="204">
        <v>0.1</v>
      </c>
      <c r="M452" s="112">
        <v>6.5175000000000001</v>
      </c>
      <c r="N452" s="112">
        <v>0.65175000000000005</v>
      </c>
      <c r="O452" s="204"/>
      <c r="P452" s="112"/>
      <c r="Q452" s="112"/>
      <c r="R452" s="112"/>
      <c r="S452" s="112"/>
      <c r="T452" s="112"/>
      <c r="U452" t="s">
        <v>4898</v>
      </c>
      <c r="V452" t="s">
        <v>4933</v>
      </c>
      <c r="W452" t="s">
        <v>3958</v>
      </c>
      <c r="X452" t="s">
        <v>4660</v>
      </c>
    </row>
    <row r="453" spans="1:24" x14ac:dyDescent="0.2">
      <c r="A453" t="s">
        <v>4932</v>
      </c>
      <c r="B453" t="s">
        <v>264</v>
      </c>
      <c r="C453" t="s">
        <v>1415</v>
      </c>
      <c r="D453" t="s">
        <v>56</v>
      </c>
      <c r="E453" t="s">
        <v>235</v>
      </c>
      <c r="F453" t="s">
        <v>180</v>
      </c>
      <c r="G453" s="202">
        <v>26.658000000000001</v>
      </c>
      <c r="H453">
        <v>4</v>
      </c>
      <c r="I453" t="s">
        <v>4017</v>
      </c>
      <c r="J453" t="s">
        <v>4809</v>
      </c>
      <c r="K453" t="s">
        <v>1283</v>
      </c>
      <c r="L453" s="204">
        <v>0.06</v>
      </c>
      <c r="M453" s="112">
        <v>6.5175000000000001</v>
      </c>
      <c r="N453" s="112">
        <v>0.39105000000000001</v>
      </c>
      <c r="O453" s="204"/>
      <c r="P453" s="112"/>
      <c r="Q453" s="112"/>
      <c r="R453" s="112"/>
      <c r="S453" s="112"/>
      <c r="T453" s="112"/>
      <c r="U453" t="s">
        <v>4898</v>
      </c>
      <c r="V453" t="s">
        <v>4933</v>
      </c>
      <c r="W453" t="s">
        <v>3958</v>
      </c>
      <c r="X453" t="s">
        <v>4660</v>
      </c>
    </row>
    <row r="454" spans="1:24" x14ac:dyDescent="0.2">
      <c r="A454" t="s">
        <v>4932</v>
      </c>
      <c r="B454" t="s">
        <v>264</v>
      </c>
      <c r="C454" t="s">
        <v>1415</v>
      </c>
      <c r="D454" t="s">
        <v>56</v>
      </c>
      <c r="E454" t="s">
        <v>235</v>
      </c>
      <c r="F454" t="s">
        <v>180</v>
      </c>
      <c r="G454" s="202">
        <v>26.658000000000001</v>
      </c>
      <c r="H454">
        <v>5</v>
      </c>
      <c r="I454" t="s">
        <v>3968</v>
      </c>
      <c r="J454" t="s">
        <v>3969</v>
      </c>
      <c r="K454" t="s">
        <v>180</v>
      </c>
      <c r="L454" s="204">
        <v>1</v>
      </c>
      <c r="M454" s="112"/>
      <c r="N454" s="112">
        <v>6.5175000000000001</v>
      </c>
      <c r="O454" s="204">
        <v>0.22208877839267838</v>
      </c>
      <c r="P454" s="112">
        <v>1.447463613174282</v>
      </c>
      <c r="Q454" s="112">
        <v>7.964963613174282</v>
      </c>
      <c r="R454" s="112">
        <v>212.33</v>
      </c>
      <c r="S454" s="112">
        <v>212.33</v>
      </c>
      <c r="T454" s="112">
        <v>0</v>
      </c>
      <c r="U454" t="s">
        <v>4898</v>
      </c>
      <c r="V454" t="s">
        <v>4933</v>
      </c>
      <c r="W454" t="s">
        <v>4666</v>
      </c>
      <c r="X454" t="s">
        <v>4667</v>
      </c>
    </row>
    <row r="455" spans="1:24" x14ac:dyDescent="0.2">
      <c r="A455" t="s">
        <v>4934</v>
      </c>
      <c r="B455" t="s">
        <v>265</v>
      </c>
      <c r="C455" t="s">
        <v>1428</v>
      </c>
      <c r="D455" t="s">
        <v>56</v>
      </c>
      <c r="E455" t="s">
        <v>266</v>
      </c>
      <c r="F455" t="s">
        <v>180</v>
      </c>
      <c r="G455" s="202">
        <v>425.86399999999998</v>
      </c>
      <c r="H455">
        <v>1</v>
      </c>
      <c r="I455" t="s">
        <v>3954</v>
      </c>
      <c r="J455" t="s">
        <v>4804</v>
      </c>
      <c r="K455" t="s">
        <v>1283</v>
      </c>
      <c r="L455" s="204">
        <v>0.28000000000000003</v>
      </c>
      <c r="M455" s="112">
        <v>9.5474999999999994</v>
      </c>
      <c r="N455" s="112">
        <v>2.6733000000000002</v>
      </c>
      <c r="O455" s="204"/>
      <c r="P455" s="112"/>
      <c r="Q455" s="112"/>
      <c r="R455" s="112"/>
      <c r="S455" s="112"/>
      <c r="T455" s="112"/>
      <c r="U455" t="s">
        <v>4935</v>
      </c>
      <c r="V455" t="s">
        <v>4936</v>
      </c>
      <c r="W455" t="s">
        <v>3958</v>
      </c>
      <c r="X455" t="s">
        <v>4660</v>
      </c>
    </row>
    <row r="456" spans="1:24" x14ac:dyDescent="0.2">
      <c r="A456" t="s">
        <v>4934</v>
      </c>
      <c r="B456" t="s">
        <v>265</v>
      </c>
      <c r="C456" t="s">
        <v>1428</v>
      </c>
      <c r="D456" t="s">
        <v>56</v>
      </c>
      <c r="E456" t="s">
        <v>266</v>
      </c>
      <c r="F456" t="s">
        <v>180</v>
      </c>
      <c r="G456" s="202">
        <v>425.86399999999998</v>
      </c>
      <c r="H456">
        <v>2</v>
      </c>
      <c r="I456" t="s">
        <v>3960</v>
      </c>
      <c r="J456" t="s">
        <v>4807</v>
      </c>
      <c r="K456" t="s">
        <v>1283</v>
      </c>
      <c r="L456" s="204">
        <v>0.56000000000000005</v>
      </c>
      <c r="M456" s="112">
        <v>9.5474999999999994</v>
      </c>
      <c r="N456" s="112">
        <v>5.3466000000000005</v>
      </c>
      <c r="O456" s="204"/>
      <c r="P456" s="112"/>
      <c r="Q456" s="112"/>
      <c r="R456" s="112"/>
      <c r="S456" s="112"/>
      <c r="T456" s="112"/>
      <c r="U456" t="s">
        <v>4935</v>
      </c>
      <c r="V456" t="s">
        <v>4936</v>
      </c>
      <c r="W456" t="s">
        <v>3958</v>
      </c>
      <c r="X456" t="s">
        <v>4660</v>
      </c>
    </row>
    <row r="457" spans="1:24" x14ac:dyDescent="0.2">
      <c r="A457" t="s">
        <v>4934</v>
      </c>
      <c r="B457" t="s">
        <v>265</v>
      </c>
      <c r="C457" t="s">
        <v>1428</v>
      </c>
      <c r="D457" t="s">
        <v>56</v>
      </c>
      <c r="E457" t="s">
        <v>266</v>
      </c>
      <c r="F457" t="s">
        <v>180</v>
      </c>
      <c r="G457" s="202">
        <v>425.86399999999998</v>
      </c>
      <c r="H457">
        <v>3</v>
      </c>
      <c r="I457" t="s">
        <v>3962</v>
      </c>
      <c r="J457" t="s">
        <v>4808</v>
      </c>
      <c r="K457" t="s">
        <v>1283</v>
      </c>
      <c r="L457" s="204">
        <v>0.1</v>
      </c>
      <c r="M457" s="112">
        <v>9.5474999999999994</v>
      </c>
      <c r="N457" s="112">
        <v>0.95474999999999999</v>
      </c>
      <c r="O457" s="204"/>
      <c r="P457" s="112"/>
      <c r="Q457" s="112"/>
      <c r="R457" s="112"/>
      <c r="S457" s="112"/>
      <c r="T457" s="112"/>
      <c r="U457" t="s">
        <v>4935</v>
      </c>
      <c r="V457" t="s">
        <v>4936</v>
      </c>
      <c r="W457" t="s">
        <v>3958</v>
      </c>
      <c r="X457" t="s">
        <v>4660</v>
      </c>
    </row>
    <row r="458" spans="1:24" x14ac:dyDescent="0.2">
      <c r="A458" t="s">
        <v>4934</v>
      </c>
      <c r="B458" t="s">
        <v>265</v>
      </c>
      <c r="C458" t="s">
        <v>1428</v>
      </c>
      <c r="D458" t="s">
        <v>56</v>
      </c>
      <c r="E458" t="s">
        <v>266</v>
      </c>
      <c r="F458" t="s">
        <v>180</v>
      </c>
      <c r="G458" s="202">
        <v>425.86399999999998</v>
      </c>
      <c r="H458">
        <v>4</v>
      </c>
      <c r="I458" t="s">
        <v>4017</v>
      </c>
      <c r="J458" t="s">
        <v>4809</v>
      </c>
      <c r="K458" t="s">
        <v>1283</v>
      </c>
      <c r="L458" s="204">
        <v>0.06</v>
      </c>
      <c r="M458" s="112">
        <v>9.5474999999999994</v>
      </c>
      <c r="N458" s="112">
        <v>0.57284999999999997</v>
      </c>
      <c r="O458" s="204"/>
      <c r="P458" s="112"/>
      <c r="Q458" s="112"/>
      <c r="R458" s="112"/>
      <c r="S458" s="112"/>
      <c r="T458" s="112"/>
      <c r="U458" t="s">
        <v>4935</v>
      </c>
      <c r="V458" t="s">
        <v>4936</v>
      </c>
      <c r="W458" t="s">
        <v>3958</v>
      </c>
      <c r="X458" t="s">
        <v>4660</v>
      </c>
    </row>
    <row r="459" spans="1:24" x14ac:dyDescent="0.2">
      <c r="A459" t="s">
        <v>4934</v>
      </c>
      <c r="B459" t="s">
        <v>265</v>
      </c>
      <c r="C459" t="s">
        <v>1428</v>
      </c>
      <c r="D459" t="s">
        <v>56</v>
      </c>
      <c r="E459" t="s">
        <v>266</v>
      </c>
      <c r="F459" t="s">
        <v>180</v>
      </c>
      <c r="G459" s="202">
        <v>425.86399999999998</v>
      </c>
      <c r="H459">
        <v>5</v>
      </c>
      <c r="I459" t="s">
        <v>3968</v>
      </c>
      <c r="J459" t="s">
        <v>3969</v>
      </c>
      <c r="K459" t="s">
        <v>180</v>
      </c>
      <c r="L459" s="204">
        <v>1</v>
      </c>
      <c r="M459" s="112"/>
      <c r="N459" s="112">
        <v>9.5474999999999994</v>
      </c>
      <c r="O459" s="204">
        <v>0.22152177023402353</v>
      </c>
      <c r="P459" s="112">
        <v>2.1149791013093395</v>
      </c>
      <c r="Q459" s="112">
        <v>11.662479101309339</v>
      </c>
      <c r="R459" s="112">
        <v>4966.63</v>
      </c>
      <c r="S459" s="112">
        <v>4966.63</v>
      </c>
      <c r="T459" s="112">
        <v>0</v>
      </c>
      <c r="U459" t="s">
        <v>4935</v>
      </c>
      <c r="V459" t="s">
        <v>4936</v>
      </c>
      <c r="W459" t="s">
        <v>4666</v>
      </c>
      <c r="X459" t="s">
        <v>4667</v>
      </c>
    </row>
    <row r="460" spans="1:24" x14ac:dyDescent="0.2">
      <c r="A460" t="s">
        <v>4937</v>
      </c>
      <c r="B460" t="s">
        <v>267</v>
      </c>
      <c r="C460" t="s">
        <v>1429</v>
      </c>
      <c r="D460" t="s">
        <v>56</v>
      </c>
      <c r="E460" t="s">
        <v>268</v>
      </c>
      <c r="F460" t="s">
        <v>180</v>
      </c>
      <c r="G460" s="202">
        <v>1036.328</v>
      </c>
      <c r="H460">
        <v>1</v>
      </c>
      <c r="I460" t="s">
        <v>3954</v>
      </c>
      <c r="J460" t="s">
        <v>4804</v>
      </c>
      <c r="K460" t="s">
        <v>1283</v>
      </c>
      <c r="L460" s="204">
        <v>0.28000000000000003</v>
      </c>
      <c r="M460" s="112">
        <v>8.5724999999999998</v>
      </c>
      <c r="N460" s="112">
        <v>2.4003000000000001</v>
      </c>
      <c r="O460" s="204"/>
      <c r="P460" s="112"/>
      <c r="Q460" s="112"/>
      <c r="R460" s="112"/>
      <c r="S460" s="112"/>
      <c r="T460" s="112"/>
      <c r="U460" t="s">
        <v>4938</v>
      </c>
      <c r="V460" t="s">
        <v>4939</v>
      </c>
      <c r="W460" t="s">
        <v>3958</v>
      </c>
      <c r="X460" t="s">
        <v>4660</v>
      </c>
    </row>
    <row r="461" spans="1:24" x14ac:dyDescent="0.2">
      <c r="A461" t="s">
        <v>4937</v>
      </c>
      <c r="B461" t="s">
        <v>267</v>
      </c>
      <c r="C461" t="s">
        <v>1429</v>
      </c>
      <c r="D461" t="s">
        <v>56</v>
      </c>
      <c r="E461" t="s">
        <v>268</v>
      </c>
      <c r="F461" t="s">
        <v>180</v>
      </c>
      <c r="G461" s="202">
        <v>1036.328</v>
      </c>
      <c r="H461">
        <v>2</v>
      </c>
      <c r="I461" t="s">
        <v>3960</v>
      </c>
      <c r="J461" t="s">
        <v>4807</v>
      </c>
      <c r="K461" t="s">
        <v>1283</v>
      </c>
      <c r="L461" s="204">
        <v>0.56000000000000005</v>
      </c>
      <c r="M461" s="112">
        <v>8.5724999999999998</v>
      </c>
      <c r="N461" s="112">
        <v>4.8006000000000002</v>
      </c>
      <c r="O461" s="204"/>
      <c r="P461" s="112"/>
      <c r="Q461" s="112"/>
      <c r="R461" s="112"/>
      <c r="S461" s="112"/>
      <c r="T461" s="112"/>
      <c r="U461" t="s">
        <v>4938</v>
      </c>
      <c r="V461" t="s">
        <v>4939</v>
      </c>
      <c r="W461" t="s">
        <v>3958</v>
      </c>
      <c r="X461" t="s">
        <v>4660</v>
      </c>
    </row>
    <row r="462" spans="1:24" x14ac:dyDescent="0.2">
      <c r="A462" t="s">
        <v>4937</v>
      </c>
      <c r="B462" t="s">
        <v>267</v>
      </c>
      <c r="C462" t="s">
        <v>1429</v>
      </c>
      <c r="D462" t="s">
        <v>56</v>
      </c>
      <c r="E462" t="s">
        <v>268</v>
      </c>
      <c r="F462" t="s">
        <v>180</v>
      </c>
      <c r="G462" s="202">
        <v>1036.328</v>
      </c>
      <c r="H462">
        <v>3</v>
      </c>
      <c r="I462" t="s">
        <v>3962</v>
      </c>
      <c r="J462" t="s">
        <v>4808</v>
      </c>
      <c r="K462" t="s">
        <v>1283</v>
      </c>
      <c r="L462" s="204">
        <v>0.1</v>
      </c>
      <c r="M462" s="112">
        <v>8.5724999999999998</v>
      </c>
      <c r="N462" s="112">
        <v>0.85725000000000007</v>
      </c>
      <c r="O462" s="204"/>
      <c r="P462" s="112"/>
      <c r="Q462" s="112"/>
      <c r="R462" s="112"/>
      <c r="S462" s="112"/>
      <c r="T462" s="112"/>
      <c r="U462" t="s">
        <v>4938</v>
      </c>
      <c r="V462" t="s">
        <v>4939</v>
      </c>
      <c r="W462" t="s">
        <v>3958</v>
      </c>
      <c r="X462" t="s">
        <v>4660</v>
      </c>
    </row>
    <row r="463" spans="1:24" x14ac:dyDescent="0.2">
      <c r="A463" t="s">
        <v>4937</v>
      </c>
      <c r="B463" t="s">
        <v>267</v>
      </c>
      <c r="C463" t="s">
        <v>1429</v>
      </c>
      <c r="D463" t="s">
        <v>56</v>
      </c>
      <c r="E463" t="s">
        <v>268</v>
      </c>
      <c r="F463" t="s">
        <v>180</v>
      </c>
      <c r="G463" s="202">
        <v>1036.328</v>
      </c>
      <c r="H463">
        <v>4</v>
      </c>
      <c r="I463" t="s">
        <v>4017</v>
      </c>
      <c r="J463" t="s">
        <v>4809</v>
      </c>
      <c r="K463" t="s">
        <v>1283</v>
      </c>
      <c r="L463" s="204">
        <v>0.06</v>
      </c>
      <c r="M463" s="112">
        <v>8.5724999999999998</v>
      </c>
      <c r="N463" s="112">
        <v>0.51434999999999997</v>
      </c>
      <c r="O463" s="204"/>
      <c r="P463" s="112"/>
      <c r="Q463" s="112"/>
      <c r="R463" s="112"/>
      <c r="S463" s="112"/>
      <c r="T463" s="112"/>
      <c r="U463" t="s">
        <v>4938</v>
      </c>
      <c r="V463" t="s">
        <v>4939</v>
      </c>
      <c r="W463" t="s">
        <v>3958</v>
      </c>
      <c r="X463" t="s">
        <v>4660</v>
      </c>
    </row>
    <row r="464" spans="1:24" x14ac:dyDescent="0.2">
      <c r="A464" t="s">
        <v>4937</v>
      </c>
      <c r="B464" t="s">
        <v>267</v>
      </c>
      <c r="C464" t="s">
        <v>1429</v>
      </c>
      <c r="D464" t="s">
        <v>56</v>
      </c>
      <c r="E464" t="s">
        <v>268</v>
      </c>
      <c r="F464" t="s">
        <v>180</v>
      </c>
      <c r="G464" s="202">
        <v>1036.328</v>
      </c>
      <c r="H464">
        <v>5</v>
      </c>
      <c r="I464" t="s">
        <v>3968</v>
      </c>
      <c r="J464" t="s">
        <v>3969</v>
      </c>
      <c r="K464" t="s">
        <v>180</v>
      </c>
      <c r="L464" s="204">
        <v>1</v>
      </c>
      <c r="M464" s="112"/>
      <c r="N464" s="112">
        <v>8.5724999999999998</v>
      </c>
      <c r="O464" s="204">
        <v>0.22222147705582374</v>
      </c>
      <c r="P464" s="112">
        <v>1.9049936120610482</v>
      </c>
      <c r="Q464" s="112">
        <v>10.477493612061048</v>
      </c>
      <c r="R464" s="112">
        <v>10858.12</v>
      </c>
      <c r="S464" s="112">
        <v>10858.12</v>
      </c>
      <c r="T464" s="112">
        <v>0</v>
      </c>
      <c r="U464" t="s">
        <v>4938</v>
      </c>
      <c r="V464" t="s">
        <v>4939</v>
      </c>
      <c r="W464" t="s">
        <v>4666</v>
      </c>
      <c r="X464" t="s">
        <v>4667</v>
      </c>
    </row>
    <row r="465" spans="1:24" x14ac:dyDescent="0.2">
      <c r="A465" t="s">
        <v>4940</v>
      </c>
      <c r="B465" t="s">
        <v>1430</v>
      </c>
      <c r="C465" t="s">
        <v>1431</v>
      </c>
      <c r="D465" t="s">
        <v>56</v>
      </c>
      <c r="E465" t="s">
        <v>269</v>
      </c>
      <c r="F465" t="s">
        <v>180</v>
      </c>
      <c r="G465" s="202">
        <v>323.78300000000002</v>
      </c>
      <c r="H465">
        <v>1</v>
      </c>
      <c r="I465" t="s">
        <v>3954</v>
      </c>
      <c r="J465" t="s">
        <v>4804</v>
      </c>
      <c r="K465" t="s">
        <v>1283</v>
      </c>
      <c r="L465" s="204">
        <v>0.28000000000000003</v>
      </c>
      <c r="M465" s="112">
        <v>7.4550000000000001</v>
      </c>
      <c r="N465" s="112">
        <v>2.0874000000000001</v>
      </c>
      <c r="O465" s="204"/>
      <c r="P465" s="112"/>
      <c r="Q465" s="112"/>
      <c r="R465" s="112"/>
      <c r="S465" s="112"/>
      <c r="T465" s="112"/>
      <c r="U465" t="s">
        <v>4941</v>
      </c>
      <c r="V465" t="s">
        <v>4942</v>
      </c>
      <c r="W465" t="s">
        <v>3958</v>
      </c>
      <c r="X465" t="s">
        <v>4660</v>
      </c>
    </row>
    <row r="466" spans="1:24" x14ac:dyDescent="0.2">
      <c r="A466" t="s">
        <v>4940</v>
      </c>
      <c r="B466" t="s">
        <v>1430</v>
      </c>
      <c r="C466" t="s">
        <v>1431</v>
      </c>
      <c r="D466" t="s">
        <v>56</v>
      </c>
      <c r="E466" t="s">
        <v>269</v>
      </c>
      <c r="F466" t="s">
        <v>180</v>
      </c>
      <c r="G466" s="202">
        <v>323.78300000000002</v>
      </c>
      <c r="H466">
        <v>2</v>
      </c>
      <c r="I466" t="s">
        <v>3960</v>
      </c>
      <c r="J466" t="s">
        <v>4807</v>
      </c>
      <c r="K466" t="s">
        <v>1283</v>
      </c>
      <c r="L466" s="204">
        <v>0.56000000000000005</v>
      </c>
      <c r="M466" s="112">
        <v>7.4550000000000001</v>
      </c>
      <c r="N466" s="112">
        <v>4.1748000000000003</v>
      </c>
      <c r="O466" s="204"/>
      <c r="P466" s="112"/>
      <c r="Q466" s="112"/>
      <c r="R466" s="112"/>
      <c r="S466" s="112"/>
      <c r="T466" s="112"/>
      <c r="U466" t="s">
        <v>4941</v>
      </c>
      <c r="V466" t="s">
        <v>4942</v>
      </c>
      <c r="W466" t="s">
        <v>3958</v>
      </c>
      <c r="X466" t="s">
        <v>4660</v>
      </c>
    </row>
    <row r="467" spans="1:24" x14ac:dyDescent="0.2">
      <c r="A467" t="s">
        <v>4940</v>
      </c>
      <c r="B467" t="s">
        <v>1430</v>
      </c>
      <c r="C467" t="s">
        <v>1431</v>
      </c>
      <c r="D467" t="s">
        <v>56</v>
      </c>
      <c r="E467" t="s">
        <v>269</v>
      </c>
      <c r="F467" t="s">
        <v>180</v>
      </c>
      <c r="G467" s="202">
        <v>323.78300000000002</v>
      </c>
      <c r="H467">
        <v>3</v>
      </c>
      <c r="I467" t="s">
        <v>3962</v>
      </c>
      <c r="J467" t="s">
        <v>4808</v>
      </c>
      <c r="K467" t="s">
        <v>1283</v>
      </c>
      <c r="L467" s="204">
        <v>0.1</v>
      </c>
      <c r="M467" s="112">
        <v>7.4550000000000001</v>
      </c>
      <c r="N467" s="112">
        <v>0.74550000000000005</v>
      </c>
      <c r="O467" s="204"/>
      <c r="P467" s="112"/>
      <c r="Q467" s="112"/>
      <c r="R467" s="112"/>
      <c r="S467" s="112"/>
      <c r="T467" s="112"/>
      <c r="U467" t="s">
        <v>4941</v>
      </c>
      <c r="V467" t="s">
        <v>4942</v>
      </c>
      <c r="W467" t="s">
        <v>3958</v>
      </c>
      <c r="X467" t="s">
        <v>4660</v>
      </c>
    </row>
    <row r="468" spans="1:24" x14ac:dyDescent="0.2">
      <c r="A468" t="s">
        <v>4940</v>
      </c>
      <c r="B468" t="s">
        <v>1430</v>
      </c>
      <c r="C468" t="s">
        <v>1431</v>
      </c>
      <c r="D468" t="s">
        <v>56</v>
      </c>
      <c r="E468" t="s">
        <v>269</v>
      </c>
      <c r="F468" t="s">
        <v>180</v>
      </c>
      <c r="G468" s="202">
        <v>323.78300000000002</v>
      </c>
      <c r="H468">
        <v>4</v>
      </c>
      <c r="I468" t="s">
        <v>4017</v>
      </c>
      <c r="J468" t="s">
        <v>4809</v>
      </c>
      <c r="K468" t="s">
        <v>1283</v>
      </c>
      <c r="L468" s="204">
        <v>0.06</v>
      </c>
      <c r="M468" s="112">
        <v>7.4550000000000001</v>
      </c>
      <c r="N468" s="112">
        <v>0.44729999999999998</v>
      </c>
      <c r="O468" s="204"/>
      <c r="P468" s="112"/>
      <c r="Q468" s="112"/>
      <c r="R468" s="112"/>
      <c r="S468" s="112"/>
      <c r="T468" s="112"/>
      <c r="U468" t="s">
        <v>4941</v>
      </c>
      <c r="V468" t="s">
        <v>4942</v>
      </c>
      <c r="W468" t="s">
        <v>3958</v>
      </c>
      <c r="X468" t="s">
        <v>4660</v>
      </c>
    </row>
    <row r="469" spans="1:24" x14ac:dyDescent="0.2">
      <c r="A469" t="s">
        <v>4940</v>
      </c>
      <c r="B469" t="s">
        <v>1430</v>
      </c>
      <c r="C469" t="s">
        <v>1431</v>
      </c>
      <c r="D469" t="s">
        <v>56</v>
      </c>
      <c r="E469" t="s">
        <v>269</v>
      </c>
      <c r="F469" t="s">
        <v>180</v>
      </c>
      <c r="G469" s="202">
        <v>323.78300000000002</v>
      </c>
      <c r="H469">
        <v>5</v>
      </c>
      <c r="I469" t="s">
        <v>3968</v>
      </c>
      <c r="J469" t="s">
        <v>3969</v>
      </c>
      <c r="K469" t="s">
        <v>180</v>
      </c>
      <c r="L469" s="204">
        <v>1</v>
      </c>
      <c r="M469" s="112"/>
      <c r="N469" s="112">
        <v>7.4550000000000001</v>
      </c>
      <c r="O469" s="204">
        <v>0.22132622159918292</v>
      </c>
      <c r="P469" s="112">
        <v>1.6499869820219093</v>
      </c>
      <c r="Q469" s="112">
        <v>9.1049869820219094</v>
      </c>
      <c r="R469" s="112">
        <v>2948.04</v>
      </c>
      <c r="S469" s="112">
        <v>2948.04</v>
      </c>
      <c r="T469" s="112">
        <v>0</v>
      </c>
      <c r="U469" t="s">
        <v>4941</v>
      </c>
      <c r="V469" t="s">
        <v>4942</v>
      </c>
      <c r="W469" t="s">
        <v>4666</v>
      </c>
      <c r="X469" t="s">
        <v>4667</v>
      </c>
    </row>
    <row r="470" spans="1:24" x14ac:dyDescent="0.2">
      <c r="A470" t="s">
        <v>4943</v>
      </c>
      <c r="B470" t="s">
        <v>1432</v>
      </c>
      <c r="C470" t="s">
        <v>1433</v>
      </c>
      <c r="D470" t="s">
        <v>56</v>
      </c>
      <c r="E470" t="s">
        <v>270</v>
      </c>
      <c r="F470" t="s">
        <v>180</v>
      </c>
      <c r="G470" s="202">
        <v>60.871000000000002</v>
      </c>
      <c r="H470">
        <v>1</v>
      </c>
      <c r="I470" t="s">
        <v>3954</v>
      </c>
      <c r="J470" t="s">
        <v>4804</v>
      </c>
      <c r="K470" t="s">
        <v>1283</v>
      </c>
      <c r="L470" s="204">
        <v>0.28000000000000003</v>
      </c>
      <c r="M470" s="112">
        <v>6.39</v>
      </c>
      <c r="N470" s="112">
        <v>1.7892000000000001</v>
      </c>
      <c r="O470" s="204"/>
      <c r="P470" s="112"/>
      <c r="Q470" s="112"/>
      <c r="R470" s="112"/>
      <c r="S470" s="112"/>
      <c r="T470" s="112"/>
      <c r="U470" t="s">
        <v>4944</v>
      </c>
      <c r="V470" t="s">
        <v>4945</v>
      </c>
      <c r="W470" t="s">
        <v>3958</v>
      </c>
      <c r="X470" t="s">
        <v>4660</v>
      </c>
    </row>
    <row r="471" spans="1:24" x14ac:dyDescent="0.2">
      <c r="A471" t="s">
        <v>4943</v>
      </c>
      <c r="B471" t="s">
        <v>1432</v>
      </c>
      <c r="C471" t="s">
        <v>1433</v>
      </c>
      <c r="D471" t="s">
        <v>56</v>
      </c>
      <c r="E471" t="s">
        <v>270</v>
      </c>
      <c r="F471" t="s">
        <v>180</v>
      </c>
      <c r="G471" s="202">
        <v>60.871000000000002</v>
      </c>
      <c r="H471">
        <v>2</v>
      </c>
      <c r="I471" t="s">
        <v>3960</v>
      </c>
      <c r="J471" t="s">
        <v>4807</v>
      </c>
      <c r="K471" t="s">
        <v>1283</v>
      </c>
      <c r="L471" s="204">
        <v>0.56000000000000005</v>
      </c>
      <c r="M471" s="112">
        <v>6.39</v>
      </c>
      <c r="N471" s="112">
        <v>3.5784000000000002</v>
      </c>
      <c r="O471" s="204"/>
      <c r="P471" s="112"/>
      <c r="Q471" s="112"/>
      <c r="R471" s="112"/>
      <c r="S471" s="112"/>
      <c r="T471" s="112"/>
      <c r="U471" t="s">
        <v>4944</v>
      </c>
      <c r="V471" t="s">
        <v>4945</v>
      </c>
      <c r="W471" t="s">
        <v>3958</v>
      </c>
      <c r="X471" t="s">
        <v>4660</v>
      </c>
    </row>
    <row r="472" spans="1:24" x14ac:dyDescent="0.2">
      <c r="A472" t="s">
        <v>4943</v>
      </c>
      <c r="B472" t="s">
        <v>1432</v>
      </c>
      <c r="C472" t="s">
        <v>1433</v>
      </c>
      <c r="D472" t="s">
        <v>56</v>
      </c>
      <c r="E472" t="s">
        <v>270</v>
      </c>
      <c r="F472" t="s">
        <v>180</v>
      </c>
      <c r="G472" s="202">
        <v>60.871000000000002</v>
      </c>
      <c r="H472">
        <v>3</v>
      </c>
      <c r="I472" t="s">
        <v>3962</v>
      </c>
      <c r="J472" t="s">
        <v>4808</v>
      </c>
      <c r="K472" t="s">
        <v>1283</v>
      </c>
      <c r="L472" s="204">
        <v>0.1</v>
      </c>
      <c r="M472" s="112">
        <v>6.39</v>
      </c>
      <c r="N472" s="112">
        <v>0.63900000000000001</v>
      </c>
      <c r="O472" s="204"/>
      <c r="P472" s="112"/>
      <c r="Q472" s="112"/>
      <c r="R472" s="112"/>
      <c r="S472" s="112"/>
      <c r="T472" s="112"/>
      <c r="U472" t="s">
        <v>4944</v>
      </c>
      <c r="V472" t="s">
        <v>4945</v>
      </c>
      <c r="W472" t="s">
        <v>3958</v>
      </c>
      <c r="X472" t="s">
        <v>4660</v>
      </c>
    </row>
    <row r="473" spans="1:24" x14ac:dyDescent="0.2">
      <c r="A473" t="s">
        <v>4943</v>
      </c>
      <c r="B473" t="s">
        <v>1432</v>
      </c>
      <c r="C473" t="s">
        <v>1433</v>
      </c>
      <c r="D473" t="s">
        <v>56</v>
      </c>
      <c r="E473" t="s">
        <v>270</v>
      </c>
      <c r="F473" t="s">
        <v>180</v>
      </c>
      <c r="G473" s="202">
        <v>60.871000000000002</v>
      </c>
      <c r="H473">
        <v>4</v>
      </c>
      <c r="I473" t="s">
        <v>4017</v>
      </c>
      <c r="J473" t="s">
        <v>4809</v>
      </c>
      <c r="K473" t="s">
        <v>1283</v>
      </c>
      <c r="L473" s="204">
        <v>0.06</v>
      </c>
      <c r="M473" s="112">
        <v>6.39</v>
      </c>
      <c r="N473" s="112">
        <v>0.38339999999999996</v>
      </c>
      <c r="O473" s="204"/>
      <c r="P473" s="112"/>
      <c r="Q473" s="112"/>
      <c r="R473" s="112"/>
      <c r="S473" s="112"/>
      <c r="T473" s="112"/>
      <c r="U473" t="s">
        <v>4944</v>
      </c>
      <c r="V473" t="s">
        <v>4945</v>
      </c>
      <c r="W473" t="s">
        <v>3958</v>
      </c>
      <c r="X473" t="s">
        <v>4660</v>
      </c>
    </row>
    <row r="474" spans="1:24" x14ac:dyDescent="0.2">
      <c r="A474" t="s">
        <v>4943</v>
      </c>
      <c r="B474" t="s">
        <v>1432</v>
      </c>
      <c r="C474" t="s">
        <v>1433</v>
      </c>
      <c r="D474" t="s">
        <v>56</v>
      </c>
      <c r="E474" t="s">
        <v>270</v>
      </c>
      <c r="F474" t="s">
        <v>180</v>
      </c>
      <c r="G474" s="202">
        <v>60.871000000000002</v>
      </c>
      <c r="H474">
        <v>5</v>
      </c>
      <c r="I474" t="s">
        <v>3968</v>
      </c>
      <c r="J474" t="s">
        <v>3969</v>
      </c>
      <c r="K474" t="s">
        <v>180</v>
      </c>
      <c r="L474" s="204">
        <v>1</v>
      </c>
      <c r="M474" s="112"/>
      <c r="N474" s="112">
        <v>6.39</v>
      </c>
      <c r="O474" s="204">
        <v>0.22183013108431249</v>
      </c>
      <c r="P474" s="112">
        <v>1.4174945376287562</v>
      </c>
      <c r="Q474" s="112">
        <v>7.8074945376287559</v>
      </c>
      <c r="R474" s="112">
        <v>475.25</v>
      </c>
      <c r="S474" s="112">
        <v>475.25</v>
      </c>
      <c r="T474" s="112">
        <v>0</v>
      </c>
      <c r="U474" t="s">
        <v>4944</v>
      </c>
      <c r="V474" t="s">
        <v>4945</v>
      </c>
      <c r="W474" t="s">
        <v>4666</v>
      </c>
      <c r="X474" t="s">
        <v>4667</v>
      </c>
    </row>
    <row r="475" spans="1:24" x14ac:dyDescent="0.2">
      <c r="A475" t="s">
        <v>4946</v>
      </c>
      <c r="B475" t="s">
        <v>1434</v>
      </c>
      <c r="C475" t="s">
        <v>236</v>
      </c>
      <c r="D475" t="s">
        <v>209</v>
      </c>
      <c r="E475" t="s">
        <v>271</v>
      </c>
      <c r="F475" t="s">
        <v>118</v>
      </c>
      <c r="G475" s="202">
        <v>20.338000000000001</v>
      </c>
      <c r="H475">
        <v>1</v>
      </c>
      <c r="I475" t="s">
        <v>3954</v>
      </c>
      <c r="J475" t="s">
        <v>4804</v>
      </c>
      <c r="K475" t="s">
        <v>1283</v>
      </c>
      <c r="L475" s="204">
        <v>0.28000000000000003</v>
      </c>
      <c r="M475" s="112">
        <v>521.81999999999994</v>
      </c>
      <c r="N475" s="112">
        <v>146.1096</v>
      </c>
      <c r="O475" s="204"/>
      <c r="P475" s="112"/>
      <c r="Q475" s="112"/>
      <c r="R475" s="112"/>
      <c r="S475" s="112"/>
      <c r="T475" s="112"/>
      <c r="U475" t="s">
        <v>4106</v>
      </c>
      <c r="V475" t="s">
        <v>4406</v>
      </c>
      <c r="W475" t="s">
        <v>3958</v>
      </c>
      <c r="X475" t="s">
        <v>4660</v>
      </c>
    </row>
    <row r="476" spans="1:24" x14ac:dyDescent="0.2">
      <c r="A476" t="s">
        <v>4946</v>
      </c>
      <c r="B476" t="s">
        <v>1434</v>
      </c>
      <c r="C476" t="s">
        <v>236</v>
      </c>
      <c r="D476" t="s">
        <v>209</v>
      </c>
      <c r="E476" t="s">
        <v>271</v>
      </c>
      <c r="F476" t="s">
        <v>118</v>
      </c>
      <c r="G476" s="202">
        <v>20.338000000000001</v>
      </c>
      <c r="H476">
        <v>2</v>
      </c>
      <c r="I476" t="s">
        <v>3960</v>
      </c>
      <c r="J476" t="s">
        <v>4807</v>
      </c>
      <c r="K476" t="s">
        <v>1283</v>
      </c>
      <c r="L476" s="204">
        <v>0.56000000000000005</v>
      </c>
      <c r="M476" s="112">
        <v>521.81999999999994</v>
      </c>
      <c r="N476" s="112">
        <v>292.2192</v>
      </c>
      <c r="O476" s="204"/>
      <c r="P476" s="112"/>
      <c r="Q476" s="112"/>
      <c r="R476" s="112"/>
      <c r="S476" s="112"/>
      <c r="T476" s="112"/>
      <c r="U476" t="s">
        <v>4106</v>
      </c>
      <c r="V476" t="s">
        <v>4406</v>
      </c>
      <c r="W476" t="s">
        <v>3958</v>
      </c>
      <c r="X476" t="s">
        <v>4660</v>
      </c>
    </row>
    <row r="477" spans="1:24" x14ac:dyDescent="0.2">
      <c r="A477" t="s">
        <v>4946</v>
      </c>
      <c r="B477" t="s">
        <v>1434</v>
      </c>
      <c r="C477" t="s">
        <v>236</v>
      </c>
      <c r="D477" t="s">
        <v>209</v>
      </c>
      <c r="E477" t="s">
        <v>271</v>
      </c>
      <c r="F477" t="s">
        <v>118</v>
      </c>
      <c r="G477" s="202">
        <v>20.338000000000001</v>
      </c>
      <c r="H477">
        <v>3</v>
      </c>
      <c r="I477" t="s">
        <v>3962</v>
      </c>
      <c r="J477" t="s">
        <v>4808</v>
      </c>
      <c r="K477" t="s">
        <v>1283</v>
      </c>
      <c r="L477" s="204">
        <v>0.1</v>
      </c>
      <c r="M477" s="112">
        <v>521.81999999999994</v>
      </c>
      <c r="N477" s="112">
        <v>52.181999999999995</v>
      </c>
      <c r="O477" s="204"/>
      <c r="P477" s="112"/>
      <c r="Q477" s="112"/>
      <c r="R477" s="112"/>
      <c r="S477" s="112"/>
      <c r="T477" s="112"/>
      <c r="U477" t="s">
        <v>4106</v>
      </c>
      <c r="V477" t="s">
        <v>4406</v>
      </c>
      <c r="W477" t="s">
        <v>3958</v>
      </c>
      <c r="X477" t="s">
        <v>4660</v>
      </c>
    </row>
    <row r="478" spans="1:24" x14ac:dyDescent="0.2">
      <c r="A478" t="s">
        <v>4946</v>
      </c>
      <c r="B478" t="s">
        <v>1434</v>
      </c>
      <c r="C478" t="s">
        <v>236</v>
      </c>
      <c r="D478" t="s">
        <v>209</v>
      </c>
      <c r="E478" t="s">
        <v>271</v>
      </c>
      <c r="F478" t="s">
        <v>118</v>
      </c>
      <c r="G478" s="202">
        <v>20.338000000000001</v>
      </c>
      <c r="H478">
        <v>4</v>
      </c>
      <c r="I478" t="s">
        <v>4017</v>
      </c>
      <c r="J478" t="s">
        <v>4809</v>
      </c>
      <c r="K478" t="s">
        <v>1283</v>
      </c>
      <c r="L478" s="204">
        <v>0.06</v>
      </c>
      <c r="M478" s="112">
        <v>521.81999999999994</v>
      </c>
      <c r="N478" s="112">
        <v>31.309199999999993</v>
      </c>
      <c r="O478" s="204"/>
      <c r="P478" s="112"/>
      <c r="Q478" s="112"/>
      <c r="R478" s="112"/>
      <c r="S478" s="112"/>
      <c r="T478" s="112"/>
      <c r="U478" t="s">
        <v>4106</v>
      </c>
      <c r="V478" t="s">
        <v>4406</v>
      </c>
      <c r="W478" t="s">
        <v>3958</v>
      </c>
      <c r="X478" t="s">
        <v>4660</v>
      </c>
    </row>
    <row r="479" spans="1:24" x14ac:dyDescent="0.2">
      <c r="A479" t="s">
        <v>4946</v>
      </c>
      <c r="B479" t="s">
        <v>1434</v>
      </c>
      <c r="C479" t="s">
        <v>236</v>
      </c>
      <c r="D479" t="s">
        <v>209</v>
      </c>
      <c r="E479" t="s">
        <v>271</v>
      </c>
      <c r="F479" t="s">
        <v>118</v>
      </c>
      <c r="G479" s="202">
        <v>20.338000000000001</v>
      </c>
      <c r="H479">
        <v>5</v>
      </c>
      <c r="I479" t="s">
        <v>3968</v>
      </c>
      <c r="J479" t="s">
        <v>3969</v>
      </c>
      <c r="K479" t="s">
        <v>118</v>
      </c>
      <c r="L479" s="204">
        <v>1</v>
      </c>
      <c r="M479" s="112"/>
      <c r="N479" s="112">
        <v>521.81999999999994</v>
      </c>
      <c r="O479" s="204">
        <v>0.22228915664694071</v>
      </c>
      <c r="P479" s="112">
        <v>115.99492772150654</v>
      </c>
      <c r="Q479" s="112">
        <v>637.81492772150648</v>
      </c>
      <c r="R479" s="112">
        <v>12971.88</v>
      </c>
      <c r="S479" s="112">
        <v>12971.88</v>
      </c>
      <c r="T479" s="112">
        <v>0</v>
      </c>
      <c r="U479" t="s">
        <v>4106</v>
      </c>
      <c r="V479" t="s">
        <v>4406</v>
      </c>
      <c r="W479" t="s">
        <v>4666</v>
      </c>
      <c r="X479" t="s">
        <v>4667</v>
      </c>
    </row>
    <row r="480" spans="1:24" x14ac:dyDescent="0.2">
      <c r="A480" t="s">
        <v>4947</v>
      </c>
      <c r="B480" t="s">
        <v>1435</v>
      </c>
      <c r="C480" t="s">
        <v>272</v>
      </c>
      <c r="D480" t="s">
        <v>209</v>
      </c>
      <c r="E480" t="s">
        <v>273</v>
      </c>
      <c r="F480" t="s">
        <v>118</v>
      </c>
      <c r="G480" s="202">
        <v>14.555999999999999</v>
      </c>
      <c r="H480">
        <v>1</v>
      </c>
      <c r="I480" t="s">
        <v>3954</v>
      </c>
      <c r="J480" t="s">
        <v>4804</v>
      </c>
      <c r="K480" t="s">
        <v>1283</v>
      </c>
      <c r="L480" s="204">
        <v>0.28000000000000003</v>
      </c>
      <c r="M480" s="112">
        <v>540.85500000000002</v>
      </c>
      <c r="N480" s="112">
        <v>151.43940000000001</v>
      </c>
      <c r="O480" s="204"/>
      <c r="P480" s="112"/>
      <c r="Q480" s="112"/>
      <c r="R480" s="112"/>
      <c r="S480" s="112"/>
      <c r="T480" s="112"/>
      <c r="U480" t="s">
        <v>4438</v>
      </c>
      <c r="V480" t="s">
        <v>4439</v>
      </c>
      <c r="W480" t="s">
        <v>3958</v>
      </c>
      <c r="X480" t="s">
        <v>4660</v>
      </c>
    </row>
    <row r="481" spans="1:24" x14ac:dyDescent="0.2">
      <c r="A481" t="s">
        <v>4947</v>
      </c>
      <c r="B481" t="s">
        <v>1435</v>
      </c>
      <c r="C481" t="s">
        <v>272</v>
      </c>
      <c r="D481" t="s">
        <v>209</v>
      </c>
      <c r="E481" t="s">
        <v>273</v>
      </c>
      <c r="F481" t="s">
        <v>118</v>
      </c>
      <c r="G481" s="202">
        <v>14.555999999999999</v>
      </c>
      <c r="H481">
        <v>2</v>
      </c>
      <c r="I481" t="s">
        <v>3960</v>
      </c>
      <c r="J481" t="s">
        <v>4807</v>
      </c>
      <c r="K481" t="s">
        <v>1283</v>
      </c>
      <c r="L481" s="204">
        <v>0.56000000000000005</v>
      </c>
      <c r="M481" s="112">
        <v>540.85500000000002</v>
      </c>
      <c r="N481" s="112">
        <v>302.87880000000001</v>
      </c>
      <c r="O481" s="204"/>
      <c r="P481" s="112"/>
      <c r="Q481" s="112"/>
      <c r="R481" s="112"/>
      <c r="S481" s="112"/>
      <c r="T481" s="112"/>
      <c r="U481" t="s">
        <v>4438</v>
      </c>
      <c r="V481" t="s">
        <v>4439</v>
      </c>
      <c r="W481" t="s">
        <v>3958</v>
      </c>
      <c r="X481" t="s">
        <v>4660</v>
      </c>
    </row>
    <row r="482" spans="1:24" x14ac:dyDescent="0.2">
      <c r="A482" t="s">
        <v>4947</v>
      </c>
      <c r="B482" t="s">
        <v>1435</v>
      </c>
      <c r="C482" t="s">
        <v>272</v>
      </c>
      <c r="D482" t="s">
        <v>209</v>
      </c>
      <c r="E482" t="s">
        <v>273</v>
      </c>
      <c r="F482" t="s">
        <v>118</v>
      </c>
      <c r="G482" s="202">
        <v>14.555999999999999</v>
      </c>
      <c r="H482">
        <v>3</v>
      </c>
      <c r="I482" t="s">
        <v>3962</v>
      </c>
      <c r="J482" t="s">
        <v>4808</v>
      </c>
      <c r="K482" t="s">
        <v>1283</v>
      </c>
      <c r="L482" s="204">
        <v>0.1</v>
      </c>
      <c r="M482" s="112">
        <v>540.85500000000002</v>
      </c>
      <c r="N482" s="112">
        <v>54.085500000000003</v>
      </c>
      <c r="O482" s="204"/>
      <c r="P482" s="112"/>
      <c r="Q482" s="112"/>
      <c r="R482" s="112"/>
      <c r="S482" s="112"/>
      <c r="T482" s="112"/>
      <c r="U482" t="s">
        <v>4438</v>
      </c>
      <c r="V482" t="s">
        <v>4439</v>
      </c>
      <c r="W482" t="s">
        <v>3958</v>
      </c>
      <c r="X482" t="s">
        <v>4660</v>
      </c>
    </row>
    <row r="483" spans="1:24" x14ac:dyDescent="0.2">
      <c r="A483" t="s">
        <v>4947</v>
      </c>
      <c r="B483" t="s">
        <v>1435</v>
      </c>
      <c r="C483" t="s">
        <v>272</v>
      </c>
      <c r="D483" t="s">
        <v>209</v>
      </c>
      <c r="E483" t="s">
        <v>273</v>
      </c>
      <c r="F483" t="s">
        <v>118</v>
      </c>
      <c r="G483" s="202">
        <v>14.555999999999999</v>
      </c>
      <c r="H483">
        <v>4</v>
      </c>
      <c r="I483" t="s">
        <v>4017</v>
      </c>
      <c r="J483" t="s">
        <v>4809</v>
      </c>
      <c r="K483" t="s">
        <v>1283</v>
      </c>
      <c r="L483" s="204">
        <v>0.06</v>
      </c>
      <c r="M483" s="112">
        <v>540.85500000000002</v>
      </c>
      <c r="N483" s="112">
        <v>32.451300000000003</v>
      </c>
      <c r="O483" s="204"/>
      <c r="P483" s="112"/>
      <c r="Q483" s="112"/>
      <c r="R483" s="112"/>
      <c r="S483" s="112"/>
      <c r="T483" s="112"/>
      <c r="U483" t="s">
        <v>4438</v>
      </c>
      <c r="V483" t="s">
        <v>4439</v>
      </c>
      <c r="W483" t="s">
        <v>3958</v>
      </c>
      <c r="X483" t="s">
        <v>4660</v>
      </c>
    </row>
    <row r="484" spans="1:24" x14ac:dyDescent="0.2">
      <c r="A484" t="s">
        <v>4947</v>
      </c>
      <c r="B484" t="s">
        <v>1435</v>
      </c>
      <c r="C484" t="s">
        <v>272</v>
      </c>
      <c r="D484" t="s">
        <v>209</v>
      </c>
      <c r="E484" t="s">
        <v>273</v>
      </c>
      <c r="F484" t="s">
        <v>118</v>
      </c>
      <c r="G484" s="202">
        <v>14.555999999999999</v>
      </c>
      <c r="H484">
        <v>5</v>
      </c>
      <c r="I484" t="s">
        <v>3968</v>
      </c>
      <c r="J484" t="s">
        <v>3969</v>
      </c>
      <c r="K484" t="s">
        <v>118</v>
      </c>
      <c r="L484" s="204">
        <v>1</v>
      </c>
      <c r="M484" s="112"/>
      <c r="N484" s="112">
        <v>540.85500000000002</v>
      </c>
      <c r="O484" s="204">
        <v>0.22228687360550925</v>
      </c>
      <c r="P484" s="112">
        <v>120.22496702390765</v>
      </c>
      <c r="Q484" s="112">
        <v>661.07996702390767</v>
      </c>
      <c r="R484" s="112">
        <v>9622.68</v>
      </c>
      <c r="S484" s="112">
        <v>9622.68</v>
      </c>
      <c r="T484" s="112">
        <v>0</v>
      </c>
      <c r="U484" t="s">
        <v>4438</v>
      </c>
      <c r="V484" t="s">
        <v>4439</v>
      </c>
      <c r="W484" t="s">
        <v>4666</v>
      </c>
      <c r="X484" t="s">
        <v>4667</v>
      </c>
    </row>
    <row r="485" spans="1:24" x14ac:dyDescent="0.2">
      <c r="A485" t="s">
        <v>4948</v>
      </c>
      <c r="B485" t="s">
        <v>1436</v>
      </c>
      <c r="C485" t="s">
        <v>1393</v>
      </c>
      <c r="D485" t="s">
        <v>24</v>
      </c>
      <c r="E485" t="s">
        <v>194</v>
      </c>
      <c r="F485" t="s">
        <v>180</v>
      </c>
      <c r="G485" s="202">
        <v>406.76</v>
      </c>
      <c r="H485">
        <v>1</v>
      </c>
      <c r="I485" t="s">
        <v>3954</v>
      </c>
      <c r="J485" t="s">
        <v>4804</v>
      </c>
      <c r="K485" t="s">
        <v>1283</v>
      </c>
      <c r="L485" s="204">
        <v>0.28000000000000003</v>
      </c>
      <c r="M485" s="112">
        <v>23.13</v>
      </c>
      <c r="N485" s="112">
        <v>6.4763999999999999</v>
      </c>
      <c r="O485" s="204"/>
      <c r="P485" s="112"/>
      <c r="Q485" s="112"/>
      <c r="R485" s="112"/>
      <c r="S485" s="112"/>
      <c r="T485" s="112"/>
      <c r="U485" t="s">
        <v>4853</v>
      </c>
      <c r="V485" t="s">
        <v>4949</v>
      </c>
      <c r="W485" t="s">
        <v>3958</v>
      </c>
      <c r="X485" t="s">
        <v>4660</v>
      </c>
    </row>
    <row r="486" spans="1:24" x14ac:dyDescent="0.2">
      <c r="A486" t="s">
        <v>4948</v>
      </c>
      <c r="B486" t="s">
        <v>1436</v>
      </c>
      <c r="C486" t="s">
        <v>1393</v>
      </c>
      <c r="D486" t="s">
        <v>24</v>
      </c>
      <c r="E486" t="s">
        <v>194</v>
      </c>
      <c r="F486" t="s">
        <v>180</v>
      </c>
      <c r="G486" s="202">
        <v>406.76</v>
      </c>
      <c r="H486">
        <v>2</v>
      </c>
      <c r="I486" t="s">
        <v>3960</v>
      </c>
      <c r="J486" t="s">
        <v>4807</v>
      </c>
      <c r="K486" t="s">
        <v>1283</v>
      </c>
      <c r="L486" s="204">
        <v>0.56000000000000005</v>
      </c>
      <c r="M486" s="112">
        <v>23.13</v>
      </c>
      <c r="N486" s="112">
        <v>12.9528</v>
      </c>
      <c r="O486" s="204"/>
      <c r="P486" s="112"/>
      <c r="Q486" s="112"/>
      <c r="R486" s="112"/>
      <c r="S486" s="112"/>
      <c r="T486" s="112"/>
      <c r="U486" t="s">
        <v>4853</v>
      </c>
      <c r="V486" t="s">
        <v>4949</v>
      </c>
      <c r="W486" t="s">
        <v>3958</v>
      </c>
      <c r="X486" t="s">
        <v>4660</v>
      </c>
    </row>
    <row r="487" spans="1:24" x14ac:dyDescent="0.2">
      <c r="A487" t="s">
        <v>4948</v>
      </c>
      <c r="B487" t="s">
        <v>1436</v>
      </c>
      <c r="C487" t="s">
        <v>1393</v>
      </c>
      <c r="D487" t="s">
        <v>24</v>
      </c>
      <c r="E487" t="s">
        <v>194</v>
      </c>
      <c r="F487" t="s">
        <v>180</v>
      </c>
      <c r="G487" s="202">
        <v>406.76</v>
      </c>
      <c r="H487">
        <v>3</v>
      </c>
      <c r="I487" t="s">
        <v>3962</v>
      </c>
      <c r="J487" t="s">
        <v>4808</v>
      </c>
      <c r="K487" t="s">
        <v>1283</v>
      </c>
      <c r="L487" s="204">
        <v>0.1</v>
      </c>
      <c r="M487" s="112">
        <v>23.13</v>
      </c>
      <c r="N487" s="112">
        <v>2.3130000000000002</v>
      </c>
      <c r="O487" s="204"/>
      <c r="P487" s="112"/>
      <c r="Q487" s="112"/>
      <c r="R487" s="112"/>
      <c r="S487" s="112"/>
      <c r="T487" s="112"/>
      <c r="U487" t="s">
        <v>4853</v>
      </c>
      <c r="V487" t="s">
        <v>4949</v>
      </c>
      <c r="W487" t="s">
        <v>3958</v>
      </c>
      <c r="X487" t="s">
        <v>4660</v>
      </c>
    </row>
    <row r="488" spans="1:24" x14ac:dyDescent="0.2">
      <c r="A488" t="s">
        <v>4948</v>
      </c>
      <c r="B488" t="s">
        <v>1436</v>
      </c>
      <c r="C488" t="s">
        <v>1393</v>
      </c>
      <c r="D488" t="s">
        <v>24</v>
      </c>
      <c r="E488" t="s">
        <v>194</v>
      </c>
      <c r="F488" t="s">
        <v>180</v>
      </c>
      <c r="G488" s="202">
        <v>406.76</v>
      </c>
      <c r="H488">
        <v>4</v>
      </c>
      <c r="I488" t="s">
        <v>4017</v>
      </c>
      <c r="J488" t="s">
        <v>4809</v>
      </c>
      <c r="K488" t="s">
        <v>1283</v>
      </c>
      <c r="L488" s="204">
        <v>0.06</v>
      </c>
      <c r="M488" s="112">
        <v>23.13</v>
      </c>
      <c r="N488" s="112">
        <v>1.3877999999999999</v>
      </c>
      <c r="O488" s="204"/>
      <c r="P488" s="112"/>
      <c r="Q488" s="112"/>
      <c r="R488" s="112"/>
      <c r="S488" s="112"/>
      <c r="T488" s="112"/>
      <c r="U488" t="s">
        <v>4853</v>
      </c>
      <c r="V488" t="s">
        <v>4949</v>
      </c>
      <c r="W488" t="s">
        <v>3958</v>
      </c>
      <c r="X488" t="s">
        <v>4660</v>
      </c>
    </row>
    <row r="489" spans="1:24" x14ac:dyDescent="0.2">
      <c r="A489" t="s">
        <v>4948</v>
      </c>
      <c r="B489" t="s">
        <v>1436</v>
      </c>
      <c r="C489" t="s">
        <v>1393</v>
      </c>
      <c r="D489" t="s">
        <v>24</v>
      </c>
      <c r="E489" t="s">
        <v>194</v>
      </c>
      <c r="F489" t="s">
        <v>180</v>
      </c>
      <c r="G489" s="202">
        <v>406.76</v>
      </c>
      <c r="H489">
        <v>5</v>
      </c>
      <c r="I489" t="s">
        <v>3968</v>
      </c>
      <c r="J489" t="s">
        <v>3969</v>
      </c>
      <c r="K489" t="s">
        <v>180</v>
      </c>
      <c r="L489" s="204">
        <v>1</v>
      </c>
      <c r="M489" s="112"/>
      <c r="N489" s="112">
        <v>23.13</v>
      </c>
      <c r="O489" s="204">
        <v>0.22211325528954107</v>
      </c>
      <c r="P489" s="112">
        <v>5.1374795948470862</v>
      </c>
      <c r="Q489" s="112">
        <v>28.267479594847085</v>
      </c>
      <c r="R489" s="112">
        <v>11498.08</v>
      </c>
      <c r="S489" s="112">
        <v>11498.08</v>
      </c>
      <c r="T489" s="112">
        <v>0</v>
      </c>
      <c r="U489" t="s">
        <v>4853</v>
      </c>
      <c r="V489" t="s">
        <v>4949</v>
      </c>
      <c r="W489" t="s">
        <v>4666</v>
      </c>
      <c r="X489" t="s">
        <v>4667</v>
      </c>
    </row>
    <row r="490" spans="1:24" x14ac:dyDescent="0.2">
      <c r="A490" t="s">
        <v>4950</v>
      </c>
      <c r="B490" t="s">
        <v>276</v>
      </c>
      <c r="C490" t="s">
        <v>1437</v>
      </c>
      <c r="D490" t="s">
        <v>56</v>
      </c>
      <c r="E490" t="s">
        <v>277</v>
      </c>
      <c r="F490" t="s">
        <v>26</v>
      </c>
      <c r="G490" s="202">
        <v>52.44</v>
      </c>
      <c r="H490">
        <v>1</v>
      </c>
      <c r="I490" t="s">
        <v>3954</v>
      </c>
      <c r="J490" t="s">
        <v>4715</v>
      </c>
      <c r="K490" t="s">
        <v>1283</v>
      </c>
      <c r="L490" s="204">
        <v>0.42</v>
      </c>
      <c r="M490" s="112">
        <v>70.282499999999999</v>
      </c>
      <c r="N490" s="112">
        <v>29.518649999999997</v>
      </c>
      <c r="O490" s="204"/>
      <c r="P490" s="112"/>
      <c r="Q490" s="112"/>
      <c r="R490" s="112"/>
      <c r="S490" s="112"/>
      <c r="T490" s="112"/>
      <c r="U490" t="s">
        <v>4951</v>
      </c>
      <c r="V490" t="s">
        <v>4952</v>
      </c>
      <c r="W490" t="s">
        <v>3958</v>
      </c>
      <c r="X490" t="s">
        <v>4660</v>
      </c>
    </row>
    <row r="491" spans="1:24" x14ac:dyDescent="0.2">
      <c r="A491" t="s">
        <v>4950</v>
      </c>
      <c r="B491" t="s">
        <v>276</v>
      </c>
      <c r="C491" t="s">
        <v>1437</v>
      </c>
      <c r="D491" t="s">
        <v>56</v>
      </c>
      <c r="E491" t="s">
        <v>277</v>
      </c>
      <c r="F491" t="s">
        <v>26</v>
      </c>
      <c r="G491" s="202">
        <v>52.44</v>
      </c>
      <c r="H491">
        <v>2</v>
      </c>
      <c r="I491" t="s">
        <v>3960</v>
      </c>
      <c r="J491" t="s">
        <v>4718</v>
      </c>
      <c r="K491" t="s">
        <v>1283</v>
      </c>
      <c r="L491" s="204">
        <v>0.4</v>
      </c>
      <c r="M491" s="112">
        <v>70.282499999999999</v>
      </c>
      <c r="N491" s="112">
        <v>28.113</v>
      </c>
      <c r="O491" s="204"/>
      <c r="P491" s="112"/>
      <c r="Q491" s="112"/>
      <c r="R491" s="112"/>
      <c r="S491" s="112"/>
      <c r="T491" s="112"/>
      <c r="U491" t="s">
        <v>4951</v>
      </c>
      <c r="V491" t="s">
        <v>4952</v>
      </c>
      <c r="W491" t="s">
        <v>3958</v>
      </c>
      <c r="X491" t="s">
        <v>4660</v>
      </c>
    </row>
    <row r="492" spans="1:24" x14ac:dyDescent="0.2">
      <c r="A492" t="s">
        <v>4950</v>
      </c>
      <c r="B492" t="s">
        <v>276</v>
      </c>
      <c r="C492" t="s">
        <v>1437</v>
      </c>
      <c r="D492" t="s">
        <v>56</v>
      </c>
      <c r="E492" t="s">
        <v>277</v>
      </c>
      <c r="F492" t="s">
        <v>26</v>
      </c>
      <c r="G492" s="202">
        <v>52.44</v>
      </c>
      <c r="H492">
        <v>3</v>
      </c>
      <c r="I492" t="s">
        <v>3976</v>
      </c>
      <c r="J492" t="s">
        <v>4719</v>
      </c>
      <c r="K492" t="s">
        <v>1283</v>
      </c>
      <c r="L492" s="204">
        <v>0.12</v>
      </c>
      <c r="M492" s="112">
        <v>70.282499999999999</v>
      </c>
      <c r="N492" s="112">
        <v>8.4338999999999995</v>
      </c>
      <c r="O492" s="204"/>
      <c r="P492" s="112"/>
      <c r="Q492" s="112"/>
      <c r="R492" s="112"/>
      <c r="S492" s="112"/>
      <c r="T492" s="112"/>
      <c r="U492" t="s">
        <v>4951</v>
      </c>
      <c r="V492" t="s">
        <v>4952</v>
      </c>
      <c r="W492" t="s">
        <v>3958</v>
      </c>
      <c r="X492" t="s">
        <v>4660</v>
      </c>
    </row>
    <row r="493" spans="1:24" x14ac:dyDescent="0.2">
      <c r="A493" t="s">
        <v>4950</v>
      </c>
      <c r="B493" t="s">
        <v>276</v>
      </c>
      <c r="C493" t="s">
        <v>1437</v>
      </c>
      <c r="D493" t="s">
        <v>56</v>
      </c>
      <c r="E493" t="s">
        <v>277</v>
      </c>
      <c r="F493" t="s">
        <v>26</v>
      </c>
      <c r="G493" s="202">
        <v>52.44</v>
      </c>
      <c r="H493">
        <v>4</v>
      </c>
      <c r="I493" t="s">
        <v>4017</v>
      </c>
      <c r="J493" t="s">
        <v>4720</v>
      </c>
      <c r="K493" t="s">
        <v>1283</v>
      </c>
      <c r="L493" s="204">
        <v>0.06</v>
      </c>
      <c r="M493" s="112">
        <v>70.282499999999999</v>
      </c>
      <c r="N493" s="112">
        <v>4.2169499999999998</v>
      </c>
      <c r="O493" s="204"/>
      <c r="P493" s="112"/>
      <c r="Q493" s="112"/>
      <c r="R493" s="112"/>
      <c r="S493" s="112"/>
      <c r="T493" s="112"/>
      <c r="U493" t="s">
        <v>4951</v>
      </c>
      <c r="V493" t="s">
        <v>4952</v>
      </c>
      <c r="W493" t="s">
        <v>3958</v>
      </c>
      <c r="X493" t="s">
        <v>4660</v>
      </c>
    </row>
    <row r="494" spans="1:24" x14ac:dyDescent="0.2">
      <c r="A494" t="s">
        <v>4950</v>
      </c>
      <c r="B494" t="s">
        <v>276</v>
      </c>
      <c r="C494" t="s">
        <v>1437</v>
      </c>
      <c r="D494" t="s">
        <v>56</v>
      </c>
      <c r="E494" t="s">
        <v>277</v>
      </c>
      <c r="F494" t="s">
        <v>26</v>
      </c>
      <c r="G494" s="202">
        <v>52.44</v>
      </c>
      <c r="H494">
        <v>5</v>
      </c>
      <c r="I494" t="s">
        <v>3968</v>
      </c>
      <c r="J494" t="s">
        <v>3969</v>
      </c>
      <c r="K494" t="s">
        <v>26</v>
      </c>
      <c r="L494" s="204">
        <v>1</v>
      </c>
      <c r="M494" s="112"/>
      <c r="N494" s="112">
        <v>70.282499999999999</v>
      </c>
      <c r="O494" s="204">
        <v>0.22227928190966728</v>
      </c>
      <c r="P494" s="112">
        <v>15.622343630816189</v>
      </c>
      <c r="Q494" s="112">
        <v>85.904843630816188</v>
      </c>
      <c r="R494" s="112">
        <v>4504.8500000000004</v>
      </c>
      <c r="S494" s="112">
        <v>4504.8500000000004</v>
      </c>
      <c r="T494" s="112">
        <v>0</v>
      </c>
      <c r="U494" t="s">
        <v>4951</v>
      </c>
      <c r="V494" t="s">
        <v>4952</v>
      </c>
      <c r="W494" t="s">
        <v>4666</v>
      </c>
      <c r="X494" t="s">
        <v>4667</v>
      </c>
    </row>
    <row r="495" spans="1:24" x14ac:dyDescent="0.2">
      <c r="A495" t="s">
        <v>4953</v>
      </c>
      <c r="B495" t="s">
        <v>278</v>
      </c>
      <c r="C495" t="s">
        <v>1394</v>
      </c>
      <c r="D495" t="s">
        <v>56</v>
      </c>
      <c r="E495" t="s">
        <v>198</v>
      </c>
      <c r="F495" t="s">
        <v>26</v>
      </c>
      <c r="G495" s="202">
        <v>151.80000000000001</v>
      </c>
      <c r="H495">
        <v>1</v>
      </c>
      <c r="I495" t="s">
        <v>3954</v>
      </c>
      <c r="J495" t="s">
        <v>4715</v>
      </c>
      <c r="K495" t="s">
        <v>1283</v>
      </c>
      <c r="L495" s="204">
        <v>0.42</v>
      </c>
      <c r="M495" s="112">
        <v>83.594999999999999</v>
      </c>
      <c r="N495" s="112">
        <v>35.109899999999996</v>
      </c>
      <c r="O495" s="204"/>
      <c r="P495" s="112"/>
      <c r="Q495" s="112"/>
      <c r="R495" s="112"/>
      <c r="S495" s="112"/>
      <c r="T495" s="112"/>
      <c r="U495" t="s">
        <v>4170</v>
      </c>
      <c r="V495" t="s">
        <v>4954</v>
      </c>
      <c r="W495" t="s">
        <v>3958</v>
      </c>
      <c r="X495" t="s">
        <v>4660</v>
      </c>
    </row>
    <row r="496" spans="1:24" x14ac:dyDescent="0.2">
      <c r="A496" t="s">
        <v>4953</v>
      </c>
      <c r="B496" t="s">
        <v>278</v>
      </c>
      <c r="C496" t="s">
        <v>1394</v>
      </c>
      <c r="D496" t="s">
        <v>56</v>
      </c>
      <c r="E496" t="s">
        <v>198</v>
      </c>
      <c r="F496" t="s">
        <v>26</v>
      </c>
      <c r="G496" s="202">
        <v>151.80000000000001</v>
      </c>
      <c r="H496">
        <v>2</v>
      </c>
      <c r="I496" t="s">
        <v>3960</v>
      </c>
      <c r="J496" t="s">
        <v>4718</v>
      </c>
      <c r="K496" t="s">
        <v>1283</v>
      </c>
      <c r="L496" s="204">
        <v>0.4</v>
      </c>
      <c r="M496" s="112">
        <v>83.594999999999999</v>
      </c>
      <c r="N496" s="112">
        <v>33.438000000000002</v>
      </c>
      <c r="O496" s="204"/>
      <c r="P496" s="112"/>
      <c r="Q496" s="112"/>
      <c r="R496" s="112"/>
      <c r="S496" s="112"/>
      <c r="T496" s="112"/>
      <c r="U496" t="s">
        <v>4170</v>
      </c>
      <c r="V496" t="s">
        <v>4954</v>
      </c>
      <c r="W496" t="s">
        <v>3958</v>
      </c>
      <c r="X496" t="s">
        <v>4660</v>
      </c>
    </row>
    <row r="497" spans="1:24" x14ac:dyDescent="0.2">
      <c r="A497" t="s">
        <v>4953</v>
      </c>
      <c r="B497" t="s">
        <v>278</v>
      </c>
      <c r="C497" t="s">
        <v>1394</v>
      </c>
      <c r="D497" t="s">
        <v>56</v>
      </c>
      <c r="E497" t="s">
        <v>198</v>
      </c>
      <c r="F497" t="s">
        <v>26</v>
      </c>
      <c r="G497" s="202">
        <v>151.80000000000001</v>
      </c>
      <c r="H497">
        <v>3</v>
      </c>
      <c r="I497" t="s">
        <v>3976</v>
      </c>
      <c r="J497" t="s">
        <v>4719</v>
      </c>
      <c r="K497" t="s">
        <v>1283</v>
      </c>
      <c r="L497" s="204">
        <v>0.12</v>
      </c>
      <c r="M497" s="112">
        <v>83.594999999999999</v>
      </c>
      <c r="N497" s="112">
        <v>10.0314</v>
      </c>
      <c r="O497" s="204"/>
      <c r="P497" s="112"/>
      <c r="Q497" s="112"/>
      <c r="R497" s="112"/>
      <c r="S497" s="112"/>
      <c r="T497" s="112"/>
      <c r="U497" t="s">
        <v>4170</v>
      </c>
      <c r="V497" t="s">
        <v>4954</v>
      </c>
      <c r="W497" t="s">
        <v>3958</v>
      </c>
      <c r="X497" t="s">
        <v>4660</v>
      </c>
    </row>
    <row r="498" spans="1:24" x14ac:dyDescent="0.2">
      <c r="A498" t="s">
        <v>4953</v>
      </c>
      <c r="B498" t="s">
        <v>278</v>
      </c>
      <c r="C498" t="s">
        <v>1394</v>
      </c>
      <c r="D498" t="s">
        <v>56</v>
      </c>
      <c r="E498" t="s">
        <v>198</v>
      </c>
      <c r="F498" t="s">
        <v>26</v>
      </c>
      <c r="G498" s="202">
        <v>151.80000000000001</v>
      </c>
      <c r="H498">
        <v>4</v>
      </c>
      <c r="I498" t="s">
        <v>4017</v>
      </c>
      <c r="J498" t="s">
        <v>4720</v>
      </c>
      <c r="K498" t="s">
        <v>1283</v>
      </c>
      <c r="L498" s="204">
        <v>0.06</v>
      </c>
      <c r="M498" s="112">
        <v>83.594999999999999</v>
      </c>
      <c r="N498" s="112">
        <v>5.0156999999999998</v>
      </c>
      <c r="O498" s="204"/>
      <c r="P498" s="112"/>
      <c r="Q498" s="112"/>
      <c r="R498" s="112"/>
      <c r="S498" s="112"/>
      <c r="T498" s="112"/>
      <c r="U498" t="s">
        <v>4170</v>
      </c>
      <c r="V498" t="s">
        <v>4954</v>
      </c>
      <c r="W498" t="s">
        <v>3958</v>
      </c>
      <c r="X498" t="s">
        <v>4660</v>
      </c>
    </row>
    <row r="499" spans="1:24" x14ac:dyDescent="0.2">
      <c r="A499" t="s">
        <v>4953</v>
      </c>
      <c r="B499" t="s">
        <v>278</v>
      </c>
      <c r="C499" t="s">
        <v>1394</v>
      </c>
      <c r="D499" t="s">
        <v>56</v>
      </c>
      <c r="E499" t="s">
        <v>198</v>
      </c>
      <c r="F499" t="s">
        <v>26</v>
      </c>
      <c r="G499" s="202">
        <v>151.80000000000001</v>
      </c>
      <c r="H499">
        <v>5</v>
      </c>
      <c r="I499" t="s">
        <v>3968</v>
      </c>
      <c r="J499" t="s">
        <v>3969</v>
      </c>
      <c r="K499" t="s">
        <v>26</v>
      </c>
      <c r="L499" s="204">
        <v>1</v>
      </c>
      <c r="M499" s="112"/>
      <c r="N499" s="112">
        <v>83.594999999999999</v>
      </c>
      <c r="O499" s="204">
        <v>0.22223175749884483</v>
      </c>
      <c r="P499" s="112">
        <v>18.577463768115933</v>
      </c>
      <c r="Q499" s="112">
        <v>102.17246376811593</v>
      </c>
      <c r="R499" s="112">
        <v>15509.78</v>
      </c>
      <c r="S499" s="112">
        <v>15509.78</v>
      </c>
      <c r="T499" s="112">
        <v>0</v>
      </c>
      <c r="U499" t="s">
        <v>4170</v>
      </c>
      <c r="V499" t="s">
        <v>4954</v>
      </c>
      <c r="W499" t="s">
        <v>4666</v>
      </c>
      <c r="X499" t="s">
        <v>4667</v>
      </c>
    </row>
    <row r="500" spans="1:24" x14ac:dyDescent="0.2">
      <c r="A500" t="s">
        <v>4955</v>
      </c>
      <c r="B500" t="s">
        <v>279</v>
      </c>
      <c r="C500" t="s">
        <v>1399</v>
      </c>
      <c r="D500" t="s">
        <v>56</v>
      </c>
      <c r="E500" t="s">
        <v>214</v>
      </c>
      <c r="F500" t="s">
        <v>26</v>
      </c>
      <c r="G500" s="202">
        <v>326.78399999999999</v>
      </c>
      <c r="H500">
        <v>1</v>
      </c>
      <c r="I500" t="s">
        <v>3954</v>
      </c>
      <c r="J500" t="s">
        <v>4715</v>
      </c>
      <c r="K500" t="s">
        <v>1283</v>
      </c>
      <c r="L500" s="204">
        <v>0.42</v>
      </c>
      <c r="M500" s="112">
        <v>113.57250000000001</v>
      </c>
      <c r="N500" s="112">
        <v>47.700450000000004</v>
      </c>
      <c r="O500" s="204"/>
      <c r="P500" s="112"/>
      <c r="Q500" s="112"/>
      <c r="R500" s="112"/>
      <c r="S500" s="112"/>
      <c r="T500" s="112"/>
      <c r="U500" t="s">
        <v>3992</v>
      </c>
      <c r="V500" t="s">
        <v>4956</v>
      </c>
      <c r="W500" t="s">
        <v>3958</v>
      </c>
      <c r="X500" t="s">
        <v>4660</v>
      </c>
    </row>
    <row r="501" spans="1:24" x14ac:dyDescent="0.2">
      <c r="A501" t="s">
        <v>4955</v>
      </c>
      <c r="B501" t="s">
        <v>279</v>
      </c>
      <c r="C501" t="s">
        <v>1399</v>
      </c>
      <c r="D501" t="s">
        <v>56</v>
      </c>
      <c r="E501" t="s">
        <v>214</v>
      </c>
      <c r="F501" t="s">
        <v>26</v>
      </c>
      <c r="G501" s="202">
        <v>326.78399999999999</v>
      </c>
      <c r="H501">
        <v>2</v>
      </c>
      <c r="I501" t="s">
        <v>3960</v>
      </c>
      <c r="J501" t="s">
        <v>4718</v>
      </c>
      <c r="K501" t="s">
        <v>1283</v>
      </c>
      <c r="L501" s="204">
        <v>0.4</v>
      </c>
      <c r="M501" s="112">
        <v>113.57250000000001</v>
      </c>
      <c r="N501" s="112">
        <v>45.429000000000002</v>
      </c>
      <c r="O501" s="204"/>
      <c r="P501" s="112"/>
      <c r="Q501" s="112"/>
      <c r="R501" s="112"/>
      <c r="S501" s="112"/>
      <c r="T501" s="112"/>
      <c r="U501" t="s">
        <v>3992</v>
      </c>
      <c r="V501" t="s">
        <v>4956</v>
      </c>
      <c r="W501" t="s">
        <v>3958</v>
      </c>
      <c r="X501" t="s">
        <v>4660</v>
      </c>
    </row>
    <row r="502" spans="1:24" x14ac:dyDescent="0.2">
      <c r="A502" t="s">
        <v>4955</v>
      </c>
      <c r="B502" t="s">
        <v>279</v>
      </c>
      <c r="C502" t="s">
        <v>1399</v>
      </c>
      <c r="D502" t="s">
        <v>56</v>
      </c>
      <c r="E502" t="s">
        <v>214</v>
      </c>
      <c r="F502" t="s">
        <v>26</v>
      </c>
      <c r="G502" s="202">
        <v>326.78399999999999</v>
      </c>
      <c r="H502">
        <v>3</v>
      </c>
      <c r="I502" t="s">
        <v>3976</v>
      </c>
      <c r="J502" t="s">
        <v>4719</v>
      </c>
      <c r="K502" t="s">
        <v>1283</v>
      </c>
      <c r="L502" s="204">
        <v>0.12</v>
      </c>
      <c r="M502" s="112">
        <v>113.57250000000001</v>
      </c>
      <c r="N502" s="112">
        <v>13.6287</v>
      </c>
      <c r="O502" s="204"/>
      <c r="P502" s="112"/>
      <c r="Q502" s="112"/>
      <c r="R502" s="112"/>
      <c r="S502" s="112"/>
      <c r="T502" s="112"/>
      <c r="U502" t="s">
        <v>3992</v>
      </c>
      <c r="V502" t="s">
        <v>4956</v>
      </c>
      <c r="W502" t="s">
        <v>3958</v>
      </c>
      <c r="X502" t="s">
        <v>4660</v>
      </c>
    </row>
    <row r="503" spans="1:24" x14ac:dyDescent="0.2">
      <c r="A503" t="s">
        <v>4955</v>
      </c>
      <c r="B503" t="s">
        <v>279</v>
      </c>
      <c r="C503" t="s">
        <v>1399</v>
      </c>
      <c r="D503" t="s">
        <v>56</v>
      </c>
      <c r="E503" t="s">
        <v>214</v>
      </c>
      <c r="F503" t="s">
        <v>26</v>
      </c>
      <c r="G503" s="202">
        <v>326.78399999999999</v>
      </c>
      <c r="H503">
        <v>4</v>
      </c>
      <c r="I503" t="s">
        <v>4017</v>
      </c>
      <c r="J503" t="s">
        <v>4720</v>
      </c>
      <c r="K503" t="s">
        <v>1283</v>
      </c>
      <c r="L503" s="204">
        <v>0.06</v>
      </c>
      <c r="M503" s="112">
        <v>113.57250000000001</v>
      </c>
      <c r="N503" s="112">
        <v>6.8143500000000001</v>
      </c>
      <c r="O503" s="204"/>
      <c r="P503" s="112"/>
      <c r="Q503" s="112"/>
      <c r="R503" s="112"/>
      <c r="S503" s="112"/>
      <c r="T503" s="112"/>
      <c r="U503" t="s">
        <v>3992</v>
      </c>
      <c r="V503" t="s">
        <v>4956</v>
      </c>
      <c r="W503" t="s">
        <v>3958</v>
      </c>
      <c r="X503" t="s">
        <v>4660</v>
      </c>
    </row>
    <row r="504" spans="1:24" x14ac:dyDescent="0.2">
      <c r="A504" t="s">
        <v>4955</v>
      </c>
      <c r="B504" t="s">
        <v>279</v>
      </c>
      <c r="C504" t="s">
        <v>1399</v>
      </c>
      <c r="D504" t="s">
        <v>56</v>
      </c>
      <c r="E504" t="s">
        <v>214</v>
      </c>
      <c r="F504" t="s">
        <v>26</v>
      </c>
      <c r="G504" s="202">
        <v>326.78399999999999</v>
      </c>
      <c r="H504">
        <v>5</v>
      </c>
      <c r="I504" t="s">
        <v>3968</v>
      </c>
      <c r="J504" t="s">
        <v>3969</v>
      </c>
      <c r="K504" t="s">
        <v>26</v>
      </c>
      <c r="L504" s="204">
        <v>1</v>
      </c>
      <c r="M504" s="112"/>
      <c r="N504" s="112">
        <v>113.57250000000001</v>
      </c>
      <c r="O504" s="204">
        <v>0.22228070847966963</v>
      </c>
      <c r="P504" s="112">
        <v>25.24497576380729</v>
      </c>
      <c r="Q504" s="112">
        <v>138.81747576380729</v>
      </c>
      <c r="R504" s="112">
        <v>45363.33</v>
      </c>
      <c r="S504" s="112">
        <v>45363.33</v>
      </c>
      <c r="T504" s="112">
        <v>0</v>
      </c>
      <c r="U504" t="s">
        <v>3992</v>
      </c>
      <c r="V504" t="s">
        <v>4956</v>
      </c>
      <c r="W504" t="s">
        <v>4666</v>
      </c>
      <c r="X504" t="s">
        <v>4667</v>
      </c>
    </row>
    <row r="505" spans="1:24" x14ac:dyDescent="0.2">
      <c r="A505" t="s">
        <v>4957</v>
      </c>
      <c r="B505" t="s">
        <v>280</v>
      </c>
      <c r="C505" t="s">
        <v>1385</v>
      </c>
      <c r="D505" t="s">
        <v>56</v>
      </c>
      <c r="E505" t="s">
        <v>188</v>
      </c>
      <c r="F505" t="s">
        <v>180</v>
      </c>
      <c r="G505" s="202">
        <v>539.08100000000002</v>
      </c>
      <c r="H505">
        <v>1</v>
      </c>
      <c r="I505" t="s">
        <v>3954</v>
      </c>
      <c r="J505" t="s">
        <v>4823</v>
      </c>
      <c r="K505" t="s">
        <v>1283</v>
      </c>
      <c r="L505" s="204">
        <v>0.18</v>
      </c>
      <c r="M505" s="112">
        <v>11.692499999999999</v>
      </c>
      <c r="N505" s="112">
        <v>2.1046499999999999</v>
      </c>
      <c r="O505" s="204"/>
      <c r="P505" s="112"/>
      <c r="Q505" s="112"/>
      <c r="R505" s="112"/>
      <c r="S505" s="112"/>
      <c r="T505" s="112"/>
      <c r="U505" t="s">
        <v>4837</v>
      </c>
      <c r="V505" t="s">
        <v>4958</v>
      </c>
      <c r="W505" t="s">
        <v>3958</v>
      </c>
      <c r="X505" t="s">
        <v>4660</v>
      </c>
    </row>
    <row r="506" spans="1:24" x14ac:dyDescent="0.2">
      <c r="A506" t="s">
        <v>4957</v>
      </c>
      <c r="B506" t="s">
        <v>280</v>
      </c>
      <c r="C506" t="s">
        <v>1385</v>
      </c>
      <c r="D506" t="s">
        <v>56</v>
      </c>
      <c r="E506" t="s">
        <v>188</v>
      </c>
      <c r="F506" t="s">
        <v>180</v>
      </c>
      <c r="G506" s="202">
        <v>539.08100000000002</v>
      </c>
      <c r="H506">
        <v>2</v>
      </c>
      <c r="I506" t="s">
        <v>3960</v>
      </c>
      <c r="J506" t="s">
        <v>4826</v>
      </c>
      <c r="K506" t="s">
        <v>1283</v>
      </c>
      <c r="L506" s="204">
        <v>0.72</v>
      </c>
      <c r="M506" s="112">
        <v>11.692499999999999</v>
      </c>
      <c r="N506" s="112">
        <v>8.4185999999999996</v>
      </c>
      <c r="O506" s="204"/>
      <c r="P506" s="112"/>
      <c r="Q506" s="112"/>
      <c r="R506" s="112"/>
      <c r="S506" s="112"/>
      <c r="T506" s="112"/>
      <c r="U506" t="s">
        <v>4837</v>
      </c>
      <c r="V506" t="s">
        <v>4958</v>
      </c>
      <c r="W506" t="s">
        <v>3958</v>
      </c>
      <c r="X506" t="s">
        <v>4660</v>
      </c>
    </row>
    <row r="507" spans="1:24" x14ac:dyDescent="0.2">
      <c r="A507" t="s">
        <v>4957</v>
      </c>
      <c r="B507" t="s">
        <v>280</v>
      </c>
      <c r="C507" t="s">
        <v>1385</v>
      </c>
      <c r="D507" t="s">
        <v>56</v>
      </c>
      <c r="E507" t="s">
        <v>188</v>
      </c>
      <c r="F507" t="s">
        <v>180</v>
      </c>
      <c r="G507" s="202">
        <v>539.08100000000002</v>
      </c>
      <c r="H507">
        <v>3</v>
      </c>
      <c r="I507" t="s">
        <v>3976</v>
      </c>
      <c r="J507" t="s">
        <v>4827</v>
      </c>
      <c r="K507" t="s">
        <v>1283</v>
      </c>
      <c r="L507" s="204">
        <v>0.05</v>
      </c>
      <c r="M507" s="112">
        <v>11.692499999999999</v>
      </c>
      <c r="N507" s="112">
        <v>0.58462499999999995</v>
      </c>
      <c r="O507" s="204"/>
      <c r="P507" s="112"/>
      <c r="Q507" s="112"/>
      <c r="R507" s="112"/>
      <c r="S507" s="112"/>
      <c r="T507" s="112"/>
      <c r="U507" t="s">
        <v>4837</v>
      </c>
      <c r="V507" t="s">
        <v>4958</v>
      </c>
      <c r="W507" t="s">
        <v>3958</v>
      </c>
      <c r="X507" t="s">
        <v>4660</v>
      </c>
    </row>
    <row r="508" spans="1:24" x14ac:dyDescent="0.2">
      <c r="A508" t="s">
        <v>4957</v>
      </c>
      <c r="B508" t="s">
        <v>280</v>
      </c>
      <c r="C508" t="s">
        <v>1385</v>
      </c>
      <c r="D508" t="s">
        <v>56</v>
      </c>
      <c r="E508" t="s">
        <v>188</v>
      </c>
      <c r="F508" t="s">
        <v>180</v>
      </c>
      <c r="G508" s="202">
        <v>539.08100000000002</v>
      </c>
      <c r="H508">
        <v>4</v>
      </c>
      <c r="I508" t="s">
        <v>4017</v>
      </c>
      <c r="J508" t="s">
        <v>4809</v>
      </c>
      <c r="K508" t="s">
        <v>1283</v>
      </c>
      <c r="L508" s="204">
        <v>0.05</v>
      </c>
      <c r="M508" s="112">
        <v>11.692499999999999</v>
      </c>
      <c r="N508" s="112">
        <v>0.58462499999999995</v>
      </c>
      <c r="O508" s="204"/>
      <c r="P508" s="112"/>
      <c r="Q508" s="112"/>
      <c r="R508" s="112"/>
      <c r="S508" s="112"/>
      <c r="T508" s="112"/>
      <c r="U508" t="s">
        <v>4837</v>
      </c>
      <c r="V508" t="s">
        <v>4958</v>
      </c>
      <c r="W508" t="s">
        <v>3958</v>
      </c>
      <c r="X508" t="s">
        <v>4660</v>
      </c>
    </row>
    <row r="509" spans="1:24" x14ac:dyDescent="0.2">
      <c r="A509" t="s">
        <v>4957</v>
      </c>
      <c r="B509" t="s">
        <v>280</v>
      </c>
      <c r="C509" t="s">
        <v>1385</v>
      </c>
      <c r="D509" t="s">
        <v>56</v>
      </c>
      <c r="E509" t="s">
        <v>188</v>
      </c>
      <c r="F509" t="s">
        <v>180</v>
      </c>
      <c r="G509" s="202">
        <v>539.08100000000002</v>
      </c>
      <c r="H509">
        <v>5</v>
      </c>
      <c r="I509" t="s">
        <v>3968</v>
      </c>
      <c r="J509" t="s">
        <v>3969</v>
      </c>
      <c r="K509" t="s">
        <v>180</v>
      </c>
      <c r="L509" s="204">
        <v>1</v>
      </c>
      <c r="M509" s="112"/>
      <c r="N509" s="112">
        <v>11.692499999999999</v>
      </c>
      <c r="O509" s="204">
        <v>0.22193558641020728</v>
      </c>
      <c r="P509" s="112">
        <v>2.5949818441013495</v>
      </c>
      <c r="Q509" s="112">
        <v>14.287481844101348</v>
      </c>
      <c r="R509" s="112">
        <v>7702.11</v>
      </c>
      <c r="S509" s="112">
        <v>7702.11</v>
      </c>
      <c r="T509" s="112">
        <v>0</v>
      </c>
      <c r="U509" t="s">
        <v>4837</v>
      </c>
      <c r="V509" t="s">
        <v>4958</v>
      </c>
      <c r="W509" t="s">
        <v>4666</v>
      </c>
      <c r="X509" t="s">
        <v>4667</v>
      </c>
    </row>
    <row r="510" spans="1:24" x14ac:dyDescent="0.2">
      <c r="A510" t="s">
        <v>4959</v>
      </c>
      <c r="B510" t="s">
        <v>281</v>
      </c>
      <c r="C510" t="s">
        <v>1395</v>
      </c>
      <c r="D510" t="s">
        <v>56</v>
      </c>
      <c r="E510" t="s">
        <v>200</v>
      </c>
      <c r="F510" t="s">
        <v>180</v>
      </c>
      <c r="G510" s="202">
        <v>680.36300000000006</v>
      </c>
      <c r="H510">
        <v>1</v>
      </c>
      <c r="I510" t="s">
        <v>3954</v>
      </c>
      <c r="J510" t="s">
        <v>4804</v>
      </c>
      <c r="K510" t="s">
        <v>1283</v>
      </c>
      <c r="L510" s="204">
        <v>0.28000000000000003</v>
      </c>
      <c r="M510" s="112">
        <v>11.925000000000001</v>
      </c>
      <c r="N510" s="112">
        <v>3.3390000000000004</v>
      </c>
      <c r="O510" s="204"/>
      <c r="P510" s="112"/>
      <c r="Q510" s="112"/>
      <c r="R510" s="112"/>
      <c r="S510" s="112"/>
      <c r="T510" s="112"/>
      <c r="U510" t="s">
        <v>4320</v>
      </c>
      <c r="V510" t="s">
        <v>4960</v>
      </c>
      <c r="W510" t="s">
        <v>3958</v>
      </c>
      <c r="X510" t="s">
        <v>4660</v>
      </c>
    </row>
    <row r="511" spans="1:24" x14ac:dyDescent="0.2">
      <c r="A511" t="s">
        <v>4959</v>
      </c>
      <c r="B511" t="s">
        <v>281</v>
      </c>
      <c r="C511" t="s">
        <v>1395</v>
      </c>
      <c r="D511" t="s">
        <v>56</v>
      </c>
      <c r="E511" t="s">
        <v>200</v>
      </c>
      <c r="F511" t="s">
        <v>180</v>
      </c>
      <c r="G511" s="202">
        <v>680.36300000000006</v>
      </c>
      <c r="H511">
        <v>2</v>
      </c>
      <c r="I511" t="s">
        <v>3960</v>
      </c>
      <c r="J511" t="s">
        <v>4807</v>
      </c>
      <c r="K511" t="s">
        <v>1283</v>
      </c>
      <c r="L511" s="204">
        <v>0.56000000000000005</v>
      </c>
      <c r="M511" s="112">
        <v>11.925000000000001</v>
      </c>
      <c r="N511" s="112">
        <v>6.6780000000000008</v>
      </c>
      <c r="O511" s="204"/>
      <c r="P511" s="112"/>
      <c r="Q511" s="112"/>
      <c r="R511" s="112"/>
      <c r="S511" s="112"/>
      <c r="T511" s="112"/>
      <c r="U511" t="s">
        <v>4320</v>
      </c>
      <c r="V511" t="s">
        <v>4960</v>
      </c>
      <c r="W511" t="s">
        <v>3958</v>
      </c>
      <c r="X511" t="s">
        <v>4660</v>
      </c>
    </row>
    <row r="512" spans="1:24" x14ac:dyDescent="0.2">
      <c r="A512" t="s">
        <v>4959</v>
      </c>
      <c r="B512" t="s">
        <v>281</v>
      </c>
      <c r="C512" t="s">
        <v>1395</v>
      </c>
      <c r="D512" t="s">
        <v>56</v>
      </c>
      <c r="E512" t="s">
        <v>200</v>
      </c>
      <c r="F512" t="s">
        <v>180</v>
      </c>
      <c r="G512" s="202">
        <v>680.36300000000006</v>
      </c>
      <c r="H512">
        <v>3</v>
      </c>
      <c r="I512" t="s">
        <v>3962</v>
      </c>
      <c r="J512" t="s">
        <v>4808</v>
      </c>
      <c r="K512" t="s">
        <v>1283</v>
      </c>
      <c r="L512" s="204">
        <v>0.1</v>
      </c>
      <c r="M512" s="112">
        <v>11.925000000000001</v>
      </c>
      <c r="N512" s="112">
        <v>1.1925000000000001</v>
      </c>
      <c r="O512" s="204"/>
      <c r="P512" s="112"/>
      <c r="Q512" s="112"/>
      <c r="R512" s="112"/>
      <c r="S512" s="112"/>
      <c r="T512" s="112"/>
      <c r="U512" t="s">
        <v>4320</v>
      </c>
      <c r="V512" t="s">
        <v>4960</v>
      </c>
      <c r="W512" t="s">
        <v>3958</v>
      </c>
      <c r="X512" t="s">
        <v>4660</v>
      </c>
    </row>
    <row r="513" spans="1:24" x14ac:dyDescent="0.2">
      <c r="A513" t="s">
        <v>4959</v>
      </c>
      <c r="B513" t="s">
        <v>281</v>
      </c>
      <c r="C513" t="s">
        <v>1395</v>
      </c>
      <c r="D513" t="s">
        <v>56</v>
      </c>
      <c r="E513" t="s">
        <v>200</v>
      </c>
      <c r="F513" t="s">
        <v>180</v>
      </c>
      <c r="G513" s="202">
        <v>680.36300000000006</v>
      </c>
      <c r="H513">
        <v>4</v>
      </c>
      <c r="I513" t="s">
        <v>4017</v>
      </c>
      <c r="J513" t="s">
        <v>4809</v>
      </c>
      <c r="K513" t="s">
        <v>1283</v>
      </c>
      <c r="L513" s="204">
        <v>0.06</v>
      </c>
      <c r="M513" s="112">
        <v>11.925000000000001</v>
      </c>
      <c r="N513" s="112">
        <v>0.71550000000000002</v>
      </c>
      <c r="O513" s="204"/>
      <c r="P513" s="112"/>
      <c r="Q513" s="112"/>
      <c r="R513" s="112"/>
      <c r="S513" s="112"/>
      <c r="T513" s="112"/>
      <c r="U513" t="s">
        <v>4320</v>
      </c>
      <c r="V513" t="s">
        <v>4960</v>
      </c>
      <c r="W513" t="s">
        <v>3958</v>
      </c>
      <c r="X513" t="s">
        <v>4660</v>
      </c>
    </row>
    <row r="514" spans="1:24" x14ac:dyDescent="0.2">
      <c r="A514" t="s">
        <v>4959</v>
      </c>
      <c r="B514" t="s">
        <v>281</v>
      </c>
      <c r="C514" t="s">
        <v>1395</v>
      </c>
      <c r="D514" t="s">
        <v>56</v>
      </c>
      <c r="E514" t="s">
        <v>200</v>
      </c>
      <c r="F514" t="s">
        <v>180</v>
      </c>
      <c r="G514" s="202">
        <v>680.36300000000006</v>
      </c>
      <c r="H514">
        <v>5</v>
      </c>
      <c r="I514" t="s">
        <v>3968</v>
      </c>
      <c r="J514" t="s">
        <v>3969</v>
      </c>
      <c r="K514" t="s">
        <v>180</v>
      </c>
      <c r="L514" s="204">
        <v>1</v>
      </c>
      <c r="M514" s="112"/>
      <c r="N514" s="112">
        <v>11.925000000000001</v>
      </c>
      <c r="O514" s="204">
        <v>0.22201136857047921</v>
      </c>
      <c r="P514" s="112">
        <v>2.6474855702029636</v>
      </c>
      <c r="Q514" s="112">
        <v>14.572485570202964</v>
      </c>
      <c r="R514" s="112">
        <v>9914.58</v>
      </c>
      <c r="S514" s="112">
        <v>9914.58</v>
      </c>
      <c r="T514" s="112">
        <v>0</v>
      </c>
      <c r="U514" t="s">
        <v>4320</v>
      </c>
      <c r="V514" t="s">
        <v>4960</v>
      </c>
      <c r="W514" t="s">
        <v>4666</v>
      </c>
      <c r="X514" t="s">
        <v>4667</v>
      </c>
    </row>
    <row r="515" spans="1:24" x14ac:dyDescent="0.2">
      <c r="A515" t="s">
        <v>4961</v>
      </c>
      <c r="B515" t="s">
        <v>283</v>
      </c>
      <c r="C515" t="s">
        <v>1402</v>
      </c>
      <c r="D515" t="s">
        <v>56</v>
      </c>
      <c r="E515" t="s">
        <v>1403</v>
      </c>
      <c r="F515" t="s">
        <v>180</v>
      </c>
      <c r="G515" s="202">
        <v>690.423</v>
      </c>
      <c r="H515">
        <v>1</v>
      </c>
      <c r="I515" t="s">
        <v>3954</v>
      </c>
      <c r="J515" t="s">
        <v>4804</v>
      </c>
      <c r="K515" t="s">
        <v>1283</v>
      </c>
      <c r="L515" s="204">
        <v>0.28000000000000003</v>
      </c>
      <c r="M515" s="112">
        <v>9.6225000000000005</v>
      </c>
      <c r="N515" s="112">
        <v>2.6943000000000006</v>
      </c>
      <c r="O515" s="204"/>
      <c r="P515" s="112"/>
      <c r="Q515" s="112"/>
      <c r="R515" s="112"/>
      <c r="S515" s="112"/>
      <c r="T515" s="112"/>
      <c r="U515" t="s">
        <v>4879</v>
      </c>
      <c r="V515" t="s">
        <v>4962</v>
      </c>
      <c r="W515" t="s">
        <v>3958</v>
      </c>
      <c r="X515" t="s">
        <v>4660</v>
      </c>
    </row>
    <row r="516" spans="1:24" x14ac:dyDescent="0.2">
      <c r="A516" t="s">
        <v>4961</v>
      </c>
      <c r="B516" t="s">
        <v>283</v>
      </c>
      <c r="C516" t="s">
        <v>1402</v>
      </c>
      <c r="D516" t="s">
        <v>56</v>
      </c>
      <c r="E516" t="s">
        <v>1403</v>
      </c>
      <c r="F516" t="s">
        <v>180</v>
      </c>
      <c r="G516" s="202">
        <v>690.423</v>
      </c>
      <c r="H516">
        <v>2</v>
      </c>
      <c r="I516" t="s">
        <v>3960</v>
      </c>
      <c r="J516" t="s">
        <v>4807</v>
      </c>
      <c r="K516" t="s">
        <v>1283</v>
      </c>
      <c r="L516" s="204">
        <v>0.56000000000000005</v>
      </c>
      <c r="M516" s="112">
        <v>9.6225000000000005</v>
      </c>
      <c r="N516" s="112">
        <v>5.3886000000000012</v>
      </c>
      <c r="O516" s="204"/>
      <c r="P516" s="112"/>
      <c r="Q516" s="112"/>
      <c r="R516" s="112"/>
      <c r="S516" s="112"/>
      <c r="T516" s="112"/>
      <c r="U516" t="s">
        <v>4879</v>
      </c>
      <c r="V516" t="s">
        <v>4962</v>
      </c>
      <c r="W516" t="s">
        <v>3958</v>
      </c>
      <c r="X516" t="s">
        <v>4660</v>
      </c>
    </row>
    <row r="517" spans="1:24" x14ac:dyDescent="0.2">
      <c r="A517" t="s">
        <v>4961</v>
      </c>
      <c r="B517" t="s">
        <v>283</v>
      </c>
      <c r="C517" t="s">
        <v>1402</v>
      </c>
      <c r="D517" t="s">
        <v>56</v>
      </c>
      <c r="E517" t="s">
        <v>1403</v>
      </c>
      <c r="F517" t="s">
        <v>180</v>
      </c>
      <c r="G517" s="202">
        <v>690.423</v>
      </c>
      <c r="H517">
        <v>3</v>
      </c>
      <c r="I517" t="s">
        <v>3962</v>
      </c>
      <c r="J517" t="s">
        <v>4808</v>
      </c>
      <c r="K517" t="s">
        <v>1283</v>
      </c>
      <c r="L517" s="204">
        <v>0.1</v>
      </c>
      <c r="M517" s="112">
        <v>9.6225000000000005</v>
      </c>
      <c r="N517" s="112">
        <v>0.96225000000000005</v>
      </c>
      <c r="O517" s="204"/>
      <c r="P517" s="112"/>
      <c r="Q517" s="112"/>
      <c r="R517" s="112"/>
      <c r="S517" s="112"/>
      <c r="T517" s="112"/>
      <c r="U517" t="s">
        <v>4879</v>
      </c>
      <c r="V517" t="s">
        <v>4962</v>
      </c>
      <c r="W517" t="s">
        <v>3958</v>
      </c>
      <c r="X517" t="s">
        <v>4660</v>
      </c>
    </row>
    <row r="518" spans="1:24" x14ac:dyDescent="0.2">
      <c r="A518" t="s">
        <v>4961</v>
      </c>
      <c r="B518" t="s">
        <v>283</v>
      </c>
      <c r="C518" t="s">
        <v>1402</v>
      </c>
      <c r="D518" t="s">
        <v>56</v>
      </c>
      <c r="E518" t="s">
        <v>1403</v>
      </c>
      <c r="F518" t="s">
        <v>180</v>
      </c>
      <c r="G518" s="202">
        <v>690.423</v>
      </c>
      <c r="H518">
        <v>4</v>
      </c>
      <c r="I518" t="s">
        <v>4017</v>
      </c>
      <c r="J518" t="s">
        <v>4809</v>
      </c>
      <c r="K518" t="s">
        <v>1283</v>
      </c>
      <c r="L518" s="204">
        <v>0.06</v>
      </c>
      <c r="M518" s="112">
        <v>9.6225000000000005</v>
      </c>
      <c r="N518" s="112">
        <v>0.57735000000000003</v>
      </c>
      <c r="O518" s="204"/>
      <c r="P518" s="112"/>
      <c r="Q518" s="112"/>
      <c r="R518" s="112"/>
      <c r="S518" s="112"/>
      <c r="T518" s="112"/>
      <c r="U518" t="s">
        <v>4879</v>
      </c>
      <c r="V518" t="s">
        <v>4962</v>
      </c>
      <c r="W518" t="s">
        <v>3958</v>
      </c>
      <c r="X518" t="s">
        <v>4660</v>
      </c>
    </row>
    <row r="519" spans="1:24" x14ac:dyDescent="0.2">
      <c r="A519" t="s">
        <v>4961</v>
      </c>
      <c r="B519" t="s">
        <v>283</v>
      </c>
      <c r="C519" t="s">
        <v>1402</v>
      </c>
      <c r="D519" t="s">
        <v>56</v>
      </c>
      <c r="E519" t="s">
        <v>1403</v>
      </c>
      <c r="F519" t="s">
        <v>180</v>
      </c>
      <c r="G519" s="202">
        <v>690.423</v>
      </c>
      <c r="H519">
        <v>5</v>
      </c>
      <c r="I519" t="s">
        <v>3968</v>
      </c>
      <c r="J519" t="s">
        <v>3969</v>
      </c>
      <c r="K519" t="s">
        <v>180</v>
      </c>
      <c r="L519" s="204">
        <v>1</v>
      </c>
      <c r="M519" s="112"/>
      <c r="N519" s="112">
        <v>9.6225000000000005</v>
      </c>
      <c r="O519" s="204">
        <v>0.2221349453077972</v>
      </c>
      <c r="P519" s="112">
        <v>2.1374935112242781</v>
      </c>
      <c r="Q519" s="112">
        <v>11.759993511224279</v>
      </c>
      <c r="R519" s="112">
        <v>8119.37</v>
      </c>
      <c r="S519" s="112">
        <v>8119.37</v>
      </c>
      <c r="T519" s="112">
        <v>0</v>
      </c>
      <c r="U519" t="s">
        <v>4879</v>
      </c>
      <c r="V519" t="s">
        <v>4962</v>
      </c>
      <c r="W519" t="s">
        <v>4666</v>
      </c>
      <c r="X519" t="s">
        <v>4667</v>
      </c>
    </row>
    <row r="520" spans="1:24" x14ac:dyDescent="0.2">
      <c r="A520" t="s">
        <v>4963</v>
      </c>
      <c r="B520" t="s">
        <v>284</v>
      </c>
      <c r="C520" t="s">
        <v>1397</v>
      </c>
      <c r="D520" t="s">
        <v>56</v>
      </c>
      <c r="E520" t="s">
        <v>204</v>
      </c>
      <c r="F520" t="s">
        <v>180</v>
      </c>
      <c r="G520" s="202">
        <v>662.62</v>
      </c>
      <c r="H520">
        <v>1</v>
      </c>
      <c r="I520" t="s">
        <v>3954</v>
      </c>
      <c r="J520" t="s">
        <v>4804</v>
      </c>
      <c r="K520" t="s">
        <v>1283</v>
      </c>
      <c r="L520" s="204">
        <v>0.28000000000000003</v>
      </c>
      <c r="M520" s="112">
        <v>8.3925000000000001</v>
      </c>
      <c r="N520" s="112">
        <v>2.3499000000000003</v>
      </c>
      <c r="O520" s="204"/>
      <c r="P520" s="112"/>
      <c r="Q520" s="112"/>
      <c r="R520" s="112"/>
      <c r="S520" s="112"/>
      <c r="T520" s="112"/>
      <c r="U520" t="s">
        <v>4288</v>
      </c>
      <c r="V520" t="s">
        <v>4964</v>
      </c>
      <c r="W520" t="s">
        <v>3958</v>
      </c>
      <c r="X520" t="s">
        <v>4660</v>
      </c>
    </row>
    <row r="521" spans="1:24" x14ac:dyDescent="0.2">
      <c r="A521" t="s">
        <v>4963</v>
      </c>
      <c r="B521" t="s">
        <v>284</v>
      </c>
      <c r="C521" t="s">
        <v>1397</v>
      </c>
      <c r="D521" t="s">
        <v>56</v>
      </c>
      <c r="E521" t="s">
        <v>204</v>
      </c>
      <c r="F521" t="s">
        <v>180</v>
      </c>
      <c r="G521" s="202">
        <v>662.62</v>
      </c>
      <c r="H521">
        <v>2</v>
      </c>
      <c r="I521" t="s">
        <v>3960</v>
      </c>
      <c r="J521" t="s">
        <v>4807</v>
      </c>
      <c r="K521" t="s">
        <v>1283</v>
      </c>
      <c r="L521" s="204">
        <v>0.56000000000000005</v>
      </c>
      <c r="M521" s="112">
        <v>8.3925000000000001</v>
      </c>
      <c r="N521" s="112">
        <v>4.6998000000000006</v>
      </c>
      <c r="O521" s="204"/>
      <c r="P521" s="112"/>
      <c r="Q521" s="112"/>
      <c r="R521" s="112"/>
      <c r="S521" s="112"/>
      <c r="T521" s="112"/>
      <c r="U521" t="s">
        <v>4288</v>
      </c>
      <c r="V521" t="s">
        <v>4964</v>
      </c>
      <c r="W521" t="s">
        <v>3958</v>
      </c>
      <c r="X521" t="s">
        <v>4660</v>
      </c>
    </row>
    <row r="522" spans="1:24" x14ac:dyDescent="0.2">
      <c r="A522" t="s">
        <v>4963</v>
      </c>
      <c r="B522" t="s">
        <v>284</v>
      </c>
      <c r="C522" t="s">
        <v>1397</v>
      </c>
      <c r="D522" t="s">
        <v>56</v>
      </c>
      <c r="E522" t="s">
        <v>204</v>
      </c>
      <c r="F522" t="s">
        <v>180</v>
      </c>
      <c r="G522" s="202">
        <v>662.62</v>
      </c>
      <c r="H522">
        <v>3</v>
      </c>
      <c r="I522" t="s">
        <v>3962</v>
      </c>
      <c r="J522" t="s">
        <v>4808</v>
      </c>
      <c r="K522" t="s">
        <v>1283</v>
      </c>
      <c r="L522" s="204">
        <v>0.1</v>
      </c>
      <c r="M522" s="112">
        <v>8.3925000000000001</v>
      </c>
      <c r="N522" s="112">
        <v>0.83925000000000005</v>
      </c>
      <c r="O522" s="204"/>
      <c r="P522" s="112"/>
      <c r="Q522" s="112"/>
      <c r="R522" s="112"/>
      <c r="S522" s="112"/>
      <c r="T522" s="112"/>
      <c r="U522" t="s">
        <v>4288</v>
      </c>
      <c r="V522" t="s">
        <v>4964</v>
      </c>
      <c r="W522" t="s">
        <v>3958</v>
      </c>
      <c r="X522" t="s">
        <v>4660</v>
      </c>
    </row>
    <row r="523" spans="1:24" x14ac:dyDescent="0.2">
      <c r="A523" t="s">
        <v>4963</v>
      </c>
      <c r="B523" t="s">
        <v>284</v>
      </c>
      <c r="C523" t="s">
        <v>1397</v>
      </c>
      <c r="D523" t="s">
        <v>56</v>
      </c>
      <c r="E523" t="s">
        <v>204</v>
      </c>
      <c r="F523" t="s">
        <v>180</v>
      </c>
      <c r="G523" s="202">
        <v>662.62</v>
      </c>
      <c r="H523">
        <v>4</v>
      </c>
      <c r="I523" t="s">
        <v>4017</v>
      </c>
      <c r="J523" t="s">
        <v>4809</v>
      </c>
      <c r="K523" t="s">
        <v>1283</v>
      </c>
      <c r="L523" s="204">
        <v>0.06</v>
      </c>
      <c r="M523" s="112">
        <v>8.3925000000000001</v>
      </c>
      <c r="N523" s="112">
        <v>0.50354999999999994</v>
      </c>
      <c r="O523" s="204"/>
      <c r="P523" s="112"/>
      <c r="Q523" s="112"/>
      <c r="R523" s="112"/>
      <c r="S523" s="112"/>
      <c r="T523" s="112"/>
      <c r="U523" t="s">
        <v>4288</v>
      </c>
      <c r="V523" t="s">
        <v>4964</v>
      </c>
      <c r="W523" t="s">
        <v>3958</v>
      </c>
      <c r="X523" t="s">
        <v>4660</v>
      </c>
    </row>
    <row r="524" spans="1:24" x14ac:dyDescent="0.2">
      <c r="A524" t="s">
        <v>4963</v>
      </c>
      <c r="B524" t="s">
        <v>284</v>
      </c>
      <c r="C524" t="s">
        <v>1397</v>
      </c>
      <c r="D524" t="s">
        <v>56</v>
      </c>
      <c r="E524" t="s">
        <v>204</v>
      </c>
      <c r="F524" t="s">
        <v>180</v>
      </c>
      <c r="G524" s="202">
        <v>662.62</v>
      </c>
      <c r="H524">
        <v>5</v>
      </c>
      <c r="I524" t="s">
        <v>3968</v>
      </c>
      <c r="J524" t="s">
        <v>3969</v>
      </c>
      <c r="K524" t="s">
        <v>180</v>
      </c>
      <c r="L524" s="204">
        <v>1</v>
      </c>
      <c r="M524" s="112"/>
      <c r="N524" s="112">
        <v>8.3925000000000001</v>
      </c>
      <c r="O524" s="204">
        <v>0.22162617346452929</v>
      </c>
      <c r="P524" s="112">
        <v>1.8599976608010618</v>
      </c>
      <c r="Q524" s="112">
        <v>10.252497660801062</v>
      </c>
      <c r="R524" s="112">
        <v>6793.51</v>
      </c>
      <c r="S524" s="112">
        <v>6793.51</v>
      </c>
      <c r="T524" s="112">
        <v>0</v>
      </c>
      <c r="U524" t="s">
        <v>4288</v>
      </c>
      <c r="V524" t="s">
        <v>4964</v>
      </c>
      <c r="W524" t="s">
        <v>4666</v>
      </c>
      <c r="X524" t="s">
        <v>4667</v>
      </c>
    </row>
    <row r="525" spans="1:24" x14ac:dyDescent="0.2">
      <c r="A525" t="s">
        <v>4965</v>
      </c>
      <c r="B525" t="s">
        <v>285</v>
      </c>
      <c r="C525" t="s">
        <v>1438</v>
      </c>
      <c r="D525" t="s">
        <v>56</v>
      </c>
      <c r="E525" t="s">
        <v>286</v>
      </c>
      <c r="F525" t="s">
        <v>118</v>
      </c>
      <c r="G525" s="202">
        <v>8.2650000000000006</v>
      </c>
      <c r="H525">
        <v>1</v>
      </c>
      <c r="I525" t="s">
        <v>3954</v>
      </c>
      <c r="J525" t="s">
        <v>4804</v>
      </c>
      <c r="K525" t="s">
        <v>1283</v>
      </c>
      <c r="L525" s="204">
        <v>0.28000000000000003</v>
      </c>
      <c r="M525" s="112">
        <v>571.98</v>
      </c>
      <c r="N525" s="112">
        <v>160.15440000000001</v>
      </c>
      <c r="O525" s="204"/>
      <c r="P525" s="112"/>
      <c r="Q525" s="112"/>
      <c r="R525" s="112"/>
      <c r="S525" s="112"/>
      <c r="T525" s="112"/>
      <c r="U525" t="s">
        <v>4966</v>
      </c>
      <c r="V525" t="s">
        <v>4967</v>
      </c>
      <c r="W525" t="s">
        <v>3958</v>
      </c>
      <c r="X525" t="s">
        <v>4660</v>
      </c>
    </row>
    <row r="526" spans="1:24" x14ac:dyDescent="0.2">
      <c r="A526" t="s">
        <v>4965</v>
      </c>
      <c r="B526" t="s">
        <v>285</v>
      </c>
      <c r="C526" t="s">
        <v>1438</v>
      </c>
      <c r="D526" t="s">
        <v>56</v>
      </c>
      <c r="E526" t="s">
        <v>286</v>
      </c>
      <c r="F526" t="s">
        <v>118</v>
      </c>
      <c r="G526" s="202">
        <v>8.2650000000000006</v>
      </c>
      <c r="H526">
        <v>2</v>
      </c>
      <c r="I526" t="s">
        <v>3960</v>
      </c>
      <c r="J526" t="s">
        <v>4807</v>
      </c>
      <c r="K526" t="s">
        <v>1283</v>
      </c>
      <c r="L526" s="204">
        <v>0.56000000000000005</v>
      </c>
      <c r="M526" s="112">
        <v>571.98</v>
      </c>
      <c r="N526" s="112">
        <v>320.30880000000002</v>
      </c>
      <c r="O526" s="204"/>
      <c r="P526" s="112"/>
      <c r="Q526" s="112"/>
      <c r="R526" s="112"/>
      <c r="S526" s="112"/>
      <c r="T526" s="112"/>
      <c r="U526" t="s">
        <v>4966</v>
      </c>
      <c r="V526" t="s">
        <v>4967</v>
      </c>
      <c r="W526" t="s">
        <v>3958</v>
      </c>
      <c r="X526" t="s">
        <v>4660</v>
      </c>
    </row>
    <row r="527" spans="1:24" x14ac:dyDescent="0.2">
      <c r="A527" t="s">
        <v>4965</v>
      </c>
      <c r="B527" t="s">
        <v>285</v>
      </c>
      <c r="C527" t="s">
        <v>1438</v>
      </c>
      <c r="D527" t="s">
        <v>56</v>
      </c>
      <c r="E527" t="s">
        <v>286</v>
      </c>
      <c r="F527" t="s">
        <v>118</v>
      </c>
      <c r="G527" s="202">
        <v>8.2650000000000006</v>
      </c>
      <c r="H527">
        <v>3</v>
      </c>
      <c r="I527" t="s">
        <v>3962</v>
      </c>
      <c r="J527" t="s">
        <v>4808</v>
      </c>
      <c r="K527" t="s">
        <v>1283</v>
      </c>
      <c r="L527" s="204">
        <v>0.1</v>
      </c>
      <c r="M527" s="112">
        <v>571.98</v>
      </c>
      <c r="N527" s="112">
        <v>57.198000000000008</v>
      </c>
      <c r="O527" s="204"/>
      <c r="P527" s="112"/>
      <c r="Q527" s="112"/>
      <c r="R527" s="112"/>
      <c r="S527" s="112"/>
      <c r="T527" s="112"/>
      <c r="U527" t="s">
        <v>4966</v>
      </c>
      <c r="V527" t="s">
        <v>4967</v>
      </c>
      <c r="W527" t="s">
        <v>3958</v>
      </c>
      <c r="X527" t="s">
        <v>4660</v>
      </c>
    </row>
    <row r="528" spans="1:24" x14ac:dyDescent="0.2">
      <c r="A528" t="s">
        <v>4965</v>
      </c>
      <c r="B528" t="s">
        <v>285</v>
      </c>
      <c r="C528" t="s">
        <v>1438</v>
      </c>
      <c r="D528" t="s">
        <v>56</v>
      </c>
      <c r="E528" t="s">
        <v>286</v>
      </c>
      <c r="F528" t="s">
        <v>118</v>
      </c>
      <c r="G528" s="202">
        <v>8.2650000000000006</v>
      </c>
      <c r="H528">
        <v>4</v>
      </c>
      <c r="I528" t="s">
        <v>4017</v>
      </c>
      <c r="J528" t="s">
        <v>4809</v>
      </c>
      <c r="K528" t="s">
        <v>1283</v>
      </c>
      <c r="L528" s="204">
        <v>0.06</v>
      </c>
      <c r="M528" s="112">
        <v>571.98</v>
      </c>
      <c r="N528" s="112">
        <v>34.318800000000003</v>
      </c>
      <c r="O528" s="204"/>
      <c r="P528" s="112"/>
      <c r="Q528" s="112"/>
      <c r="R528" s="112"/>
      <c r="S528" s="112"/>
      <c r="T528" s="112"/>
      <c r="U528" t="s">
        <v>4966</v>
      </c>
      <c r="V528" t="s">
        <v>4967</v>
      </c>
      <c r="W528" t="s">
        <v>3958</v>
      </c>
      <c r="X528" t="s">
        <v>4660</v>
      </c>
    </row>
    <row r="529" spans="1:24" x14ac:dyDescent="0.2">
      <c r="A529" t="s">
        <v>4965</v>
      </c>
      <c r="B529" t="s">
        <v>285</v>
      </c>
      <c r="C529" t="s">
        <v>1438</v>
      </c>
      <c r="D529" t="s">
        <v>56</v>
      </c>
      <c r="E529" t="s">
        <v>286</v>
      </c>
      <c r="F529" t="s">
        <v>118</v>
      </c>
      <c r="G529" s="202">
        <v>8.2650000000000006</v>
      </c>
      <c r="H529">
        <v>5</v>
      </c>
      <c r="I529" t="s">
        <v>3968</v>
      </c>
      <c r="J529" t="s">
        <v>3969</v>
      </c>
      <c r="K529" t="s">
        <v>118</v>
      </c>
      <c r="L529" s="204">
        <v>1</v>
      </c>
      <c r="M529" s="112"/>
      <c r="N529" s="112">
        <v>571.98</v>
      </c>
      <c r="O529" s="204">
        <v>0.2222917528263384</v>
      </c>
      <c r="P529" s="112">
        <v>127.14643678160905</v>
      </c>
      <c r="Q529" s="112">
        <v>699.12643678160907</v>
      </c>
      <c r="R529" s="112">
        <v>5778.28</v>
      </c>
      <c r="S529" s="112">
        <v>5778.28</v>
      </c>
      <c r="T529" s="112">
        <v>0</v>
      </c>
      <c r="U529" t="s">
        <v>4966</v>
      </c>
      <c r="V529" t="s">
        <v>4967</v>
      </c>
      <c r="W529" t="s">
        <v>4666</v>
      </c>
      <c r="X529" t="s">
        <v>4667</v>
      </c>
    </row>
    <row r="530" spans="1:24" x14ac:dyDescent="0.2">
      <c r="A530" t="s">
        <v>4968</v>
      </c>
      <c r="B530" t="s">
        <v>287</v>
      </c>
      <c r="C530" t="s">
        <v>208</v>
      </c>
      <c r="D530" t="s">
        <v>209</v>
      </c>
      <c r="E530" t="s">
        <v>210</v>
      </c>
      <c r="F530" t="s">
        <v>118</v>
      </c>
      <c r="G530" s="202">
        <v>7.59</v>
      </c>
      <c r="H530">
        <v>1</v>
      </c>
      <c r="I530" t="s">
        <v>3954</v>
      </c>
      <c r="J530" t="s">
        <v>4804</v>
      </c>
      <c r="K530" t="s">
        <v>1283</v>
      </c>
      <c r="L530" s="204">
        <v>0.28000000000000003</v>
      </c>
      <c r="M530" s="112">
        <v>520.93500000000006</v>
      </c>
      <c r="N530" s="112">
        <v>145.86180000000002</v>
      </c>
      <c r="O530" s="204"/>
      <c r="P530" s="112"/>
      <c r="Q530" s="112"/>
      <c r="R530" s="112"/>
      <c r="S530" s="112"/>
      <c r="T530" s="112"/>
      <c r="U530" t="s">
        <v>4296</v>
      </c>
      <c r="V530" t="s">
        <v>4474</v>
      </c>
      <c r="W530" t="s">
        <v>3958</v>
      </c>
      <c r="X530" t="s">
        <v>4660</v>
      </c>
    </row>
    <row r="531" spans="1:24" x14ac:dyDescent="0.2">
      <c r="A531" t="s">
        <v>4968</v>
      </c>
      <c r="B531" t="s">
        <v>287</v>
      </c>
      <c r="C531" t="s">
        <v>208</v>
      </c>
      <c r="D531" t="s">
        <v>209</v>
      </c>
      <c r="E531" t="s">
        <v>210</v>
      </c>
      <c r="F531" t="s">
        <v>118</v>
      </c>
      <c r="G531" s="202">
        <v>7.59</v>
      </c>
      <c r="H531">
        <v>2</v>
      </c>
      <c r="I531" t="s">
        <v>3960</v>
      </c>
      <c r="J531" t="s">
        <v>4807</v>
      </c>
      <c r="K531" t="s">
        <v>1283</v>
      </c>
      <c r="L531" s="204">
        <v>0.56000000000000005</v>
      </c>
      <c r="M531" s="112">
        <v>520.93500000000006</v>
      </c>
      <c r="N531" s="112">
        <v>291.72360000000003</v>
      </c>
      <c r="O531" s="204"/>
      <c r="P531" s="112"/>
      <c r="Q531" s="112"/>
      <c r="R531" s="112"/>
      <c r="S531" s="112"/>
      <c r="T531" s="112"/>
      <c r="U531" t="s">
        <v>4296</v>
      </c>
      <c r="V531" t="s">
        <v>4474</v>
      </c>
      <c r="W531" t="s">
        <v>3958</v>
      </c>
      <c r="X531" t="s">
        <v>4660</v>
      </c>
    </row>
    <row r="532" spans="1:24" x14ac:dyDescent="0.2">
      <c r="A532" t="s">
        <v>4968</v>
      </c>
      <c r="B532" t="s">
        <v>287</v>
      </c>
      <c r="C532" t="s">
        <v>208</v>
      </c>
      <c r="D532" t="s">
        <v>209</v>
      </c>
      <c r="E532" t="s">
        <v>210</v>
      </c>
      <c r="F532" t="s">
        <v>118</v>
      </c>
      <c r="G532" s="202">
        <v>7.59</v>
      </c>
      <c r="H532">
        <v>3</v>
      </c>
      <c r="I532" t="s">
        <v>3962</v>
      </c>
      <c r="J532" t="s">
        <v>4808</v>
      </c>
      <c r="K532" t="s">
        <v>1283</v>
      </c>
      <c r="L532" s="204">
        <v>0.1</v>
      </c>
      <c r="M532" s="112">
        <v>520.93500000000006</v>
      </c>
      <c r="N532" s="112">
        <v>52.093500000000006</v>
      </c>
      <c r="O532" s="204"/>
      <c r="P532" s="112"/>
      <c r="Q532" s="112"/>
      <c r="R532" s="112"/>
      <c r="S532" s="112"/>
      <c r="T532" s="112"/>
      <c r="U532" t="s">
        <v>4296</v>
      </c>
      <c r="V532" t="s">
        <v>4474</v>
      </c>
      <c r="W532" t="s">
        <v>3958</v>
      </c>
      <c r="X532" t="s">
        <v>4660</v>
      </c>
    </row>
    <row r="533" spans="1:24" x14ac:dyDescent="0.2">
      <c r="A533" t="s">
        <v>4968</v>
      </c>
      <c r="B533" t="s">
        <v>287</v>
      </c>
      <c r="C533" t="s">
        <v>208</v>
      </c>
      <c r="D533" t="s">
        <v>209</v>
      </c>
      <c r="E533" t="s">
        <v>210</v>
      </c>
      <c r="F533" t="s">
        <v>118</v>
      </c>
      <c r="G533" s="202">
        <v>7.59</v>
      </c>
      <c r="H533">
        <v>4</v>
      </c>
      <c r="I533" t="s">
        <v>4017</v>
      </c>
      <c r="J533" t="s">
        <v>4809</v>
      </c>
      <c r="K533" t="s">
        <v>1283</v>
      </c>
      <c r="L533" s="204">
        <v>0.06</v>
      </c>
      <c r="M533" s="112">
        <v>520.93500000000006</v>
      </c>
      <c r="N533" s="112">
        <v>31.256100000000004</v>
      </c>
      <c r="O533" s="204"/>
      <c r="P533" s="112"/>
      <c r="Q533" s="112"/>
      <c r="R533" s="112"/>
      <c r="S533" s="112"/>
      <c r="T533" s="112"/>
      <c r="U533" t="s">
        <v>4296</v>
      </c>
      <c r="V533" t="s">
        <v>4474</v>
      </c>
      <c r="W533" t="s">
        <v>3958</v>
      </c>
      <c r="X533" t="s">
        <v>4660</v>
      </c>
    </row>
    <row r="534" spans="1:24" x14ac:dyDescent="0.2">
      <c r="A534" t="s">
        <v>4968</v>
      </c>
      <c r="B534" t="s">
        <v>287</v>
      </c>
      <c r="C534" t="s">
        <v>208</v>
      </c>
      <c r="D534" t="s">
        <v>209</v>
      </c>
      <c r="E534" t="s">
        <v>210</v>
      </c>
      <c r="F534" t="s">
        <v>118</v>
      </c>
      <c r="G534" s="202">
        <v>7.59</v>
      </c>
      <c r="H534">
        <v>5</v>
      </c>
      <c r="I534" t="s">
        <v>3968</v>
      </c>
      <c r="J534" t="s">
        <v>3969</v>
      </c>
      <c r="K534" t="s">
        <v>118</v>
      </c>
      <c r="L534" s="204">
        <v>1</v>
      </c>
      <c r="M534" s="112"/>
      <c r="N534" s="112">
        <v>520.93500000000006</v>
      </c>
      <c r="O534" s="204">
        <v>0.22229042076757377</v>
      </c>
      <c r="P534" s="112">
        <v>115.79886034255605</v>
      </c>
      <c r="Q534" s="112">
        <v>636.73386034255611</v>
      </c>
      <c r="R534" s="112">
        <v>4832.8100000000004</v>
      </c>
      <c r="S534" s="112">
        <v>4832.8100000000004</v>
      </c>
      <c r="T534" s="112">
        <v>0</v>
      </c>
      <c r="U534" t="s">
        <v>4296</v>
      </c>
      <c r="V534" t="s">
        <v>4474</v>
      </c>
      <c r="W534" t="s">
        <v>4666</v>
      </c>
      <c r="X534" t="s">
        <v>4667</v>
      </c>
    </row>
    <row r="535" spans="1:24" x14ac:dyDescent="0.2">
      <c r="A535" t="s">
        <v>4969</v>
      </c>
      <c r="B535" t="s">
        <v>1439</v>
      </c>
      <c r="C535" t="s">
        <v>236</v>
      </c>
      <c r="D535" t="s">
        <v>209</v>
      </c>
      <c r="E535" t="s">
        <v>271</v>
      </c>
      <c r="F535" t="s">
        <v>118</v>
      </c>
      <c r="G535" s="202">
        <v>18.547000000000001</v>
      </c>
      <c r="H535">
        <v>1</v>
      </c>
      <c r="I535" t="s">
        <v>3954</v>
      </c>
      <c r="J535" t="s">
        <v>4804</v>
      </c>
      <c r="K535" t="s">
        <v>1283</v>
      </c>
      <c r="L535" s="204">
        <v>0.28000000000000003</v>
      </c>
      <c r="M535" s="112">
        <v>521.81999999999994</v>
      </c>
      <c r="N535" s="112">
        <v>146.1096</v>
      </c>
      <c r="O535" s="204"/>
      <c r="P535" s="112"/>
      <c r="Q535" s="112"/>
      <c r="R535" s="112"/>
      <c r="S535" s="112"/>
      <c r="T535" s="112"/>
      <c r="U535" t="s">
        <v>4106</v>
      </c>
      <c r="V535" t="s">
        <v>4416</v>
      </c>
      <c r="W535" t="s">
        <v>3958</v>
      </c>
      <c r="X535" t="s">
        <v>4660</v>
      </c>
    </row>
    <row r="536" spans="1:24" x14ac:dyDescent="0.2">
      <c r="A536" t="s">
        <v>4969</v>
      </c>
      <c r="B536" t="s">
        <v>1439</v>
      </c>
      <c r="C536" t="s">
        <v>236</v>
      </c>
      <c r="D536" t="s">
        <v>209</v>
      </c>
      <c r="E536" t="s">
        <v>271</v>
      </c>
      <c r="F536" t="s">
        <v>118</v>
      </c>
      <c r="G536" s="202">
        <v>18.547000000000001</v>
      </c>
      <c r="H536">
        <v>2</v>
      </c>
      <c r="I536" t="s">
        <v>3960</v>
      </c>
      <c r="J536" t="s">
        <v>4807</v>
      </c>
      <c r="K536" t="s">
        <v>1283</v>
      </c>
      <c r="L536" s="204">
        <v>0.56000000000000005</v>
      </c>
      <c r="M536" s="112">
        <v>521.81999999999994</v>
      </c>
      <c r="N536" s="112">
        <v>292.2192</v>
      </c>
      <c r="O536" s="204"/>
      <c r="P536" s="112"/>
      <c r="Q536" s="112"/>
      <c r="R536" s="112"/>
      <c r="S536" s="112"/>
      <c r="T536" s="112"/>
      <c r="U536" t="s">
        <v>4106</v>
      </c>
      <c r="V536" t="s">
        <v>4416</v>
      </c>
      <c r="W536" t="s">
        <v>3958</v>
      </c>
      <c r="X536" t="s">
        <v>4660</v>
      </c>
    </row>
    <row r="537" spans="1:24" x14ac:dyDescent="0.2">
      <c r="A537" t="s">
        <v>4969</v>
      </c>
      <c r="B537" t="s">
        <v>1439</v>
      </c>
      <c r="C537" t="s">
        <v>236</v>
      </c>
      <c r="D537" t="s">
        <v>209</v>
      </c>
      <c r="E537" t="s">
        <v>271</v>
      </c>
      <c r="F537" t="s">
        <v>118</v>
      </c>
      <c r="G537" s="202">
        <v>18.547000000000001</v>
      </c>
      <c r="H537">
        <v>3</v>
      </c>
      <c r="I537" t="s">
        <v>3962</v>
      </c>
      <c r="J537" t="s">
        <v>4808</v>
      </c>
      <c r="K537" t="s">
        <v>1283</v>
      </c>
      <c r="L537" s="204">
        <v>0.1</v>
      </c>
      <c r="M537" s="112">
        <v>521.81999999999994</v>
      </c>
      <c r="N537" s="112">
        <v>52.181999999999995</v>
      </c>
      <c r="O537" s="204"/>
      <c r="P537" s="112"/>
      <c r="Q537" s="112"/>
      <c r="R537" s="112"/>
      <c r="S537" s="112"/>
      <c r="T537" s="112"/>
      <c r="U537" t="s">
        <v>4106</v>
      </c>
      <c r="V537" t="s">
        <v>4416</v>
      </c>
      <c r="W537" t="s">
        <v>3958</v>
      </c>
      <c r="X537" t="s">
        <v>4660</v>
      </c>
    </row>
    <row r="538" spans="1:24" x14ac:dyDescent="0.2">
      <c r="A538" t="s">
        <v>4969</v>
      </c>
      <c r="B538" t="s">
        <v>1439</v>
      </c>
      <c r="C538" t="s">
        <v>236</v>
      </c>
      <c r="D538" t="s">
        <v>209</v>
      </c>
      <c r="E538" t="s">
        <v>271</v>
      </c>
      <c r="F538" t="s">
        <v>118</v>
      </c>
      <c r="G538" s="202">
        <v>18.547000000000001</v>
      </c>
      <c r="H538">
        <v>4</v>
      </c>
      <c r="I538" t="s">
        <v>4017</v>
      </c>
      <c r="J538" t="s">
        <v>4809</v>
      </c>
      <c r="K538" t="s">
        <v>1283</v>
      </c>
      <c r="L538" s="204">
        <v>0.06</v>
      </c>
      <c r="M538" s="112">
        <v>521.81999999999994</v>
      </c>
      <c r="N538" s="112">
        <v>31.309199999999993</v>
      </c>
      <c r="O538" s="204"/>
      <c r="P538" s="112"/>
      <c r="Q538" s="112"/>
      <c r="R538" s="112"/>
      <c r="S538" s="112"/>
      <c r="T538" s="112"/>
      <c r="U538" t="s">
        <v>4106</v>
      </c>
      <c r="V538" t="s">
        <v>4416</v>
      </c>
      <c r="W538" t="s">
        <v>3958</v>
      </c>
      <c r="X538" t="s">
        <v>4660</v>
      </c>
    </row>
    <row r="539" spans="1:24" x14ac:dyDescent="0.2">
      <c r="A539" t="s">
        <v>4969</v>
      </c>
      <c r="B539" t="s">
        <v>1439</v>
      </c>
      <c r="C539" t="s">
        <v>236</v>
      </c>
      <c r="D539" t="s">
        <v>209</v>
      </c>
      <c r="E539" t="s">
        <v>271</v>
      </c>
      <c r="F539" t="s">
        <v>118</v>
      </c>
      <c r="G539" s="202">
        <v>18.547000000000001</v>
      </c>
      <c r="H539">
        <v>5</v>
      </c>
      <c r="I539" t="s">
        <v>3968</v>
      </c>
      <c r="J539" t="s">
        <v>3969</v>
      </c>
      <c r="K539" t="s">
        <v>118</v>
      </c>
      <c r="L539" s="204">
        <v>1</v>
      </c>
      <c r="M539" s="112"/>
      <c r="N539" s="112">
        <v>521.81999999999994</v>
      </c>
      <c r="O539" s="204">
        <v>0.22228879868240403</v>
      </c>
      <c r="P539" s="112">
        <v>115.99474092845207</v>
      </c>
      <c r="Q539" s="112">
        <v>637.81474092845201</v>
      </c>
      <c r="R539" s="112">
        <v>11829.55</v>
      </c>
      <c r="S539" s="112">
        <v>11829.55</v>
      </c>
      <c r="T539" s="112">
        <v>0</v>
      </c>
      <c r="U539" t="s">
        <v>4106</v>
      </c>
      <c r="V539" t="s">
        <v>4416</v>
      </c>
      <c r="W539" t="s">
        <v>4666</v>
      </c>
      <c r="X539" t="s">
        <v>4667</v>
      </c>
    </row>
    <row r="540" spans="1:24" x14ac:dyDescent="0.2">
      <c r="A540" t="s">
        <v>4970</v>
      </c>
      <c r="B540" t="s">
        <v>1440</v>
      </c>
      <c r="C540" t="s">
        <v>1391</v>
      </c>
      <c r="D540" t="s">
        <v>56</v>
      </c>
      <c r="E540" t="s">
        <v>192</v>
      </c>
      <c r="F540" t="s">
        <v>26</v>
      </c>
      <c r="G540" s="202">
        <v>163.392</v>
      </c>
      <c r="H540">
        <v>1</v>
      </c>
      <c r="I540" t="s">
        <v>3954</v>
      </c>
      <c r="J540" t="s">
        <v>4847</v>
      </c>
      <c r="K540" t="s">
        <v>1283</v>
      </c>
      <c r="L540" s="204">
        <v>0.24</v>
      </c>
      <c r="M540" s="112">
        <v>43.852499999999999</v>
      </c>
      <c r="N540" s="112">
        <v>10.5246</v>
      </c>
      <c r="O540" s="204"/>
      <c r="P540" s="112"/>
      <c r="Q540" s="112"/>
      <c r="R540" s="112"/>
      <c r="S540" s="112"/>
      <c r="T540" s="112"/>
      <c r="U540" t="s">
        <v>4328</v>
      </c>
      <c r="V540" t="s">
        <v>4971</v>
      </c>
      <c r="W540" t="s">
        <v>3958</v>
      </c>
      <c r="X540" t="s">
        <v>4660</v>
      </c>
    </row>
    <row r="541" spans="1:24" x14ac:dyDescent="0.2">
      <c r="A541" t="s">
        <v>4970</v>
      </c>
      <c r="B541" t="s">
        <v>1440</v>
      </c>
      <c r="C541" t="s">
        <v>1391</v>
      </c>
      <c r="D541" t="s">
        <v>56</v>
      </c>
      <c r="E541" t="s">
        <v>192</v>
      </c>
      <c r="F541" t="s">
        <v>26</v>
      </c>
      <c r="G541" s="202">
        <v>163.392</v>
      </c>
      <c r="H541">
        <v>2</v>
      </c>
      <c r="I541" t="s">
        <v>3960</v>
      </c>
      <c r="J541" t="s">
        <v>4849</v>
      </c>
      <c r="K541" t="s">
        <v>1283</v>
      </c>
      <c r="L541" s="204">
        <v>0.64</v>
      </c>
      <c r="M541" s="112">
        <v>43.852499999999999</v>
      </c>
      <c r="N541" s="112">
        <v>28.0656</v>
      </c>
      <c r="O541" s="204"/>
      <c r="P541" s="112"/>
      <c r="Q541" s="112"/>
      <c r="R541" s="112"/>
      <c r="S541" s="112"/>
      <c r="T541" s="112"/>
      <c r="U541" t="s">
        <v>4328</v>
      </c>
      <c r="V541" t="s">
        <v>4971</v>
      </c>
      <c r="W541" t="s">
        <v>3958</v>
      </c>
      <c r="X541" t="s">
        <v>4660</v>
      </c>
    </row>
    <row r="542" spans="1:24" x14ac:dyDescent="0.2">
      <c r="A542" t="s">
        <v>4970</v>
      </c>
      <c r="B542" t="s">
        <v>1440</v>
      </c>
      <c r="C542" t="s">
        <v>1391</v>
      </c>
      <c r="D542" t="s">
        <v>56</v>
      </c>
      <c r="E542" t="s">
        <v>192</v>
      </c>
      <c r="F542" t="s">
        <v>26</v>
      </c>
      <c r="G542" s="202">
        <v>163.392</v>
      </c>
      <c r="H542">
        <v>3</v>
      </c>
      <c r="I542" t="s">
        <v>3976</v>
      </c>
      <c r="J542" t="s">
        <v>4850</v>
      </c>
      <c r="K542" t="s">
        <v>1283</v>
      </c>
      <c r="L542" s="204">
        <v>7.0000000000000007E-2</v>
      </c>
      <c r="M542" s="112">
        <v>43.852499999999999</v>
      </c>
      <c r="N542" s="112">
        <v>3.0696750000000002</v>
      </c>
      <c r="O542" s="204"/>
      <c r="P542" s="112"/>
      <c r="Q542" s="112"/>
      <c r="R542" s="112"/>
      <c r="S542" s="112"/>
      <c r="T542" s="112"/>
      <c r="U542" t="s">
        <v>4328</v>
      </c>
      <c r="V542" t="s">
        <v>4971</v>
      </c>
      <c r="W542" t="s">
        <v>3958</v>
      </c>
      <c r="X542" t="s">
        <v>4660</v>
      </c>
    </row>
    <row r="543" spans="1:24" x14ac:dyDescent="0.2">
      <c r="A543" t="s">
        <v>4970</v>
      </c>
      <c r="B543" t="s">
        <v>1440</v>
      </c>
      <c r="C543" t="s">
        <v>1391</v>
      </c>
      <c r="D543" t="s">
        <v>56</v>
      </c>
      <c r="E543" t="s">
        <v>192</v>
      </c>
      <c r="F543" t="s">
        <v>26</v>
      </c>
      <c r="G543" s="202">
        <v>163.392</v>
      </c>
      <c r="H543">
        <v>4</v>
      </c>
      <c r="I543" t="s">
        <v>4017</v>
      </c>
      <c r="J543" t="s">
        <v>4851</v>
      </c>
      <c r="K543" t="s">
        <v>1283</v>
      </c>
      <c r="L543" s="204">
        <v>0.05</v>
      </c>
      <c r="M543" s="112">
        <v>43.852499999999999</v>
      </c>
      <c r="N543" s="112">
        <v>2.192625</v>
      </c>
      <c r="O543" s="204"/>
      <c r="P543" s="112"/>
      <c r="Q543" s="112"/>
      <c r="R543" s="112"/>
      <c r="S543" s="112"/>
      <c r="T543" s="112"/>
      <c r="U543" t="s">
        <v>4328</v>
      </c>
      <c r="V543" t="s">
        <v>4971</v>
      </c>
      <c r="W543" t="s">
        <v>3958</v>
      </c>
      <c r="X543" t="s">
        <v>4660</v>
      </c>
    </row>
    <row r="544" spans="1:24" x14ac:dyDescent="0.2">
      <c r="A544" t="s">
        <v>4970</v>
      </c>
      <c r="B544" t="s">
        <v>1440</v>
      </c>
      <c r="C544" t="s">
        <v>1391</v>
      </c>
      <c r="D544" t="s">
        <v>56</v>
      </c>
      <c r="E544" t="s">
        <v>192</v>
      </c>
      <c r="F544" t="s">
        <v>26</v>
      </c>
      <c r="G544" s="202">
        <v>163.392</v>
      </c>
      <c r="H544">
        <v>5</v>
      </c>
      <c r="I544" t="s">
        <v>3968</v>
      </c>
      <c r="J544" t="s">
        <v>3969</v>
      </c>
      <c r="K544" t="s">
        <v>26</v>
      </c>
      <c r="L544" s="204">
        <v>1</v>
      </c>
      <c r="M544" s="112"/>
      <c r="N544" s="112">
        <v>43.852499999999999</v>
      </c>
      <c r="O544" s="204">
        <v>0.22216462117637747</v>
      </c>
      <c r="P544" s="112">
        <v>9.7424740501370977</v>
      </c>
      <c r="Q544" s="112">
        <v>53.594974050137097</v>
      </c>
      <c r="R544" s="112">
        <v>8756.99</v>
      </c>
      <c r="S544" s="112">
        <v>8756.99</v>
      </c>
      <c r="T544" s="112">
        <v>0</v>
      </c>
      <c r="U544" t="s">
        <v>4328</v>
      </c>
      <c r="V544" t="s">
        <v>4971</v>
      </c>
      <c r="W544" t="s">
        <v>4666</v>
      </c>
      <c r="X544" t="s">
        <v>4667</v>
      </c>
    </row>
    <row r="545" spans="1:24" x14ac:dyDescent="0.2">
      <c r="A545" t="s">
        <v>4972</v>
      </c>
      <c r="B545" t="s">
        <v>291</v>
      </c>
      <c r="C545" t="s">
        <v>1441</v>
      </c>
      <c r="D545" t="s">
        <v>56</v>
      </c>
      <c r="E545" t="s">
        <v>292</v>
      </c>
      <c r="F545" t="s">
        <v>26</v>
      </c>
      <c r="G545" s="202">
        <v>922.11</v>
      </c>
      <c r="H545">
        <v>1</v>
      </c>
      <c r="I545" t="s">
        <v>3954</v>
      </c>
      <c r="J545" t="s">
        <v>4804</v>
      </c>
      <c r="K545" t="s">
        <v>1283</v>
      </c>
      <c r="L545" s="204">
        <v>0.28000000000000003</v>
      </c>
      <c r="M545" s="112">
        <v>54.157499999999999</v>
      </c>
      <c r="N545" s="112">
        <v>15.164100000000001</v>
      </c>
      <c r="O545" s="204"/>
      <c r="P545" s="112"/>
      <c r="Q545" s="112"/>
      <c r="R545" s="112"/>
      <c r="S545" s="112"/>
      <c r="T545" s="112"/>
      <c r="U545" t="s">
        <v>4186</v>
      </c>
      <c r="V545" t="s">
        <v>4973</v>
      </c>
      <c r="W545" t="s">
        <v>3958</v>
      </c>
      <c r="X545" t="s">
        <v>4660</v>
      </c>
    </row>
    <row r="546" spans="1:24" x14ac:dyDescent="0.2">
      <c r="A546" t="s">
        <v>4972</v>
      </c>
      <c r="B546" t="s">
        <v>291</v>
      </c>
      <c r="C546" t="s">
        <v>1441</v>
      </c>
      <c r="D546" t="s">
        <v>56</v>
      </c>
      <c r="E546" t="s">
        <v>292</v>
      </c>
      <c r="F546" t="s">
        <v>26</v>
      </c>
      <c r="G546" s="202">
        <v>922.11</v>
      </c>
      <c r="H546">
        <v>2</v>
      </c>
      <c r="I546" t="s">
        <v>3960</v>
      </c>
      <c r="J546" t="s">
        <v>4807</v>
      </c>
      <c r="K546" t="s">
        <v>1283</v>
      </c>
      <c r="L546" s="204">
        <v>0.56000000000000005</v>
      </c>
      <c r="M546" s="112">
        <v>54.157499999999999</v>
      </c>
      <c r="N546" s="112">
        <v>30.328200000000002</v>
      </c>
      <c r="O546" s="204"/>
      <c r="P546" s="112"/>
      <c r="Q546" s="112"/>
      <c r="R546" s="112"/>
      <c r="S546" s="112"/>
      <c r="T546" s="112"/>
      <c r="U546" t="s">
        <v>4186</v>
      </c>
      <c r="V546" t="s">
        <v>4973</v>
      </c>
      <c r="W546" t="s">
        <v>3958</v>
      </c>
      <c r="X546" t="s">
        <v>4660</v>
      </c>
    </row>
    <row r="547" spans="1:24" x14ac:dyDescent="0.2">
      <c r="A547" t="s">
        <v>4972</v>
      </c>
      <c r="B547" t="s">
        <v>291</v>
      </c>
      <c r="C547" t="s">
        <v>1441</v>
      </c>
      <c r="D547" t="s">
        <v>56</v>
      </c>
      <c r="E547" t="s">
        <v>292</v>
      </c>
      <c r="F547" t="s">
        <v>26</v>
      </c>
      <c r="G547" s="202">
        <v>922.11</v>
      </c>
      <c r="H547">
        <v>3</v>
      </c>
      <c r="I547" t="s">
        <v>3962</v>
      </c>
      <c r="J547" t="s">
        <v>4808</v>
      </c>
      <c r="K547" t="s">
        <v>1283</v>
      </c>
      <c r="L547" s="204">
        <v>0.1</v>
      </c>
      <c r="M547" s="112">
        <v>54.157499999999999</v>
      </c>
      <c r="N547" s="112">
        <v>5.4157500000000001</v>
      </c>
      <c r="O547" s="204"/>
      <c r="P547" s="112"/>
      <c r="Q547" s="112"/>
      <c r="R547" s="112"/>
      <c r="S547" s="112"/>
      <c r="T547" s="112"/>
      <c r="U547" t="s">
        <v>4186</v>
      </c>
      <c r="V547" t="s">
        <v>4973</v>
      </c>
      <c r="W547" t="s">
        <v>3958</v>
      </c>
      <c r="X547" t="s">
        <v>4660</v>
      </c>
    </row>
    <row r="548" spans="1:24" x14ac:dyDescent="0.2">
      <c r="A548" t="s">
        <v>4972</v>
      </c>
      <c r="B548" t="s">
        <v>291</v>
      </c>
      <c r="C548" t="s">
        <v>1441</v>
      </c>
      <c r="D548" t="s">
        <v>56</v>
      </c>
      <c r="E548" t="s">
        <v>292</v>
      </c>
      <c r="F548" t="s">
        <v>26</v>
      </c>
      <c r="G548" s="202">
        <v>922.11</v>
      </c>
      <c r="H548">
        <v>4</v>
      </c>
      <c r="I548" t="s">
        <v>4017</v>
      </c>
      <c r="J548" t="s">
        <v>4809</v>
      </c>
      <c r="K548" t="s">
        <v>1283</v>
      </c>
      <c r="L548" s="204">
        <v>0.06</v>
      </c>
      <c r="M548" s="112">
        <v>54.157499999999999</v>
      </c>
      <c r="N548" s="112">
        <v>3.2494499999999999</v>
      </c>
      <c r="O548" s="204"/>
      <c r="P548" s="112"/>
      <c r="Q548" s="112"/>
      <c r="R548" s="112"/>
      <c r="S548" s="112"/>
      <c r="T548" s="112"/>
      <c r="U548" t="s">
        <v>4186</v>
      </c>
      <c r="V548" t="s">
        <v>4973</v>
      </c>
      <c r="W548" t="s">
        <v>3958</v>
      </c>
      <c r="X548" t="s">
        <v>4660</v>
      </c>
    </row>
    <row r="549" spans="1:24" x14ac:dyDescent="0.2">
      <c r="A549" t="s">
        <v>4972</v>
      </c>
      <c r="B549" t="s">
        <v>291</v>
      </c>
      <c r="C549" t="s">
        <v>1441</v>
      </c>
      <c r="D549" t="s">
        <v>56</v>
      </c>
      <c r="E549" t="s">
        <v>292</v>
      </c>
      <c r="F549" t="s">
        <v>26</v>
      </c>
      <c r="G549" s="202">
        <v>922.11</v>
      </c>
      <c r="H549">
        <v>5</v>
      </c>
      <c r="I549" t="s">
        <v>3968</v>
      </c>
      <c r="J549" t="s">
        <v>3969</v>
      </c>
      <c r="K549" t="s">
        <v>26</v>
      </c>
      <c r="L549" s="204">
        <v>1</v>
      </c>
      <c r="M549" s="112"/>
      <c r="N549" s="112">
        <v>54.157499999999999</v>
      </c>
      <c r="O549" s="204">
        <v>0.22226835484502594</v>
      </c>
      <c r="P549" s="112">
        <v>12.037498427519495</v>
      </c>
      <c r="Q549" s="112">
        <v>66.194998427519494</v>
      </c>
      <c r="R549" s="112">
        <v>61039.07</v>
      </c>
      <c r="S549" s="112">
        <v>61039.07</v>
      </c>
      <c r="T549" s="112">
        <v>0</v>
      </c>
      <c r="U549" t="s">
        <v>4186</v>
      </c>
      <c r="V549" t="s">
        <v>4973</v>
      </c>
      <c r="W549" t="s">
        <v>4666</v>
      </c>
      <c r="X549" t="s">
        <v>4667</v>
      </c>
    </row>
    <row r="550" spans="1:24" x14ac:dyDescent="0.2">
      <c r="A550" t="s">
        <v>4974</v>
      </c>
      <c r="B550" t="s">
        <v>293</v>
      </c>
      <c r="C550" t="s">
        <v>1442</v>
      </c>
      <c r="D550" t="s">
        <v>56</v>
      </c>
      <c r="E550" t="s">
        <v>294</v>
      </c>
      <c r="F550" t="s">
        <v>26</v>
      </c>
      <c r="G550" s="202">
        <v>80.296999999999997</v>
      </c>
      <c r="H550">
        <v>1</v>
      </c>
      <c r="I550" t="s">
        <v>3954</v>
      </c>
      <c r="J550" t="s">
        <v>4804</v>
      </c>
      <c r="K550" t="s">
        <v>1283</v>
      </c>
      <c r="L550" s="204">
        <v>0.28000000000000003</v>
      </c>
      <c r="M550" s="112">
        <v>82.664999999999992</v>
      </c>
      <c r="N550" s="112">
        <v>23.1462</v>
      </c>
      <c r="O550" s="204"/>
      <c r="P550" s="112"/>
      <c r="Q550" s="112"/>
      <c r="R550" s="112"/>
      <c r="S550" s="112"/>
      <c r="T550" s="112"/>
      <c r="U550" t="s">
        <v>4975</v>
      </c>
      <c r="V550" t="s">
        <v>4976</v>
      </c>
      <c r="W550" t="s">
        <v>3958</v>
      </c>
      <c r="X550" t="s">
        <v>4660</v>
      </c>
    </row>
    <row r="551" spans="1:24" x14ac:dyDescent="0.2">
      <c r="A551" t="s">
        <v>4974</v>
      </c>
      <c r="B551" t="s">
        <v>293</v>
      </c>
      <c r="C551" t="s">
        <v>1442</v>
      </c>
      <c r="D551" t="s">
        <v>56</v>
      </c>
      <c r="E551" t="s">
        <v>294</v>
      </c>
      <c r="F551" t="s">
        <v>26</v>
      </c>
      <c r="G551" s="202">
        <v>80.296999999999997</v>
      </c>
      <c r="H551">
        <v>2</v>
      </c>
      <c r="I551" t="s">
        <v>3960</v>
      </c>
      <c r="J551" t="s">
        <v>4807</v>
      </c>
      <c r="K551" t="s">
        <v>1283</v>
      </c>
      <c r="L551" s="204">
        <v>0.56000000000000005</v>
      </c>
      <c r="M551" s="112">
        <v>82.664999999999992</v>
      </c>
      <c r="N551" s="112">
        <v>46.292400000000001</v>
      </c>
      <c r="O551" s="204"/>
      <c r="P551" s="112"/>
      <c r="Q551" s="112"/>
      <c r="R551" s="112"/>
      <c r="S551" s="112"/>
      <c r="T551" s="112"/>
      <c r="U551" t="s">
        <v>4975</v>
      </c>
      <c r="V551" t="s">
        <v>4976</v>
      </c>
      <c r="W551" t="s">
        <v>3958</v>
      </c>
      <c r="X551" t="s">
        <v>4660</v>
      </c>
    </row>
    <row r="552" spans="1:24" x14ac:dyDescent="0.2">
      <c r="A552" t="s">
        <v>4974</v>
      </c>
      <c r="B552" t="s">
        <v>293</v>
      </c>
      <c r="C552" t="s">
        <v>1442</v>
      </c>
      <c r="D552" t="s">
        <v>56</v>
      </c>
      <c r="E552" t="s">
        <v>294</v>
      </c>
      <c r="F552" t="s">
        <v>26</v>
      </c>
      <c r="G552" s="202">
        <v>80.296999999999997</v>
      </c>
      <c r="H552">
        <v>3</v>
      </c>
      <c r="I552" t="s">
        <v>3962</v>
      </c>
      <c r="J552" t="s">
        <v>4808</v>
      </c>
      <c r="K552" t="s">
        <v>1283</v>
      </c>
      <c r="L552" s="204">
        <v>0.1</v>
      </c>
      <c r="M552" s="112">
        <v>82.664999999999992</v>
      </c>
      <c r="N552" s="112">
        <v>8.2664999999999988</v>
      </c>
      <c r="O552" s="204"/>
      <c r="P552" s="112"/>
      <c r="Q552" s="112"/>
      <c r="R552" s="112"/>
      <c r="S552" s="112"/>
      <c r="T552" s="112"/>
      <c r="U552" t="s">
        <v>4975</v>
      </c>
      <c r="V552" t="s">
        <v>4976</v>
      </c>
      <c r="W552" t="s">
        <v>3958</v>
      </c>
      <c r="X552" t="s">
        <v>4660</v>
      </c>
    </row>
    <row r="553" spans="1:24" x14ac:dyDescent="0.2">
      <c r="A553" t="s">
        <v>4974</v>
      </c>
      <c r="B553" t="s">
        <v>293</v>
      </c>
      <c r="C553" t="s">
        <v>1442</v>
      </c>
      <c r="D553" t="s">
        <v>56</v>
      </c>
      <c r="E553" t="s">
        <v>294</v>
      </c>
      <c r="F553" t="s">
        <v>26</v>
      </c>
      <c r="G553" s="202">
        <v>80.296999999999997</v>
      </c>
      <c r="H553">
        <v>4</v>
      </c>
      <c r="I553" t="s">
        <v>4017</v>
      </c>
      <c r="J553" t="s">
        <v>4809</v>
      </c>
      <c r="K553" t="s">
        <v>1283</v>
      </c>
      <c r="L553" s="204">
        <v>0.06</v>
      </c>
      <c r="M553" s="112">
        <v>82.664999999999992</v>
      </c>
      <c r="N553" s="112">
        <v>4.9598999999999993</v>
      </c>
      <c r="O553" s="204"/>
      <c r="P553" s="112"/>
      <c r="Q553" s="112"/>
      <c r="R553" s="112"/>
      <c r="S553" s="112"/>
      <c r="T553" s="112"/>
      <c r="U553" t="s">
        <v>4975</v>
      </c>
      <c r="V553" t="s">
        <v>4976</v>
      </c>
      <c r="W553" t="s">
        <v>3958</v>
      </c>
      <c r="X553" t="s">
        <v>4660</v>
      </c>
    </row>
    <row r="554" spans="1:24" x14ac:dyDescent="0.2">
      <c r="A554" t="s">
        <v>4974</v>
      </c>
      <c r="B554" t="s">
        <v>293</v>
      </c>
      <c r="C554" t="s">
        <v>1442</v>
      </c>
      <c r="D554" t="s">
        <v>56</v>
      </c>
      <c r="E554" t="s">
        <v>294</v>
      </c>
      <c r="F554" t="s">
        <v>26</v>
      </c>
      <c r="G554" s="202">
        <v>80.296999999999997</v>
      </c>
      <c r="H554">
        <v>5</v>
      </c>
      <c r="I554" t="s">
        <v>3968</v>
      </c>
      <c r="J554" t="s">
        <v>3969</v>
      </c>
      <c r="K554" t="s">
        <v>26</v>
      </c>
      <c r="L554" s="204">
        <v>1</v>
      </c>
      <c r="M554" s="112"/>
      <c r="N554" s="112">
        <v>82.664999999999992</v>
      </c>
      <c r="O554" s="204">
        <v>0.2222813695102317</v>
      </c>
      <c r="P554" s="112">
        <v>18.374889410563298</v>
      </c>
      <c r="Q554" s="112">
        <v>101.03988941056329</v>
      </c>
      <c r="R554" s="112">
        <v>8113.2</v>
      </c>
      <c r="S554" s="112">
        <v>8113.2</v>
      </c>
      <c r="T554" s="112">
        <v>0</v>
      </c>
      <c r="U554" t="s">
        <v>4975</v>
      </c>
      <c r="V554" t="s">
        <v>4976</v>
      </c>
      <c r="W554" t="s">
        <v>4666</v>
      </c>
      <c r="X554" t="s">
        <v>4667</v>
      </c>
    </row>
    <row r="555" spans="1:24" x14ac:dyDescent="0.2">
      <c r="A555" t="s">
        <v>4977</v>
      </c>
      <c r="B555" t="s">
        <v>295</v>
      </c>
      <c r="C555" t="s">
        <v>1443</v>
      </c>
      <c r="D555" t="s">
        <v>56</v>
      </c>
      <c r="E555" t="s">
        <v>296</v>
      </c>
      <c r="F555" t="s">
        <v>26</v>
      </c>
      <c r="G555" s="202">
        <v>741.14700000000005</v>
      </c>
      <c r="H555">
        <v>1</v>
      </c>
      <c r="I555" t="s">
        <v>3954</v>
      </c>
      <c r="J555" t="s">
        <v>4804</v>
      </c>
      <c r="K555" t="s">
        <v>1283</v>
      </c>
      <c r="L555" s="204">
        <v>0.28000000000000003</v>
      </c>
      <c r="M555" s="112">
        <v>82.717500000000001</v>
      </c>
      <c r="N555" s="112">
        <v>23.160900000000002</v>
      </c>
      <c r="O555" s="204"/>
      <c r="P555" s="112"/>
      <c r="Q555" s="112"/>
      <c r="R555" s="112"/>
      <c r="S555" s="112"/>
      <c r="T555" s="112"/>
      <c r="U555" t="s">
        <v>4154</v>
      </c>
      <c r="V555" t="s">
        <v>4978</v>
      </c>
      <c r="W555" t="s">
        <v>3958</v>
      </c>
      <c r="X555" t="s">
        <v>4660</v>
      </c>
    </row>
    <row r="556" spans="1:24" x14ac:dyDescent="0.2">
      <c r="A556" t="s">
        <v>4977</v>
      </c>
      <c r="B556" t="s">
        <v>295</v>
      </c>
      <c r="C556" t="s">
        <v>1443</v>
      </c>
      <c r="D556" t="s">
        <v>56</v>
      </c>
      <c r="E556" t="s">
        <v>296</v>
      </c>
      <c r="F556" t="s">
        <v>26</v>
      </c>
      <c r="G556" s="202">
        <v>741.14700000000005</v>
      </c>
      <c r="H556">
        <v>2</v>
      </c>
      <c r="I556" t="s">
        <v>3960</v>
      </c>
      <c r="J556" t="s">
        <v>4807</v>
      </c>
      <c r="K556" t="s">
        <v>1283</v>
      </c>
      <c r="L556" s="204">
        <v>0.56000000000000005</v>
      </c>
      <c r="M556" s="112">
        <v>82.717500000000001</v>
      </c>
      <c r="N556" s="112">
        <v>46.321800000000003</v>
      </c>
      <c r="O556" s="204"/>
      <c r="P556" s="112"/>
      <c r="Q556" s="112"/>
      <c r="R556" s="112"/>
      <c r="S556" s="112"/>
      <c r="T556" s="112"/>
      <c r="U556" t="s">
        <v>4154</v>
      </c>
      <c r="V556" t="s">
        <v>4978</v>
      </c>
      <c r="W556" t="s">
        <v>3958</v>
      </c>
      <c r="X556" t="s">
        <v>4660</v>
      </c>
    </row>
    <row r="557" spans="1:24" x14ac:dyDescent="0.2">
      <c r="A557" t="s">
        <v>4977</v>
      </c>
      <c r="B557" t="s">
        <v>295</v>
      </c>
      <c r="C557" t="s">
        <v>1443</v>
      </c>
      <c r="D557" t="s">
        <v>56</v>
      </c>
      <c r="E557" t="s">
        <v>296</v>
      </c>
      <c r="F557" t="s">
        <v>26</v>
      </c>
      <c r="G557" s="202">
        <v>741.14700000000005</v>
      </c>
      <c r="H557">
        <v>3</v>
      </c>
      <c r="I557" t="s">
        <v>3962</v>
      </c>
      <c r="J557" t="s">
        <v>4808</v>
      </c>
      <c r="K557" t="s">
        <v>1283</v>
      </c>
      <c r="L557" s="204">
        <v>0.1</v>
      </c>
      <c r="M557" s="112">
        <v>82.717500000000001</v>
      </c>
      <c r="N557" s="112">
        <v>8.2717500000000008</v>
      </c>
      <c r="O557" s="204"/>
      <c r="P557" s="112"/>
      <c r="Q557" s="112"/>
      <c r="R557" s="112"/>
      <c r="S557" s="112"/>
      <c r="T557" s="112"/>
      <c r="U557" t="s">
        <v>4154</v>
      </c>
      <c r="V557" t="s">
        <v>4978</v>
      </c>
      <c r="W557" t="s">
        <v>3958</v>
      </c>
      <c r="X557" t="s">
        <v>4660</v>
      </c>
    </row>
    <row r="558" spans="1:24" x14ac:dyDescent="0.2">
      <c r="A558" t="s">
        <v>4977</v>
      </c>
      <c r="B558" t="s">
        <v>295</v>
      </c>
      <c r="C558" t="s">
        <v>1443</v>
      </c>
      <c r="D558" t="s">
        <v>56</v>
      </c>
      <c r="E558" t="s">
        <v>296</v>
      </c>
      <c r="F558" t="s">
        <v>26</v>
      </c>
      <c r="G558" s="202">
        <v>741.14700000000005</v>
      </c>
      <c r="H558">
        <v>4</v>
      </c>
      <c r="I558" t="s">
        <v>4017</v>
      </c>
      <c r="J558" t="s">
        <v>4809</v>
      </c>
      <c r="K558" t="s">
        <v>1283</v>
      </c>
      <c r="L558" s="204">
        <v>0.06</v>
      </c>
      <c r="M558" s="112">
        <v>82.717500000000001</v>
      </c>
      <c r="N558" s="112">
        <v>4.96305</v>
      </c>
      <c r="O558" s="204"/>
      <c r="P558" s="112"/>
      <c r="Q558" s="112"/>
      <c r="R558" s="112"/>
      <c r="S558" s="112"/>
      <c r="T558" s="112"/>
      <c r="U558" t="s">
        <v>4154</v>
      </c>
      <c r="V558" t="s">
        <v>4978</v>
      </c>
      <c r="W558" t="s">
        <v>3958</v>
      </c>
      <c r="X558" t="s">
        <v>4660</v>
      </c>
    </row>
    <row r="559" spans="1:24" x14ac:dyDescent="0.2">
      <c r="A559" t="s">
        <v>4977</v>
      </c>
      <c r="B559" t="s">
        <v>295</v>
      </c>
      <c r="C559" t="s">
        <v>1443</v>
      </c>
      <c r="D559" t="s">
        <v>56</v>
      </c>
      <c r="E559" t="s">
        <v>296</v>
      </c>
      <c r="F559" t="s">
        <v>26</v>
      </c>
      <c r="G559" s="202">
        <v>741.14700000000005</v>
      </c>
      <c r="H559">
        <v>5</v>
      </c>
      <c r="I559" t="s">
        <v>3968</v>
      </c>
      <c r="J559" t="s">
        <v>3969</v>
      </c>
      <c r="K559" t="s">
        <v>26</v>
      </c>
      <c r="L559" s="204">
        <v>1</v>
      </c>
      <c r="M559" s="112"/>
      <c r="N559" s="112">
        <v>82.717500000000001</v>
      </c>
      <c r="O559" s="204">
        <v>0.22223226894258175</v>
      </c>
      <c r="P559" s="112">
        <v>18.382497706258007</v>
      </c>
      <c r="Q559" s="112">
        <v>101.09999770625801</v>
      </c>
      <c r="R559" s="112">
        <v>74929.960000000006</v>
      </c>
      <c r="S559" s="112">
        <v>74929.960000000006</v>
      </c>
      <c r="T559" s="112">
        <v>0</v>
      </c>
      <c r="U559" t="s">
        <v>4154</v>
      </c>
      <c r="V559" t="s">
        <v>4978</v>
      </c>
      <c r="W559" t="s">
        <v>4666</v>
      </c>
      <c r="X559" t="s">
        <v>4667</v>
      </c>
    </row>
    <row r="560" spans="1:24" x14ac:dyDescent="0.2">
      <c r="A560" t="s">
        <v>4979</v>
      </c>
      <c r="B560" t="s">
        <v>297</v>
      </c>
      <c r="C560" t="s">
        <v>1444</v>
      </c>
      <c r="D560" t="s">
        <v>56</v>
      </c>
      <c r="E560" t="s">
        <v>1445</v>
      </c>
      <c r="F560" t="s">
        <v>99</v>
      </c>
      <c r="G560" s="202">
        <v>358.99799999999999</v>
      </c>
      <c r="H560">
        <v>1</v>
      </c>
      <c r="I560" t="s">
        <v>3954</v>
      </c>
      <c r="J560" t="s">
        <v>4110</v>
      </c>
      <c r="K560" t="s">
        <v>1283</v>
      </c>
      <c r="L560" s="204">
        <v>0.3</v>
      </c>
      <c r="M560" s="112">
        <v>11.175000000000001</v>
      </c>
      <c r="N560" s="112">
        <v>3.3525</v>
      </c>
      <c r="O560" s="204"/>
      <c r="P560" s="112"/>
      <c r="Q560" s="112"/>
      <c r="R560" s="112"/>
      <c r="S560" s="112"/>
      <c r="T560" s="112"/>
      <c r="U560" t="s">
        <v>4980</v>
      </c>
      <c r="V560" t="s">
        <v>4981</v>
      </c>
      <c r="W560" t="s">
        <v>3958</v>
      </c>
      <c r="X560" t="s">
        <v>4660</v>
      </c>
    </row>
    <row r="561" spans="1:24" x14ac:dyDescent="0.2">
      <c r="A561" t="s">
        <v>4979</v>
      </c>
      <c r="B561" t="s">
        <v>297</v>
      </c>
      <c r="C561" t="s">
        <v>1444</v>
      </c>
      <c r="D561" t="s">
        <v>56</v>
      </c>
      <c r="E561" t="s">
        <v>1445</v>
      </c>
      <c r="F561" t="s">
        <v>99</v>
      </c>
      <c r="G561" s="202">
        <v>358.99799999999999</v>
      </c>
      <c r="H561">
        <v>2</v>
      </c>
      <c r="I561" t="s">
        <v>3960</v>
      </c>
      <c r="J561" t="s">
        <v>4113</v>
      </c>
      <c r="K561" t="s">
        <v>1283</v>
      </c>
      <c r="L561" s="204">
        <v>0.55000000000000004</v>
      </c>
      <c r="M561" s="112">
        <v>11.175000000000001</v>
      </c>
      <c r="N561" s="112">
        <v>6.1462500000000011</v>
      </c>
      <c r="O561" s="204"/>
      <c r="P561" s="112"/>
      <c r="Q561" s="112"/>
      <c r="R561" s="112"/>
      <c r="S561" s="112"/>
      <c r="T561" s="112"/>
      <c r="U561" t="s">
        <v>4980</v>
      </c>
      <c r="V561" t="s">
        <v>4981</v>
      </c>
      <c r="W561" t="s">
        <v>3958</v>
      </c>
      <c r="X561" t="s">
        <v>4660</v>
      </c>
    </row>
    <row r="562" spans="1:24" x14ac:dyDescent="0.2">
      <c r="A562" t="s">
        <v>4979</v>
      </c>
      <c r="B562" t="s">
        <v>297</v>
      </c>
      <c r="C562" t="s">
        <v>1444</v>
      </c>
      <c r="D562" t="s">
        <v>56</v>
      </c>
      <c r="E562" t="s">
        <v>1445</v>
      </c>
      <c r="F562" t="s">
        <v>99</v>
      </c>
      <c r="G562" s="202">
        <v>358.99799999999999</v>
      </c>
      <c r="H562">
        <v>3</v>
      </c>
      <c r="I562" t="s">
        <v>3976</v>
      </c>
      <c r="J562" t="s">
        <v>4114</v>
      </c>
      <c r="K562" t="s">
        <v>1283</v>
      </c>
      <c r="L562" s="204">
        <v>0.1</v>
      </c>
      <c r="M562" s="112">
        <v>11.175000000000001</v>
      </c>
      <c r="N562" s="112">
        <v>1.1175000000000002</v>
      </c>
      <c r="O562" s="204"/>
      <c r="P562" s="112"/>
      <c r="Q562" s="112"/>
      <c r="R562" s="112"/>
      <c r="S562" s="112"/>
      <c r="T562" s="112"/>
      <c r="U562" t="s">
        <v>4980</v>
      </c>
      <c r="V562" t="s">
        <v>4981</v>
      </c>
      <c r="W562" t="s">
        <v>3958</v>
      </c>
      <c r="X562" t="s">
        <v>4660</v>
      </c>
    </row>
    <row r="563" spans="1:24" x14ac:dyDescent="0.2">
      <c r="A563" t="s">
        <v>4979</v>
      </c>
      <c r="B563" t="s">
        <v>297</v>
      </c>
      <c r="C563" t="s">
        <v>1444</v>
      </c>
      <c r="D563" t="s">
        <v>56</v>
      </c>
      <c r="E563" t="s">
        <v>1445</v>
      </c>
      <c r="F563" t="s">
        <v>99</v>
      </c>
      <c r="G563" s="202">
        <v>358.99799999999999</v>
      </c>
      <c r="H563">
        <v>4</v>
      </c>
      <c r="I563" t="s">
        <v>4017</v>
      </c>
      <c r="J563" t="s">
        <v>4115</v>
      </c>
      <c r="K563" t="s">
        <v>1283</v>
      </c>
      <c r="L563" s="204">
        <v>0.05</v>
      </c>
      <c r="M563" s="112">
        <v>11.175000000000001</v>
      </c>
      <c r="N563" s="112">
        <v>0.55875000000000008</v>
      </c>
      <c r="O563" s="204"/>
      <c r="P563" s="112"/>
      <c r="Q563" s="112"/>
      <c r="R563" s="112"/>
      <c r="S563" s="112"/>
      <c r="T563" s="112"/>
      <c r="U563" t="s">
        <v>4980</v>
      </c>
      <c r="V563" t="s">
        <v>4981</v>
      </c>
      <c r="W563" t="s">
        <v>3958</v>
      </c>
      <c r="X563" t="s">
        <v>4660</v>
      </c>
    </row>
    <row r="564" spans="1:24" x14ac:dyDescent="0.2">
      <c r="A564" t="s">
        <v>4979</v>
      </c>
      <c r="B564" t="s">
        <v>297</v>
      </c>
      <c r="C564" t="s">
        <v>1444</v>
      </c>
      <c r="D564" t="s">
        <v>56</v>
      </c>
      <c r="E564" t="s">
        <v>1445</v>
      </c>
      <c r="F564" t="s">
        <v>99</v>
      </c>
      <c r="G564" s="202">
        <v>358.99799999999999</v>
      </c>
      <c r="H564">
        <v>5</v>
      </c>
      <c r="I564" t="s">
        <v>3968</v>
      </c>
      <c r="J564" t="s">
        <v>3969</v>
      </c>
      <c r="K564" t="s">
        <v>99</v>
      </c>
      <c r="L564" s="204">
        <v>1</v>
      </c>
      <c r="M564" s="112"/>
      <c r="N564" s="112">
        <v>11.175000000000001</v>
      </c>
      <c r="O564" s="204">
        <v>0.22214635857025522</v>
      </c>
      <c r="P564" s="112">
        <v>2.4824855570226028</v>
      </c>
      <c r="Q564" s="112">
        <v>13.657485557022603</v>
      </c>
      <c r="R564" s="112">
        <v>4903.01</v>
      </c>
      <c r="S564" s="112">
        <v>4903.01</v>
      </c>
      <c r="T564" s="112">
        <v>0</v>
      </c>
      <c r="U564" t="s">
        <v>4980</v>
      </c>
      <c r="V564" t="s">
        <v>4981</v>
      </c>
      <c r="W564" t="s">
        <v>4666</v>
      </c>
      <c r="X564" t="s">
        <v>4667</v>
      </c>
    </row>
    <row r="565" spans="1:24" x14ac:dyDescent="0.2">
      <c r="A565" t="s">
        <v>4982</v>
      </c>
      <c r="B565" t="s">
        <v>299</v>
      </c>
      <c r="C565" t="s">
        <v>1446</v>
      </c>
      <c r="D565" t="s">
        <v>56</v>
      </c>
      <c r="E565" t="s">
        <v>300</v>
      </c>
      <c r="F565" t="s">
        <v>99</v>
      </c>
      <c r="G565" s="202">
        <v>46.192999999999998</v>
      </c>
      <c r="H565">
        <v>1</v>
      </c>
      <c r="I565" t="s">
        <v>3954</v>
      </c>
      <c r="J565" t="s">
        <v>4804</v>
      </c>
      <c r="K565" t="s">
        <v>1283</v>
      </c>
      <c r="L565" s="204">
        <v>0.28000000000000003</v>
      </c>
      <c r="M565" s="112">
        <v>68.114999999999995</v>
      </c>
      <c r="N565" s="112">
        <v>19.072199999999999</v>
      </c>
      <c r="O565" s="204"/>
      <c r="P565" s="112"/>
      <c r="Q565" s="112"/>
      <c r="R565" s="112"/>
      <c r="S565" s="112"/>
      <c r="T565" s="112"/>
      <c r="U565" t="s">
        <v>4983</v>
      </c>
      <c r="V565" t="s">
        <v>4984</v>
      </c>
      <c r="W565" t="s">
        <v>3958</v>
      </c>
      <c r="X565" t="s">
        <v>4660</v>
      </c>
    </row>
    <row r="566" spans="1:24" x14ac:dyDescent="0.2">
      <c r="A566" t="s">
        <v>4982</v>
      </c>
      <c r="B566" t="s">
        <v>299</v>
      </c>
      <c r="C566" t="s">
        <v>1446</v>
      </c>
      <c r="D566" t="s">
        <v>56</v>
      </c>
      <c r="E566" t="s">
        <v>300</v>
      </c>
      <c r="F566" t="s">
        <v>99</v>
      </c>
      <c r="G566" s="202">
        <v>46.192999999999998</v>
      </c>
      <c r="H566">
        <v>2</v>
      </c>
      <c r="I566" t="s">
        <v>3960</v>
      </c>
      <c r="J566" t="s">
        <v>4807</v>
      </c>
      <c r="K566" t="s">
        <v>1283</v>
      </c>
      <c r="L566" s="204">
        <v>0.56000000000000005</v>
      </c>
      <c r="M566" s="112">
        <v>68.114999999999995</v>
      </c>
      <c r="N566" s="112">
        <v>38.144399999999997</v>
      </c>
      <c r="O566" s="204"/>
      <c r="P566" s="112"/>
      <c r="Q566" s="112"/>
      <c r="R566" s="112"/>
      <c r="S566" s="112"/>
      <c r="T566" s="112"/>
      <c r="U566" t="s">
        <v>4983</v>
      </c>
      <c r="V566" t="s">
        <v>4984</v>
      </c>
      <c r="W566" t="s">
        <v>3958</v>
      </c>
      <c r="X566" t="s">
        <v>4660</v>
      </c>
    </row>
    <row r="567" spans="1:24" x14ac:dyDescent="0.2">
      <c r="A567" t="s">
        <v>4982</v>
      </c>
      <c r="B567" t="s">
        <v>299</v>
      </c>
      <c r="C567" t="s">
        <v>1446</v>
      </c>
      <c r="D567" t="s">
        <v>56</v>
      </c>
      <c r="E567" t="s">
        <v>300</v>
      </c>
      <c r="F567" t="s">
        <v>99</v>
      </c>
      <c r="G567" s="202">
        <v>46.192999999999998</v>
      </c>
      <c r="H567">
        <v>3</v>
      </c>
      <c r="I567" t="s">
        <v>3962</v>
      </c>
      <c r="J567" t="s">
        <v>4808</v>
      </c>
      <c r="K567" t="s">
        <v>1283</v>
      </c>
      <c r="L567" s="204">
        <v>0.1</v>
      </c>
      <c r="M567" s="112">
        <v>68.114999999999995</v>
      </c>
      <c r="N567" s="112">
        <v>6.8114999999999997</v>
      </c>
      <c r="O567" s="204"/>
      <c r="P567" s="112"/>
      <c r="Q567" s="112"/>
      <c r="R567" s="112"/>
      <c r="S567" s="112"/>
      <c r="T567" s="112"/>
      <c r="U567" t="s">
        <v>4983</v>
      </c>
      <c r="V567" t="s">
        <v>4984</v>
      </c>
      <c r="W567" t="s">
        <v>3958</v>
      </c>
      <c r="X567" t="s">
        <v>4660</v>
      </c>
    </row>
    <row r="568" spans="1:24" x14ac:dyDescent="0.2">
      <c r="A568" t="s">
        <v>4982</v>
      </c>
      <c r="B568" t="s">
        <v>299</v>
      </c>
      <c r="C568" t="s">
        <v>1446</v>
      </c>
      <c r="D568" t="s">
        <v>56</v>
      </c>
      <c r="E568" t="s">
        <v>300</v>
      </c>
      <c r="F568" t="s">
        <v>99</v>
      </c>
      <c r="G568" s="202">
        <v>46.192999999999998</v>
      </c>
      <c r="H568">
        <v>4</v>
      </c>
      <c r="I568" t="s">
        <v>4017</v>
      </c>
      <c r="J568" t="s">
        <v>4809</v>
      </c>
      <c r="K568" t="s">
        <v>1283</v>
      </c>
      <c r="L568" s="204">
        <v>0.06</v>
      </c>
      <c r="M568" s="112">
        <v>68.114999999999995</v>
      </c>
      <c r="N568" s="112">
        <v>4.0869</v>
      </c>
      <c r="O568" s="204"/>
      <c r="P568" s="112"/>
      <c r="Q568" s="112"/>
      <c r="R568" s="112"/>
      <c r="S568" s="112"/>
      <c r="T568" s="112"/>
      <c r="U568" t="s">
        <v>4983</v>
      </c>
      <c r="V568" t="s">
        <v>4984</v>
      </c>
      <c r="W568" t="s">
        <v>3958</v>
      </c>
      <c r="X568" t="s">
        <v>4660</v>
      </c>
    </row>
    <row r="569" spans="1:24" x14ac:dyDescent="0.2">
      <c r="A569" t="s">
        <v>4982</v>
      </c>
      <c r="B569" t="s">
        <v>299</v>
      </c>
      <c r="C569" t="s">
        <v>1446</v>
      </c>
      <c r="D569" t="s">
        <v>56</v>
      </c>
      <c r="E569" t="s">
        <v>300</v>
      </c>
      <c r="F569" t="s">
        <v>99</v>
      </c>
      <c r="G569" s="202">
        <v>46.192999999999998</v>
      </c>
      <c r="H569">
        <v>5</v>
      </c>
      <c r="I569" t="s">
        <v>3968</v>
      </c>
      <c r="J569" t="s">
        <v>3969</v>
      </c>
      <c r="K569" t="s">
        <v>99</v>
      </c>
      <c r="L569" s="204">
        <v>1</v>
      </c>
      <c r="M569" s="112"/>
      <c r="N569" s="112">
        <v>68.114999999999995</v>
      </c>
      <c r="O569" s="204">
        <v>0.22219544960453264</v>
      </c>
      <c r="P569" s="112">
        <v>15.134843049812744</v>
      </c>
      <c r="Q569" s="112">
        <v>83.249843049812739</v>
      </c>
      <c r="R569" s="112">
        <v>3845.56</v>
      </c>
      <c r="S569" s="112">
        <v>3845.56</v>
      </c>
      <c r="T569" s="112">
        <v>0</v>
      </c>
      <c r="U569" t="s">
        <v>4983</v>
      </c>
      <c r="V569" t="s">
        <v>4984</v>
      </c>
      <c r="W569" t="s">
        <v>4666</v>
      </c>
      <c r="X569" t="s">
        <v>4667</v>
      </c>
    </row>
    <row r="570" spans="1:24" x14ac:dyDescent="0.2">
      <c r="A570" t="s">
        <v>4985</v>
      </c>
      <c r="B570" t="s">
        <v>301</v>
      </c>
      <c r="C570" t="s">
        <v>1447</v>
      </c>
      <c r="D570" t="s">
        <v>56</v>
      </c>
      <c r="E570" t="s">
        <v>1448</v>
      </c>
      <c r="F570" t="s">
        <v>99</v>
      </c>
      <c r="G570" s="202">
        <v>44.1</v>
      </c>
      <c r="H570">
        <v>1</v>
      </c>
      <c r="I570" t="s">
        <v>3954</v>
      </c>
      <c r="J570" t="s">
        <v>4804</v>
      </c>
      <c r="K570" t="s">
        <v>1283</v>
      </c>
      <c r="L570" s="204">
        <v>0.28000000000000003</v>
      </c>
      <c r="M570" s="112">
        <v>48.982500000000002</v>
      </c>
      <c r="N570" s="112">
        <v>13.715100000000001</v>
      </c>
      <c r="O570" s="204"/>
      <c r="P570" s="112"/>
      <c r="Q570" s="112"/>
      <c r="R570" s="112"/>
      <c r="S570" s="112"/>
      <c r="T570" s="112"/>
      <c r="U570" t="s">
        <v>4986</v>
      </c>
      <c r="V570" t="s">
        <v>4987</v>
      </c>
      <c r="W570" t="s">
        <v>3958</v>
      </c>
      <c r="X570" t="s">
        <v>4660</v>
      </c>
    </row>
    <row r="571" spans="1:24" x14ac:dyDescent="0.2">
      <c r="A571" t="s">
        <v>4985</v>
      </c>
      <c r="B571" t="s">
        <v>301</v>
      </c>
      <c r="C571" t="s">
        <v>1447</v>
      </c>
      <c r="D571" t="s">
        <v>56</v>
      </c>
      <c r="E571" t="s">
        <v>1448</v>
      </c>
      <c r="F571" t="s">
        <v>99</v>
      </c>
      <c r="G571" s="202">
        <v>44.1</v>
      </c>
      <c r="H571">
        <v>2</v>
      </c>
      <c r="I571" t="s">
        <v>3960</v>
      </c>
      <c r="J571" t="s">
        <v>4807</v>
      </c>
      <c r="K571" t="s">
        <v>1283</v>
      </c>
      <c r="L571" s="204">
        <v>0.56000000000000005</v>
      </c>
      <c r="M571" s="112">
        <v>48.982500000000002</v>
      </c>
      <c r="N571" s="112">
        <v>27.430200000000003</v>
      </c>
      <c r="O571" s="204"/>
      <c r="P571" s="112"/>
      <c r="Q571" s="112"/>
      <c r="R571" s="112"/>
      <c r="S571" s="112"/>
      <c r="T571" s="112"/>
      <c r="U571" t="s">
        <v>4986</v>
      </c>
      <c r="V571" t="s">
        <v>4987</v>
      </c>
      <c r="W571" t="s">
        <v>3958</v>
      </c>
      <c r="X571" t="s">
        <v>4660</v>
      </c>
    </row>
    <row r="572" spans="1:24" x14ac:dyDescent="0.2">
      <c r="A572" t="s">
        <v>4985</v>
      </c>
      <c r="B572" t="s">
        <v>301</v>
      </c>
      <c r="C572" t="s">
        <v>1447</v>
      </c>
      <c r="D572" t="s">
        <v>56</v>
      </c>
      <c r="E572" t="s">
        <v>1448</v>
      </c>
      <c r="F572" t="s">
        <v>99</v>
      </c>
      <c r="G572" s="202">
        <v>44.1</v>
      </c>
      <c r="H572">
        <v>3</v>
      </c>
      <c r="I572" t="s">
        <v>3962</v>
      </c>
      <c r="J572" t="s">
        <v>4808</v>
      </c>
      <c r="K572" t="s">
        <v>1283</v>
      </c>
      <c r="L572" s="204">
        <v>0.1</v>
      </c>
      <c r="M572" s="112">
        <v>48.982500000000002</v>
      </c>
      <c r="N572" s="112">
        <v>4.8982500000000009</v>
      </c>
      <c r="O572" s="204"/>
      <c r="P572" s="112"/>
      <c r="Q572" s="112"/>
      <c r="R572" s="112"/>
      <c r="S572" s="112"/>
      <c r="T572" s="112"/>
      <c r="U572" t="s">
        <v>4986</v>
      </c>
      <c r="V572" t="s">
        <v>4987</v>
      </c>
      <c r="W572" t="s">
        <v>3958</v>
      </c>
      <c r="X572" t="s">
        <v>4660</v>
      </c>
    </row>
    <row r="573" spans="1:24" x14ac:dyDescent="0.2">
      <c r="A573" t="s">
        <v>4985</v>
      </c>
      <c r="B573" t="s">
        <v>301</v>
      </c>
      <c r="C573" t="s">
        <v>1447</v>
      </c>
      <c r="D573" t="s">
        <v>56</v>
      </c>
      <c r="E573" t="s">
        <v>1448</v>
      </c>
      <c r="F573" t="s">
        <v>99</v>
      </c>
      <c r="G573" s="202">
        <v>44.1</v>
      </c>
      <c r="H573">
        <v>4</v>
      </c>
      <c r="I573" t="s">
        <v>4017</v>
      </c>
      <c r="J573" t="s">
        <v>4809</v>
      </c>
      <c r="K573" t="s">
        <v>1283</v>
      </c>
      <c r="L573" s="204">
        <v>0.06</v>
      </c>
      <c r="M573" s="112">
        <v>48.982500000000002</v>
      </c>
      <c r="N573" s="112">
        <v>2.9389500000000002</v>
      </c>
      <c r="O573" s="204"/>
      <c r="P573" s="112"/>
      <c r="Q573" s="112"/>
      <c r="R573" s="112"/>
      <c r="S573" s="112"/>
      <c r="T573" s="112"/>
      <c r="U573" t="s">
        <v>4986</v>
      </c>
      <c r="V573" t="s">
        <v>4987</v>
      </c>
      <c r="W573" t="s">
        <v>3958</v>
      </c>
      <c r="X573" t="s">
        <v>4660</v>
      </c>
    </row>
    <row r="574" spans="1:24" x14ac:dyDescent="0.2">
      <c r="A574" t="s">
        <v>4985</v>
      </c>
      <c r="B574" t="s">
        <v>301</v>
      </c>
      <c r="C574" t="s">
        <v>1447</v>
      </c>
      <c r="D574" t="s">
        <v>56</v>
      </c>
      <c r="E574" t="s">
        <v>1448</v>
      </c>
      <c r="F574" t="s">
        <v>99</v>
      </c>
      <c r="G574" s="202">
        <v>44.1</v>
      </c>
      <c r="H574">
        <v>5</v>
      </c>
      <c r="I574" t="s">
        <v>3968</v>
      </c>
      <c r="J574" t="s">
        <v>3969</v>
      </c>
      <c r="K574" t="s">
        <v>99</v>
      </c>
      <c r="L574" s="204">
        <v>1</v>
      </c>
      <c r="M574" s="112"/>
      <c r="N574" s="112">
        <v>48.982500000000002</v>
      </c>
      <c r="O574" s="204">
        <v>0.2221681745053794</v>
      </c>
      <c r="P574" s="112">
        <v>10.882352607709748</v>
      </c>
      <c r="Q574" s="112">
        <v>59.86485260770975</v>
      </c>
      <c r="R574" s="112">
        <v>2640.04</v>
      </c>
      <c r="S574" s="112">
        <v>2640.04</v>
      </c>
      <c r="T574" s="112">
        <v>0</v>
      </c>
      <c r="U574" t="s">
        <v>4986</v>
      </c>
      <c r="V574" t="s">
        <v>4987</v>
      </c>
      <c r="W574" t="s">
        <v>4666</v>
      </c>
      <c r="X574" t="s">
        <v>4667</v>
      </c>
    </row>
    <row r="575" spans="1:24" x14ac:dyDescent="0.2">
      <c r="A575" t="s">
        <v>4988</v>
      </c>
      <c r="B575" t="s">
        <v>303</v>
      </c>
      <c r="C575" t="s">
        <v>1449</v>
      </c>
      <c r="D575" t="s">
        <v>56</v>
      </c>
      <c r="E575" t="s">
        <v>1450</v>
      </c>
      <c r="F575" t="s">
        <v>99</v>
      </c>
      <c r="G575" s="202">
        <v>70.629000000000005</v>
      </c>
      <c r="H575">
        <v>1</v>
      </c>
      <c r="I575" t="s">
        <v>3954</v>
      </c>
      <c r="J575" t="s">
        <v>4110</v>
      </c>
      <c r="K575" t="s">
        <v>1283</v>
      </c>
      <c r="L575" s="204">
        <v>0.3</v>
      </c>
      <c r="M575" s="112">
        <v>63.547499999999999</v>
      </c>
      <c r="N575" s="112">
        <v>19.064249999999998</v>
      </c>
      <c r="O575" s="204"/>
      <c r="P575" s="112"/>
      <c r="Q575" s="112"/>
      <c r="R575" s="112"/>
      <c r="S575" s="112"/>
      <c r="T575" s="112"/>
      <c r="U575" t="s">
        <v>4989</v>
      </c>
      <c r="V575" t="s">
        <v>4990</v>
      </c>
      <c r="W575" t="s">
        <v>3958</v>
      </c>
      <c r="X575" t="s">
        <v>4660</v>
      </c>
    </row>
    <row r="576" spans="1:24" x14ac:dyDescent="0.2">
      <c r="A576" t="s">
        <v>4988</v>
      </c>
      <c r="B576" t="s">
        <v>303</v>
      </c>
      <c r="C576" t="s">
        <v>1449</v>
      </c>
      <c r="D576" t="s">
        <v>56</v>
      </c>
      <c r="E576" t="s">
        <v>1450</v>
      </c>
      <c r="F576" t="s">
        <v>99</v>
      </c>
      <c r="G576" s="202">
        <v>70.629000000000005</v>
      </c>
      <c r="H576">
        <v>2</v>
      </c>
      <c r="I576" t="s">
        <v>3960</v>
      </c>
      <c r="J576" t="s">
        <v>4113</v>
      </c>
      <c r="K576" t="s">
        <v>1283</v>
      </c>
      <c r="L576" s="204">
        <v>0.55000000000000004</v>
      </c>
      <c r="M576" s="112">
        <v>63.547499999999999</v>
      </c>
      <c r="N576" s="112">
        <v>34.951125000000005</v>
      </c>
      <c r="O576" s="204"/>
      <c r="P576" s="112"/>
      <c r="Q576" s="112"/>
      <c r="R576" s="112"/>
      <c r="S576" s="112"/>
      <c r="T576" s="112"/>
      <c r="U576" t="s">
        <v>4989</v>
      </c>
      <c r="V576" t="s">
        <v>4990</v>
      </c>
      <c r="W576" t="s">
        <v>3958</v>
      </c>
      <c r="X576" t="s">
        <v>4660</v>
      </c>
    </row>
    <row r="577" spans="1:24" x14ac:dyDescent="0.2">
      <c r="A577" t="s">
        <v>4988</v>
      </c>
      <c r="B577" t="s">
        <v>303</v>
      </c>
      <c r="C577" t="s">
        <v>1449</v>
      </c>
      <c r="D577" t="s">
        <v>56</v>
      </c>
      <c r="E577" t="s">
        <v>1450</v>
      </c>
      <c r="F577" t="s">
        <v>99</v>
      </c>
      <c r="G577" s="202">
        <v>70.629000000000005</v>
      </c>
      <c r="H577">
        <v>3</v>
      </c>
      <c r="I577" t="s">
        <v>3976</v>
      </c>
      <c r="J577" t="s">
        <v>4114</v>
      </c>
      <c r="K577" t="s">
        <v>1283</v>
      </c>
      <c r="L577" s="204">
        <v>0.1</v>
      </c>
      <c r="M577" s="112">
        <v>63.547499999999999</v>
      </c>
      <c r="N577" s="112">
        <v>6.3547500000000001</v>
      </c>
      <c r="O577" s="204"/>
      <c r="P577" s="112"/>
      <c r="Q577" s="112"/>
      <c r="R577" s="112"/>
      <c r="S577" s="112"/>
      <c r="T577" s="112"/>
      <c r="U577" t="s">
        <v>4989</v>
      </c>
      <c r="V577" t="s">
        <v>4990</v>
      </c>
      <c r="W577" t="s">
        <v>3958</v>
      </c>
      <c r="X577" t="s">
        <v>4660</v>
      </c>
    </row>
    <row r="578" spans="1:24" x14ac:dyDescent="0.2">
      <c r="A578" t="s">
        <v>4988</v>
      </c>
      <c r="B578" t="s">
        <v>303</v>
      </c>
      <c r="C578" t="s">
        <v>1449</v>
      </c>
      <c r="D578" t="s">
        <v>56</v>
      </c>
      <c r="E578" t="s">
        <v>1450</v>
      </c>
      <c r="F578" t="s">
        <v>99</v>
      </c>
      <c r="G578" s="202">
        <v>70.629000000000005</v>
      </c>
      <c r="H578">
        <v>4</v>
      </c>
      <c r="I578" t="s">
        <v>4017</v>
      </c>
      <c r="J578" t="s">
        <v>4115</v>
      </c>
      <c r="K578" t="s">
        <v>1283</v>
      </c>
      <c r="L578" s="204">
        <v>0.05</v>
      </c>
      <c r="M578" s="112">
        <v>63.547499999999999</v>
      </c>
      <c r="N578" s="112">
        <v>3.1773750000000001</v>
      </c>
      <c r="O578" s="204"/>
      <c r="P578" s="112"/>
      <c r="Q578" s="112"/>
      <c r="R578" s="112"/>
      <c r="S578" s="112"/>
      <c r="T578" s="112"/>
      <c r="U578" t="s">
        <v>4989</v>
      </c>
      <c r="V578" t="s">
        <v>4990</v>
      </c>
      <c r="W578" t="s">
        <v>3958</v>
      </c>
      <c r="X578" t="s">
        <v>4660</v>
      </c>
    </row>
    <row r="579" spans="1:24" x14ac:dyDescent="0.2">
      <c r="A579" t="s">
        <v>4988</v>
      </c>
      <c r="B579" t="s">
        <v>303</v>
      </c>
      <c r="C579" t="s">
        <v>1449</v>
      </c>
      <c r="D579" t="s">
        <v>56</v>
      </c>
      <c r="E579" t="s">
        <v>1450</v>
      </c>
      <c r="F579" t="s">
        <v>99</v>
      </c>
      <c r="G579" s="202">
        <v>70.629000000000005</v>
      </c>
      <c r="H579">
        <v>5</v>
      </c>
      <c r="I579" t="s">
        <v>3968</v>
      </c>
      <c r="J579" t="s">
        <v>3969</v>
      </c>
      <c r="K579" t="s">
        <v>99</v>
      </c>
      <c r="L579" s="204">
        <v>1</v>
      </c>
      <c r="M579" s="112"/>
      <c r="N579" s="112">
        <v>63.547499999999999</v>
      </c>
      <c r="O579" s="204">
        <v>0.2222343487609848</v>
      </c>
      <c r="P579" s="112">
        <v>14.122437277888679</v>
      </c>
      <c r="Q579" s="112">
        <v>77.669937277888678</v>
      </c>
      <c r="R579" s="112">
        <v>5485.75</v>
      </c>
      <c r="S579" s="112">
        <v>5485.75</v>
      </c>
      <c r="T579" s="112">
        <v>0</v>
      </c>
      <c r="U579" t="s">
        <v>4989</v>
      </c>
      <c r="V579" t="s">
        <v>4990</v>
      </c>
      <c r="W579" t="s">
        <v>4666</v>
      </c>
      <c r="X579" t="s">
        <v>4667</v>
      </c>
    </row>
    <row r="580" spans="1:24" x14ac:dyDescent="0.2">
      <c r="A580" t="s">
        <v>4991</v>
      </c>
      <c r="B580" t="s">
        <v>307</v>
      </c>
      <c r="C580" t="s">
        <v>1451</v>
      </c>
      <c r="D580" t="s">
        <v>56</v>
      </c>
      <c r="E580" t="s">
        <v>308</v>
      </c>
      <c r="F580" t="s">
        <v>26</v>
      </c>
      <c r="G580" s="202">
        <v>803.67100000000005</v>
      </c>
      <c r="H580">
        <v>1</v>
      </c>
      <c r="I580" t="s">
        <v>3954</v>
      </c>
      <c r="J580" t="s">
        <v>4992</v>
      </c>
      <c r="K580" t="s">
        <v>1283</v>
      </c>
      <c r="L580" s="204">
        <v>0.27</v>
      </c>
      <c r="M580" s="112">
        <v>83.317499999999995</v>
      </c>
      <c r="N580" s="112">
        <v>22.495725</v>
      </c>
      <c r="O580" s="204"/>
      <c r="P580" s="112"/>
      <c r="Q580" s="112"/>
      <c r="R580" s="112"/>
      <c r="S580" s="112"/>
      <c r="T580" s="112"/>
      <c r="U580" t="s">
        <v>4134</v>
      </c>
      <c r="V580" t="s">
        <v>4993</v>
      </c>
      <c r="W580" t="s">
        <v>3958</v>
      </c>
      <c r="X580" t="s">
        <v>4660</v>
      </c>
    </row>
    <row r="581" spans="1:24" x14ac:dyDescent="0.2">
      <c r="A581" t="s">
        <v>4991</v>
      </c>
      <c r="B581" t="s">
        <v>307</v>
      </c>
      <c r="C581" t="s">
        <v>1451</v>
      </c>
      <c r="D581" t="s">
        <v>56</v>
      </c>
      <c r="E581" t="s">
        <v>308</v>
      </c>
      <c r="F581" t="s">
        <v>26</v>
      </c>
      <c r="G581" s="202">
        <v>803.67100000000005</v>
      </c>
      <c r="H581">
        <v>2</v>
      </c>
      <c r="I581" t="s">
        <v>3960</v>
      </c>
      <c r="J581" t="s">
        <v>4994</v>
      </c>
      <c r="K581" t="s">
        <v>1283</v>
      </c>
      <c r="L581" s="204">
        <v>0.63</v>
      </c>
      <c r="M581" s="112">
        <v>83.317499999999995</v>
      </c>
      <c r="N581" s="112">
        <v>52.490024999999996</v>
      </c>
      <c r="O581" s="204"/>
      <c r="P581" s="112"/>
      <c r="Q581" s="112"/>
      <c r="R581" s="112"/>
      <c r="S581" s="112"/>
      <c r="T581" s="112"/>
      <c r="U581" t="s">
        <v>4134</v>
      </c>
      <c r="V581" t="s">
        <v>4993</v>
      </c>
      <c r="W581" t="s">
        <v>3958</v>
      </c>
      <c r="X581" t="s">
        <v>4660</v>
      </c>
    </row>
    <row r="582" spans="1:24" x14ac:dyDescent="0.2">
      <c r="A582" t="s">
        <v>4991</v>
      </c>
      <c r="B582" t="s">
        <v>307</v>
      </c>
      <c r="C582" t="s">
        <v>1451</v>
      </c>
      <c r="D582" t="s">
        <v>56</v>
      </c>
      <c r="E582" t="s">
        <v>308</v>
      </c>
      <c r="F582" t="s">
        <v>26</v>
      </c>
      <c r="G582" s="202">
        <v>803.67100000000005</v>
      </c>
      <c r="H582">
        <v>3</v>
      </c>
      <c r="I582" t="s">
        <v>3976</v>
      </c>
      <c r="J582" t="s">
        <v>4995</v>
      </c>
      <c r="K582" t="s">
        <v>1283</v>
      </c>
      <c r="L582" s="204">
        <v>0.05</v>
      </c>
      <c r="M582" s="112">
        <v>83.317499999999995</v>
      </c>
      <c r="N582" s="112">
        <v>4.1658749999999998</v>
      </c>
      <c r="O582" s="204"/>
      <c r="P582" s="112"/>
      <c r="Q582" s="112"/>
      <c r="R582" s="112"/>
      <c r="S582" s="112"/>
      <c r="T582" s="112"/>
      <c r="U582" t="s">
        <v>4134</v>
      </c>
      <c r="V582" t="s">
        <v>4993</v>
      </c>
      <c r="W582" t="s">
        <v>3958</v>
      </c>
      <c r="X582" t="s">
        <v>4660</v>
      </c>
    </row>
    <row r="583" spans="1:24" x14ac:dyDescent="0.2">
      <c r="A583" t="s">
        <v>4991</v>
      </c>
      <c r="B583" t="s">
        <v>307</v>
      </c>
      <c r="C583" t="s">
        <v>1451</v>
      </c>
      <c r="D583" t="s">
        <v>56</v>
      </c>
      <c r="E583" t="s">
        <v>308</v>
      </c>
      <c r="F583" t="s">
        <v>26</v>
      </c>
      <c r="G583" s="202">
        <v>803.67100000000005</v>
      </c>
      <c r="H583">
        <v>4</v>
      </c>
      <c r="I583" t="s">
        <v>4017</v>
      </c>
      <c r="J583" t="s">
        <v>4809</v>
      </c>
      <c r="K583" t="s">
        <v>1283</v>
      </c>
      <c r="L583" s="204">
        <v>0.05</v>
      </c>
      <c r="M583" s="112">
        <v>83.317499999999995</v>
      </c>
      <c r="N583" s="112">
        <v>4.1658749999999998</v>
      </c>
      <c r="O583" s="204"/>
      <c r="P583" s="112"/>
      <c r="Q583" s="112"/>
      <c r="R583" s="112"/>
      <c r="S583" s="112"/>
      <c r="T583" s="112"/>
      <c r="U583" t="s">
        <v>4134</v>
      </c>
      <c r="V583" t="s">
        <v>4993</v>
      </c>
      <c r="W583" t="s">
        <v>3958</v>
      </c>
      <c r="X583" t="s">
        <v>4660</v>
      </c>
    </row>
    <row r="584" spans="1:24" x14ac:dyDescent="0.2">
      <c r="A584" t="s">
        <v>4991</v>
      </c>
      <c r="B584" t="s">
        <v>307</v>
      </c>
      <c r="C584" t="s">
        <v>1451</v>
      </c>
      <c r="D584" t="s">
        <v>56</v>
      </c>
      <c r="E584" t="s">
        <v>308</v>
      </c>
      <c r="F584" t="s">
        <v>26</v>
      </c>
      <c r="G584" s="202">
        <v>803.67100000000005</v>
      </c>
      <c r="H584">
        <v>5</v>
      </c>
      <c r="I584" t="s">
        <v>3968</v>
      </c>
      <c r="J584" t="s">
        <v>3969</v>
      </c>
      <c r="K584" t="s">
        <v>26</v>
      </c>
      <c r="L584" s="204">
        <v>1</v>
      </c>
      <c r="M584" s="112"/>
      <c r="N584" s="112">
        <v>83.317499999999995</v>
      </c>
      <c r="O584" s="204">
        <v>0.22225213406109989</v>
      </c>
      <c r="P584" s="112">
        <v>18.517492179635695</v>
      </c>
      <c r="Q584" s="112">
        <v>101.83499217963569</v>
      </c>
      <c r="R584" s="112">
        <v>81841.83</v>
      </c>
      <c r="S584" s="112">
        <v>81841.83</v>
      </c>
      <c r="T584" s="112">
        <v>0</v>
      </c>
      <c r="U584" t="s">
        <v>4134</v>
      </c>
      <c r="V584" t="s">
        <v>4993</v>
      </c>
      <c r="W584" t="s">
        <v>4666</v>
      </c>
      <c r="X584" t="s">
        <v>4667</v>
      </c>
    </row>
    <row r="585" spans="1:24" x14ac:dyDescent="0.2">
      <c r="A585" t="s">
        <v>4996</v>
      </c>
      <c r="B585" t="s">
        <v>309</v>
      </c>
      <c r="C585" t="s">
        <v>310</v>
      </c>
      <c r="D585" t="s">
        <v>209</v>
      </c>
      <c r="E585" t="s">
        <v>311</v>
      </c>
      <c r="F585" t="s">
        <v>26</v>
      </c>
      <c r="G585" s="202">
        <v>638.43600000000004</v>
      </c>
      <c r="H585">
        <v>1</v>
      </c>
      <c r="I585" t="s">
        <v>3954</v>
      </c>
      <c r="J585" t="s">
        <v>4992</v>
      </c>
      <c r="K585" t="s">
        <v>1283</v>
      </c>
      <c r="L585" s="204">
        <v>0.27</v>
      </c>
      <c r="M585" s="112">
        <v>95.474999999999994</v>
      </c>
      <c r="N585" s="112">
        <v>25.77825</v>
      </c>
      <c r="O585" s="204"/>
      <c r="P585" s="112"/>
      <c r="Q585" s="112"/>
      <c r="R585" s="112"/>
      <c r="S585" s="112"/>
      <c r="T585" s="112"/>
      <c r="U585" t="s">
        <v>4158</v>
      </c>
      <c r="V585" t="s">
        <v>4159</v>
      </c>
      <c r="W585" t="s">
        <v>3958</v>
      </c>
      <c r="X585" t="s">
        <v>4660</v>
      </c>
    </row>
    <row r="586" spans="1:24" x14ac:dyDescent="0.2">
      <c r="A586" t="s">
        <v>4996</v>
      </c>
      <c r="B586" t="s">
        <v>309</v>
      </c>
      <c r="C586" t="s">
        <v>310</v>
      </c>
      <c r="D586" t="s">
        <v>209</v>
      </c>
      <c r="E586" t="s">
        <v>311</v>
      </c>
      <c r="F586" t="s">
        <v>26</v>
      </c>
      <c r="G586" s="202">
        <v>638.43600000000004</v>
      </c>
      <c r="H586">
        <v>2</v>
      </c>
      <c r="I586" t="s">
        <v>3960</v>
      </c>
      <c r="J586" t="s">
        <v>4994</v>
      </c>
      <c r="K586" t="s">
        <v>1283</v>
      </c>
      <c r="L586" s="204">
        <v>0.63</v>
      </c>
      <c r="M586" s="112">
        <v>95.474999999999994</v>
      </c>
      <c r="N586" s="112">
        <v>60.149249999999995</v>
      </c>
      <c r="O586" s="204"/>
      <c r="P586" s="112"/>
      <c r="Q586" s="112"/>
      <c r="R586" s="112"/>
      <c r="S586" s="112"/>
      <c r="T586" s="112"/>
      <c r="U586" t="s">
        <v>4158</v>
      </c>
      <c r="V586" t="s">
        <v>4159</v>
      </c>
      <c r="W586" t="s">
        <v>3958</v>
      </c>
      <c r="X586" t="s">
        <v>4660</v>
      </c>
    </row>
    <row r="587" spans="1:24" x14ac:dyDescent="0.2">
      <c r="A587" t="s">
        <v>4996</v>
      </c>
      <c r="B587" t="s">
        <v>309</v>
      </c>
      <c r="C587" t="s">
        <v>310</v>
      </c>
      <c r="D587" t="s">
        <v>209</v>
      </c>
      <c r="E587" t="s">
        <v>311</v>
      </c>
      <c r="F587" t="s">
        <v>26</v>
      </c>
      <c r="G587" s="202">
        <v>638.43600000000004</v>
      </c>
      <c r="H587">
        <v>3</v>
      </c>
      <c r="I587" t="s">
        <v>3976</v>
      </c>
      <c r="J587" t="s">
        <v>4995</v>
      </c>
      <c r="K587" t="s">
        <v>1283</v>
      </c>
      <c r="L587" s="204">
        <v>0.05</v>
      </c>
      <c r="M587" s="112">
        <v>95.474999999999994</v>
      </c>
      <c r="N587" s="112">
        <v>4.7737499999999997</v>
      </c>
      <c r="O587" s="204"/>
      <c r="P587" s="112"/>
      <c r="Q587" s="112"/>
      <c r="R587" s="112"/>
      <c r="S587" s="112"/>
      <c r="T587" s="112"/>
      <c r="U587" t="s">
        <v>4158</v>
      </c>
      <c r="V587" t="s">
        <v>4159</v>
      </c>
      <c r="W587" t="s">
        <v>3958</v>
      </c>
      <c r="X587" t="s">
        <v>4660</v>
      </c>
    </row>
    <row r="588" spans="1:24" x14ac:dyDescent="0.2">
      <c r="A588" t="s">
        <v>4996</v>
      </c>
      <c r="B588" t="s">
        <v>309</v>
      </c>
      <c r="C588" t="s">
        <v>310</v>
      </c>
      <c r="D588" t="s">
        <v>209</v>
      </c>
      <c r="E588" t="s">
        <v>311</v>
      </c>
      <c r="F588" t="s">
        <v>26</v>
      </c>
      <c r="G588" s="202">
        <v>638.43600000000004</v>
      </c>
      <c r="H588">
        <v>4</v>
      </c>
      <c r="I588" t="s">
        <v>4017</v>
      </c>
      <c r="J588" t="s">
        <v>4809</v>
      </c>
      <c r="K588" t="s">
        <v>1283</v>
      </c>
      <c r="L588" s="204">
        <v>0.05</v>
      </c>
      <c r="M588" s="112">
        <v>95.474999999999994</v>
      </c>
      <c r="N588" s="112">
        <v>4.7737499999999997</v>
      </c>
      <c r="O588" s="204"/>
      <c r="P588" s="112"/>
      <c r="Q588" s="112"/>
      <c r="R588" s="112"/>
      <c r="S588" s="112"/>
      <c r="T588" s="112"/>
      <c r="U588" t="s">
        <v>4158</v>
      </c>
      <c r="V588" t="s">
        <v>4159</v>
      </c>
      <c r="W588" t="s">
        <v>3958</v>
      </c>
      <c r="X588" t="s">
        <v>4660</v>
      </c>
    </row>
    <row r="589" spans="1:24" x14ac:dyDescent="0.2">
      <c r="A589" t="s">
        <v>4996</v>
      </c>
      <c r="B589" t="s">
        <v>309</v>
      </c>
      <c r="C589" t="s">
        <v>310</v>
      </c>
      <c r="D589" t="s">
        <v>209</v>
      </c>
      <c r="E589" t="s">
        <v>311</v>
      </c>
      <c r="F589" t="s">
        <v>26</v>
      </c>
      <c r="G589" s="202">
        <v>638.43600000000004</v>
      </c>
      <c r="H589">
        <v>5</v>
      </c>
      <c r="I589" t="s">
        <v>3968</v>
      </c>
      <c r="J589" t="s">
        <v>3969</v>
      </c>
      <c r="K589" t="s">
        <v>26</v>
      </c>
      <c r="L589" s="204">
        <v>1</v>
      </c>
      <c r="M589" s="112"/>
      <c r="N589" s="112">
        <v>95.474999999999994</v>
      </c>
      <c r="O589" s="204">
        <v>0.2222309024421032</v>
      </c>
      <c r="P589" s="112">
        <v>21.217495410659808</v>
      </c>
      <c r="Q589" s="112">
        <v>116.6924954106598</v>
      </c>
      <c r="R589" s="112">
        <v>74500.69</v>
      </c>
      <c r="S589" s="112">
        <v>74500.69</v>
      </c>
      <c r="T589" s="112">
        <v>0</v>
      </c>
      <c r="U589" t="s">
        <v>4158</v>
      </c>
      <c r="V589" t="s">
        <v>4159</v>
      </c>
      <c r="W589" t="s">
        <v>4666</v>
      </c>
      <c r="X589" t="s">
        <v>4667</v>
      </c>
    </row>
    <row r="590" spans="1:24" x14ac:dyDescent="0.2">
      <c r="A590" t="s">
        <v>4997</v>
      </c>
      <c r="B590" t="s">
        <v>312</v>
      </c>
      <c r="C590" t="s">
        <v>1452</v>
      </c>
      <c r="D590" t="s">
        <v>24</v>
      </c>
      <c r="E590" t="s">
        <v>314</v>
      </c>
      <c r="F590" t="s">
        <v>26</v>
      </c>
      <c r="G590" s="202">
        <v>1442.107</v>
      </c>
      <c r="H590">
        <v>1</v>
      </c>
      <c r="I590" t="s">
        <v>3954</v>
      </c>
      <c r="J590" t="s">
        <v>4992</v>
      </c>
      <c r="K590" t="s">
        <v>1283</v>
      </c>
      <c r="L590" s="204">
        <v>0.27</v>
      </c>
      <c r="M590" s="112">
        <v>34.5075</v>
      </c>
      <c r="N590" s="112">
        <v>9.317025000000001</v>
      </c>
      <c r="O590" s="204"/>
      <c r="P590" s="112"/>
      <c r="Q590" s="112"/>
      <c r="R590" s="112"/>
      <c r="S590" s="112"/>
      <c r="T590" s="112"/>
      <c r="U590" t="s">
        <v>4998</v>
      </c>
      <c r="V590" t="s">
        <v>4999</v>
      </c>
      <c r="W590" t="s">
        <v>3958</v>
      </c>
      <c r="X590" t="s">
        <v>4660</v>
      </c>
    </row>
    <row r="591" spans="1:24" x14ac:dyDescent="0.2">
      <c r="A591" t="s">
        <v>4997</v>
      </c>
      <c r="B591" t="s">
        <v>312</v>
      </c>
      <c r="C591" t="s">
        <v>1452</v>
      </c>
      <c r="D591" t="s">
        <v>24</v>
      </c>
      <c r="E591" t="s">
        <v>314</v>
      </c>
      <c r="F591" t="s">
        <v>26</v>
      </c>
      <c r="G591" s="202">
        <v>1442.107</v>
      </c>
      <c r="H591">
        <v>2</v>
      </c>
      <c r="I591" t="s">
        <v>3960</v>
      </c>
      <c r="J591" t="s">
        <v>4994</v>
      </c>
      <c r="K591" t="s">
        <v>1283</v>
      </c>
      <c r="L591" s="204">
        <v>0.63</v>
      </c>
      <c r="M591" s="112">
        <v>34.5075</v>
      </c>
      <c r="N591" s="112">
        <v>21.739725</v>
      </c>
      <c r="O591" s="204"/>
      <c r="P591" s="112"/>
      <c r="Q591" s="112"/>
      <c r="R591" s="112"/>
      <c r="S591" s="112"/>
      <c r="T591" s="112"/>
      <c r="U591" t="s">
        <v>4998</v>
      </c>
      <c r="V591" t="s">
        <v>4999</v>
      </c>
      <c r="W591" t="s">
        <v>3958</v>
      </c>
      <c r="X591" t="s">
        <v>4660</v>
      </c>
    </row>
    <row r="592" spans="1:24" x14ac:dyDescent="0.2">
      <c r="A592" t="s">
        <v>4997</v>
      </c>
      <c r="B592" t="s">
        <v>312</v>
      </c>
      <c r="C592" t="s">
        <v>1452</v>
      </c>
      <c r="D592" t="s">
        <v>24</v>
      </c>
      <c r="E592" t="s">
        <v>314</v>
      </c>
      <c r="F592" t="s">
        <v>26</v>
      </c>
      <c r="G592" s="202">
        <v>1442.107</v>
      </c>
      <c r="H592">
        <v>3</v>
      </c>
      <c r="I592" t="s">
        <v>3976</v>
      </c>
      <c r="J592" t="s">
        <v>4995</v>
      </c>
      <c r="K592" t="s">
        <v>1283</v>
      </c>
      <c r="L592" s="204">
        <v>0.05</v>
      </c>
      <c r="M592" s="112">
        <v>34.5075</v>
      </c>
      <c r="N592" s="112">
        <v>1.7253750000000001</v>
      </c>
      <c r="O592" s="204"/>
      <c r="P592" s="112"/>
      <c r="Q592" s="112"/>
      <c r="R592" s="112"/>
      <c r="S592" s="112"/>
      <c r="T592" s="112"/>
      <c r="U592" t="s">
        <v>4998</v>
      </c>
      <c r="V592" t="s">
        <v>4999</v>
      </c>
      <c r="W592" t="s">
        <v>3958</v>
      </c>
      <c r="X592" t="s">
        <v>4660</v>
      </c>
    </row>
    <row r="593" spans="1:24" x14ac:dyDescent="0.2">
      <c r="A593" t="s">
        <v>4997</v>
      </c>
      <c r="B593" t="s">
        <v>312</v>
      </c>
      <c r="C593" t="s">
        <v>1452</v>
      </c>
      <c r="D593" t="s">
        <v>24</v>
      </c>
      <c r="E593" t="s">
        <v>314</v>
      </c>
      <c r="F593" t="s">
        <v>26</v>
      </c>
      <c r="G593" s="202">
        <v>1442.107</v>
      </c>
      <c r="H593">
        <v>4</v>
      </c>
      <c r="I593" t="s">
        <v>4017</v>
      </c>
      <c r="J593" t="s">
        <v>4809</v>
      </c>
      <c r="K593" t="s">
        <v>1283</v>
      </c>
      <c r="L593" s="204">
        <v>0.05</v>
      </c>
      <c r="M593" s="112">
        <v>34.5075</v>
      </c>
      <c r="N593" s="112">
        <v>1.7253750000000001</v>
      </c>
      <c r="O593" s="204"/>
      <c r="P593" s="112"/>
      <c r="Q593" s="112"/>
      <c r="R593" s="112"/>
      <c r="S593" s="112"/>
      <c r="T593" s="112"/>
      <c r="U593" t="s">
        <v>4998</v>
      </c>
      <c r="V593" t="s">
        <v>4999</v>
      </c>
      <c r="W593" t="s">
        <v>3958</v>
      </c>
      <c r="X593" t="s">
        <v>4660</v>
      </c>
    </row>
    <row r="594" spans="1:24" x14ac:dyDescent="0.2">
      <c r="A594" t="s">
        <v>4997</v>
      </c>
      <c r="B594" t="s">
        <v>312</v>
      </c>
      <c r="C594" t="s">
        <v>1452</v>
      </c>
      <c r="D594" t="s">
        <v>24</v>
      </c>
      <c r="E594" t="s">
        <v>314</v>
      </c>
      <c r="F594" t="s">
        <v>26</v>
      </c>
      <c r="G594" s="202">
        <v>1442.107</v>
      </c>
      <c r="H594">
        <v>5</v>
      </c>
      <c r="I594" t="s">
        <v>3968</v>
      </c>
      <c r="J594" t="s">
        <v>3969</v>
      </c>
      <c r="K594" t="s">
        <v>26</v>
      </c>
      <c r="L594" s="204">
        <v>1</v>
      </c>
      <c r="M594" s="112"/>
      <c r="N594" s="112">
        <v>34.5075</v>
      </c>
      <c r="O594" s="204">
        <v>0.22212547500534963</v>
      </c>
      <c r="P594" s="112">
        <v>7.6649948287471048</v>
      </c>
      <c r="Q594" s="112">
        <v>42.172494828747105</v>
      </c>
      <c r="R594" s="112">
        <v>60817.25</v>
      </c>
      <c r="S594" s="112">
        <v>60817.25</v>
      </c>
      <c r="T594" s="112">
        <v>0</v>
      </c>
      <c r="U594" t="s">
        <v>4998</v>
      </c>
      <c r="V594" t="s">
        <v>4999</v>
      </c>
      <c r="W594" t="s">
        <v>4666</v>
      </c>
      <c r="X594" t="s">
        <v>4667</v>
      </c>
    </row>
    <row r="595" spans="1:24" x14ac:dyDescent="0.2">
      <c r="A595" t="s">
        <v>5000</v>
      </c>
      <c r="B595" t="s">
        <v>315</v>
      </c>
      <c r="C595" t="s">
        <v>316</v>
      </c>
      <c r="D595" t="s">
        <v>317</v>
      </c>
      <c r="E595" t="s">
        <v>318</v>
      </c>
      <c r="F595" t="s">
        <v>26</v>
      </c>
      <c r="G595" s="202">
        <v>76.228999999999999</v>
      </c>
      <c r="H595">
        <v>1</v>
      </c>
      <c r="I595" t="s">
        <v>3954</v>
      </c>
      <c r="J595" t="s">
        <v>4992</v>
      </c>
      <c r="K595" t="s">
        <v>1283</v>
      </c>
      <c r="L595" s="204">
        <v>0.27</v>
      </c>
      <c r="M595" s="112">
        <v>1075.9575</v>
      </c>
      <c r="N595" s="112">
        <v>290.50852500000002</v>
      </c>
      <c r="O595" s="204"/>
      <c r="P595" s="112"/>
      <c r="Q595" s="112"/>
      <c r="R595" s="112"/>
      <c r="S595" s="112"/>
      <c r="T595" s="112"/>
      <c r="U595" t="s">
        <v>5001</v>
      </c>
      <c r="V595" t="s">
        <v>5002</v>
      </c>
      <c r="W595" t="s">
        <v>3958</v>
      </c>
      <c r="X595" t="s">
        <v>4660</v>
      </c>
    </row>
    <row r="596" spans="1:24" x14ac:dyDescent="0.2">
      <c r="A596" t="s">
        <v>5000</v>
      </c>
      <c r="B596" t="s">
        <v>315</v>
      </c>
      <c r="C596" t="s">
        <v>316</v>
      </c>
      <c r="D596" t="s">
        <v>317</v>
      </c>
      <c r="E596" t="s">
        <v>318</v>
      </c>
      <c r="F596" t="s">
        <v>26</v>
      </c>
      <c r="G596" s="202">
        <v>76.228999999999999</v>
      </c>
      <c r="H596">
        <v>2</v>
      </c>
      <c r="I596" t="s">
        <v>3960</v>
      </c>
      <c r="J596" t="s">
        <v>4994</v>
      </c>
      <c r="K596" t="s">
        <v>1283</v>
      </c>
      <c r="L596" s="204">
        <v>0.63</v>
      </c>
      <c r="M596" s="112">
        <v>1075.9575</v>
      </c>
      <c r="N596" s="112">
        <v>677.85322499999995</v>
      </c>
      <c r="O596" s="204"/>
      <c r="P596" s="112"/>
      <c r="Q596" s="112"/>
      <c r="R596" s="112"/>
      <c r="S596" s="112"/>
      <c r="T596" s="112"/>
      <c r="U596" t="s">
        <v>5001</v>
      </c>
      <c r="V596" t="s">
        <v>5002</v>
      </c>
      <c r="W596" t="s">
        <v>3958</v>
      </c>
      <c r="X596" t="s">
        <v>4660</v>
      </c>
    </row>
    <row r="597" spans="1:24" x14ac:dyDescent="0.2">
      <c r="A597" t="s">
        <v>5000</v>
      </c>
      <c r="B597" t="s">
        <v>315</v>
      </c>
      <c r="C597" t="s">
        <v>316</v>
      </c>
      <c r="D597" t="s">
        <v>317</v>
      </c>
      <c r="E597" t="s">
        <v>318</v>
      </c>
      <c r="F597" t="s">
        <v>26</v>
      </c>
      <c r="G597" s="202">
        <v>76.228999999999999</v>
      </c>
      <c r="H597">
        <v>3</v>
      </c>
      <c r="I597" t="s">
        <v>3976</v>
      </c>
      <c r="J597" t="s">
        <v>4995</v>
      </c>
      <c r="K597" t="s">
        <v>1283</v>
      </c>
      <c r="L597" s="204">
        <v>0.05</v>
      </c>
      <c r="M597" s="112">
        <v>1075.9575</v>
      </c>
      <c r="N597" s="112">
        <v>53.797875000000005</v>
      </c>
      <c r="O597" s="204"/>
      <c r="P597" s="112"/>
      <c r="Q597" s="112"/>
      <c r="R597" s="112"/>
      <c r="S597" s="112"/>
      <c r="T597" s="112"/>
      <c r="U597" t="s">
        <v>5001</v>
      </c>
      <c r="V597" t="s">
        <v>5002</v>
      </c>
      <c r="W597" t="s">
        <v>3958</v>
      </c>
      <c r="X597" t="s">
        <v>4660</v>
      </c>
    </row>
    <row r="598" spans="1:24" x14ac:dyDescent="0.2">
      <c r="A598" t="s">
        <v>5000</v>
      </c>
      <c r="B598" t="s">
        <v>315</v>
      </c>
      <c r="C598" t="s">
        <v>316</v>
      </c>
      <c r="D598" t="s">
        <v>317</v>
      </c>
      <c r="E598" t="s">
        <v>318</v>
      </c>
      <c r="F598" t="s">
        <v>26</v>
      </c>
      <c r="G598" s="202">
        <v>76.228999999999999</v>
      </c>
      <c r="H598">
        <v>4</v>
      </c>
      <c r="I598" t="s">
        <v>4017</v>
      </c>
      <c r="J598" t="s">
        <v>4809</v>
      </c>
      <c r="K598" t="s">
        <v>1283</v>
      </c>
      <c r="L598" s="204">
        <v>0.05</v>
      </c>
      <c r="M598" s="112">
        <v>1075.9575</v>
      </c>
      <c r="N598" s="112">
        <v>53.797875000000005</v>
      </c>
      <c r="O598" s="204"/>
      <c r="P598" s="112"/>
      <c r="Q598" s="112"/>
      <c r="R598" s="112"/>
      <c r="S598" s="112"/>
      <c r="T598" s="112"/>
      <c r="U598" t="s">
        <v>5001</v>
      </c>
      <c r="V598" t="s">
        <v>5002</v>
      </c>
      <c r="W598" t="s">
        <v>3958</v>
      </c>
      <c r="X598" t="s">
        <v>4660</v>
      </c>
    </row>
    <row r="599" spans="1:24" x14ac:dyDescent="0.2">
      <c r="A599" t="s">
        <v>5000</v>
      </c>
      <c r="B599" t="s">
        <v>315</v>
      </c>
      <c r="C599" t="s">
        <v>316</v>
      </c>
      <c r="D599" t="s">
        <v>317</v>
      </c>
      <c r="E599" t="s">
        <v>318</v>
      </c>
      <c r="F599" t="s">
        <v>26</v>
      </c>
      <c r="G599" s="202">
        <v>76.228999999999999</v>
      </c>
      <c r="H599">
        <v>5</v>
      </c>
      <c r="I599" t="s">
        <v>3968</v>
      </c>
      <c r="J599" t="s">
        <v>3969</v>
      </c>
      <c r="K599" t="s">
        <v>26</v>
      </c>
      <c r="L599" s="204">
        <v>1</v>
      </c>
      <c r="M599" s="112"/>
      <c r="N599" s="112">
        <v>1075.9575</v>
      </c>
      <c r="O599" s="204">
        <v>0.2222972630278881</v>
      </c>
      <c r="P599" s="112">
        <v>239.18240738432883</v>
      </c>
      <c r="Q599" s="112">
        <v>1315.1399073843288</v>
      </c>
      <c r="R599" s="112">
        <v>100251.8</v>
      </c>
      <c r="S599" s="112">
        <v>100251.8</v>
      </c>
      <c r="T599" s="112">
        <v>0</v>
      </c>
      <c r="U599" t="s">
        <v>5001</v>
      </c>
      <c r="V599" t="s">
        <v>5002</v>
      </c>
      <c r="W599" t="s">
        <v>4666</v>
      </c>
      <c r="X599" t="s">
        <v>4667</v>
      </c>
    </row>
    <row r="600" spans="1:24" x14ac:dyDescent="0.2">
      <c r="A600" t="s">
        <v>5003</v>
      </c>
      <c r="B600" t="s">
        <v>319</v>
      </c>
      <c r="C600" t="s">
        <v>1453</v>
      </c>
      <c r="D600" t="s">
        <v>56</v>
      </c>
      <c r="E600" t="s">
        <v>320</v>
      </c>
      <c r="F600" t="s">
        <v>26</v>
      </c>
      <c r="G600" s="202">
        <v>48.411000000000001</v>
      </c>
      <c r="H600">
        <v>1</v>
      </c>
      <c r="I600" t="s">
        <v>3954</v>
      </c>
      <c r="J600" t="s">
        <v>4804</v>
      </c>
      <c r="K600" t="s">
        <v>1283</v>
      </c>
      <c r="L600" s="204">
        <v>0.28000000000000003</v>
      </c>
      <c r="M600" s="112">
        <v>805.41750000000002</v>
      </c>
      <c r="N600" s="112">
        <v>225.51690000000002</v>
      </c>
      <c r="O600" s="204"/>
      <c r="P600" s="112"/>
      <c r="Q600" s="112"/>
      <c r="R600" s="112"/>
      <c r="S600" s="112"/>
      <c r="T600" s="112"/>
      <c r="U600" t="s">
        <v>4222</v>
      </c>
      <c r="V600" t="s">
        <v>5004</v>
      </c>
      <c r="W600" t="s">
        <v>3958</v>
      </c>
      <c r="X600" t="s">
        <v>4660</v>
      </c>
    </row>
    <row r="601" spans="1:24" x14ac:dyDescent="0.2">
      <c r="A601" t="s">
        <v>5003</v>
      </c>
      <c r="B601" t="s">
        <v>319</v>
      </c>
      <c r="C601" t="s">
        <v>1453</v>
      </c>
      <c r="D601" t="s">
        <v>56</v>
      </c>
      <c r="E601" t="s">
        <v>320</v>
      </c>
      <c r="F601" t="s">
        <v>26</v>
      </c>
      <c r="G601" s="202">
        <v>48.411000000000001</v>
      </c>
      <c r="H601">
        <v>2</v>
      </c>
      <c r="I601" t="s">
        <v>3960</v>
      </c>
      <c r="J601" t="s">
        <v>4807</v>
      </c>
      <c r="K601" t="s">
        <v>1283</v>
      </c>
      <c r="L601" s="204">
        <v>0.56000000000000005</v>
      </c>
      <c r="M601" s="112">
        <v>805.41750000000002</v>
      </c>
      <c r="N601" s="112">
        <v>451.03380000000004</v>
      </c>
      <c r="O601" s="204"/>
      <c r="P601" s="112"/>
      <c r="Q601" s="112"/>
      <c r="R601" s="112"/>
      <c r="S601" s="112"/>
      <c r="T601" s="112"/>
      <c r="U601" t="s">
        <v>4222</v>
      </c>
      <c r="V601" t="s">
        <v>5004</v>
      </c>
      <c r="W601" t="s">
        <v>3958</v>
      </c>
      <c r="X601" t="s">
        <v>4660</v>
      </c>
    </row>
    <row r="602" spans="1:24" x14ac:dyDescent="0.2">
      <c r="A602" t="s">
        <v>5003</v>
      </c>
      <c r="B602" t="s">
        <v>319</v>
      </c>
      <c r="C602" t="s">
        <v>1453</v>
      </c>
      <c r="D602" t="s">
        <v>56</v>
      </c>
      <c r="E602" t="s">
        <v>320</v>
      </c>
      <c r="F602" t="s">
        <v>26</v>
      </c>
      <c r="G602" s="202">
        <v>48.411000000000001</v>
      </c>
      <c r="H602">
        <v>3</v>
      </c>
      <c r="I602" t="s">
        <v>3962</v>
      </c>
      <c r="J602" t="s">
        <v>4808</v>
      </c>
      <c r="K602" t="s">
        <v>1283</v>
      </c>
      <c r="L602" s="204">
        <v>0.1</v>
      </c>
      <c r="M602" s="112">
        <v>805.41750000000002</v>
      </c>
      <c r="N602" s="112">
        <v>80.541750000000008</v>
      </c>
      <c r="O602" s="204"/>
      <c r="P602" s="112"/>
      <c r="Q602" s="112"/>
      <c r="R602" s="112"/>
      <c r="S602" s="112"/>
      <c r="T602" s="112"/>
      <c r="U602" t="s">
        <v>4222</v>
      </c>
      <c r="V602" t="s">
        <v>5004</v>
      </c>
      <c r="W602" t="s">
        <v>3958</v>
      </c>
      <c r="X602" t="s">
        <v>4660</v>
      </c>
    </row>
    <row r="603" spans="1:24" x14ac:dyDescent="0.2">
      <c r="A603" t="s">
        <v>5003</v>
      </c>
      <c r="B603" t="s">
        <v>319</v>
      </c>
      <c r="C603" t="s">
        <v>1453</v>
      </c>
      <c r="D603" t="s">
        <v>56</v>
      </c>
      <c r="E603" t="s">
        <v>320</v>
      </c>
      <c r="F603" t="s">
        <v>26</v>
      </c>
      <c r="G603" s="202">
        <v>48.411000000000001</v>
      </c>
      <c r="H603">
        <v>4</v>
      </c>
      <c r="I603" t="s">
        <v>4017</v>
      </c>
      <c r="J603" t="s">
        <v>4809</v>
      </c>
      <c r="K603" t="s">
        <v>1283</v>
      </c>
      <c r="L603" s="204">
        <v>0.06</v>
      </c>
      <c r="M603" s="112">
        <v>805.41750000000002</v>
      </c>
      <c r="N603" s="112">
        <v>48.325049999999997</v>
      </c>
      <c r="O603" s="204"/>
      <c r="P603" s="112"/>
      <c r="Q603" s="112"/>
      <c r="R603" s="112"/>
      <c r="S603" s="112"/>
      <c r="T603" s="112"/>
      <c r="U603" t="s">
        <v>4222</v>
      </c>
      <c r="V603" t="s">
        <v>5004</v>
      </c>
      <c r="W603" t="s">
        <v>3958</v>
      </c>
      <c r="X603" t="s">
        <v>4660</v>
      </c>
    </row>
    <row r="604" spans="1:24" x14ac:dyDescent="0.2">
      <c r="A604" t="s">
        <v>5003</v>
      </c>
      <c r="B604" t="s">
        <v>319</v>
      </c>
      <c r="C604" t="s">
        <v>1453</v>
      </c>
      <c r="D604" t="s">
        <v>56</v>
      </c>
      <c r="E604" t="s">
        <v>320</v>
      </c>
      <c r="F604" t="s">
        <v>26</v>
      </c>
      <c r="G604" s="202">
        <v>48.411000000000001</v>
      </c>
      <c r="H604">
        <v>5</v>
      </c>
      <c r="I604" t="s">
        <v>3968</v>
      </c>
      <c r="J604" t="s">
        <v>3969</v>
      </c>
      <c r="K604" t="s">
        <v>26</v>
      </c>
      <c r="L604" s="204">
        <v>1</v>
      </c>
      <c r="M604" s="112"/>
      <c r="N604" s="112">
        <v>805.41750000000002</v>
      </c>
      <c r="O604" s="204">
        <v>0.22229459630035375</v>
      </c>
      <c r="P604" s="112">
        <v>179.03995801574013</v>
      </c>
      <c r="Q604" s="112">
        <v>984.45745801574014</v>
      </c>
      <c r="R604" s="112">
        <v>47658.57</v>
      </c>
      <c r="S604" s="112">
        <v>47658.57</v>
      </c>
      <c r="T604" s="112">
        <v>0</v>
      </c>
      <c r="U604" t="s">
        <v>4222</v>
      </c>
      <c r="V604" t="s">
        <v>5004</v>
      </c>
      <c r="W604" t="s">
        <v>4666</v>
      </c>
      <c r="X604" t="s">
        <v>4667</v>
      </c>
    </row>
    <row r="605" spans="1:24" x14ac:dyDescent="0.2">
      <c r="A605" t="s">
        <v>5005</v>
      </c>
      <c r="B605" t="s">
        <v>321</v>
      </c>
      <c r="C605" t="s">
        <v>322</v>
      </c>
      <c r="D605" t="s">
        <v>209</v>
      </c>
      <c r="E605" t="s">
        <v>323</v>
      </c>
      <c r="F605" t="s">
        <v>26</v>
      </c>
      <c r="G605" s="202">
        <v>15.861000000000001</v>
      </c>
      <c r="H605">
        <v>1</v>
      </c>
      <c r="I605" t="s">
        <v>3954</v>
      </c>
      <c r="J605" t="s">
        <v>4823</v>
      </c>
      <c r="K605" t="s">
        <v>1283</v>
      </c>
      <c r="L605" s="204">
        <v>0.18</v>
      </c>
      <c r="M605" s="112">
        <v>574.35749999999996</v>
      </c>
      <c r="N605" s="112">
        <v>103.38434999999998</v>
      </c>
      <c r="O605" s="204"/>
      <c r="P605" s="112"/>
      <c r="Q605" s="112"/>
      <c r="R605" s="112"/>
      <c r="S605" s="112"/>
      <c r="T605" s="112"/>
      <c r="U605" t="s">
        <v>4418</v>
      </c>
      <c r="V605" t="s">
        <v>5006</v>
      </c>
      <c r="W605" t="s">
        <v>3958</v>
      </c>
      <c r="X605" t="s">
        <v>4660</v>
      </c>
    </row>
    <row r="606" spans="1:24" x14ac:dyDescent="0.2">
      <c r="A606" t="s">
        <v>5005</v>
      </c>
      <c r="B606" t="s">
        <v>321</v>
      </c>
      <c r="C606" t="s">
        <v>322</v>
      </c>
      <c r="D606" t="s">
        <v>209</v>
      </c>
      <c r="E606" t="s">
        <v>323</v>
      </c>
      <c r="F606" t="s">
        <v>26</v>
      </c>
      <c r="G606" s="202">
        <v>15.861000000000001</v>
      </c>
      <c r="H606">
        <v>2</v>
      </c>
      <c r="I606" t="s">
        <v>3960</v>
      </c>
      <c r="J606" t="s">
        <v>4826</v>
      </c>
      <c r="K606" t="s">
        <v>1283</v>
      </c>
      <c r="L606" s="204">
        <v>0.72</v>
      </c>
      <c r="M606" s="112">
        <v>574.35749999999996</v>
      </c>
      <c r="N606" s="112">
        <v>413.53739999999993</v>
      </c>
      <c r="O606" s="204"/>
      <c r="P606" s="112"/>
      <c r="Q606" s="112"/>
      <c r="R606" s="112"/>
      <c r="S606" s="112"/>
      <c r="T606" s="112"/>
      <c r="U606" t="s">
        <v>4418</v>
      </c>
      <c r="V606" t="s">
        <v>5006</v>
      </c>
      <c r="W606" t="s">
        <v>3958</v>
      </c>
      <c r="X606" t="s">
        <v>4660</v>
      </c>
    </row>
    <row r="607" spans="1:24" x14ac:dyDescent="0.2">
      <c r="A607" t="s">
        <v>5005</v>
      </c>
      <c r="B607" t="s">
        <v>321</v>
      </c>
      <c r="C607" t="s">
        <v>322</v>
      </c>
      <c r="D607" t="s">
        <v>209</v>
      </c>
      <c r="E607" t="s">
        <v>323</v>
      </c>
      <c r="F607" t="s">
        <v>26</v>
      </c>
      <c r="G607" s="202">
        <v>15.861000000000001</v>
      </c>
      <c r="H607">
        <v>3</v>
      </c>
      <c r="I607" t="s">
        <v>3976</v>
      </c>
      <c r="J607" t="s">
        <v>4827</v>
      </c>
      <c r="K607" t="s">
        <v>1283</v>
      </c>
      <c r="L607" s="204">
        <v>0.05</v>
      </c>
      <c r="M607" s="112">
        <v>574.35749999999996</v>
      </c>
      <c r="N607" s="112">
        <v>28.717874999999999</v>
      </c>
      <c r="O607" s="204"/>
      <c r="P607" s="112"/>
      <c r="Q607" s="112"/>
      <c r="R607" s="112"/>
      <c r="S607" s="112"/>
      <c r="T607" s="112"/>
      <c r="U607" t="s">
        <v>4418</v>
      </c>
      <c r="V607" t="s">
        <v>5006</v>
      </c>
      <c r="W607" t="s">
        <v>3958</v>
      </c>
      <c r="X607" t="s">
        <v>4660</v>
      </c>
    </row>
    <row r="608" spans="1:24" x14ac:dyDescent="0.2">
      <c r="A608" t="s">
        <v>5005</v>
      </c>
      <c r="B608" t="s">
        <v>321</v>
      </c>
      <c r="C608" t="s">
        <v>322</v>
      </c>
      <c r="D608" t="s">
        <v>209</v>
      </c>
      <c r="E608" t="s">
        <v>323</v>
      </c>
      <c r="F608" t="s">
        <v>26</v>
      </c>
      <c r="G608" s="202">
        <v>15.861000000000001</v>
      </c>
      <c r="H608">
        <v>4</v>
      </c>
      <c r="I608" t="s">
        <v>4017</v>
      </c>
      <c r="J608" t="s">
        <v>4809</v>
      </c>
      <c r="K608" t="s">
        <v>1283</v>
      </c>
      <c r="L608" s="204">
        <v>0.05</v>
      </c>
      <c r="M608" s="112">
        <v>574.35749999999996</v>
      </c>
      <c r="N608" s="112">
        <v>28.717874999999999</v>
      </c>
      <c r="O608" s="204"/>
      <c r="P608" s="112"/>
      <c r="Q608" s="112"/>
      <c r="R608" s="112"/>
      <c r="S608" s="112"/>
      <c r="T608" s="112"/>
      <c r="U608" t="s">
        <v>4418</v>
      </c>
      <c r="V608" t="s">
        <v>5006</v>
      </c>
      <c r="W608" t="s">
        <v>3958</v>
      </c>
      <c r="X608" t="s">
        <v>4660</v>
      </c>
    </row>
    <row r="609" spans="1:24" x14ac:dyDescent="0.2">
      <c r="A609" t="s">
        <v>5005</v>
      </c>
      <c r="B609" t="s">
        <v>321</v>
      </c>
      <c r="C609" t="s">
        <v>322</v>
      </c>
      <c r="D609" t="s">
        <v>209</v>
      </c>
      <c r="E609" t="s">
        <v>323</v>
      </c>
      <c r="F609" t="s">
        <v>26</v>
      </c>
      <c r="G609" s="202">
        <v>15.861000000000001</v>
      </c>
      <c r="H609">
        <v>5</v>
      </c>
      <c r="I609" t="s">
        <v>3968</v>
      </c>
      <c r="J609" t="s">
        <v>3969</v>
      </c>
      <c r="K609" t="s">
        <v>26</v>
      </c>
      <c r="L609" s="204">
        <v>1</v>
      </c>
      <c r="M609" s="112"/>
      <c r="N609" s="112">
        <v>574.35749999999996</v>
      </c>
      <c r="O609" s="204">
        <v>0.22228665306241591</v>
      </c>
      <c r="P609" s="112">
        <v>127.67200633629659</v>
      </c>
      <c r="Q609" s="112">
        <v>702.02950633629655</v>
      </c>
      <c r="R609" s="112">
        <v>11134.89</v>
      </c>
      <c r="S609" s="112">
        <v>11134.89</v>
      </c>
      <c r="T609" s="112">
        <v>0</v>
      </c>
      <c r="U609" t="s">
        <v>4418</v>
      </c>
      <c r="V609" t="s">
        <v>5006</v>
      </c>
      <c r="W609" t="s">
        <v>4666</v>
      </c>
      <c r="X609" t="s">
        <v>4667</v>
      </c>
    </row>
    <row r="610" spans="1:24" x14ac:dyDescent="0.2">
      <c r="A610" t="s">
        <v>5007</v>
      </c>
      <c r="B610" t="s">
        <v>326</v>
      </c>
      <c r="C610" t="s">
        <v>1454</v>
      </c>
      <c r="D610" t="s">
        <v>56</v>
      </c>
      <c r="E610" t="s">
        <v>1455</v>
      </c>
      <c r="F610" t="s">
        <v>26</v>
      </c>
      <c r="G610" s="202">
        <v>3488.8989999999999</v>
      </c>
      <c r="H610">
        <v>1</v>
      </c>
      <c r="I610" t="s">
        <v>3954</v>
      </c>
      <c r="J610" t="s">
        <v>4804</v>
      </c>
      <c r="K610" t="s">
        <v>1283</v>
      </c>
      <c r="L610" s="204">
        <v>0.28000000000000003</v>
      </c>
      <c r="M610" s="112">
        <v>8.1750000000000007</v>
      </c>
      <c r="N610" s="112">
        <v>2.2890000000000006</v>
      </c>
      <c r="O610" s="204"/>
      <c r="P610" s="112"/>
      <c r="Q610" s="112"/>
      <c r="R610" s="112"/>
      <c r="S610" s="112"/>
      <c r="T610" s="112"/>
      <c r="U610" t="s">
        <v>4280</v>
      </c>
      <c r="V610" t="s">
        <v>5008</v>
      </c>
      <c r="W610" t="s">
        <v>3958</v>
      </c>
      <c r="X610" t="s">
        <v>4660</v>
      </c>
    </row>
    <row r="611" spans="1:24" x14ac:dyDescent="0.2">
      <c r="A611" t="s">
        <v>5007</v>
      </c>
      <c r="B611" t="s">
        <v>326</v>
      </c>
      <c r="C611" t="s">
        <v>1454</v>
      </c>
      <c r="D611" t="s">
        <v>56</v>
      </c>
      <c r="E611" t="s">
        <v>1455</v>
      </c>
      <c r="F611" t="s">
        <v>26</v>
      </c>
      <c r="G611" s="202">
        <v>3488.8989999999999</v>
      </c>
      <c r="H611">
        <v>2</v>
      </c>
      <c r="I611" t="s">
        <v>3960</v>
      </c>
      <c r="J611" t="s">
        <v>4807</v>
      </c>
      <c r="K611" t="s">
        <v>1283</v>
      </c>
      <c r="L611" s="204">
        <v>0.56000000000000005</v>
      </c>
      <c r="M611" s="112">
        <v>8.1750000000000007</v>
      </c>
      <c r="N611" s="112">
        <v>4.5780000000000012</v>
      </c>
      <c r="O611" s="204"/>
      <c r="P611" s="112"/>
      <c r="Q611" s="112"/>
      <c r="R611" s="112"/>
      <c r="S611" s="112"/>
      <c r="T611" s="112"/>
      <c r="U611" t="s">
        <v>4280</v>
      </c>
      <c r="V611" t="s">
        <v>5008</v>
      </c>
      <c r="W611" t="s">
        <v>3958</v>
      </c>
      <c r="X611" t="s">
        <v>4660</v>
      </c>
    </row>
    <row r="612" spans="1:24" x14ac:dyDescent="0.2">
      <c r="A612" t="s">
        <v>5007</v>
      </c>
      <c r="B612" t="s">
        <v>326</v>
      </c>
      <c r="C612" t="s">
        <v>1454</v>
      </c>
      <c r="D612" t="s">
        <v>56</v>
      </c>
      <c r="E612" t="s">
        <v>1455</v>
      </c>
      <c r="F612" t="s">
        <v>26</v>
      </c>
      <c r="G612" s="202">
        <v>3488.8989999999999</v>
      </c>
      <c r="H612">
        <v>3</v>
      </c>
      <c r="I612" t="s">
        <v>3962</v>
      </c>
      <c r="J612" t="s">
        <v>4808</v>
      </c>
      <c r="K612" t="s">
        <v>1283</v>
      </c>
      <c r="L612" s="204">
        <v>0.1</v>
      </c>
      <c r="M612" s="112">
        <v>8.1750000000000007</v>
      </c>
      <c r="N612" s="112">
        <v>0.81750000000000012</v>
      </c>
      <c r="O612" s="204"/>
      <c r="P612" s="112"/>
      <c r="Q612" s="112"/>
      <c r="R612" s="112"/>
      <c r="S612" s="112"/>
      <c r="T612" s="112"/>
      <c r="U612" t="s">
        <v>4280</v>
      </c>
      <c r="V612" t="s">
        <v>5008</v>
      </c>
      <c r="W612" t="s">
        <v>3958</v>
      </c>
      <c r="X612" t="s">
        <v>4660</v>
      </c>
    </row>
    <row r="613" spans="1:24" x14ac:dyDescent="0.2">
      <c r="A613" t="s">
        <v>5007</v>
      </c>
      <c r="B613" t="s">
        <v>326</v>
      </c>
      <c r="C613" t="s">
        <v>1454</v>
      </c>
      <c r="D613" t="s">
        <v>56</v>
      </c>
      <c r="E613" t="s">
        <v>1455</v>
      </c>
      <c r="F613" t="s">
        <v>26</v>
      </c>
      <c r="G613" s="202">
        <v>3488.8989999999999</v>
      </c>
      <c r="H613">
        <v>4</v>
      </c>
      <c r="I613" t="s">
        <v>4017</v>
      </c>
      <c r="J613" t="s">
        <v>4809</v>
      </c>
      <c r="K613" t="s">
        <v>1283</v>
      </c>
      <c r="L613" s="204">
        <v>0.06</v>
      </c>
      <c r="M613" s="112">
        <v>8.1750000000000007</v>
      </c>
      <c r="N613" s="112">
        <v>0.49050000000000005</v>
      </c>
      <c r="O613" s="204"/>
      <c r="P613" s="112"/>
      <c r="Q613" s="112"/>
      <c r="R613" s="112"/>
      <c r="S613" s="112"/>
      <c r="T613" s="112"/>
      <c r="U613" t="s">
        <v>4280</v>
      </c>
      <c r="V613" t="s">
        <v>5008</v>
      </c>
      <c r="W613" t="s">
        <v>3958</v>
      </c>
      <c r="X613" t="s">
        <v>4660</v>
      </c>
    </row>
    <row r="614" spans="1:24" x14ac:dyDescent="0.2">
      <c r="A614" t="s">
        <v>5007</v>
      </c>
      <c r="B614" t="s">
        <v>326</v>
      </c>
      <c r="C614" t="s">
        <v>1454</v>
      </c>
      <c r="D614" t="s">
        <v>56</v>
      </c>
      <c r="E614" t="s">
        <v>1455</v>
      </c>
      <c r="F614" t="s">
        <v>26</v>
      </c>
      <c r="G614" s="202">
        <v>3488.8989999999999</v>
      </c>
      <c r="H614">
        <v>5</v>
      </c>
      <c r="I614" t="s">
        <v>3968</v>
      </c>
      <c r="J614" t="s">
        <v>3969</v>
      </c>
      <c r="K614" t="s">
        <v>26</v>
      </c>
      <c r="L614" s="204">
        <v>1</v>
      </c>
      <c r="M614" s="112"/>
      <c r="N614" s="112">
        <v>8.1750000000000007</v>
      </c>
      <c r="O614" s="204">
        <v>0.22201831321228038</v>
      </c>
      <c r="P614" s="112">
        <v>1.8149997105103921</v>
      </c>
      <c r="Q614" s="112">
        <v>9.9899997105103928</v>
      </c>
      <c r="R614" s="112">
        <v>34854.1</v>
      </c>
      <c r="S614" s="112">
        <v>34854.1</v>
      </c>
      <c r="T614" s="112">
        <v>0</v>
      </c>
      <c r="U614" t="s">
        <v>4280</v>
      </c>
      <c r="V614" t="s">
        <v>5008</v>
      </c>
      <c r="W614" t="s">
        <v>4666</v>
      </c>
      <c r="X614" t="s">
        <v>4667</v>
      </c>
    </row>
    <row r="615" spans="1:24" x14ac:dyDescent="0.2">
      <c r="A615" t="s">
        <v>5009</v>
      </c>
      <c r="B615" t="s">
        <v>328</v>
      </c>
      <c r="C615" t="s">
        <v>1456</v>
      </c>
      <c r="D615" t="s">
        <v>56</v>
      </c>
      <c r="E615" t="s">
        <v>329</v>
      </c>
      <c r="F615" t="s">
        <v>26</v>
      </c>
      <c r="G615" s="202">
        <v>2115.672</v>
      </c>
      <c r="H615">
        <v>1</v>
      </c>
      <c r="I615" t="s">
        <v>3954</v>
      </c>
      <c r="J615" t="s">
        <v>4804</v>
      </c>
      <c r="K615" t="s">
        <v>1283</v>
      </c>
      <c r="L615" s="204">
        <v>0.28000000000000003</v>
      </c>
      <c r="M615" s="112">
        <v>50.722499999999997</v>
      </c>
      <c r="N615" s="112">
        <v>14.202300000000001</v>
      </c>
      <c r="O615" s="204"/>
      <c r="P615" s="112"/>
      <c r="Q615" s="112"/>
      <c r="R615" s="112"/>
      <c r="S615" s="112"/>
      <c r="T615" s="112"/>
      <c r="U615" t="s">
        <v>4045</v>
      </c>
      <c r="V615" t="s">
        <v>5010</v>
      </c>
      <c r="W615" t="s">
        <v>3958</v>
      </c>
      <c r="X615" t="s">
        <v>4660</v>
      </c>
    </row>
    <row r="616" spans="1:24" x14ac:dyDescent="0.2">
      <c r="A616" t="s">
        <v>5009</v>
      </c>
      <c r="B616" t="s">
        <v>328</v>
      </c>
      <c r="C616" t="s">
        <v>1456</v>
      </c>
      <c r="D616" t="s">
        <v>56</v>
      </c>
      <c r="E616" t="s">
        <v>329</v>
      </c>
      <c r="F616" t="s">
        <v>26</v>
      </c>
      <c r="G616" s="202">
        <v>2115.672</v>
      </c>
      <c r="H616">
        <v>2</v>
      </c>
      <c r="I616" t="s">
        <v>3960</v>
      </c>
      <c r="J616" t="s">
        <v>4807</v>
      </c>
      <c r="K616" t="s">
        <v>1283</v>
      </c>
      <c r="L616" s="204">
        <v>0.56000000000000005</v>
      </c>
      <c r="M616" s="112">
        <v>50.722499999999997</v>
      </c>
      <c r="N616" s="112">
        <v>28.404600000000002</v>
      </c>
      <c r="O616" s="204"/>
      <c r="P616" s="112"/>
      <c r="Q616" s="112"/>
      <c r="R616" s="112"/>
      <c r="S616" s="112"/>
      <c r="T616" s="112"/>
      <c r="U616" t="s">
        <v>4045</v>
      </c>
      <c r="V616" t="s">
        <v>5010</v>
      </c>
      <c r="W616" t="s">
        <v>3958</v>
      </c>
      <c r="X616" t="s">
        <v>4660</v>
      </c>
    </row>
    <row r="617" spans="1:24" x14ac:dyDescent="0.2">
      <c r="A617" t="s">
        <v>5009</v>
      </c>
      <c r="B617" t="s">
        <v>328</v>
      </c>
      <c r="C617" t="s">
        <v>1456</v>
      </c>
      <c r="D617" t="s">
        <v>56</v>
      </c>
      <c r="E617" t="s">
        <v>329</v>
      </c>
      <c r="F617" t="s">
        <v>26</v>
      </c>
      <c r="G617" s="202">
        <v>2115.672</v>
      </c>
      <c r="H617">
        <v>3</v>
      </c>
      <c r="I617" t="s">
        <v>3962</v>
      </c>
      <c r="J617" t="s">
        <v>4808</v>
      </c>
      <c r="K617" t="s">
        <v>1283</v>
      </c>
      <c r="L617" s="204">
        <v>0.1</v>
      </c>
      <c r="M617" s="112">
        <v>50.722499999999997</v>
      </c>
      <c r="N617" s="112">
        <v>5.0722500000000004</v>
      </c>
      <c r="O617" s="204"/>
      <c r="P617" s="112"/>
      <c r="Q617" s="112"/>
      <c r="R617" s="112"/>
      <c r="S617" s="112"/>
      <c r="T617" s="112"/>
      <c r="U617" t="s">
        <v>4045</v>
      </c>
      <c r="V617" t="s">
        <v>5010</v>
      </c>
      <c r="W617" t="s">
        <v>3958</v>
      </c>
      <c r="X617" t="s">
        <v>4660</v>
      </c>
    </row>
    <row r="618" spans="1:24" x14ac:dyDescent="0.2">
      <c r="A618" t="s">
        <v>5009</v>
      </c>
      <c r="B618" t="s">
        <v>328</v>
      </c>
      <c r="C618" t="s">
        <v>1456</v>
      </c>
      <c r="D618" t="s">
        <v>56</v>
      </c>
      <c r="E618" t="s">
        <v>329</v>
      </c>
      <c r="F618" t="s">
        <v>26</v>
      </c>
      <c r="G618" s="202">
        <v>2115.672</v>
      </c>
      <c r="H618">
        <v>4</v>
      </c>
      <c r="I618" t="s">
        <v>4017</v>
      </c>
      <c r="J618" t="s">
        <v>4809</v>
      </c>
      <c r="K618" t="s">
        <v>1283</v>
      </c>
      <c r="L618" s="204">
        <v>0.06</v>
      </c>
      <c r="M618" s="112">
        <v>50.722499999999997</v>
      </c>
      <c r="N618" s="112">
        <v>3.0433499999999998</v>
      </c>
      <c r="O618" s="204"/>
      <c r="P618" s="112"/>
      <c r="Q618" s="112"/>
      <c r="R618" s="112"/>
      <c r="S618" s="112"/>
      <c r="T618" s="112"/>
      <c r="U618" t="s">
        <v>4045</v>
      </c>
      <c r="V618" t="s">
        <v>5010</v>
      </c>
      <c r="W618" t="s">
        <v>3958</v>
      </c>
      <c r="X618" t="s">
        <v>4660</v>
      </c>
    </row>
    <row r="619" spans="1:24" x14ac:dyDescent="0.2">
      <c r="A619" t="s">
        <v>5009</v>
      </c>
      <c r="B619" t="s">
        <v>328</v>
      </c>
      <c r="C619" t="s">
        <v>1456</v>
      </c>
      <c r="D619" t="s">
        <v>56</v>
      </c>
      <c r="E619" t="s">
        <v>329</v>
      </c>
      <c r="F619" t="s">
        <v>26</v>
      </c>
      <c r="G619" s="202">
        <v>2115.672</v>
      </c>
      <c r="H619">
        <v>5</v>
      </c>
      <c r="I619" t="s">
        <v>3968</v>
      </c>
      <c r="J619" t="s">
        <v>3969</v>
      </c>
      <c r="K619" t="s">
        <v>26</v>
      </c>
      <c r="L619" s="204">
        <v>1</v>
      </c>
      <c r="M619" s="112"/>
      <c r="N619" s="112">
        <v>50.722499999999997</v>
      </c>
      <c r="O619" s="204">
        <v>0.2222385989290816</v>
      </c>
      <c r="P619" s="112">
        <v>11.272497334180343</v>
      </c>
      <c r="Q619" s="112">
        <v>61.99499733418034</v>
      </c>
      <c r="R619" s="112">
        <v>131161.07999999999</v>
      </c>
      <c r="S619" s="112">
        <v>131161.07999999999</v>
      </c>
      <c r="T619" s="112">
        <v>0</v>
      </c>
      <c r="U619" t="s">
        <v>4045</v>
      </c>
      <c r="V619" t="s">
        <v>5010</v>
      </c>
      <c r="W619" t="s">
        <v>4666</v>
      </c>
      <c r="X619" t="s">
        <v>4667</v>
      </c>
    </row>
    <row r="620" spans="1:24" x14ac:dyDescent="0.2">
      <c r="A620" t="s">
        <v>5011</v>
      </c>
      <c r="B620" t="s">
        <v>330</v>
      </c>
      <c r="C620" t="s">
        <v>1457</v>
      </c>
      <c r="D620" t="s">
        <v>56</v>
      </c>
      <c r="E620" t="s">
        <v>331</v>
      </c>
      <c r="F620" t="s">
        <v>26</v>
      </c>
      <c r="G620" s="202">
        <v>1175.704</v>
      </c>
      <c r="H620">
        <v>1</v>
      </c>
      <c r="I620" t="s">
        <v>3954</v>
      </c>
      <c r="J620" t="s">
        <v>4804</v>
      </c>
      <c r="K620" t="s">
        <v>1283</v>
      </c>
      <c r="L620" s="204">
        <v>0.28000000000000003</v>
      </c>
      <c r="M620" s="112">
        <v>31.807499999999997</v>
      </c>
      <c r="N620" s="112">
        <v>8.9061000000000003</v>
      </c>
      <c r="O620" s="204"/>
      <c r="P620" s="112"/>
      <c r="Q620" s="112"/>
      <c r="R620" s="112"/>
      <c r="S620" s="112"/>
      <c r="T620" s="112"/>
      <c r="U620" t="s">
        <v>4234</v>
      </c>
      <c r="V620" t="s">
        <v>5012</v>
      </c>
      <c r="W620" t="s">
        <v>3958</v>
      </c>
      <c r="X620" t="s">
        <v>4660</v>
      </c>
    </row>
    <row r="621" spans="1:24" x14ac:dyDescent="0.2">
      <c r="A621" t="s">
        <v>5011</v>
      </c>
      <c r="B621" t="s">
        <v>330</v>
      </c>
      <c r="C621" t="s">
        <v>1457</v>
      </c>
      <c r="D621" t="s">
        <v>56</v>
      </c>
      <c r="E621" t="s">
        <v>331</v>
      </c>
      <c r="F621" t="s">
        <v>26</v>
      </c>
      <c r="G621" s="202">
        <v>1175.704</v>
      </c>
      <c r="H621">
        <v>2</v>
      </c>
      <c r="I621" t="s">
        <v>3960</v>
      </c>
      <c r="J621" t="s">
        <v>4807</v>
      </c>
      <c r="K621" t="s">
        <v>1283</v>
      </c>
      <c r="L621" s="204">
        <v>0.56000000000000005</v>
      </c>
      <c r="M621" s="112">
        <v>31.807499999999997</v>
      </c>
      <c r="N621" s="112">
        <v>17.812200000000001</v>
      </c>
      <c r="O621" s="204"/>
      <c r="P621" s="112"/>
      <c r="Q621" s="112"/>
      <c r="R621" s="112"/>
      <c r="S621" s="112"/>
      <c r="T621" s="112"/>
      <c r="U621" t="s">
        <v>4234</v>
      </c>
      <c r="V621" t="s">
        <v>5012</v>
      </c>
      <c r="W621" t="s">
        <v>3958</v>
      </c>
      <c r="X621" t="s">
        <v>4660</v>
      </c>
    </row>
    <row r="622" spans="1:24" x14ac:dyDescent="0.2">
      <c r="A622" t="s">
        <v>5011</v>
      </c>
      <c r="B622" t="s">
        <v>330</v>
      </c>
      <c r="C622" t="s">
        <v>1457</v>
      </c>
      <c r="D622" t="s">
        <v>56</v>
      </c>
      <c r="E622" t="s">
        <v>331</v>
      </c>
      <c r="F622" t="s">
        <v>26</v>
      </c>
      <c r="G622" s="202">
        <v>1175.704</v>
      </c>
      <c r="H622">
        <v>3</v>
      </c>
      <c r="I622" t="s">
        <v>3962</v>
      </c>
      <c r="J622" t="s">
        <v>4808</v>
      </c>
      <c r="K622" t="s">
        <v>1283</v>
      </c>
      <c r="L622" s="204">
        <v>0.1</v>
      </c>
      <c r="M622" s="112">
        <v>31.807499999999997</v>
      </c>
      <c r="N622" s="112">
        <v>3.1807499999999997</v>
      </c>
      <c r="O622" s="204"/>
      <c r="P622" s="112"/>
      <c r="Q622" s="112"/>
      <c r="R622" s="112"/>
      <c r="S622" s="112"/>
      <c r="T622" s="112"/>
      <c r="U622" t="s">
        <v>4234</v>
      </c>
      <c r="V622" t="s">
        <v>5012</v>
      </c>
      <c r="W622" t="s">
        <v>3958</v>
      </c>
      <c r="X622" t="s">
        <v>4660</v>
      </c>
    </row>
    <row r="623" spans="1:24" x14ac:dyDescent="0.2">
      <c r="A623" t="s">
        <v>5011</v>
      </c>
      <c r="B623" t="s">
        <v>330</v>
      </c>
      <c r="C623" t="s">
        <v>1457</v>
      </c>
      <c r="D623" t="s">
        <v>56</v>
      </c>
      <c r="E623" t="s">
        <v>331</v>
      </c>
      <c r="F623" t="s">
        <v>26</v>
      </c>
      <c r="G623" s="202">
        <v>1175.704</v>
      </c>
      <c r="H623">
        <v>4</v>
      </c>
      <c r="I623" t="s">
        <v>4017</v>
      </c>
      <c r="J623" t="s">
        <v>4809</v>
      </c>
      <c r="K623" t="s">
        <v>1283</v>
      </c>
      <c r="L623" s="204">
        <v>0.06</v>
      </c>
      <c r="M623" s="112">
        <v>31.807499999999997</v>
      </c>
      <c r="N623" s="112">
        <v>1.9084499999999998</v>
      </c>
      <c r="O623" s="204"/>
      <c r="P623" s="112"/>
      <c r="Q623" s="112"/>
      <c r="R623" s="112"/>
      <c r="S623" s="112"/>
      <c r="T623" s="112"/>
      <c r="U623" t="s">
        <v>4234</v>
      </c>
      <c r="V623" t="s">
        <v>5012</v>
      </c>
      <c r="W623" t="s">
        <v>3958</v>
      </c>
      <c r="X623" t="s">
        <v>4660</v>
      </c>
    </row>
    <row r="624" spans="1:24" x14ac:dyDescent="0.2">
      <c r="A624" t="s">
        <v>5011</v>
      </c>
      <c r="B624" t="s">
        <v>330</v>
      </c>
      <c r="C624" t="s">
        <v>1457</v>
      </c>
      <c r="D624" t="s">
        <v>56</v>
      </c>
      <c r="E624" t="s">
        <v>331</v>
      </c>
      <c r="F624" t="s">
        <v>26</v>
      </c>
      <c r="G624" s="202">
        <v>1175.704</v>
      </c>
      <c r="H624">
        <v>5</v>
      </c>
      <c r="I624" t="s">
        <v>3968</v>
      </c>
      <c r="J624" t="s">
        <v>3969</v>
      </c>
      <c r="K624" t="s">
        <v>26</v>
      </c>
      <c r="L624" s="204">
        <v>1</v>
      </c>
      <c r="M624" s="112"/>
      <c r="N624" s="112">
        <v>31.807499999999997</v>
      </c>
      <c r="O624" s="204">
        <v>0.22211732512543336</v>
      </c>
      <c r="P624" s="112">
        <v>7.0649968189272201</v>
      </c>
      <c r="Q624" s="112">
        <v>38.872496818927218</v>
      </c>
      <c r="R624" s="112">
        <v>45702.55</v>
      </c>
      <c r="S624" s="112">
        <v>45702.55</v>
      </c>
      <c r="T624" s="112">
        <v>0</v>
      </c>
      <c r="U624" t="s">
        <v>4234</v>
      </c>
      <c r="V624" t="s">
        <v>5012</v>
      </c>
      <c r="W624" t="s">
        <v>4666</v>
      </c>
      <c r="X624" t="s">
        <v>4667</v>
      </c>
    </row>
    <row r="625" spans="1:24" x14ac:dyDescent="0.2">
      <c r="A625" t="s">
        <v>5013</v>
      </c>
      <c r="B625" t="s">
        <v>332</v>
      </c>
      <c r="C625" t="s">
        <v>1458</v>
      </c>
      <c r="D625" t="s">
        <v>56</v>
      </c>
      <c r="E625" t="s">
        <v>333</v>
      </c>
      <c r="F625" t="s">
        <v>26</v>
      </c>
      <c r="G625" s="202">
        <v>682.82500000000005</v>
      </c>
      <c r="H625">
        <v>1</v>
      </c>
      <c r="I625" t="s">
        <v>3954</v>
      </c>
      <c r="J625" t="s">
        <v>4992</v>
      </c>
      <c r="K625" t="s">
        <v>1283</v>
      </c>
      <c r="L625" s="204">
        <v>0.27</v>
      </c>
      <c r="M625" s="112">
        <v>60.12</v>
      </c>
      <c r="N625" s="112">
        <v>16.232400000000002</v>
      </c>
      <c r="O625" s="204"/>
      <c r="P625" s="112"/>
      <c r="Q625" s="112"/>
      <c r="R625" s="112"/>
      <c r="S625" s="112"/>
      <c r="T625" s="112"/>
      <c r="U625" t="s">
        <v>4214</v>
      </c>
      <c r="V625" t="s">
        <v>5014</v>
      </c>
      <c r="W625" t="s">
        <v>3958</v>
      </c>
      <c r="X625" t="s">
        <v>4660</v>
      </c>
    </row>
    <row r="626" spans="1:24" x14ac:dyDescent="0.2">
      <c r="A626" t="s">
        <v>5013</v>
      </c>
      <c r="B626" t="s">
        <v>332</v>
      </c>
      <c r="C626" t="s">
        <v>1458</v>
      </c>
      <c r="D626" t="s">
        <v>56</v>
      </c>
      <c r="E626" t="s">
        <v>333</v>
      </c>
      <c r="F626" t="s">
        <v>26</v>
      </c>
      <c r="G626" s="202">
        <v>682.82500000000005</v>
      </c>
      <c r="H626">
        <v>2</v>
      </c>
      <c r="I626" t="s">
        <v>3960</v>
      </c>
      <c r="J626" t="s">
        <v>4994</v>
      </c>
      <c r="K626" t="s">
        <v>1283</v>
      </c>
      <c r="L626" s="204">
        <v>0.63</v>
      </c>
      <c r="M626" s="112">
        <v>60.12</v>
      </c>
      <c r="N626" s="112">
        <v>37.875599999999999</v>
      </c>
      <c r="O626" s="204"/>
      <c r="P626" s="112"/>
      <c r="Q626" s="112"/>
      <c r="R626" s="112"/>
      <c r="S626" s="112"/>
      <c r="T626" s="112"/>
      <c r="U626" t="s">
        <v>4214</v>
      </c>
      <c r="V626" t="s">
        <v>5014</v>
      </c>
      <c r="W626" t="s">
        <v>3958</v>
      </c>
      <c r="X626" t="s">
        <v>4660</v>
      </c>
    </row>
    <row r="627" spans="1:24" x14ac:dyDescent="0.2">
      <c r="A627" t="s">
        <v>5013</v>
      </c>
      <c r="B627" t="s">
        <v>332</v>
      </c>
      <c r="C627" t="s">
        <v>1458</v>
      </c>
      <c r="D627" t="s">
        <v>56</v>
      </c>
      <c r="E627" t="s">
        <v>333</v>
      </c>
      <c r="F627" t="s">
        <v>26</v>
      </c>
      <c r="G627" s="202">
        <v>682.82500000000005</v>
      </c>
      <c r="H627">
        <v>3</v>
      </c>
      <c r="I627" t="s">
        <v>3976</v>
      </c>
      <c r="J627" t="s">
        <v>4995</v>
      </c>
      <c r="K627" t="s">
        <v>1283</v>
      </c>
      <c r="L627" s="204">
        <v>0.05</v>
      </c>
      <c r="M627" s="112">
        <v>60.12</v>
      </c>
      <c r="N627" s="112">
        <v>3.0060000000000002</v>
      </c>
      <c r="O627" s="204"/>
      <c r="P627" s="112"/>
      <c r="Q627" s="112"/>
      <c r="R627" s="112"/>
      <c r="S627" s="112"/>
      <c r="T627" s="112"/>
      <c r="U627" t="s">
        <v>4214</v>
      </c>
      <c r="V627" t="s">
        <v>5014</v>
      </c>
      <c r="W627" t="s">
        <v>3958</v>
      </c>
      <c r="X627" t="s">
        <v>4660</v>
      </c>
    </row>
    <row r="628" spans="1:24" x14ac:dyDescent="0.2">
      <c r="A628" t="s">
        <v>5013</v>
      </c>
      <c r="B628" t="s">
        <v>332</v>
      </c>
      <c r="C628" t="s">
        <v>1458</v>
      </c>
      <c r="D628" t="s">
        <v>56</v>
      </c>
      <c r="E628" t="s">
        <v>333</v>
      </c>
      <c r="F628" t="s">
        <v>26</v>
      </c>
      <c r="G628" s="202">
        <v>682.82500000000005</v>
      </c>
      <c r="H628">
        <v>4</v>
      </c>
      <c r="I628" t="s">
        <v>4017</v>
      </c>
      <c r="J628" t="s">
        <v>4809</v>
      </c>
      <c r="K628" t="s">
        <v>1283</v>
      </c>
      <c r="L628" s="204">
        <v>0.05</v>
      </c>
      <c r="M628" s="112">
        <v>60.12</v>
      </c>
      <c r="N628" s="112">
        <v>3.0060000000000002</v>
      </c>
      <c r="O628" s="204"/>
      <c r="P628" s="112"/>
      <c r="Q628" s="112"/>
      <c r="R628" s="112"/>
      <c r="S628" s="112"/>
      <c r="T628" s="112"/>
      <c r="U628" t="s">
        <v>4214</v>
      </c>
      <c r="V628" t="s">
        <v>5014</v>
      </c>
      <c r="W628" t="s">
        <v>3958</v>
      </c>
      <c r="X628" t="s">
        <v>4660</v>
      </c>
    </row>
    <row r="629" spans="1:24" x14ac:dyDescent="0.2">
      <c r="A629" t="s">
        <v>5013</v>
      </c>
      <c r="B629" t="s">
        <v>332</v>
      </c>
      <c r="C629" t="s">
        <v>1458</v>
      </c>
      <c r="D629" t="s">
        <v>56</v>
      </c>
      <c r="E629" t="s">
        <v>333</v>
      </c>
      <c r="F629" t="s">
        <v>26</v>
      </c>
      <c r="G629" s="202">
        <v>682.82500000000005</v>
      </c>
      <c r="H629">
        <v>5</v>
      </c>
      <c r="I629" t="s">
        <v>3968</v>
      </c>
      <c r="J629" t="s">
        <v>3969</v>
      </c>
      <c r="K629" t="s">
        <v>26</v>
      </c>
      <c r="L629" s="204">
        <v>1</v>
      </c>
      <c r="M629" s="112"/>
      <c r="N629" s="112">
        <v>60.12</v>
      </c>
      <c r="O629" s="204">
        <v>0.22218054280630684</v>
      </c>
      <c r="P629" s="112">
        <v>13.357494233515162</v>
      </c>
      <c r="Q629" s="112">
        <v>73.477494233515159</v>
      </c>
      <c r="R629" s="112">
        <v>50172.27</v>
      </c>
      <c r="S629" s="112">
        <v>50172.27</v>
      </c>
      <c r="T629" s="112">
        <v>0</v>
      </c>
      <c r="U629" t="s">
        <v>4214</v>
      </c>
      <c r="V629" t="s">
        <v>5014</v>
      </c>
      <c r="W629" t="s">
        <v>4666</v>
      </c>
      <c r="X629" t="s">
        <v>4667</v>
      </c>
    </row>
    <row r="630" spans="1:24" x14ac:dyDescent="0.2">
      <c r="A630" t="s">
        <v>5015</v>
      </c>
      <c r="B630" t="s">
        <v>334</v>
      </c>
      <c r="C630" t="s">
        <v>1459</v>
      </c>
      <c r="D630" t="s">
        <v>335</v>
      </c>
      <c r="E630" t="s">
        <v>336</v>
      </c>
      <c r="F630" t="s">
        <v>26</v>
      </c>
      <c r="G630" s="202">
        <v>1233.3820000000001</v>
      </c>
      <c r="H630">
        <v>1</v>
      </c>
      <c r="I630" t="s">
        <v>3954</v>
      </c>
      <c r="J630" t="s">
        <v>4110</v>
      </c>
      <c r="K630" t="s">
        <v>1283</v>
      </c>
      <c r="L630" s="204">
        <v>0.3</v>
      </c>
      <c r="M630" s="112">
        <v>41.467500000000001</v>
      </c>
      <c r="N630" s="112">
        <v>12.440250000000001</v>
      </c>
      <c r="O630" s="204"/>
      <c r="P630" s="112"/>
      <c r="Q630" s="112"/>
      <c r="R630" s="112"/>
      <c r="S630" s="112"/>
      <c r="T630" s="112"/>
      <c r="U630" t="s">
        <v>5016</v>
      </c>
      <c r="V630" t="s">
        <v>5017</v>
      </c>
      <c r="W630" t="s">
        <v>3958</v>
      </c>
      <c r="X630" t="s">
        <v>4660</v>
      </c>
    </row>
    <row r="631" spans="1:24" x14ac:dyDescent="0.2">
      <c r="A631" t="s">
        <v>5015</v>
      </c>
      <c r="B631" t="s">
        <v>334</v>
      </c>
      <c r="C631" t="s">
        <v>1459</v>
      </c>
      <c r="D631" t="s">
        <v>335</v>
      </c>
      <c r="E631" t="s">
        <v>336</v>
      </c>
      <c r="F631" t="s">
        <v>26</v>
      </c>
      <c r="G631" s="202">
        <v>1233.3820000000001</v>
      </c>
      <c r="H631">
        <v>2</v>
      </c>
      <c r="I631" t="s">
        <v>3960</v>
      </c>
      <c r="J631" t="s">
        <v>4113</v>
      </c>
      <c r="K631" t="s">
        <v>1283</v>
      </c>
      <c r="L631" s="204">
        <v>0.55000000000000004</v>
      </c>
      <c r="M631" s="112">
        <v>41.467500000000001</v>
      </c>
      <c r="N631" s="112">
        <v>22.807125000000003</v>
      </c>
      <c r="O631" s="204"/>
      <c r="P631" s="112"/>
      <c r="Q631" s="112"/>
      <c r="R631" s="112"/>
      <c r="S631" s="112"/>
      <c r="T631" s="112"/>
      <c r="U631" t="s">
        <v>5016</v>
      </c>
      <c r="V631" t="s">
        <v>5017</v>
      </c>
      <c r="W631" t="s">
        <v>3958</v>
      </c>
      <c r="X631" t="s">
        <v>4660</v>
      </c>
    </row>
    <row r="632" spans="1:24" x14ac:dyDescent="0.2">
      <c r="A632" t="s">
        <v>5015</v>
      </c>
      <c r="B632" t="s">
        <v>334</v>
      </c>
      <c r="C632" t="s">
        <v>1459</v>
      </c>
      <c r="D632" t="s">
        <v>335</v>
      </c>
      <c r="E632" t="s">
        <v>336</v>
      </c>
      <c r="F632" t="s">
        <v>26</v>
      </c>
      <c r="G632" s="202">
        <v>1233.3820000000001</v>
      </c>
      <c r="H632">
        <v>3</v>
      </c>
      <c r="I632" t="s">
        <v>3976</v>
      </c>
      <c r="J632" t="s">
        <v>4114</v>
      </c>
      <c r="K632" t="s">
        <v>1283</v>
      </c>
      <c r="L632" s="204">
        <v>0.1</v>
      </c>
      <c r="M632" s="112">
        <v>41.467500000000001</v>
      </c>
      <c r="N632" s="112">
        <v>4.1467499999999999</v>
      </c>
      <c r="O632" s="204"/>
      <c r="P632" s="112"/>
      <c r="Q632" s="112"/>
      <c r="R632" s="112"/>
      <c r="S632" s="112"/>
      <c r="T632" s="112"/>
      <c r="U632" t="s">
        <v>5016</v>
      </c>
      <c r="V632" t="s">
        <v>5017</v>
      </c>
      <c r="W632" t="s">
        <v>3958</v>
      </c>
      <c r="X632" t="s">
        <v>4660</v>
      </c>
    </row>
    <row r="633" spans="1:24" x14ac:dyDescent="0.2">
      <c r="A633" t="s">
        <v>5015</v>
      </c>
      <c r="B633" t="s">
        <v>334</v>
      </c>
      <c r="C633" t="s">
        <v>1459</v>
      </c>
      <c r="D633" t="s">
        <v>335</v>
      </c>
      <c r="E633" t="s">
        <v>336</v>
      </c>
      <c r="F633" t="s">
        <v>26</v>
      </c>
      <c r="G633" s="202">
        <v>1233.3820000000001</v>
      </c>
      <c r="H633">
        <v>4</v>
      </c>
      <c r="I633" t="s">
        <v>4017</v>
      </c>
      <c r="J633" t="s">
        <v>4115</v>
      </c>
      <c r="K633" t="s">
        <v>1283</v>
      </c>
      <c r="L633" s="204">
        <v>0.05</v>
      </c>
      <c r="M633" s="112">
        <v>41.467500000000001</v>
      </c>
      <c r="N633" s="112">
        <v>2.073375</v>
      </c>
      <c r="O633" s="204"/>
      <c r="P633" s="112"/>
      <c r="Q633" s="112"/>
      <c r="R633" s="112"/>
      <c r="S633" s="112"/>
      <c r="T633" s="112"/>
      <c r="U633" t="s">
        <v>5016</v>
      </c>
      <c r="V633" t="s">
        <v>5017</v>
      </c>
      <c r="W633" t="s">
        <v>3958</v>
      </c>
      <c r="X633" t="s">
        <v>4660</v>
      </c>
    </row>
    <row r="634" spans="1:24" x14ac:dyDescent="0.2">
      <c r="A634" t="s">
        <v>5015</v>
      </c>
      <c r="B634" t="s">
        <v>334</v>
      </c>
      <c r="C634" t="s">
        <v>1459</v>
      </c>
      <c r="D634" t="s">
        <v>335</v>
      </c>
      <c r="E634" t="s">
        <v>336</v>
      </c>
      <c r="F634" t="s">
        <v>26</v>
      </c>
      <c r="G634" s="202">
        <v>1233.3820000000001</v>
      </c>
      <c r="H634">
        <v>5</v>
      </c>
      <c r="I634" t="s">
        <v>3968</v>
      </c>
      <c r="J634" t="s">
        <v>3969</v>
      </c>
      <c r="K634" t="s">
        <v>26</v>
      </c>
      <c r="L634" s="204">
        <v>1</v>
      </c>
      <c r="M634" s="112"/>
      <c r="N634" s="112">
        <v>41.467500000000001</v>
      </c>
      <c r="O634" s="204">
        <v>0.22228237998686406</v>
      </c>
      <c r="P634" s="112">
        <v>9.2174945921052824</v>
      </c>
      <c r="Q634" s="112">
        <v>50.684994592105284</v>
      </c>
      <c r="R634" s="112">
        <v>62513.96</v>
      </c>
      <c r="S634" s="112">
        <v>62513.96</v>
      </c>
      <c r="T634" s="112">
        <v>0</v>
      </c>
      <c r="U634" t="s">
        <v>5016</v>
      </c>
      <c r="V634" t="s">
        <v>5017</v>
      </c>
      <c r="W634" t="s">
        <v>4666</v>
      </c>
      <c r="X634" t="s">
        <v>4667</v>
      </c>
    </row>
    <row r="635" spans="1:24" x14ac:dyDescent="0.2">
      <c r="A635" t="s">
        <v>5018</v>
      </c>
      <c r="B635" t="s">
        <v>337</v>
      </c>
      <c r="C635" t="s">
        <v>1460</v>
      </c>
      <c r="D635" t="s">
        <v>56</v>
      </c>
      <c r="E635" t="s">
        <v>338</v>
      </c>
      <c r="F635" t="s">
        <v>26</v>
      </c>
      <c r="G635" s="202">
        <v>1233.3820000000001</v>
      </c>
      <c r="H635">
        <v>1</v>
      </c>
      <c r="I635" t="s">
        <v>3954</v>
      </c>
      <c r="J635" t="s">
        <v>4847</v>
      </c>
      <c r="K635" t="s">
        <v>1283</v>
      </c>
      <c r="L635" s="204">
        <v>0.24</v>
      </c>
      <c r="M635" s="112">
        <v>23.565000000000001</v>
      </c>
      <c r="N635" s="112">
        <v>5.6555999999999997</v>
      </c>
      <c r="O635" s="204"/>
      <c r="P635" s="112"/>
      <c r="Q635" s="112"/>
      <c r="R635" s="112"/>
      <c r="S635" s="112"/>
      <c r="T635" s="112"/>
      <c r="U635" t="s">
        <v>4276</v>
      </c>
      <c r="V635" t="s">
        <v>5019</v>
      </c>
      <c r="W635" t="s">
        <v>3958</v>
      </c>
      <c r="X635" t="s">
        <v>4660</v>
      </c>
    </row>
    <row r="636" spans="1:24" x14ac:dyDescent="0.2">
      <c r="A636" t="s">
        <v>5018</v>
      </c>
      <c r="B636" t="s">
        <v>337</v>
      </c>
      <c r="C636" t="s">
        <v>1460</v>
      </c>
      <c r="D636" t="s">
        <v>56</v>
      </c>
      <c r="E636" t="s">
        <v>338</v>
      </c>
      <c r="F636" t="s">
        <v>26</v>
      </c>
      <c r="G636" s="202">
        <v>1233.3820000000001</v>
      </c>
      <c r="H636">
        <v>2</v>
      </c>
      <c r="I636" t="s">
        <v>3960</v>
      </c>
      <c r="J636" t="s">
        <v>4849</v>
      </c>
      <c r="K636" t="s">
        <v>1283</v>
      </c>
      <c r="L636" s="204">
        <v>0.64</v>
      </c>
      <c r="M636" s="112">
        <v>23.565000000000001</v>
      </c>
      <c r="N636" s="112">
        <v>15.081600000000002</v>
      </c>
      <c r="O636" s="204"/>
      <c r="P636" s="112"/>
      <c r="Q636" s="112"/>
      <c r="R636" s="112"/>
      <c r="S636" s="112"/>
      <c r="T636" s="112"/>
      <c r="U636" t="s">
        <v>4276</v>
      </c>
      <c r="V636" t="s">
        <v>5019</v>
      </c>
      <c r="W636" t="s">
        <v>3958</v>
      </c>
      <c r="X636" t="s">
        <v>4660</v>
      </c>
    </row>
    <row r="637" spans="1:24" x14ac:dyDescent="0.2">
      <c r="A637" t="s">
        <v>5018</v>
      </c>
      <c r="B637" t="s">
        <v>337</v>
      </c>
      <c r="C637" t="s">
        <v>1460</v>
      </c>
      <c r="D637" t="s">
        <v>56</v>
      </c>
      <c r="E637" t="s">
        <v>338</v>
      </c>
      <c r="F637" t="s">
        <v>26</v>
      </c>
      <c r="G637" s="202">
        <v>1233.3820000000001</v>
      </c>
      <c r="H637">
        <v>3</v>
      </c>
      <c r="I637" t="s">
        <v>3976</v>
      </c>
      <c r="J637" t="s">
        <v>4850</v>
      </c>
      <c r="K637" t="s">
        <v>1283</v>
      </c>
      <c r="L637" s="204">
        <v>7.0000000000000007E-2</v>
      </c>
      <c r="M637" s="112">
        <v>23.565000000000001</v>
      </c>
      <c r="N637" s="112">
        <v>1.6495500000000003</v>
      </c>
      <c r="O637" s="204"/>
      <c r="P637" s="112"/>
      <c r="Q637" s="112"/>
      <c r="R637" s="112"/>
      <c r="S637" s="112"/>
      <c r="T637" s="112"/>
      <c r="U637" t="s">
        <v>4276</v>
      </c>
      <c r="V637" t="s">
        <v>5019</v>
      </c>
      <c r="W637" t="s">
        <v>3958</v>
      </c>
      <c r="X637" t="s">
        <v>4660</v>
      </c>
    </row>
    <row r="638" spans="1:24" x14ac:dyDescent="0.2">
      <c r="A638" t="s">
        <v>5018</v>
      </c>
      <c r="B638" t="s">
        <v>337</v>
      </c>
      <c r="C638" t="s">
        <v>1460</v>
      </c>
      <c r="D638" t="s">
        <v>56</v>
      </c>
      <c r="E638" t="s">
        <v>338</v>
      </c>
      <c r="F638" t="s">
        <v>26</v>
      </c>
      <c r="G638" s="202">
        <v>1233.3820000000001</v>
      </c>
      <c r="H638">
        <v>4</v>
      </c>
      <c r="I638" t="s">
        <v>4017</v>
      </c>
      <c r="J638" t="s">
        <v>4851</v>
      </c>
      <c r="K638" t="s">
        <v>1283</v>
      </c>
      <c r="L638" s="204">
        <v>0.05</v>
      </c>
      <c r="M638" s="112">
        <v>23.565000000000001</v>
      </c>
      <c r="N638" s="112">
        <v>1.17825</v>
      </c>
      <c r="O638" s="204"/>
      <c r="P638" s="112"/>
      <c r="Q638" s="112"/>
      <c r="R638" s="112"/>
      <c r="S638" s="112"/>
      <c r="T638" s="112"/>
      <c r="U638" t="s">
        <v>4276</v>
      </c>
      <c r="V638" t="s">
        <v>5019</v>
      </c>
      <c r="W638" t="s">
        <v>3958</v>
      </c>
      <c r="X638" t="s">
        <v>4660</v>
      </c>
    </row>
    <row r="639" spans="1:24" x14ac:dyDescent="0.2">
      <c r="A639" t="s">
        <v>5018</v>
      </c>
      <c r="B639" t="s">
        <v>337</v>
      </c>
      <c r="C639" t="s">
        <v>1460</v>
      </c>
      <c r="D639" t="s">
        <v>56</v>
      </c>
      <c r="E639" t="s">
        <v>338</v>
      </c>
      <c r="F639" t="s">
        <v>26</v>
      </c>
      <c r="G639" s="202">
        <v>1233.3820000000001</v>
      </c>
      <c r="H639">
        <v>5</v>
      </c>
      <c r="I639" t="s">
        <v>3968</v>
      </c>
      <c r="J639" t="s">
        <v>3969</v>
      </c>
      <c r="K639" t="s">
        <v>26</v>
      </c>
      <c r="L639" s="204">
        <v>1</v>
      </c>
      <c r="M639" s="112"/>
      <c r="N639" s="112">
        <v>23.565000000000001</v>
      </c>
      <c r="O639" s="204">
        <v>0.22215144081281091</v>
      </c>
      <c r="P639" s="112">
        <v>5.2349987027538916</v>
      </c>
      <c r="Q639" s="112">
        <v>28.799998702753893</v>
      </c>
      <c r="R639" s="112">
        <v>35521.4</v>
      </c>
      <c r="S639" s="112">
        <v>35521.4</v>
      </c>
      <c r="T639" s="112">
        <v>0</v>
      </c>
      <c r="U639" t="s">
        <v>4276</v>
      </c>
      <c r="V639" t="s">
        <v>5019</v>
      </c>
      <c r="W639" t="s">
        <v>4666</v>
      </c>
      <c r="X639" t="s">
        <v>4667</v>
      </c>
    </row>
    <row r="640" spans="1:24" x14ac:dyDescent="0.2">
      <c r="A640" t="s">
        <v>5020</v>
      </c>
      <c r="B640" t="s">
        <v>339</v>
      </c>
      <c r="C640" t="s">
        <v>340</v>
      </c>
      <c r="D640" t="s">
        <v>317</v>
      </c>
      <c r="E640" t="s">
        <v>1461</v>
      </c>
      <c r="F640" t="s">
        <v>342</v>
      </c>
      <c r="G640" s="202">
        <v>10.5</v>
      </c>
      <c r="H640">
        <v>1</v>
      </c>
      <c r="I640" t="s">
        <v>3954</v>
      </c>
      <c r="J640" t="s">
        <v>4992</v>
      </c>
      <c r="K640" t="s">
        <v>1283</v>
      </c>
      <c r="L640" s="204">
        <v>0.27</v>
      </c>
      <c r="M640" s="112">
        <v>89.564999999999998</v>
      </c>
      <c r="N640" s="112">
        <v>24.182550000000003</v>
      </c>
      <c r="O640" s="204"/>
      <c r="P640" s="112"/>
      <c r="Q640" s="112"/>
      <c r="R640" s="112"/>
      <c r="S640" s="112"/>
      <c r="T640" s="112"/>
      <c r="U640" t="s">
        <v>5021</v>
      </c>
      <c r="V640" t="s">
        <v>5022</v>
      </c>
      <c r="W640" t="s">
        <v>3958</v>
      </c>
      <c r="X640" t="s">
        <v>4660</v>
      </c>
    </row>
    <row r="641" spans="1:24" x14ac:dyDescent="0.2">
      <c r="A641" t="s">
        <v>5020</v>
      </c>
      <c r="B641" t="s">
        <v>339</v>
      </c>
      <c r="C641" t="s">
        <v>340</v>
      </c>
      <c r="D641" t="s">
        <v>317</v>
      </c>
      <c r="E641" t="s">
        <v>1461</v>
      </c>
      <c r="F641" t="s">
        <v>342</v>
      </c>
      <c r="G641" s="202">
        <v>10.5</v>
      </c>
      <c r="H641">
        <v>2</v>
      </c>
      <c r="I641" t="s">
        <v>3960</v>
      </c>
      <c r="J641" t="s">
        <v>4994</v>
      </c>
      <c r="K641" t="s">
        <v>1283</v>
      </c>
      <c r="L641" s="204">
        <v>0.63</v>
      </c>
      <c r="M641" s="112">
        <v>89.564999999999998</v>
      </c>
      <c r="N641" s="112">
        <v>56.42595</v>
      </c>
      <c r="O641" s="204"/>
      <c r="P641" s="112"/>
      <c r="Q641" s="112"/>
      <c r="R641" s="112"/>
      <c r="S641" s="112"/>
      <c r="T641" s="112"/>
      <c r="U641" t="s">
        <v>5021</v>
      </c>
      <c r="V641" t="s">
        <v>5022</v>
      </c>
      <c r="W641" t="s">
        <v>3958</v>
      </c>
      <c r="X641" t="s">
        <v>4660</v>
      </c>
    </row>
    <row r="642" spans="1:24" x14ac:dyDescent="0.2">
      <c r="A642" t="s">
        <v>5020</v>
      </c>
      <c r="B642" t="s">
        <v>339</v>
      </c>
      <c r="C642" t="s">
        <v>340</v>
      </c>
      <c r="D642" t="s">
        <v>317</v>
      </c>
      <c r="E642" t="s">
        <v>1461</v>
      </c>
      <c r="F642" t="s">
        <v>342</v>
      </c>
      <c r="G642" s="202">
        <v>10.5</v>
      </c>
      <c r="H642">
        <v>3</v>
      </c>
      <c r="I642" t="s">
        <v>3976</v>
      </c>
      <c r="J642" t="s">
        <v>4995</v>
      </c>
      <c r="K642" t="s">
        <v>1283</v>
      </c>
      <c r="L642" s="204">
        <v>0.05</v>
      </c>
      <c r="M642" s="112">
        <v>89.564999999999998</v>
      </c>
      <c r="N642" s="112">
        <v>4.4782500000000001</v>
      </c>
      <c r="O642" s="204"/>
      <c r="P642" s="112"/>
      <c r="Q642" s="112"/>
      <c r="R642" s="112"/>
      <c r="S642" s="112"/>
      <c r="T642" s="112"/>
      <c r="U642" t="s">
        <v>5021</v>
      </c>
      <c r="V642" t="s">
        <v>5022</v>
      </c>
      <c r="W642" t="s">
        <v>3958</v>
      </c>
      <c r="X642" t="s">
        <v>4660</v>
      </c>
    </row>
    <row r="643" spans="1:24" x14ac:dyDescent="0.2">
      <c r="A643" t="s">
        <v>5020</v>
      </c>
      <c r="B643" t="s">
        <v>339</v>
      </c>
      <c r="C643" t="s">
        <v>340</v>
      </c>
      <c r="D643" t="s">
        <v>317</v>
      </c>
      <c r="E643" t="s">
        <v>1461</v>
      </c>
      <c r="F643" t="s">
        <v>342</v>
      </c>
      <c r="G643" s="202">
        <v>10.5</v>
      </c>
      <c r="H643">
        <v>4</v>
      </c>
      <c r="I643" t="s">
        <v>4017</v>
      </c>
      <c r="J643" t="s">
        <v>4809</v>
      </c>
      <c r="K643" t="s">
        <v>1283</v>
      </c>
      <c r="L643" s="204">
        <v>0.05</v>
      </c>
      <c r="M643" s="112">
        <v>89.564999999999998</v>
      </c>
      <c r="N643" s="112">
        <v>4.4782500000000001</v>
      </c>
      <c r="O643" s="204"/>
      <c r="P643" s="112"/>
      <c r="Q643" s="112"/>
      <c r="R643" s="112"/>
      <c r="S643" s="112"/>
      <c r="T643" s="112"/>
      <c r="U643" t="s">
        <v>5021</v>
      </c>
      <c r="V643" t="s">
        <v>5022</v>
      </c>
      <c r="W643" t="s">
        <v>3958</v>
      </c>
      <c r="X643" t="s">
        <v>4660</v>
      </c>
    </row>
    <row r="644" spans="1:24" x14ac:dyDescent="0.2">
      <c r="A644" t="s">
        <v>5020</v>
      </c>
      <c r="B644" t="s">
        <v>339</v>
      </c>
      <c r="C644" t="s">
        <v>340</v>
      </c>
      <c r="D644" t="s">
        <v>317</v>
      </c>
      <c r="E644" t="s">
        <v>1461</v>
      </c>
      <c r="F644" t="s">
        <v>342</v>
      </c>
      <c r="G644" s="202">
        <v>10.5</v>
      </c>
      <c r="H644">
        <v>5</v>
      </c>
      <c r="I644" t="s">
        <v>3968</v>
      </c>
      <c r="J644" t="s">
        <v>3969</v>
      </c>
      <c r="K644" t="s">
        <v>342</v>
      </c>
      <c r="L644" s="204">
        <v>1</v>
      </c>
      <c r="M644" s="112"/>
      <c r="N644" s="112">
        <v>89.564999999999998</v>
      </c>
      <c r="O644" s="204">
        <v>0.2222355139789407</v>
      </c>
      <c r="P644" s="112">
        <v>19.904523809523823</v>
      </c>
      <c r="Q644" s="112">
        <v>109.46952380952382</v>
      </c>
      <c r="R644" s="112">
        <v>1149.43</v>
      </c>
      <c r="S644" s="112">
        <v>1149.43</v>
      </c>
      <c r="T644" s="112">
        <v>0</v>
      </c>
      <c r="U644" t="s">
        <v>5021</v>
      </c>
      <c r="V644" t="s">
        <v>5022</v>
      </c>
      <c r="W644" t="s">
        <v>4666</v>
      </c>
      <c r="X644" t="s">
        <v>4667</v>
      </c>
    </row>
    <row r="645" spans="1:24" x14ac:dyDescent="0.2">
      <c r="A645" t="s">
        <v>5023</v>
      </c>
      <c r="B645" t="s">
        <v>345</v>
      </c>
      <c r="C645" t="s">
        <v>346</v>
      </c>
      <c r="D645" t="s">
        <v>209</v>
      </c>
      <c r="E645" t="s">
        <v>1462</v>
      </c>
      <c r="F645" t="s">
        <v>26</v>
      </c>
      <c r="G645" s="202">
        <v>135.49</v>
      </c>
      <c r="H645">
        <v>1</v>
      </c>
      <c r="I645" t="s">
        <v>3954</v>
      </c>
      <c r="J645" t="s">
        <v>4804</v>
      </c>
      <c r="K645" t="s">
        <v>1283</v>
      </c>
      <c r="L645" s="204">
        <v>0.28000000000000003</v>
      </c>
      <c r="M645" s="112">
        <v>447.85500000000002</v>
      </c>
      <c r="N645" s="112">
        <v>125.39940000000001</v>
      </c>
      <c r="O645" s="204"/>
      <c r="P645" s="112"/>
      <c r="Q645" s="112"/>
      <c r="R645" s="112"/>
      <c r="S645" s="112"/>
      <c r="T645" s="112"/>
      <c r="U645" t="s">
        <v>4162</v>
      </c>
      <c r="V645" t="s">
        <v>5024</v>
      </c>
      <c r="W645" t="s">
        <v>3958</v>
      </c>
      <c r="X645" t="s">
        <v>4660</v>
      </c>
    </row>
    <row r="646" spans="1:24" x14ac:dyDescent="0.2">
      <c r="A646" t="s">
        <v>5023</v>
      </c>
      <c r="B646" t="s">
        <v>345</v>
      </c>
      <c r="C646" t="s">
        <v>346</v>
      </c>
      <c r="D646" t="s">
        <v>209</v>
      </c>
      <c r="E646" t="s">
        <v>1462</v>
      </c>
      <c r="F646" t="s">
        <v>26</v>
      </c>
      <c r="G646" s="202">
        <v>135.49</v>
      </c>
      <c r="H646">
        <v>2</v>
      </c>
      <c r="I646" t="s">
        <v>3960</v>
      </c>
      <c r="J646" t="s">
        <v>4807</v>
      </c>
      <c r="K646" t="s">
        <v>1283</v>
      </c>
      <c r="L646" s="204">
        <v>0.56000000000000005</v>
      </c>
      <c r="M646" s="112">
        <v>447.85500000000002</v>
      </c>
      <c r="N646" s="112">
        <v>250.79880000000003</v>
      </c>
      <c r="O646" s="204"/>
      <c r="P646" s="112"/>
      <c r="Q646" s="112"/>
      <c r="R646" s="112"/>
      <c r="S646" s="112"/>
      <c r="T646" s="112"/>
      <c r="U646" t="s">
        <v>4162</v>
      </c>
      <c r="V646" t="s">
        <v>5024</v>
      </c>
      <c r="W646" t="s">
        <v>3958</v>
      </c>
      <c r="X646" t="s">
        <v>4660</v>
      </c>
    </row>
    <row r="647" spans="1:24" x14ac:dyDescent="0.2">
      <c r="A647" t="s">
        <v>5023</v>
      </c>
      <c r="B647" t="s">
        <v>345</v>
      </c>
      <c r="C647" t="s">
        <v>346</v>
      </c>
      <c r="D647" t="s">
        <v>209</v>
      </c>
      <c r="E647" t="s">
        <v>1462</v>
      </c>
      <c r="F647" t="s">
        <v>26</v>
      </c>
      <c r="G647" s="202">
        <v>135.49</v>
      </c>
      <c r="H647">
        <v>3</v>
      </c>
      <c r="I647" t="s">
        <v>3962</v>
      </c>
      <c r="J647" t="s">
        <v>4808</v>
      </c>
      <c r="K647" t="s">
        <v>1283</v>
      </c>
      <c r="L647" s="204">
        <v>0.1</v>
      </c>
      <c r="M647" s="112">
        <v>447.85500000000002</v>
      </c>
      <c r="N647" s="112">
        <v>44.785500000000006</v>
      </c>
      <c r="O647" s="204"/>
      <c r="P647" s="112"/>
      <c r="Q647" s="112"/>
      <c r="R647" s="112"/>
      <c r="S647" s="112"/>
      <c r="T647" s="112"/>
      <c r="U647" t="s">
        <v>4162</v>
      </c>
      <c r="V647" t="s">
        <v>5024</v>
      </c>
      <c r="W647" t="s">
        <v>3958</v>
      </c>
      <c r="X647" t="s">
        <v>4660</v>
      </c>
    </row>
    <row r="648" spans="1:24" x14ac:dyDescent="0.2">
      <c r="A648" t="s">
        <v>5023</v>
      </c>
      <c r="B648" t="s">
        <v>345</v>
      </c>
      <c r="C648" t="s">
        <v>346</v>
      </c>
      <c r="D648" t="s">
        <v>209</v>
      </c>
      <c r="E648" t="s">
        <v>1462</v>
      </c>
      <c r="F648" t="s">
        <v>26</v>
      </c>
      <c r="G648" s="202">
        <v>135.49</v>
      </c>
      <c r="H648">
        <v>4</v>
      </c>
      <c r="I648" t="s">
        <v>4017</v>
      </c>
      <c r="J648" t="s">
        <v>4809</v>
      </c>
      <c r="K648" t="s">
        <v>1283</v>
      </c>
      <c r="L648" s="204">
        <v>0.06</v>
      </c>
      <c r="M648" s="112">
        <v>447.85500000000002</v>
      </c>
      <c r="N648" s="112">
        <v>26.871300000000002</v>
      </c>
      <c r="O648" s="204"/>
      <c r="P648" s="112"/>
      <c r="Q648" s="112"/>
      <c r="R648" s="112"/>
      <c r="S648" s="112"/>
      <c r="T648" s="112"/>
      <c r="U648" t="s">
        <v>4162</v>
      </c>
      <c r="V648" t="s">
        <v>5024</v>
      </c>
      <c r="W648" t="s">
        <v>3958</v>
      </c>
      <c r="X648" t="s">
        <v>4660</v>
      </c>
    </row>
    <row r="649" spans="1:24" x14ac:dyDescent="0.2">
      <c r="A649" t="s">
        <v>5023</v>
      </c>
      <c r="B649" t="s">
        <v>345</v>
      </c>
      <c r="C649" t="s">
        <v>346</v>
      </c>
      <c r="D649" t="s">
        <v>209</v>
      </c>
      <c r="E649" t="s">
        <v>1462</v>
      </c>
      <c r="F649" t="s">
        <v>26</v>
      </c>
      <c r="G649" s="202">
        <v>135.49</v>
      </c>
      <c r="H649">
        <v>5</v>
      </c>
      <c r="I649" t="s">
        <v>3968</v>
      </c>
      <c r="J649" t="s">
        <v>3969</v>
      </c>
      <c r="K649" t="s">
        <v>26</v>
      </c>
      <c r="L649" s="204">
        <v>1</v>
      </c>
      <c r="M649" s="112"/>
      <c r="N649" s="112">
        <v>447.85500000000002</v>
      </c>
      <c r="O649" s="204">
        <v>0.22229291479930624</v>
      </c>
      <c r="P649" s="112">
        <v>99.554993357443323</v>
      </c>
      <c r="Q649" s="112">
        <v>547.40999335744334</v>
      </c>
      <c r="R649" s="112">
        <v>74168.58</v>
      </c>
      <c r="S649" s="112">
        <v>74168.58</v>
      </c>
      <c r="T649" s="112">
        <v>0</v>
      </c>
      <c r="U649" t="s">
        <v>4162</v>
      </c>
      <c r="V649" t="s">
        <v>5024</v>
      </c>
      <c r="W649" t="s">
        <v>4666</v>
      </c>
      <c r="X649" t="s">
        <v>4667</v>
      </c>
    </row>
    <row r="650" spans="1:24" x14ac:dyDescent="0.2">
      <c r="A650" t="s">
        <v>5025</v>
      </c>
      <c r="B650" t="s">
        <v>348</v>
      </c>
      <c r="C650" t="s">
        <v>349</v>
      </c>
      <c r="D650" t="s">
        <v>209</v>
      </c>
      <c r="E650" t="s">
        <v>350</v>
      </c>
      <c r="F650" t="s">
        <v>26</v>
      </c>
      <c r="G650" s="202">
        <v>592.59400000000005</v>
      </c>
      <c r="H650">
        <v>1</v>
      </c>
      <c r="I650" t="s">
        <v>3954</v>
      </c>
      <c r="J650" t="s">
        <v>4992</v>
      </c>
      <c r="K650" t="s">
        <v>1283</v>
      </c>
      <c r="L650" s="204">
        <v>0.27</v>
      </c>
      <c r="M650" s="112">
        <v>175.58250000000001</v>
      </c>
      <c r="N650" s="112">
        <v>47.407275000000006</v>
      </c>
      <c r="O650" s="204"/>
      <c r="P650" s="112"/>
      <c r="Q650" s="112"/>
      <c r="R650" s="112"/>
      <c r="S650" s="112"/>
      <c r="T650" s="112"/>
      <c r="U650" t="s">
        <v>4050</v>
      </c>
      <c r="V650" t="s">
        <v>5026</v>
      </c>
      <c r="W650" t="s">
        <v>3958</v>
      </c>
      <c r="X650" t="s">
        <v>4660</v>
      </c>
    </row>
    <row r="651" spans="1:24" x14ac:dyDescent="0.2">
      <c r="A651" t="s">
        <v>5025</v>
      </c>
      <c r="B651" t="s">
        <v>348</v>
      </c>
      <c r="C651" t="s">
        <v>349</v>
      </c>
      <c r="D651" t="s">
        <v>209</v>
      </c>
      <c r="E651" t="s">
        <v>350</v>
      </c>
      <c r="F651" t="s">
        <v>26</v>
      </c>
      <c r="G651" s="202">
        <v>592.59400000000005</v>
      </c>
      <c r="H651">
        <v>2</v>
      </c>
      <c r="I651" t="s">
        <v>3960</v>
      </c>
      <c r="J651" t="s">
        <v>4994</v>
      </c>
      <c r="K651" t="s">
        <v>1283</v>
      </c>
      <c r="L651" s="204">
        <v>0.63</v>
      </c>
      <c r="M651" s="112">
        <v>175.58250000000001</v>
      </c>
      <c r="N651" s="112">
        <v>110.61697500000001</v>
      </c>
      <c r="O651" s="204"/>
      <c r="P651" s="112"/>
      <c r="Q651" s="112"/>
      <c r="R651" s="112"/>
      <c r="S651" s="112"/>
      <c r="T651" s="112"/>
      <c r="U651" t="s">
        <v>4050</v>
      </c>
      <c r="V651" t="s">
        <v>5026</v>
      </c>
      <c r="W651" t="s">
        <v>3958</v>
      </c>
      <c r="X651" t="s">
        <v>4660</v>
      </c>
    </row>
    <row r="652" spans="1:24" x14ac:dyDescent="0.2">
      <c r="A652" t="s">
        <v>5025</v>
      </c>
      <c r="B652" t="s">
        <v>348</v>
      </c>
      <c r="C652" t="s">
        <v>349</v>
      </c>
      <c r="D652" t="s">
        <v>209</v>
      </c>
      <c r="E652" t="s">
        <v>350</v>
      </c>
      <c r="F652" t="s">
        <v>26</v>
      </c>
      <c r="G652" s="202">
        <v>592.59400000000005</v>
      </c>
      <c r="H652">
        <v>3</v>
      </c>
      <c r="I652" t="s">
        <v>3976</v>
      </c>
      <c r="J652" t="s">
        <v>4995</v>
      </c>
      <c r="K652" t="s">
        <v>1283</v>
      </c>
      <c r="L652" s="204">
        <v>0.05</v>
      </c>
      <c r="M652" s="112">
        <v>175.58250000000001</v>
      </c>
      <c r="N652" s="112">
        <v>8.7791250000000005</v>
      </c>
      <c r="O652" s="204"/>
      <c r="P652" s="112"/>
      <c r="Q652" s="112"/>
      <c r="R652" s="112"/>
      <c r="S652" s="112"/>
      <c r="T652" s="112"/>
      <c r="U652" t="s">
        <v>4050</v>
      </c>
      <c r="V652" t="s">
        <v>5026</v>
      </c>
      <c r="W652" t="s">
        <v>3958</v>
      </c>
      <c r="X652" t="s">
        <v>4660</v>
      </c>
    </row>
    <row r="653" spans="1:24" x14ac:dyDescent="0.2">
      <c r="A653" t="s">
        <v>5025</v>
      </c>
      <c r="B653" t="s">
        <v>348</v>
      </c>
      <c r="C653" t="s">
        <v>349</v>
      </c>
      <c r="D653" t="s">
        <v>209</v>
      </c>
      <c r="E653" t="s">
        <v>350</v>
      </c>
      <c r="F653" t="s">
        <v>26</v>
      </c>
      <c r="G653" s="202">
        <v>592.59400000000005</v>
      </c>
      <c r="H653">
        <v>4</v>
      </c>
      <c r="I653" t="s">
        <v>4017</v>
      </c>
      <c r="J653" t="s">
        <v>4809</v>
      </c>
      <c r="K653" t="s">
        <v>1283</v>
      </c>
      <c r="L653" s="204">
        <v>0.05</v>
      </c>
      <c r="M653" s="112">
        <v>175.58250000000001</v>
      </c>
      <c r="N653" s="112">
        <v>8.7791250000000005</v>
      </c>
      <c r="O653" s="204"/>
      <c r="P653" s="112"/>
      <c r="Q653" s="112"/>
      <c r="R653" s="112"/>
      <c r="S653" s="112"/>
      <c r="T653" s="112"/>
      <c r="U653" t="s">
        <v>4050</v>
      </c>
      <c r="V653" t="s">
        <v>5026</v>
      </c>
      <c r="W653" t="s">
        <v>3958</v>
      </c>
      <c r="X653" t="s">
        <v>4660</v>
      </c>
    </row>
    <row r="654" spans="1:24" x14ac:dyDescent="0.2">
      <c r="A654" t="s">
        <v>5025</v>
      </c>
      <c r="B654" t="s">
        <v>348</v>
      </c>
      <c r="C654" t="s">
        <v>349</v>
      </c>
      <c r="D654" t="s">
        <v>209</v>
      </c>
      <c r="E654" t="s">
        <v>350</v>
      </c>
      <c r="F654" t="s">
        <v>26</v>
      </c>
      <c r="G654" s="202">
        <v>592.59400000000005</v>
      </c>
      <c r="H654">
        <v>5</v>
      </c>
      <c r="I654" t="s">
        <v>3968</v>
      </c>
      <c r="J654" t="s">
        <v>3969</v>
      </c>
      <c r="K654" t="s">
        <v>26</v>
      </c>
      <c r="L654" s="204">
        <v>1</v>
      </c>
      <c r="M654" s="112"/>
      <c r="N654" s="112">
        <v>175.58250000000001</v>
      </c>
      <c r="O654" s="204">
        <v>0.22228857329376139</v>
      </c>
      <c r="P654" s="112">
        <v>39.029983420351869</v>
      </c>
      <c r="Q654" s="112">
        <v>214.61248342035188</v>
      </c>
      <c r="R654" s="112">
        <v>127178.07</v>
      </c>
      <c r="S654" s="112">
        <v>127178.07</v>
      </c>
      <c r="T654" s="112">
        <v>0</v>
      </c>
      <c r="U654" t="s">
        <v>4050</v>
      </c>
      <c r="V654" t="s">
        <v>5026</v>
      </c>
      <c r="W654" t="s">
        <v>4666</v>
      </c>
      <c r="X654" t="s">
        <v>4667</v>
      </c>
    </row>
    <row r="655" spans="1:24" x14ac:dyDescent="0.2">
      <c r="A655" t="s">
        <v>5027</v>
      </c>
      <c r="B655" t="s">
        <v>351</v>
      </c>
      <c r="C655" t="s">
        <v>1463</v>
      </c>
      <c r="D655" t="s">
        <v>209</v>
      </c>
      <c r="E655" t="s">
        <v>1464</v>
      </c>
      <c r="F655" t="s">
        <v>26</v>
      </c>
      <c r="G655" s="202">
        <v>136.19300000000001</v>
      </c>
      <c r="H655">
        <v>1</v>
      </c>
      <c r="I655" t="s">
        <v>3954</v>
      </c>
      <c r="J655" t="s">
        <v>4804</v>
      </c>
      <c r="K655" t="s">
        <v>1283</v>
      </c>
      <c r="L655" s="204">
        <v>0.28000000000000003</v>
      </c>
      <c r="M655" s="112">
        <v>281.80500000000001</v>
      </c>
      <c r="N655" s="112">
        <v>78.905400000000014</v>
      </c>
      <c r="O655" s="204"/>
      <c r="P655" s="112"/>
      <c r="Q655" s="112"/>
      <c r="R655" s="112"/>
      <c r="S655" s="112"/>
      <c r="T655" s="112"/>
      <c r="U655" t="s">
        <v>4230</v>
      </c>
      <c r="V655" t="s">
        <v>5028</v>
      </c>
      <c r="W655" t="s">
        <v>3958</v>
      </c>
      <c r="X655" t="s">
        <v>4660</v>
      </c>
    </row>
    <row r="656" spans="1:24" x14ac:dyDescent="0.2">
      <c r="A656" t="s">
        <v>5027</v>
      </c>
      <c r="B656" t="s">
        <v>351</v>
      </c>
      <c r="C656" t="s">
        <v>1463</v>
      </c>
      <c r="D656" t="s">
        <v>209</v>
      </c>
      <c r="E656" t="s">
        <v>1464</v>
      </c>
      <c r="F656" t="s">
        <v>26</v>
      </c>
      <c r="G656" s="202">
        <v>136.19300000000001</v>
      </c>
      <c r="H656">
        <v>2</v>
      </c>
      <c r="I656" t="s">
        <v>3960</v>
      </c>
      <c r="J656" t="s">
        <v>4807</v>
      </c>
      <c r="K656" t="s">
        <v>1283</v>
      </c>
      <c r="L656" s="204">
        <v>0.56000000000000005</v>
      </c>
      <c r="M656" s="112">
        <v>281.80500000000001</v>
      </c>
      <c r="N656" s="112">
        <v>157.81080000000003</v>
      </c>
      <c r="O656" s="204"/>
      <c r="P656" s="112"/>
      <c r="Q656" s="112"/>
      <c r="R656" s="112"/>
      <c r="S656" s="112"/>
      <c r="T656" s="112"/>
      <c r="U656" t="s">
        <v>4230</v>
      </c>
      <c r="V656" t="s">
        <v>5028</v>
      </c>
      <c r="W656" t="s">
        <v>3958</v>
      </c>
      <c r="X656" t="s">
        <v>4660</v>
      </c>
    </row>
    <row r="657" spans="1:24" x14ac:dyDescent="0.2">
      <c r="A657" t="s">
        <v>5027</v>
      </c>
      <c r="B657" t="s">
        <v>351</v>
      </c>
      <c r="C657" t="s">
        <v>1463</v>
      </c>
      <c r="D657" t="s">
        <v>209</v>
      </c>
      <c r="E657" t="s">
        <v>1464</v>
      </c>
      <c r="F657" t="s">
        <v>26</v>
      </c>
      <c r="G657" s="202">
        <v>136.19300000000001</v>
      </c>
      <c r="H657">
        <v>3</v>
      </c>
      <c r="I657" t="s">
        <v>3962</v>
      </c>
      <c r="J657" t="s">
        <v>4808</v>
      </c>
      <c r="K657" t="s">
        <v>1283</v>
      </c>
      <c r="L657" s="204">
        <v>0.1</v>
      </c>
      <c r="M657" s="112">
        <v>281.80500000000001</v>
      </c>
      <c r="N657" s="112">
        <v>28.180500000000002</v>
      </c>
      <c r="O657" s="204"/>
      <c r="P657" s="112"/>
      <c r="Q657" s="112"/>
      <c r="R657" s="112"/>
      <c r="S657" s="112"/>
      <c r="T657" s="112"/>
      <c r="U657" t="s">
        <v>4230</v>
      </c>
      <c r="V657" t="s">
        <v>5028</v>
      </c>
      <c r="W657" t="s">
        <v>3958</v>
      </c>
      <c r="X657" t="s">
        <v>4660</v>
      </c>
    </row>
    <row r="658" spans="1:24" x14ac:dyDescent="0.2">
      <c r="A658" t="s">
        <v>5027</v>
      </c>
      <c r="B658" t="s">
        <v>351</v>
      </c>
      <c r="C658" t="s">
        <v>1463</v>
      </c>
      <c r="D658" t="s">
        <v>209</v>
      </c>
      <c r="E658" t="s">
        <v>1464</v>
      </c>
      <c r="F658" t="s">
        <v>26</v>
      </c>
      <c r="G658" s="202">
        <v>136.19300000000001</v>
      </c>
      <c r="H658">
        <v>4</v>
      </c>
      <c r="I658" t="s">
        <v>4017</v>
      </c>
      <c r="J658" t="s">
        <v>4809</v>
      </c>
      <c r="K658" t="s">
        <v>1283</v>
      </c>
      <c r="L658" s="204">
        <v>0.06</v>
      </c>
      <c r="M658" s="112">
        <v>281.80500000000001</v>
      </c>
      <c r="N658" s="112">
        <v>16.908300000000001</v>
      </c>
      <c r="O658" s="204"/>
      <c r="P658" s="112"/>
      <c r="Q658" s="112"/>
      <c r="R658" s="112"/>
      <c r="S658" s="112"/>
      <c r="T658" s="112"/>
      <c r="U658" t="s">
        <v>4230</v>
      </c>
      <c r="V658" t="s">
        <v>5028</v>
      </c>
      <c r="W658" t="s">
        <v>3958</v>
      </c>
      <c r="X658" t="s">
        <v>4660</v>
      </c>
    </row>
    <row r="659" spans="1:24" x14ac:dyDescent="0.2">
      <c r="A659" t="s">
        <v>5027</v>
      </c>
      <c r="B659" t="s">
        <v>351</v>
      </c>
      <c r="C659" t="s">
        <v>1463</v>
      </c>
      <c r="D659" t="s">
        <v>209</v>
      </c>
      <c r="E659" t="s">
        <v>1464</v>
      </c>
      <c r="F659" t="s">
        <v>26</v>
      </c>
      <c r="G659" s="202">
        <v>136.19300000000001</v>
      </c>
      <c r="H659">
        <v>5</v>
      </c>
      <c r="I659" t="s">
        <v>3968</v>
      </c>
      <c r="J659" t="s">
        <v>3969</v>
      </c>
      <c r="K659" t="s">
        <v>26</v>
      </c>
      <c r="L659" s="204">
        <v>1</v>
      </c>
      <c r="M659" s="112"/>
      <c r="N659" s="112">
        <v>281.80500000000001</v>
      </c>
      <c r="O659" s="204">
        <v>0.22228115932726422</v>
      </c>
      <c r="P659" s="112">
        <v>62.639942104219699</v>
      </c>
      <c r="Q659" s="112">
        <v>344.44494210421971</v>
      </c>
      <c r="R659" s="112">
        <v>46910.99</v>
      </c>
      <c r="S659" s="112">
        <v>46910.99</v>
      </c>
      <c r="T659" s="112">
        <v>0</v>
      </c>
      <c r="U659" t="s">
        <v>4230</v>
      </c>
      <c r="V659" t="s">
        <v>5028</v>
      </c>
      <c r="W659" t="s">
        <v>4666</v>
      </c>
      <c r="X659" t="s">
        <v>4667</v>
      </c>
    </row>
    <row r="660" spans="1:24" x14ac:dyDescent="0.2">
      <c r="A660" t="s">
        <v>5029</v>
      </c>
      <c r="B660" t="s">
        <v>356</v>
      </c>
      <c r="C660" t="s">
        <v>1465</v>
      </c>
      <c r="D660" t="s">
        <v>56</v>
      </c>
      <c r="E660" t="s">
        <v>357</v>
      </c>
      <c r="F660" t="s">
        <v>26</v>
      </c>
      <c r="G660" s="202">
        <v>1325.896</v>
      </c>
      <c r="H660">
        <v>1</v>
      </c>
      <c r="I660" t="s">
        <v>3954</v>
      </c>
      <c r="J660" t="s">
        <v>4992</v>
      </c>
      <c r="K660" t="s">
        <v>1283</v>
      </c>
      <c r="L660" s="204">
        <v>0.27</v>
      </c>
      <c r="M660" s="112">
        <v>92.97</v>
      </c>
      <c r="N660" s="112">
        <v>25.101900000000001</v>
      </c>
      <c r="O660" s="204"/>
      <c r="P660" s="112"/>
      <c r="Q660" s="112"/>
      <c r="R660" s="112"/>
      <c r="S660" s="112"/>
      <c r="T660" s="112"/>
      <c r="U660" t="s">
        <v>4025</v>
      </c>
      <c r="V660" t="s">
        <v>5030</v>
      </c>
      <c r="W660" t="s">
        <v>3958</v>
      </c>
      <c r="X660" t="s">
        <v>4660</v>
      </c>
    </row>
    <row r="661" spans="1:24" x14ac:dyDescent="0.2">
      <c r="A661" t="s">
        <v>5029</v>
      </c>
      <c r="B661" t="s">
        <v>356</v>
      </c>
      <c r="C661" t="s">
        <v>1465</v>
      </c>
      <c r="D661" t="s">
        <v>56</v>
      </c>
      <c r="E661" t="s">
        <v>357</v>
      </c>
      <c r="F661" t="s">
        <v>26</v>
      </c>
      <c r="G661" s="202">
        <v>1325.896</v>
      </c>
      <c r="H661">
        <v>2</v>
      </c>
      <c r="I661" t="s">
        <v>3960</v>
      </c>
      <c r="J661" t="s">
        <v>4994</v>
      </c>
      <c r="K661" t="s">
        <v>1283</v>
      </c>
      <c r="L661" s="204">
        <v>0.63</v>
      </c>
      <c r="M661" s="112">
        <v>92.97</v>
      </c>
      <c r="N661" s="112">
        <v>58.571100000000001</v>
      </c>
      <c r="O661" s="204"/>
      <c r="P661" s="112"/>
      <c r="Q661" s="112"/>
      <c r="R661" s="112"/>
      <c r="S661" s="112"/>
      <c r="T661" s="112"/>
      <c r="U661" t="s">
        <v>4025</v>
      </c>
      <c r="V661" t="s">
        <v>5030</v>
      </c>
      <c r="W661" t="s">
        <v>3958</v>
      </c>
      <c r="X661" t="s">
        <v>4660</v>
      </c>
    </row>
    <row r="662" spans="1:24" x14ac:dyDescent="0.2">
      <c r="A662" t="s">
        <v>5029</v>
      </c>
      <c r="B662" t="s">
        <v>356</v>
      </c>
      <c r="C662" t="s">
        <v>1465</v>
      </c>
      <c r="D662" t="s">
        <v>56</v>
      </c>
      <c r="E662" t="s">
        <v>357</v>
      </c>
      <c r="F662" t="s">
        <v>26</v>
      </c>
      <c r="G662" s="202">
        <v>1325.896</v>
      </c>
      <c r="H662">
        <v>3</v>
      </c>
      <c r="I662" t="s">
        <v>3976</v>
      </c>
      <c r="J662" t="s">
        <v>4995</v>
      </c>
      <c r="K662" t="s">
        <v>1283</v>
      </c>
      <c r="L662" s="204">
        <v>0.05</v>
      </c>
      <c r="M662" s="112">
        <v>92.97</v>
      </c>
      <c r="N662" s="112">
        <v>4.6485000000000003</v>
      </c>
      <c r="O662" s="204"/>
      <c r="P662" s="112"/>
      <c r="Q662" s="112"/>
      <c r="R662" s="112"/>
      <c r="S662" s="112"/>
      <c r="T662" s="112"/>
      <c r="U662" t="s">
        <v>4025</v>
      </c>
      <c r="V662" t="s">
        <v>5030</v>
      </c>
      <c r="W662" t="s">
        <v>3958</v>
      </c>
      <c r="X662" t="s">
        <v>4660</v>
      </c>
    </row>
    <row r="663" spans="1:24" x14ac:dyDescent="0.2">
      <c r="A663" t="s">
        <v>5029</v>
      </c>
      <c r="B663" t="s">
        <v>356</v>
      </c>
      <c r="C663" t="s">
        <v>1465</v>
      </c>
      <c r="D663" t="s">
        <v>56</v>
      </c>
      <c r="E663" t="s">
        <v>357</v>
      </c>
      <c r="F663" t="s">
        <v>26</v>
      </c>
      <c r="G663" s="202">
        <v>1325.896</v>
      </c>
      <c r="H663">
        <v>4</v>
      </c>
      <c r="I663" t="s">
        <v>4017</v>
      </c>
      <c r="J663" t="s">
        <v>4809</v>
      </c>
      <c r="K663" t="s">
        <v>1283</v>
      </c>
      <c r="L663" s="204">
        <v>0.05</v>
      </c>
      <c r="M663" s="112">
        <v>92.97</v>
      </c>
      <c r="N663" s="112">
        <v>4.6485000000000003</v>
      </c>
      <c r="O663" s="204"/>
      <c r="P663" s="112"/>
      <c r="Q663" s="112"/>
      <c r="R663" s="112"/>
      <c r="S663" s="112"/>
      <c r="T663" s="112"/>
      <c r="U663" t="s">
        <v>4025</v>
      </c>
      <c r="V663" t="s">
        <v>5030</v>
      </c>
      <c r="W663" t="s">
        <v>3958</v>
      </c>
      <c r="X663" t="s">
        <v>4660</v>
      </c>
    </row>
    <row r="664" spans="1:24" x14ac:dyDescent="0.2">
      <c r="A664" t="s">
        <v>5029</v>
      </c>
      <c r="B664" t="s">
        <v>356</v>
      </c>
      <c r="C664" t="s">
        <v>1465</v>
      </c>
      <c r="D664" t="s">
        <v>56</v>
      </c>
      <c r="E664" t="s">
        <v>357</v>
      </c>
      <c r="F664" t="s">
        <v>26</v>
      </c>
      <c r="G664" s="202">
        <v>1325.896</v>
      </c>
      <c r="H664">
        <v>5</v>
      </c>
      <c r="I664" t="s">
        <v>3968</v>
      </c>
      <c r="J664" t="s">
        <v>3969</v>
      </c>
      <c r="K664" t="s">
        <v>26</v>
      </c>
      <c r="L664" s="204">
        <v>1</v>
      </c>
      <c r="M664" s="112"/>
      <c r="N664" s="112">
        <v>92.97</v>
      </c>
      <c r="O664" s="204">
        <v>0.22224905404566742</v>
      </c>
      <c r="P664" s="112">
        <v>20.662494554625709</v>
      </c>
      <c r="Q664" s="112">
        <v>113.63249455462571</v>
      </c>
      <c r="R664" s="112">
        <v>150664.87</v>
      </c>
      <c r="S664" s="112">
        <v>150664.87</v>
      </c>
      <c r="T664" s="112">
        <v>0</v>
      </c>
      <c r="U664" t="s">
        <v>4025</v>
      </c>
      <c r="V664" t="s">
        <v>5030</v>
      </c>
      <c r="W664" t="s">
        <v>4666</v>
      </c>
      <c r="X664" t="s">
        <v>4667</v>
      </c>
    </row>
    <row r="665" spans="1:24" x14ac:dyDescent="0.2">
      <c r="A665" t="s">
        <v>5031</v>
      </c>
      <c r="B665" t="s">
        <v>358</v>
      </c>
      <c r="C665" t="s">
        <v>1466</v>
      </c>
      <c r="D665" t="s">
        <v>56</v>
      </c>
      <c r="E665" t="s">
        <v>359</v>
      </c>
      <c r="F665" t="s">
        <v>26</v>
      </c>
      <c r="G665" s="202">
        <v>29.904</v>
      </c>
      <c r="H665">
        <v>1</v>
      </c>
      <c r="I665" t="s">
        <v>3954</v>
      </c>
      <c r="J665" t="s">
        <v>4992</v>
      </c>
      <c r="K665" t="s">
        <v>1283</v>
      </c>
      <c r="L665" s="204">
        <v>0.27</v>
      </c>
      <c r="M665" s="112">
        <v>63.510000000000005</v>
      </c>
      <c r="N665" s="112">
        <v>17.147700000000004</v>
      </c>
      <c r="O665" s="204"/>
      <c r="P665" s="112"/>
      <c r="Q665" s="112"/>
      <c r="R665" s="112"/>
      <c r="S665" s="112"/>
      <c r="T665" s="112"/>
      <c r="U665" t="s">
        <v>5032</v>
      </c>
      <c r="V665" t="s">
        <v>5033</v>
      </c>
      <c r="W665" t="s">
        <v>3958</v>
      </c>
      <c r="X665" t="s">
        <v>4660</v>
      </c>
    </row>
    <row r="666" spans="1:24" x14ac:dyDescent="0.2">
      <c r="A666" t="s">
        <v>5031</v>
      </c>
      <c r="B666" t="s">
        <v>358</v>
      </c>
      <c r="C666" t="s">
        <v>1466</v>
      </c>
      <c r="D666" t="s">
        <v>56</v>
      </c>
      <c r="E666" t="s">
        <v>359</v>
      </c>
      <c r="F666" t="s">
        <v>26</v>
      </c>
      <c r="G666" s="202">
        <v>29.904</v>
      </c>
      <c r="H666">
        <v>2</v>
      </c>
      <c r="I666" t="s">
        <v>3960</v>
      </c>
      <c r="J666" t="s">
        <v>4994</v>
      </c>
      <c r="K666" t="s">
        <v>1283</v>
      </c>
      <c r="L666" s="204">
        <v>0.63</v>
      </c>
      <c r="M666" s="112">
        <v>63.510000000000005</v>
      </c>
      <c r="N666" s="112">
        <v>40.011300000000006</v>
      </c>
      <c r="O666" s="204"/>
      <c r="P666" s="112"/>
      <c r="Q666" s="112"/>
      <c r="R666" s="112"/>
      <c r="S666" s="112"/>
      <c r="T666" s="112"/>
      <c r="U666" t="s">
        <v>5032</v>
      </c>
      <c r="V666" t="s">
        <v>5033</v>
      </c>
      <c r="W666" t="s">
        <v>3958</v>
      </c>
      <c r="X666" t="s">
        <v>4660</v>
      </c>
    </row>
    <row r="667" spans="1:24" x14ac:dyDescent="0.2">
      <c r="A667" t="s">
        <v>5031</v>
      </c>
      <c r="B667" t="s">
        <v>358</v>
      </c>
      <c r="C667" t="s">
        <v>1466</v>
      </c>
      <c r="D667" t="s">
        <v>56</v>
      </c>
      <c r="E667" t="s">
        <v>359</v>
      </c>
      <c r="F667" t="s">
        <v>26</v>
      </c>
      <c r="G667" s="202">
        <v>29.904</v>
      </c>
      <c r="H667">
        <v>3</v>
      </c>
      <c r="I667" t="s">
        <v>3976</v>
      </c>
      <c r="J667" t="s">
        <v>4995</v>
      </c>
      <c r="K667" t="s">
        <v>1283</v>
      </c>
      <c r="L667" s="204">
        <v>0.05</v>
      </c>
      <c r="M667" s="112">
        <v>63.510000000000005</v>
      </c>
      <c r="N667" s="112">
        <v>3.1755000000000004</v>
      </c>
      <c r="O667" s="204"/>
      <c r="P667" s="112"/>
      <c r="Q667" s="112"/>
      <c r="R667" s="112"/>
      <c r="S667" s="112"/>
      <c r="T667" s="112"/>
      <c r="U667" t="s">
        <v>5032</v>
      </c>
      <c r="V667" t="s">
        <v>5033</v>
      </c>
      <c r="W667" t="s">
        <v>3958</v>
      </c>
      <c r="X667" t="s">
        <v>4660</v>
      </c>
    </row>
    <row r="668" spans="1:24" x14ac:dyDescent="0.2">
      <c r="A668" t="s">
        <v>5031</v>
      </c>
      <c r="B668" t="s">
        <v>358</v>
      </c>
      <c r="C668" t="s">
        <v>1466</v>
      </c>
      <c r="D668" t="s">
        <v>56</v>
      </c>
      <c r="E668" t="s">
        <v>359</v>
      </c>
      <c r="F668" t="s">
        <v>26</v>
      </c>
      <c r="G668" s="202">
        <v>29.904</v>
      </c>
      <c r="H668">
        <v>4</v>
      </c>
      <c r="I668" t="s">
        <v>4017</v>
      </c>
      <c r="J668" t="s">
        <v>4809</v>
      </c>
      <c r="K668" t="s">
        <v>1283</v>
      </c>
      <c r="L668" s="204">
        <v>0.05</v>
      </c>
      <c r="M668" s="112">
        <v>63.510000000000005</v>
      </c>
      <c r="N668" s="112">
        <v>3.1755000000000004</v>
      </c>
      <c r="O668" s="204"/>
      <c r="P668" s="112"/>
      <c r="Q668" s="112"/>
      <c r="R668" s="112"/>
      <c r="S668" s="112"/>
      <c r="T668" s="112"/>
      <c r="U668" t="s">
        <v>5032</v>
      </c>
      <c r="V668" t="s">
        <v>5033</v>
      </c>
      <c r="W668" t="s">
        <v>3958</v>
      </c>
      <c r="X668" t="s">
        <v>4660</v>
      </c>
    </row>
    <row r="669" spans="1:24" x14ac:dyDescent="0.2">
      <c r="A669" t="s">
        <v>5031</v>
      </c>
      <c r="B669" t="s">
        <v>358</v>
      </c>
      <c r="C669" t="s">
        <v>1466</v>
      </c>
      <c r="D669" t="s">
        <v>56</v>
      </c>
      <c r="E669" t="s">
        <v>359</v>
      </c>
      <c r="F669" t="s">
        <v>26</v>
      </c>
      <c r="G669" s="202">
        <v>29.904</v>
      </c>
      <c r="H669">
        <v>5</v>
      </c>
      <c r="I669" t="s">
        <v>3968</v>
      </c>
      <c r="J669" t="s">
        <v>3969</v>
      </c>
      <c r="K669" t="s">
        <v>26</v>
      </c>
      <c r="L669" s="204">
        <v>1</v>
      </c>
      <c r="M669" s="112"/>
      <c r="N669" s="112">
        <v>63.510000000000005</v>
      </c>
      <c r="O669" s="204">
        <v>0.22224425251551816</v>
      </c>
      <c r="P669" s="112">
        <v>14.11473247726056</v>
      </c>
      <c r="Q669" s="112">
        <v>77.624732477260565</v>
      </c>
      <c r="R669" s="112">
        <v>2321.29</v>
      </c>
      <c r="S669" s="112">
        <v>2321.29</v>
      </c>
      <c r="T669" s="112">
        <v>0</v>
      </c>
      <c r="U669" t="s">
        <v>5032</v>
      </c>
      <c r="V669" t="s">
        <v>5033</v>
      </c>
      <c r="W669" t="s">
        <v>4666</v>
      </c>
      <c r="X669" t="s">
        <v>4667</v>
      </c>
    </row>
    <row r="670" spans="1:24" x14ac:dyDescent="0.2">
      <c r="A670" t="s">
        <v>5034</v>
      </c>
      <c r="B670" t="s">
        <v>360</v>
      </c>
      <c r="C670" t="s">
        <v>1467</v>
      </c>
      <c r="D670" t="s">
        <v>56</v>
      </c>
      <c r="E670" t="s">
        <v>1468</v>
      </c>
      <c r="F670" t="s">
        <v>26</v>
      </c>
      <c r="G670" s="202">
        <v>19.806999999999999</v>
      </c>
      <c r="H670">
        <v>1</v>
      </c>
      <c r="I670" t="s">
        <v>3954</v>
      </c>
      <c r="J670" t="s">
        <v>4992</v>
      </c>
      <c r="K670" t="s">
        <v>1283</v>
      </c>
      <c r="L670" s="204">
        <v>0.27</v>
      </c>
      <c r="M670" s="112">
        <v>59.107500000000002</v>
      </c>
      <c r="N670" s="112">
        <v>15.959025000000002</v>
      </c>
      <c r="O670" s="204"/>
      <c r="P670" s="112"/>
      <c r="Q670" s="112"/>
      <c r="R670" s="112"/>
      <c r="S670" s="112"/>
      <c r="T670" s="112"/>
      <c r="U670" t="s">
        <v>5035</v>
      </c>
      <c r="V670" t="s">
        <v>5036</v>
      </c>
      <c r="W670" t="s">
        <v>3958</v>
      </c>
      <c r="X670" t="s">
        <v>4660</v>
      </c>
    </row>
    <row r="671" spans="1:24" x14ac:dyDescent="0.2">
      <c r="A671" t="s">
        <v>5034</v>
      </c>
      <c r="B671" t="s">
        <v>360</v>
      </c>
      <c r="C671" t="s">
        <v>1467</v>
      </c>
      <c r="D671" t="s">
        <v>56</v>
      </c>
      <c r="E671" t="s">
        <v>1468</v>
      </c>
      <c r="F671" t="s">
        <v>26</v>
      </c>
      <c r="G671" s="202">
        <v>19.806999999999999</v>
      </c>
      <c r="H671">
        <v>2</v>
      </c>
      <c r="I671" t="s">
        <v>3960</v>
      </c>
      <c r="J671" t="s">
        <v>4994</v>
      </c>
      <c r="K671" t="s">
        <v>1283</v>
      </c>
      <c r="L671" s="204">
        <v>0.63</v>
      </c>
      <c r="M671" s="112">
        <v>59.107500000000002</v>
      </c>
      <c r="N671" s="112">
        <v>37.237725000000005</v>
      </c>
      <c r="O671" s="204"/>
      <c r="P671" s="112"/>
      <c r="Q671" s="112"/>
      <c r="R671" s="112"/>
      <c r="S671" s="112"/>
      <c r="T671" s="112"/>
      <c r="U671" t="s">
        <v>5035</v>
      </c>
      <c r="V671" t="s">
        <v>5036</v>
      </c>
      <c r="W671" t="s">
        <v>3958</v>
      </c>
      <c r="X671" t="s">
        <v>4660</v>
      </c>
    </row>
    <row r="672" spans="1:24" x14ac:dyDescent="0.2">
      <c r="A672" t="s">
        <v>5034</v>
      </c>
      <c r="B672" t="s">
        <v>360</v>
      </c>
      <c r="C672" t="s">
        <v>1467</v>
      </c>
      <c r="D672" t="s">
        <v>56</v>
      </c>
      <c r="E672" t="s">
        <v>1468</v>
      </c>
      <c r="F672" t="s">
        <v>26</v>
      </c>
      <c r="G672" s="202">
        <v>19.806999999999999</v>
      </c>
      <c r="H672">
        <v>3</v>
      </c>
      <c r="I672" t="s">
        <v>3976</v>
      </c>
      <c r="J672" t="s">
        <v>4995</v>
      </c>
      <c r="K672" t="s">
        <v>1283</v>
      </c>
      <c r="L672" s="204">
        <v>0.05</v>
      </c>
      <c r="M672" s="112">
        <v>59.107500000000002</v>
      </c>
      <c r="N672" s="112">
        <v>2.9553750000000001</v>
      </c>
      <c r="O672" s="204"/>
      <c r="P672" s="112"/>
      <c r="Q672" s="112"/>
      <c r="R672" s="112"/>
      <c r="S672" s="112"/>
      <c r="T672" s="112"/>
      <c r="U672" t="s">
        <v>5035</v>
      </c>
      <c r="V672" t="s">
        <v>5036</v>
      </c>
      <c r="W672" t="s">
        <v>3958</v>
      </c>
      <c r="X672" t="s">
        <v>4660</v>
      </c>
    </row>
    <row r="673" spans="1:24" x14ac:dyDescent="0.2">
      <c r="A673" t="s">
        <v>5034</v>
      </c>
      <c r="B673" t="s">
        <v>360</v>
      </c>
      <c r="C673" t="s">
        <v>1467</v>
      </c>
      <c r="D673" t="s">
        <v>56</v>
      </c>
      <c r="E673" t="s">
        <v>1468</v>
      </c>
      <c r="F673" t="s">
        <v>26</v>
      </c>
      <c r="G673" s="202">
        <v>19.806999999999999</v>
      </c>
      <c r="H673">
        <v>4</v>
      </c>
      <c r="I673" t="s">
        <v>4017</v>
      </c>
      <c r="J673" t="s">
        <v>4809</v>
      </c>
      <c r="K673" t="s">
        <v>1283</v>
      </c>
      <c r="L673" s="204">
        <v>0.05</v>
      </c>
      <c r="M673" s="112">
        <v>59.107500000000002</v>
      </c>
      <c r="N673" s="112">
        <v>2.9553750000000001</v>
      </c>
      <c r="O673" s="204"/>
      <c r="P673" s="112"/>
      <c r="Q673" s="112"/>
      <c r="R673" s="112"/>
      <c r="S673" s="112"/>
      <c r="T673" s="112"/>
      <c r="U673" t="s">
        <v>5035</v>
      </c>
      <c r="V673" t="s">
        <v>5036</v>
      </c>
      <c r="W673" t="s">
        <v>3958</v>
      </c>
      <c r="X673" t="s">
        <v>4660</v>
      </c>
    </row>
    <row r="674" spans="1:24" x14ac:dyDescent="0.2">
      <c r="A674" t="s">
        <v>5034</v>
      </c>
      <c r="B674" t="s">
        <v>360</v>
      </c>
      <c r="C674" t="s">
        <v>1467</v>
      </c>
      <c r="D674" t="s">
        <v>56</v>
      </c>
      <c r="E674" t="s">
        <v>1468</v>
      </c>
      <c r="F674" t="s">
        <v>26</v>
      </c>
      <c r="G674" s="202">
        <v>19.806999999999999</v>
      </c>
      <c r="H674">
        <v>5</v>
      </c>
      <c r="I674" t="s">
        <v>3968</v>
      </c>
      <c r="J674" t="s">
        <v>3969</v>
      </c>
      <c r="K674" t="s">
        <v>26</v>
      </c>
      <c r="L674" s="204">
        <v>1</v>
      </c>
      <c r="M674" s="112"/>
      <c r="N674" s="112">
        <v>59.107500000000002</v>
      </c>
      <c r="O674" s="204">
        <v>0.22217336646436614</v>
      </c>
      <c r="P674" s="112">
        <v>13.132112258292523</v>
      </c>
      <c r="Q674" s="112">
        <v>72.239612258292524</v>
      </c>
      <c r="R674" s="112">
        <v>1430.85</v>
      </c>
      <c r="S674" s="112">
        <v>1430.85</v>
      </c>
      <c r="T674" s="112">
        <v>0</v>
      </c>
      <c r="U674" t="s">
        <v>5035</v>
      </c>
      <c r="V674" t="s">
        <v>5036</v>
      </c>
      <c r="W674" t="s">
        <v>4666</v>
      </c>
      <c r="X674" t="s">
        <v>4667</v>
      </c>
    </row>
    <row r="675" spans="1:24" x14ac:dyDescent="0.2">
      <c r="A675" t="s">
        <v>5037</v>
      </c>
      <c r="B675" t="s">
        <v>364</v>
      </c>
      <c r="C675" t="s">
        <v>1469</v>
      </c>
      <c r="D675" t="s">
        <v>56</v>
      </c>
      <c r="E675" t="s">
        <v>365</v>
      </c>
      <c r="F675" t="s">
        <v>26</v>
      </c>
      <c r="G675" s="202">
        <v>1131.93</v>
      </c>
      <c r="H675">
        <v>1</v>
      </c>
      <c r="I675" t="s">
        <v>3954</v>
      </c>
      <c r="J675" t="s">
        <v>4804</v>
      </c>
      <c r="K675" t="s">
        <v>1283</v>
      </c>
      <c r="L675" s="204">
        <v>0.28000000000000003</v>
      </c>
      <c r="M675" s="112">
        <v>34.072499999999998</v>
      </c>
      <c r="N675" s="112">
        <v>9.5403000000000002</v>
      </c>
      <c r="O675" s="204"/>
      <c r="P675" s="112"/>
      <c r="Q675" s="112"/>
      <c r="R675" s="112"/>
      <c r="S675" s="112"/>
      <c r="T675" s="112"/>
      <c r="U675" t="s">
        <v>4226</v>
      </c>
      <c r="V675" t="s">
        <v>5038</v>
      </c>
      <c r="W675" t="s">
        <v>3958</v>
      </c>
      <c r="X675" t="s">
        <v>4660</v>
      </c>
    </row>
    <row r="676" spans="1:24" x14ac:dyDescent="0.2">
      <c r="A676" t="s">
        <v>5037</v>
      </c>
      <c r="B676" t="s">
        <v>364</v>
      </c>
      <c r="C676" t="s">
        <v>1469</v>
      </c>
      <c r="D676" t="s">
        <v>56</v>
      </c>
      <c r="E676" t="s">
        <v>365</v>
      </c>
      <c r="F676" t="s">
        <v>26</v>
      </c>
      <c r="G676" s="202">
        <v>1131.93</v>
      </c>
      <c r="H676">
        <v>2</v>
      </c>
      <c r="I676" t="s">
        <v>3960</v>
      </c>
      <c r="J676" t="s">
        <v>4807</v>
      </c>
      <c r="K676" t="s">
        <v>1283</v>
      </c>
      <c r="L676" s="204">
        <v>0.56000000000000005</v>
      </c>
      <c r="M676" s="112">
        <v>34.072499999999998</v>
      </c>
      <c r="N676" s="112">
        <v>19.0806</v>
      </c>
      <c r="O676" s="204"/>
      <c r="P676" s="112"/>
      <c r="Q676" s="112"/>
      <c r="R676" s="112"/>
      <c r="S676" s="112"/>
      <c r="T676" s="112"/>
      <c r="U676" t="s">
        <v>4226</v>
      </c>
      <c r="V676" t="s">
        <v>5038</v>
      </c>
      <c r="W676" t="s">
        <v>3958</v>
      </c>
      <c r="X676" t="s">
        <v>4660</v>
      </c>
    </row>
    <row r="677" spans="1:24" x14ac:dyDescent="0.2">
      <c r="A677" t="s">
        <v>5037</v>
      </c>
      <c r="B677" t="s">
        <v>364</v>
      </c>
      <c r="C677" t="s">
        <v>1469</v>
      </c>
      <c r="D677" t="s">
        <v>56</v>
      </c>
      <c r="E677" t="s">
        <v>365</v>
      </c>
      <c r="F677" t="s">
        <v>26</v>
      </c>
      <c r="G677" s="202">
        <v>1131.93</v>
      </c>
      <c r="H677">
        <v>3</v>
      </c>
      <c r="I677" t="s">
        <v>3962</v>
      </c>
      <c r="J677" t="s">
        <v>4808</v>
      </c>
      <c r="K677" t="s">
        <v>1283</v>
      </c>
      <c r="L677" s="204">
        <v>0.1</v>
      </c>
      <c r="M677" s="112">
        <v>34.072499999999998</v>
      </c>
      <c r="N677" s="112">
        <v>3.4072499999999999</v>
      </c>
      <c r="O677" s="204"/>
      <c r="P677" s="112"/>
      <c r="Q677" s="112"/>
      <c r="R677" s="112"/>
      <c r="S677" s="112"/>
      <c r="T677" s="112"/>
      <c r="U677" t="s">
        <v>4226</v>
      </c>
      <c r="V677" t="s">
        <v>5038</v>
      </c>
      <c r="W677" t="s">
        <v>3958</v>
      </c>
      <c r="X677" t="s">
        <v>4660</v>
      </c>
    </row>
    <row r="678" spans="1:24" x14ac:dyDescent="0.2">
      <c r="A678" t="s">
        <v>5037</v>
      </c>
      <c r="B678" t="s">
        <v>364</v>
      </c>
      <c r="C678" t="s">
        <v>1469</v>
      </c>
      <c r="D678" t="s">
        <v>56</v>
      </c>
      <c r="E678" t="s">
        <v>365</v>
      </c>
      <c r="F678" t="s">
        <v>26</v>
      </c>
      <c r="G678" s="202">
        <v>1131.93</v>
      </c>
      <c r="H678">
        <v>4</v>
      </c>
      <c r="I678" t="s">
        <v>4017</v>
      </c>
      <c r="J678" t="s">
        <v>4809</v>
      </c>
      <c r="K678" t="s">
        <v>1283</v>
      </c>
      <c r="L678" s="204">
        <v>0.06</v>
      </c>
      <c r="M678" s="112">
        <v>34.072499999999998</v>
      </c>
      <c r="N678" s="112">
        <v>2.0443499999999997</v>
      </c>
      <c r="O678" s="204"/>
      <c r="P678" s="112"/>
      <c r="Q678" s="112"/>
      <c r="R678" s="112"/>
      <c r="S678" s="112"/>
      <c r="T678" s="112"/>
      <c r="U678" t="s">
        <v>4226</v>
      </c>
      <c r="V678" t="s">
        <v>5038</v>
      </c>
      <c r="W678" t="s">
        <v>3958</v>
      </c>
      <c r="X678" t="s">
        <v>4660</v>
      </c>
    </row>
    <row r="679" spans="1:24" x14ac:dyDescent="0.2">
      <c r="A679" t="s">
        <v>5037</v>
      </c>
      <c r="B679" t="s">
        <v>364</v>
      </c>
      <c r="C679" t="s">
        <v>1469</v>
      </c>
      <c r="D679" t="s">
        <v>56</v>
      </c>
      <c r="E679" t="s">
        <v>365</v>
      </c>
      <c r="F679" t="s">
        <v>26</v>
      </c>
      <c r="G679" s="202">
        <v>1131.93</v>
      </c>
      <c r="H679">
        <v>5</v>
      </c>
      <c r="I679" t="s">
        <v>3968</v>
      </c>
      <c r="J679" t="s">
        <v>3969</v>
      </c>
      <c r="K679" t="s">
        <v>26</v>
      </c>
      <c r="L679" s="204">
        <v>1</v>
      </c>
      <c r="M679" s="112"/>
      <c r="N679" s="112">
        <v>34.072499999999998</v>
      </c>
      <c r="O679" s="204">
        <v>0.22209979913643996</v>
      </c>
      <c r="P679" s="112">
        <v>7.5674954060763469</v>
      </c>
      <c r="Q679" s="112">
        <v>41.639995406076345</v>
      </c>
      <c r="R679" s="112">
        <v>47133.56</v>
      </c>
      <c r="S679" s="112">
        <v>47133.56</v>
      </c>
      <c r="T679" s="112">
        <v>0</v>
      </c>
      <c r="U679" t="s">
        <v>4226</v>
      </c>
      <c r="V679" t="s">
        <v>5038</v>
      </c>
      <c r="W679" t="s">
        <v>4666</v>
      </c>
      <c r="X679" t="s">
        <v>4667</v>
      </c>
    </row>
    <row r="680" spans="1:24" x14ac:dyDescent="0.2">
      <c r="A680" t="s">
        <v>5039</v>
      </c>
      <c r="B680" t="s">
        <v>366</v>
      </c>
      <c r="C680" t="s">
        <v>1470</v>
      </c>
      <c r="D680" t="s">
        <v>56</v>
      </c>
      <c r="E680" t="s">
        <v>1471</v>
      </c>
      <c r="F680" t="s">
        <v>26</v>
      </c>
      <c r="G680" s="202">
        <v>262.12400000000002</v>
      </c>
      <c r="H680">
        <v>1</v>
      </c>
      <c r="I680" t="s">
        <v>3954</v>
      </c>
      <c r="J680" t="s">
        <v>4804</v>
      </c>
      <c r="K680" t="s">
        <v>1283</v>
      </c>
      <c r="L680" s="204">
        <v>0.28000000000000003</v>
      </c>
      <c r="M680" s="112">
        <v>47.557499999999997</v>
      </c>
      <c r="N680" s="112">
        <v>13.3161</v>
      </c>
      <c r="O680" s="204"/>
      <c r="P680" s="112"/>
      <c r="Q680" s="112"/>
      <c r="R680" s="112"/>
      <c r="S680" s="112"/>
      <c r="T680" s="112"/>
      <c r="U680" t="s">
        <v>5040</v>
      </c>
      <c r="V680" t="s">
        <v>5041</v>
      </c>
      <c r="W680" t="s">
        <v>3958</v>
      </c>
      <c r="X680" t="s">
        <v>4660</v>
      </c>
    </row>
    <row r="681" spans="1:24" x14ac:dyDescent="0.2">
      <c r="A681" t="s">
        <v>5039</v>
      </c>
      <c r="B681" t="s">
        <v>366</v>
      </c>
      <c r="C681" t="s">
        <v>1470</v>
      </c>
      <c r="D681" t="s">
        <v>56</v>
      </c>
      <c r="E681" t="s">
        <v>1471</v>
      </c>
      <c r="F681" t="s">
        <v>26</v>
      </c>
      <c r="G681" s="202">
        <v>262.12400000000002</v>
      </c>
      <c r="H681">
        <v>2</v>
      </c>
      <c r="I681" t="s">
        <v>3960</v>
      </c>
      <c r="J681" t="s">
        <v>4807</v>
      </c>
      <c r="K681" t="s">
        <v>1283</v>
      </c>
      <c r="L681" s="204">
        <v>0.56000000000000005</v>
      </c>
      <c r="M681" s="112">
        <v>47.557499999999997</v>
      </c>
      <c r="N681" s="112">
        <v>26.632200000000001</v>
      </c>
      <c r="O681" s="204"/>
      <c r="P681" s="112"/>
      <c r="Q681" s="112"/>
      <c r="R681" s="112"/>
      <c r="S681" s="112"/>
      <c r="T681" s="112"/>
      <c r="U681" t="s">
        <v>5040</v>
      </c>
      <c r="V681" t="s">
        <v>5041</v>
      </c>
      <c r="W681" t="s">
        <v>3958</v>
      </c>
      <c r="X681" t="s">
        <v>4660</v>
      </c>
    </row>
    <row r="682" spans="1:24" x14ac:dyDescent="0.2">
      <c r="A682" t="s">
        <v>5039</v>
      </c>
      <c r="B682" t="s">
        <v>366</v>
      </c>
      <c r="C682" t="s">
        <v>1470</v>
      </c>
      <c r="D682" t="s">
        <v>56</v>
      </c>
      <c r="E682" t="s">
        <v>1471</v>
      </c>
      <c r="F682" t="s">
        <v>26</v>
      </c>
      <c r="G682" s="202">
        <v>262.12400000000002</v>
      </c>
      <c r="H682">
        <v>3</v>
      </c>
      <c r="I682" t="s">
        <v>3962</v>
      </c>
      <c r="J682" t="s">
        <v>4808</v>
      </c>
      <c r="K682" t="s">
        <v>1283</v>
      </c>
      <c r="L682" s="204">
        <v>0.1</v>
      </c>
      <c r="M682" s="112">
        <v>47.557499999999997</v>
      </c>
      <c r="N682" s="112">
        <v>4.7557499999999999</v>
      </c>
      <c r="O682" s="204"/>
      <c r="P682" s="112"/>
      <c r="Q682" s="112"/>
      <c r="R682" s="112"/>
      <c r="S682" s="112"/>
      <c r="T682" s="112"/>
      <c r="U682" t="s">
        <v>5040</v>
      </c>
      <c r="V682" t="s">
        <v>5041</v>
      </c>
      <c r="W682" t="s">
        <v>3958</v>
      </c>
      <c r="X682" t="s">
        <v>4660</v>
      </c>
    </row>
    <row r="683" spans="1:24" x14ac:dyDescent="0.2">
      <c r="A683" t="s">
        <v>5039</v>
      </c>
      <c r="B683" t="s">
        <v>366</v>
      </c>
      <c r="C683" t="s">
        <v>1470</v>
      </c>
      <c r="D683" t="s">
        <v>56</v>
      </c>
      <c r="E683" t="s">
        <v>1471</v>
      </c>
      <c r="F683" t="s">
        <v>26</v>
      </c>
      <c r="G683" s="202">
        <v>262.12400000000002</v>
      </c>
      <c r="H683">
        <v>4</v>
      </c>
      <c r="I683" t="s">
        <v>4017</v>
      </c>
      <c r="J683" t="s">
        <v>4809</v>
      </c>
      <c r="K683" t="s">
        <v>1283</v>
      </c>
      <c r="L683" s="204">
        <v>0.06</v>
      </c>
      <c r="M683" s="112">
        <v>47.557499999999997</v>
      </c>
      <c r="N683" s="112">
        <v>2.8534499999999996</v>
      </c>
      <c r="O683" s="204"/>
      <c r="P683" s="112"/>
      <c r="Q683" s="112"/>
      <c r="R683" s="112"/>
      <c r="S683" s="112"/>
      <c r="T683" s="112"/>
      <c r="U683" t="s">
        <v>5040</v>
      </c>
      <c r="V683" t="s">
        <v>5041</v>
      </c>
      <c r="W683" t="s">
        <v>3958</v>
      </c>
      <c r="X683" t="s">
        <v>4660</v>
      </c>
    </row>
    <row r="684" spans="1:24" x14ac:dyDescent="0.2">
      <c r="A684" t="s">
        <v>5039</v>
      </c>
      <c r="B684" t="s">
        <v>366</v>
      </c>
      <c r="C684" t="s">
        <v>1470</v>
      </c>
      <c r="D684" t="s">
        <v>56</v>
      </c>
      <c r="E684" t="s">
        <v>1471</v>
      </c>
      <c r="F684" t="s">
        <v>26</v>
      </c>
      <c r="G684" s="202">
        <v>262.12400000000002</v>
      </c>
      <c r="H684">
        <v>5</v>
      </c>
      <c r="I684" t="s">
        <v>3968</v>
      </c>
      <c r="J684" t="s">
        <v>3969</v>
      </c>
      <c r="K684" t="s">
        <v>26</v>
      </c>
      <c r="L684" s="204">
        <v>1</v>
      </c>
      <c r="M684" s="112"/>
      <c r="N684" s="112">
        <v>47.557499999999997</v>
      </c>
      <c r="O684" s="204">
        <v>0.22220409793592077</v>
      </c>
      <c r="P684" s="112">
        <v>10.567471387587553</v>
      </c>
      <c r="Q684" s="112">
        <v>58.12497138758755</v>
      </c>
      <c r="R684" s="112">
        <v>15235.95</v>
      </c>
      <c r="S684" s="112">
        <v>15235.95</v>
      </c>
      <c r="T684" s="112">
        <v>0</v>
      </c>
      <c r="U684" t="s">
        <v>5040</v>
      </c>
      <c r="V684" t="s">
        <v>5041</v>
      </c>
      <c r="W684" t="s">
        <v>4666</v>
      </c>
      <c r="X684" t="s">
        <v>4667</v>
      </c>
    </row>
    <row r="685" spans="1:24" x14ac:dyDescent="0.2">
      <c r="A685" t="s">
        <v>5042</v>
      </c>
      <c r="B685" t="s">
        <v>368</v>
      </c>
      <c r="C685" t="s">
        <v>369</v>
      </c>
      <c r="D685" t="s">
        <v>209</v>
      </c>
      <c r="E685" t="s">
        <v>370</v>
      </c>
      <c r="F685" t="s">
        <v>371</v>
      </c>
      <c r="G685" s="202">
        <v>14.662000000000001</v>
      </c>
      <c r="H685">
        <v>1</v>
      </c>
      <c r="I685" t="s">
        <v>3954</v>
      </c>
      <c r="J685" t="s">
        <v>4804</v>
      </c>
      <c r="K685" t="s">
        <v>1283</v>
      </c>
      <c r="L685" s="204">
        <v>0.28000000000000003</v>
      </c>
      <c r="M685" s="112">
        <v>327.82500000000005</v>
      </c>
      <c r="N685" s="112">
        <v>91.791000000000025</v>
      </c>
      <c r="O685" s="204"/>
      <c r="P685" s="112"/>
      <c r="Q685" s="112"/>
      <c r="R685" s="112"/>
      <c r="S685" s="112"/>
      <c r="T685" s="112"/>
      <c r="U685" t="s">
        <v>4470</v>
      </c>
      <c r="V685" t="s">
        <v>4471</v>
      </c>
      <c r="W685" t="s">
        <v>3958</v>
      </c>
      <c r="X685" t="s">
        <v>4660</v>
      </c>
    </row>
    <row r="686" spans="1:24" x14ac:dyDescent="0.2">
      <c r="A686" t="s">
        <v>5042</v>
      </c>
      <c r="B686" t="s">
        <v>368</v>
      </c>
      <c r="C686" t="s">
        <v>369</v>
      </c>
      <c r="D686" t="s">
        <v>209</v>
      </c>
      <c r="E686" t="s">
        <v>370</v>
      </c>
      <c r="F686" t="s">
        <v>371</v>
      </c>
      <c r="G686" s="202">
        <v>14.662000000000001</v>
      </c>
      <c r="H686">
        <v>2</v>
      </c>
      <c r="I686" t="s">
        <v>3960</v>
      </c>
      <c r="J686" t="s">
        <v>4807</v>
      </c>
      <c r="K686" t="s">
        <v>1283</v>
      </c>
      <c r="L686" s="204">
        <v>0.56000000000000005</v>
      </c>
      <c r="M686" s="112">
        <v>327.82500000000005</v>
      </c>
      <c r="N686" s="112">
        <v>183.58200000000005</v>
      </c>
      <c r="O686" s="204"/>
      <c r="P686" s="112"/>
      <c r="Q686" s="112"/>
      <c r="R686" s="112"/>
      <c r="S686" s="112"/>
      <c r="T686" s="112"/>
      <c r="U686" t="s">
        <v>4470</v>
      </c>
      <c r="V686" t="s">
        <v>4471</v>
      </c>
      <c r="W686" t="s">
        <v>3958</v>
      </c>
      <c r="X686" t="s">
        <v>4660</v>
      </c>
    </row>
    <row r="687" spans="1:24" x14ac:dyDescent="0.2">
      <c r="A687" t="s">
        <v>5042</v>
      </c>
      <c r="B687" t="s">
        <v>368</v>
      </c>
      <c r="C687" t="s">
        <v>369</v>
      </c>
      <c r="D687" t="s">
        <v>209</v>
      </c>
      <c r="E687" t="s">
        <v>370</v>
      </c>
      <c r="F687" t="s">
        <v>371</v>
      </c>
      <c r="G687" s="202">
        <v>14.662000000000001</v>
      </c>
      <c r="H687">
        <v>3</v>
      </c>
      <c r="I687" t="s">
        <v>3962</v>
      </c>
      <c r="J687" t="s">
        <v>4808</v>
      </c>
      <c r="K687" t="s">
        <v>1283</v>
      </c>
      <c r="L687" s="204">
        <v>0.1</v>
      </c>
      <c r="M687" s="112">
        <v>327.82500000000005</v>
      </c>
      <c r="N687" s="112">
        <v>32.782500000000006</v>
      </c>
      <c r="O687" s="204"/>
      <c r="P687" s="112"/>
      <c r="Q687" s="112"/>
      <c r="R687" s="112"/>
      <c r="S687" s="112"/>
      <c r="T687" s="112"/>
      <c r="U687" t="s">
        <v>4470</v>
      </c>
      <c r="V687" t="s">
        <v>4471</v>
      </c>
      <c r="W687" t="s">
        <v>3958</v>
      </c>
      <c r="X687" t="s">
        <v>4660</v>
      </c>
    </row>
    <row r="688" spans="1:24" x14ac:dyDescent="0.2">
      <c r="A688" t="s">
        <v>5042</v>
      </c>
      <c r="B688" t="s">
        <v>368</v>
      </c>
      <c r="C688" t="s">
        <v>369</v>
      </c>
      <c r="D688" t="s">
        <v>209</v>
      </c>
      <c r="E688" t="s">
        <v>370</v>
      </c>
      <c r="F688" t="s">
        <v>371</v>
      </c>
      <c r="G688" s="202">
        <v>14.662000000000001</v>
      </c>
      <c r="H688">
        <v>4</v>
      </c>
      <c r="I688" t="s">
        <v>4017</v>
      </c>
      <c r="J688" t="s">
        <v>4809</v>
      </c>
      <c r="K688" t="s">
        <v>1283</v>
      </c>
      <c r="L688" s="204">
        <v>0.06</v>
      </c>
      <c r="M688" s="112">
        <v>327.82500000000005</v>
      </c>
      <c r="N688" s="112">
        <v>19.669500000000003</v>
      </c>
      <c r="O688" s="204"/>
      <c r="P688" s="112"/>
      <c r="Q688" s="112"/>
      <c r="R688" s="112"/>
      <c r="S688" s="112"/>
      <c r="T688" s="112"/>
      <c r="U688" t="s">
        <v>4470</v>
      </c>
      <c r="V688" t="s">
        <v>4471</v>
      </c>
      <c r="W688" t="s">
        <v>3958</v>
      </c>
      <c r="X688" t="s">
        <v>4660</v>
      </c>
    </row>
    <row r="689" spans="1:24" x14ac:dyDescent="0.2">
      <c r="A689" t="s">
        <v>5042</v>
      </c>
      <c r="B689" t="s">
        <v>368</v>
      </c>
      <c r="C689" t="s">
        <v>369</v>
      </c>
      <c r="D689" t="s">
        <v>209</v>
      </c>
      <c r="E689" t="s">
        <v>370</v>
      </c>
      <c r="F689" t="s">
        <v>371</v>
      </c>
      <c r="G689" s="202">
        <v>14.662000000000001</v>
      </c>
      <c r="H689">
        <v>5</v>
      </c>
      <c r="I689" t="s">
        <v>3968</v>
      </c>
      <c r="J689" t="s">
        <v>3969</v>
      </c>
      <c r="K689" t="s">
        <v>371</v>
      </c>
      <c r="L689" s="204">
        <v>1</v>
      </c>
      <c r="M689" s="112"/>
      <c r="N689" s="112">
        <v>327.82500000000005</v>
      </c>
      <c r="O689" s="204">
        <v>0.22228321165769271</v>
      </c>
      <c r="P689" s="112">
        <v>72.869993861683156</v>
      </c>
      <c r="Q689" s="112">
        <v>400.6949938616832</v>
      </c>
      <c r="R689" s="112">
        <v>5874.99</v>
      </c>
      <c r="S689" s="112">
        <v>5874.99</v>
      </c>
      <c r="T689" s="112">
        <v>0</v>
      </c>
      <c r="U689" t="s">
        <v>4470</v>
      </c>
      <c r="V689" t="s">
        <v>4471</v>
      </c>
      <c r="W689" t="s">
        <v>4666</v>
      </c>
      <c r="X689" t="s">
        <v>4667</v>
      </c>
    </row>
    <row r="690" spans="1:24" x14ac:dyDescent="0.2">
      <c r="A690" t="s">
        <v>5043</v>
      </c>
      <c r="B690" t="s">
        <v>372</v>
      </c>
      <c r="C690" t="s">
        <v>1472</v>
      </c>
      <c r="D690" t="s">
        <v>24</v>
      </c>
      <c r="E690" t="s">
        <v>374</v>
      </c>
      <c r="F690" t="s">
        <v>26</v>
      </c>
      <c r="G690" s="202">
        <v>1316.288</v>
      </c>
      <c r="H690">
        <v>1</v>
      </c>
      <c r="I690" t="s">
        <v>3954</v>
      </c>
      <c r="J690" t="s">
        <v>4804</v>
      </c>
      <c r="K690" t="s">
        <v>1283</v>
      </c>
      <c r="L690" s="204">
        <v>0.28000000000000003</v>
      </c>
      <c r="M690" s="112">
        <v>135.42750000000001</v>
      </c>
      <c r="N690" s="112">
        <v>37.919700000000006</v>
      </c>
      <c r="O690" s="204"/>
      <c r="P690" s="112"/>
      <c r="Q690" s="112"/>
      <c r="R690" s="112"/>
      <c r="S690" s="112"/>
      <c r="T690" s="112"/>
      <c r="U690" t="s">
        <v>5044</v>
      </c>
      <c r="V690" t="s">
        <v>5045</v>
      </c>
      <c r="W690" t="s">
        <v>3958</v>
      </c>
      <c r="X690" t="s">
        <v>4660</v>
      </c>
    </row>
    <row r="691" spans="1:24" x14ac:dyDescent="0.2">
      <c r="A691" t="s">
        <v>5043</v>
      </c>
      <c r="B691" t="s">
        <v>372</v>
      </c>
      <c r="C691" t="s">
        <v>1472</v>
      </c>
      <c r="D691" t="s">
        <v>24</v>
      </c>
      <c r="E691" t="s">
        <v>374</v>
      </c>
      <c r="F691" t="s">
        <v>26</v>
      </c>
      <c r="G691" s="202">
        <v>1316.288</v>
      </c>
      <c r="H691">
        <v>2</v>
      </c>
      <c r="I691" t="s">
        <v>3960</v>
      </c>
      <c r="J691" t="s">
        <v>4807</v>
      </c>
      <c r="K691" t="s">
        <v>1283</v>
      </c>
      <c r="L691" s="204">
        <v>0.56000000000000005</v>
      </c>
      <c r="M691" s="112">
        <v>135.42750000000001</v>
      </c>
      <c r="N691" s="112">
        <v>75.839400000000012</v>
      </c>
      <c r="O691" s="204"/>
      <c r="P691" s="112"/>
      <c r="Q691" s="112"/>
      <c r="R691" s="112"/>
      <c r="S691" s="112"/>
      <c r="T691" s="112"/>
      <c r="U691" t="s">
        <v>5044</v>
      </c>
      <c r="V691" t="s">
        <v>5045</v>
      </c>
      <c r="W691" t="s">
        <v>3958</v>
      </c>
      <c r="X691" t="s">
        <v>4660</v>
      </c>
    </row>
    <row r="692" spans="1:24" x14ac:dyDescent="0.2">
      <c r="A692" t="s">
        <v>5043</v>
      </c>
      <c r="B692" t="s">
        <v>372</v>
      </c>
      <c r="C692" t="s">
        <v>1472</v>
      </c>
      <c r="D692" t="s">
        <v>24</v>
      </c>
      <c r="E692" t="s">
        <v>374</v>
      </c>
      <c r="F692" t="s">
        <v>26</v>
      </c>
      <c r="G692" s="202">
        <v>1316.288</v>
      </c>
      <c r="H692">
        <v>3</v>
      </c>
      <c r="I692" t="s">
        <v>3962</v>
      </c>
      <c r="J692" t="s">
        <v>4808</v>
      </c>
      <c r="K692" t="s">
        <v>1283</v>
      </c>
      <c r="L692" s="204">
        <v>0.1</v>
      </c>
      <c r="M692" s="112">
        <v>135.42750000000001</v>
      </c>
      <c r="N692" s="112">
        <v>13.542750000000002</v>
      </c>
      <c r="O692" s="204"/>
      <c r="P692" s="112"/>
      <c r="Q692" s="112"/>
      <c r="R692" s="112"/>
      <c r="S692" s="112"/>
      <c r="T692" s="112"/>
      <c r="U692" t="s">
        <v>5044</v>
      </c>
      <c r="V692" t="s">
        <v>5045</v>
      </c>
      <c r="W692" t="s">
        <v>3958</v>
      </c>
      <c r="X692" t="s">
        <v>4660</v>
      </c>
    </row>
    <row r="693" spans="1:24" x14ac:dyDescent="0.2">
      <c r="A693" t="s">
        <v>5043</v>
      </c>
      <c r="B693" t="s">
        <v>372</v>
      </c>
      <c r="C693" t="s">
        <v>1472</v>
      </c>
      <c r="D693" t="s">
        <v>24</v>
      </c>
      <c r="E693" t="s">
        <v>374</v>
      </c>
      <c r="F693" t="s">
        <v>26</v>
      </c>
      <c r="G693" s="202">
        <v>1316.288</v>
      </c>
      <c r="H693">
        <v>4</v>
      </c>
      <c r="I693" t="s">
        <v>4017</v>
      </c>
      <c r="J693" t="s">
        <v>4809</v>
      </c>
      <c r="K693" t="s">
        <v>1283</v>
      </c>
      <c r="L693" s="204">
        <v>0.06</v>
      </c>
      <c r="M693" s="112">
        <v>135.42750000000001</v>
      </c>
      <c r="N693" s="112">
        <v>8.1256500000000003</v>
      </c>
      <c r="O693" s="204"/>
      <c r="P693" s="112"/>
      <c r="Q693" s="112"/>
      <c r="R693" s="112"/>
      <c r="S693" s="112"/>
      <c r="T693" s="112"/>
      <c r="U693" t="s">
        <v>5044</v>
      </c>
      <c r="V693" t="s">
        <v>5045</v>
      </c>
      <c r="W693" t="s">
        <v>3958</v>
      </c>
      <c r="X693" t="s">
        <v>4660</v>
      </c>
    </row>
    <row r="694" spans="1:24" x14ac:dyDescent="0.2">
      <c r="A694" t="s">
        <v>5043</v>
      </c>
      <c r="B694" t="s">
        <v>372</v>
      </c>
      <c r="C694" t="s">
        <v>1472</v>
      </c>
      <c r="D694" t="s">
        <v>24</v>
      </c>
      <c r="E694" t="s">
        <v>374</v>
      </c>
      <c r="F694" t="s">
        <v>26</v>
      </c>
      <c r="G694" s="202">
        <v>1316.288</v>
      </c>
      <c r="H694">
        <v>5</v>
      </c>
      <c r="I694" t="s">
        <v>3968</v>
      </c>
      <c r="J694" t="s">
        <v>3969</v>
      </c>
      <c r="K694" t="s">
        <v>26</v>
      </c>
      <c r="L694" s="204">
        <v>1</v>
      </c>
      <c r="M694" s="112"/>
      <c r="N694" s="112">
        <v>135.42750000000001</v>
      </c>
      <c r="O694" s="204">
        <v>0.22229604362014466</v>
      </c>
      <c r="P694" s="112">
        <v>30.10499744736714</v>
      </c>
      <c r="Q694" s="112">
        <v>165.53249744736715</v>
      </c>
      <c r="R694" s="112">
        <v>217888.44</v>
      </c>
      <c r="S694" s="112">
        <v>217888.44</v>
      </c>
      <c r="T694" s="112">
        <v>0</v>
      </c>
      <c r="U694" t="s">
        <v>5044</v>
      </c>
      <c r="V694" t="s">
        <v>5045</v>
      </c>
      <c r="W694" t="s">
        <v>4666</v>
      </c>
      <c r="X694" t="s">
        <v>4667</v>
      </c>
    </row>
    <row r="695" spans="1:24" x14ac:dyDescent="0.2">
      <c r="A695" t="s">
        <v>5046</v>
      </c>
      <c r="B695" t="s">
        <v>375</v>
      </c>
      <c r="C695" t="s">
        <v>1473</v>
      </c>
      <c r="D695" t="s">
        <v>56</v>
      </c>
      <c r="E695" t="s">
        <v>1474</v>
      </c>
      <c r="F695" t="s">
        <v>26</v>
      </c>
      <c r="G695" s="202">
        <v>90.578999999999994</v>
      </c>
      <c r="H695">
        <v>1</v>
      </c>
      <c r="I695" t="s">
        <v>3954</v>
      </c>
      <c r="J695" t="s">
        <v>4992</v>
      </c>
      <c r="K695" t="s">
        <v>1283</v>
      </c>
      <c r="L695" s="204">
        <v>0.27</v>
      </c>
      <c r="M695" s="112">
        <v>165.61500000000001</v>
      </c>
      <c r="N695" s="112">
        <v>44.716050000000003</v>
      </c>
      <c r="O695" s="204"/>
      <c r="P695" s="112"/>
      <c r="Q695" s="112"/>
      <c r="R695" s="112"/>
      <c r="S695" s="112"/>
      <c r="T695" s="112"/>
      <c r="U695" t="s">
        <v>5047</v>
      </c>
      <c r="V695" t="s">
        <v>5048</v>
      </c>
      <c r="W695" t="s">
        <v>3958</v>
      </c>
      <c r="X695" t="s">
        <v>4660</v>
      </c>
    </row>
    <row r="696" spans="1:24" x14ac:dyDescent="0.2">
      <c r="A696" t="s">
        <v>5046</v>
      </c>
      <c r="B696" t="s">
        <v>375</v>
      </c>
      <c r="C696" t="s">
        <v>1473</v>
      </c>
      <c r="D696" t="s">
        <v>56</v>
      </c>
      <c r="E696" t="s">
        <v>1474</v>
      </c>
      <c r="F696" t="s">
        <v>26</v>
      </c>
      <c r="G696" s="202">
        <v>90.578999999999994</v>
      </c>
      <c r="H696">
        <v>2</v>
      </c>
      <c r="I696" t="s">
        <v>3960</v>
      </c>
      <c r="J696" t="s">
        <v>4994</v>
      </c>
      <c r="K696" t="s">
        <v>1283</v>
      </c>
      <c r="L696" s="204">
        <v>0.63</v>
      </c>
      <c r="M696" s="112">
        <v>165.61500000000001</v>
      </c>
      <c r="N696" s="112">
        <v>104.33745</v>
      </c>
      <c r="O696" s="204"/>
      <c r="P696" s="112"/>
      <c r="Q696" s="112"/>
      <c r="R696" s="112"/>
      <c r="S696" s="112"/>
      <c r="T696" s="112"/>
      <c r="U696" t="s">
        <v>5047</v>
      </c>
      <c r="V696" t="s">
        <v>5048</v>
      </c>
      <c r="W696" t="s">
        <v>3958</v>
      </c>
      <c r="X696" t="s">
        <v>4660</v>
      </c>
    </row>
    <row r="697" spans="1:24" x14ac:dyDescent="0.2">
      <c r="A697" t="s">
        <v>5046</v>
      </c>
      <c r="B697" t="s">
        <v>375</v>
      </c>
      <c r="C697" t="s">
        <v>1473</v>
      </c>
      <c r="D697" t="s">
        <v>56</v>
      </c>
      <c r="E697" t="s">
        <v>1474</v>
      </c>
      <c r="F697" t="s">
        <v>26</v>
      </c>
      <c r="G697" s="202">
        <v>90.578999999999994</v>
      </c>
      <c r="H697">
        <v>3</v>
      </c>
      <c r="I697" t="s">
        <v>3976</v>
      </c>
      <c r="J697" t="s">
        <v>4995</v>
      </c>
      <c r="K697" t="s">
        <v>1283</v>
      </c>
      <c r="L697" s="204">
        <v>0.05</v>
      </c>
      <c r="M697" s="112">
        <v>165.61500000000001</v>
      </c>
      <c r="N697" s="112">
        <v>8.2807500000000012</v>
      </c>
      <c r="O697" s="204"/>
      <c r="P697" s="112"/>
      <c r="Q697" s="112"/>
      <c r="R697" s="112"/>
      <c r="S697" s="112"/>
      <c r="T697" s="112"/>
      <c r="U697" t="s">
        <v>5047</v>
      </c>
      <c r="V697" t="s">
        <v>5048</v>
      </c>
      <c r="W697" t="s">
        <v>3958</v>
      </c>
      <c r="X697" t="s">
        <v>4660</v>
      </c>
    </row>
    <row r="698" spans="1:24" x14ac:dyDescent="0.2">
      <c r="A698" t="s">
        <v>5046</v>
      </c>
      <c r="B698" t="s">
        <v>375</v>
      </c>
      <c r="C698" t="s">
        <v>1473</v>
      </c>
      <c r="D698" t="s">
        <v>56</v>
      </c>
      <c r="E698" t="s">
        <v>1474</v>
      </c>
      <c r="F698" t="s">
        <v>26</v>
      </c>
      <c r="G698" s="202">
        <v>90.578999999999994</v>
      </c>
      <c r="H698">
        <v>4</v>
      </c>
      <c r="I698" t="s">
        <v>4017</v>
      </c>
      <c r="J698" t="s">
        <v>4809</v>
      </c>
      <c r="K698" t="s">
        <v>1283</v>
      </c>
      <c r="L698" s="204">
        <v>0.05</v>
      </c>
      <c r="M698" s="112">
        <v>165.61500000000001</v>
      </c>
      <c r="N698" s="112">
        <v>8.2807500000000012</v>
      </c>
      <c r="O698" s="204"/>
      <c r="P698" s="112"/>
      <c r="Q698" s="112"/>
      <c r="R698" s="112"/>
      <c r="S698" s="112"/>
      <c r="T698" s="112"/>
      <c r="U698" t="s">
        <v>5047</v>
      </c>
      <c r="V698" t="s">
        <v>5048</v>
      </c>
      <c r="W698" t="s">
        <v>3958</v>
      </c>
      <c r="X698" t="s">
        <v>4660</v>
      </c>
    </row>
    <row r="699" spans="1:24" x14ac:dyDescent="0.2">
      <c r="A699" t="s">
        <v>5046</v>
      </c>
      <c r="B699" t="s">
        <v>375</v>
      </c>
      <c r="C699" t="s">
        <v>1473</v>
      </c>
      <c r="D699" t="s">
        <v>56</v>
      </c>
      <c r="E699" t="s">
        <v>1474</v>
      </c>
      <c r="F699" t="s">
        <v>26</v>
      </c>
      <c r="G699" s="202">
        <v>90.578999999999994</v>
      </c>
      <c r="H699">
        <v>5</v>
      </c>
      <c r="I699" t="s">
        <v>3968</v>
      </c>
      <c r="J699" t="s">
        <v>3969</v>
      </c>
      <c r="K699" t="s">
        <v>26</v>
      </c>
      <c r="L699" s="204">
        <v>1</v>
      </c>
      <c r="M699" s="112"/>
      <c r="N699" s="112">
        <v>165.61500000000001</v>
      </c>
      <c r="O699" s="204">
        <v>0.22226220458078849</v>
      </c>
      <c r="P699" s="112">
        <v>36.809955011647304</v>
      </c>
      <c r="Q699" s="112">
        <v>202.42495501164731</v>
      </c>
      <c r="R699" s="112">
        <v>18335.45</v>
      </c>
      <c r="S699" s="112">
        <v>18335.45</v>
      </c>
      <c r="T699" s="112">
        <v>0</v>
      </c>
      <c r="U699" t="s">
        <v>5047</v>
      </c>
      <c r="V699" t="s">
        <v>5048</v>
      </c>
      <c r="W699" t="s">
        <v>4666</v>
      </c>
      <c r="X699" t="s">
        <v>4667</v>
      </c>
    </row>
    <row r="700" spans="1:24" x14ac:dyDescent="0.2">
      <c r="A700" t="s">
        <v>5049</v>
      </c>
      <c r="B700" t="s">
        <v>377</v>
      </c>
      <c r="C700" t="s">
        <v>1475</v>
      </c>
      <c r="D700" t="s">
        <v>56</v>
      </c>
      <c r="E700" t="s">
        <v>1476</v>
      </c>
      <c r="F700" t="s">
        <v>26</v>
      </c>
      <c r="G700" s="202">
        <v>32.209000000000003</v>
      </c>
      <c r="H700">
        <v>1</v>
      </c>
      <c r="I700" t="s">
        <v>3954</v>
      </c>
      <c r="J700" t="s">
        <v>4992</v>
      </c>
      <c r="K700" t="s">
        <v>1283</v>
      </c>
      <c r="L700" s="204">
        <v>0.27</v>
      </c>
      <c r="M700" s="112">
        <v>397.8075</v>
      </c>
      <c r="N700" s="112">
        <v>107.40802500000001</v>
      </c>
      <c r="O700" s="204"/>
      <c r="P700" s="112"/>
      <c r="Q700" s="112"/>
      <c r="R700" s="112"/>
      <c r="S700" s="112"/>
      <c r="T700" s="112"/>
      <c r="U700" t="s">
        <v>5050</v>
      </c>
      <c r="V700" t="s">
        <v>5051</v>
      </c>
      <c r="W700" t="s">
        <v>3958</v>
      </c>
      <c r="X700" t="s">
        <v>4660</v>
      </c>
    </row>
    <row r="701" spans="1:24" x14ac:dyDescent="0.2">
      <c r="A701" t="s">
        <v>5049</v>
      </c>
      <c r="B701" t="s">
        <v>377</v>
      </c>
      <c r="C701" t="s">
        <v>1475</v>
      </c>
      <c r="D701" t="s">
        <v>56</v>
      </c>
      <c r="E701" t="s">
        <v>1476</v>
      </c>
      <c r="F701" t="s">
        <v>26</v>
      </c>
      <c r="G701" s="202">
        <v>32.209000000000003</v>
      </c>
      <c r="H701">
        <v>2</v>
      </c>
      <c r="I701" t="s">
        <v>3960</v>
      </c>
      <c r="J701" t="s">
        <v>4994</v>
      </c>
      <c r="K701" t="s">
        <v>1283</v>
      </c>
      <c r="L701" s="204">
        <v>0.63</v>
      </c>
      <c r="M701" s="112">
        <v>397.8075</v>
      </c>
      <c r="N701" s="112">
        <v>250.61872500000001</v>
      </c>
      <c r="O701" s="204"/>
      <c r="P701" s="112"/>
      <c r="Q701" s="112"/>
      <c r="R701" s="112"/>
      <c r="S701" s="112"/>
      <c r="T701" s="112"/>
      <c r="U701" t="s">
        <v>5050</v>
      </c>
      <c r="V701" t="s">
        <v>5051</v>
      </c>
      <c r="W701" t="s">
        <v>3958</v>
      </c>
      <c r="X701" t="s">
        <v>4660</v>
      </c>
    </row>
    <row r="702" spans="1:24" x14ac:dyDescent="0.2">
      <c r="A702" t="s">
        <v>5049</v>
      </c>
      <c r="B702" t="s">
        <v>377</v>
      </c>
      <c r="C702" t="s">
        <v>1475</v>
      </c>
      <c r="D702" t="s">
        <v>56</v>
      </c>
      <c r="E702" t="s">
        <v>1476</v>
      </c>
      <c r="F702" t="s">
        <v>26</v>
      </c>
      <c r="G702" s="202">
        <v>32.209000000000003</v>
      </c>
      <c r="H702">
        <v>3</v>
      </c>
      <c r="I702" t="s">
        <v>3976</v>
      </c>
      <c r="J702" t="s">
        <v>4995</v>
      </c>
      <c r="K702" t="s">
        <v>1283</v>
      </c>
      <c r="L702" s="204">
        <v>0.05</v>
      </c>
      <c r="M702" s="112">
        <v>397.8075</v>
      </c>
      <c r="N702" s="112">
        <v>19.890375000000002</v>
      </c>
      <c r="O702" s="204"/>
      <c r="P702" s="112"/>
      <c r="Q702" s="112"/>
      <c r="R702" s="112"/>
      <c r="S702" s="112"/>
      <c r="T702" s="112"/>
      <c r="U702" t="s">
        <v>5050</v>
      </c>
      <c r="V702" t="s">
        <v>5051</v>
      </c>
      <c r="W702" t="s">
        <v>3958</v>
      </c>
      <c r="X702" t="s">
        <v>4660</v>
      </c>
    </row>
    <row r="703" spans="1:24" x14ac:dyDescent="0.2">
      <c r="A703" t="s">
        <v>5049</v>
      </c>
      <c r="B703" t="s">
        <v>377</v>
      </c>
      <c r="C703" t="s">
        <v>1475</v>
      </c>
      <c r="D703" t="s">
        <v>56</v>
      </c>
      <c r="E703" t="s">
        <v>1476</v>
      </c>
      <c r="F703" t="s">
        <v>26</v>
      </c>
      <c r="G703" s="202">
        <v>32.209000000000003</v>
      </c>
      <c r="H703">
        <v>4</v>
      </c>
      <c r="I703" t="s">
        <v>4017</v>
      </c>
      <c r="J703" t="s">
        <v>4809</v>
      </c>
      <c r="K703" t="s">
        <v>1283</v>
      </c>
      <c r="L703" s="204">
        <v>0.05</v>
      </c>
      <c r="M703" s="112">
        <v>397.8075</v>
      </c>
      <c r="N703" s="112">
        <v>19.890375000000002</v>
      </c>
      <c r="O703" s="204"/>
      <c r="P703" s="112"/>
      <c r="Q703" s="112"/>
      <c r="R703" s="112"/>
      <c r="S703" s="112"/>
      <c r="T703" s="112"/>
      <c r="U703" t="s">
        <v>5050</v>
      </c>
      <c r="V703" t="s">
        <v>5051</v>
      </c>
      <c r="W703" t="s">
        <v>3958</v>
      </c>
      <c r="X703" t="s">
        <v>4660</v>
      </c>
    </row>
    <row r="704" spans="1:24" x14ac:dyDescent="0.2">
      <c r="A704" t="s">
        <v>5049</v>
      </c>
      <c r="B704" t="s">
        <v>377</v>
      </c>
      <c r="C704" t="s">
        <v>1475</v>
      </c>
      <c r="D704" t="s">
        <v>56</v>
      </c>
      <c r="E704" t="s">
        <v>1476</v>
      </c>
      <c r="F704" t="s">
        <v>26</v>
      </c>
      <c r="G704" s="202">
        <v>32.209000000000003</v>
      </c>
      <c r="H704">
        <v>5</v>
      </c>
      <c r="I704" t="s">
        <v>3968</v>
      </c>
      <c r="J704" t="s">
        <v>3969</v>
      </c>
      <c r="K704" t="s">
        <v>26</v>
      </c>
      <c r="L704" s="204">
        <v>1</v>
      </c>
      <c r="M704" s="112"/>
      <c r="N704" s="112">
        <v>397.8075</v>
      </c>
      <c r="O704" s="204">
        <v>0.22229940572652085</v>
      </c>
      <c r="P704" s="112">
        <v>88.432370843552974</v>
      </c>
      <c r="Q704" s="112">
        <v>486.23987084355298</v>
      </c>
      <c r="R704" s="112">
        <v>15661.3</v>
      </c>
      <c r="S704" s="112">
        <v>15661.3</v>
      </c>
      <c r="T704" s="112">
        <v>0</v>
      </c>
      <c r="U704" t="s">
        <v>5050</v>
      </c>
      <c r="V704" t="s">
        <v>5051</v>
      </c>
      <c r="W704" t="s">
        <v>4666</v>
      </c>
      <c r="X704" t="s">
        <v>4667</v>
      </c>
    </row>
    <row r="705" spans="1:24" x14ac:dyDescent="0.2">
      <c r="A705" t="s">
        <v>5052</v>
      </c>
      <c r="B705" t="s">
        <v>379</v>
      </c>
      <c r="C705" t="s">
        <v>1477</v>
      </c>
      <c r="D705" t="s">
        <v>56</v>
      </c>
      <c r="E705" t="s">
        <v>380</v>
      </c>
      <c r="F705" t="s">
        <v>26</v>
      </c>
      <c r="G705" s="202">
        <v>19.687000000000001</v>
      </c>
      <c r="H705">
        <v>1</v>
      </c>
      <c r="I705" t="s">
        <v>3954</v>
      </c>
      <c r="J705" t="s">
        <v>4804</v>
      </c>
      <c r="K705" t="s">
        <v>1283</v>
      </c>
      <c r="L705" s="204">
        <v>0.28000000000000003</v>
      </c>
      <c r="M705" s="112">
        <v>136.0575</v>
      </c>
      <c r="N705" s="112">
        <v>38.096100000000007</v>
      </c>
      <c r="O705" s="204"/>
      <c r="P705" s="112"/>
      <c r="Q705" s="112"/>
      <c r="R705" s="112"/>
      <c r="S705" s="112"/>
      <c r="T705" s="112"/>
      <c r="U705" t="s">
        <v>5053</v>
      </c>
      <c r="V705" t="s">
        <v>5054</v>
      </c>
      <c r="W705" t="s">
        <v>3958</v>
      </c>
      <c r="X705" t="s">
        <v>4660</v>
      </c>
    </row>
    <row r="706" spans="1:24" x14ac:dyDescent="0.2">
      <c r="A706" t="s">
        <v>5052</v>
      </c>
      <c r="B706" t="s">
        <v>379</v>
      </c>
      <c r="C706" t="s">
        <v>1477</v>
      </c>
      <c r="D706" t="s">
        <v>56</v>
      </c>
      <c r="E706" t="s">
        <v>380</v>
      </c>
      <c r="F706" t="s">
        <v>26</v>
      </c>
      <c r="G706" s="202">
        <v>19.687000000000001</v>
      </c>
      <c r="H706">
        <v>2</v>
      </c>
      <c r="I706" t="s">
        <v>3960</v>
      </c>
      <c r="J706" t="s">
        <v>4807</v>
      </c>
      <c r="K706" t="s">
        <v>1283</v>
      </c>
      <c r="L706" s="204">
        <v>0.56000000000000005</v>
      </c>
      <c r="M706" s="112">
        <v>136.0575</v>
      </c>
      <c r="N706" s="112">
        <v>76.192200000000014</v>
      </c>
      <c r="O706" s="204"/>
      <c r="P706" s="112"/>
      <c r="Q706" s="112"/>
      <c r="R706" s="112"/>
      <c r="S706" s="112"/>
      <c r="T706" s="112"/>
      <c r="U706" t="s">
        <v>5053</v>
      </c>
      <c r="V706" t="s">
        <v>5054</v>
      </c>
      <c r="W706" t="s">
        <v>3958</v>
      </c>
      <c r="X706" t="s">
        <v>4660</v>
      </c>
    </row>
    <row r="707" spans="1:24" x14ac:dyDescent="0.2">
      <c r="A707" t="s">
        <v>5052</v>
      </c>
      <c r="B707" t="s">
        <v>379</v>
      </c>
      <c r="C707" t="s">
        <v>1477</v>
      </c>
      <c r="D707" t="s">
        <v>56</v>
      </c>
      <c r="E707" t="s">
        <v>380</v>
      </c>
      <c r="F707" t="s">
        <v>26</v>
      </c>
      <c r="G707" s="202">
        <v>19.687000000000001</v>
      </c>
      <c r="H707">
        <v>3</v>
      </c>
      <c r="I707" t="s">
        <v>3962</v>
      </c>
      <c r="J707" t="s">
        <v>4808</v>
      </c>
      <c r="K707" t="s">
        <v>1283</v>
      </c>
      <c r="L707" s="204">
        <v>0.1</v>
      </c>
      <c r="M707" s="112">
        <v>136.0575</v>
      </c>
      <c r="N707" s="112">
        <v>13.60575</v>
      </c>
      <c r="O707" s="204"/>
      <c r="P707" s="112"/>
      <c r="Q707" s="112"/>
      <c r="R707" s="112"/>
      <c r="S707" s="112"/>
      <c r="T707" s="112"/>
      <c r="U707" t="s">
        <v>5053</v>
      </c>
      <c r="V707" t="s">
        <v>5054</v>
      </c>
      <c r="W707" t="s">
        <v>3958</v>
      </c>
      <c r="X707" t="s">
        <v>4660</v>
      </c>
    </row>
    <row r="708" spans="1:24" x14ac:dyDescent="0.2">
      <c r="A708" t="s">
        <v>5052</v>
      </c>
      <c r="B708" t="s">
        <v>379</v>
      </c>
      <c r="C708" t="s">
        <v>1477</v>
      </c>
      <c r="D708" t="s">
        <v>56</v>
      </c>
      <c r="E708" t="s">
        <v>380</v>
      </c>
      <c r="F708" t="s">
        <v>26</v>
      </c>
      <c r="G708" s="202">
        <v>19.687000000000001</v>
      </c>
      <c r="H708">
        <v>4</v>
      </c>
      <c r="I708" t="s">
        <v>4017</v>
      </c>
      <c r="J708" t="s">
        <v>4809</v>
      </c>
      <c r="K708" t="s">
        <v>1283</v>
      </c>
      <c r="L708" s="204">
        <v>0.06</v>
      </c>
      <c r="M708" s="112">
        <v>136.0575</v>
      </c>
      <c r="N708" s="112">
        <v>8.1634499999999992</v>
      </c>
      <c r="O708" s="204"/>
      <c r="P708" s="112"/>
      <c r="Q708" s="112"/>
      <c r="R708" s="112"/>
      <c r="S708" s="112"/>
      <c r="T708" s="112"/>
      <c r="U708" t="s">
        <v>5053</v>
      </c>
      <c r="V708" t="s">
        <v>5054</v>
      </c>
      <c r="W708" t="s">
        <v>3958</v>
      </c>
      <c r="X708" t="s">
        <v>4660</v>
      </c>
    </row>
    <row r="709" spans="1:24" x14ac:dyDescent="0.2">
      <c r="A709" t="s">
        <v>5052</v>
      </c>
      <c r="B709" t="s">
        <v>379</v>
      </c>
      <c r="C709" t="s">
        <v>1477</v>
      </c>
      <c r="D709" t="s">
        <v>56</v>
      </c>
      <c r="E709" t="s">
        <v>380</v>
      </c>
      <c r="F709" t="s">
        <v>26</v>
      </c>
      <c r="G709" s="202">
        <v>19.687000000000001</v>
      </c>
      <c r="H709">
        <v>5</v>
      </c>
      <c r="I709" t="s">
        <v>3968</v>
      </c>
      <c r="J709" t="s">
        <v>3969</v>
      </c>
      <c r="K709" t="s">
        <v>26</v>
      </c>
      <c r="L709" s="204">
        <v>1</v>
      </c>
      <c r="M709" s="112"/>
      <c r="N709" s="112">
        <v>136.0575</v>
      </c>
      <c r="O709" s="204">
        <v>0.22225565524824509</v>
      </c>
      <c r="P709" s="112">
        <v>30.239548813938114</v>
      </c>
      <c r="Q709" s="112">
        <v>166.29704881393812</v>
      </c>
      <c r="R709" s="112">
        <v>3273.89</v>
      </c>
      <c r="S709" s="112">
        <v>3273.89</v>
      </c>
      <c r="T709" s="112">
        <v>0</v>
      </c>
      <c r="U709" t="s">
        <v>5053</v>
      </c>
      <c r="V709" t="s">
        <v>5054</v>
      </c>
      <c r="W709" t="s">
        <v>4666</v>
      </c>
      <c r="X709" t="s">
        <v>4667</v>
      </c>
    </row>
    <row r="710" spans="1:24" x14ac:dyDescent="0.2">
      <c r="A710" t="s">
        <v>5055</v>
      </c>
      <c r="B710" t="s">
        <v>381</v>
      </c>
      <c r="C710" t="s">
        <v>1478</v>
      </c>
      <c r="D710" t="s">
        <v>335</v>
      </c>
      <c r="E710" t="s">
        <v>382</v>
      </c>
      <c r="F710" t="s">
        <v>99</v>
      </c>
      <c r="G710" s="202">
        <v>30.75</v>
      </c>
      <c r="H710">
        <v>1</v>
      </c>
      <c r="I710" t="s">
        <v>3954</v>
      </c>
      <c r="J710" t="s">
        <v>4992</v>
      </c>
      <c r="K710" t="s">
        <v>1283</v>
      </c>
      <c r="L710" s="204">
        <v>0.27</v>
      </c>
      <c r="M710" s="112">
        <v>130.38749999999999</v>
      </c>
      <c r="N710" s="112">
        <v>35.204625</v>
      </c>
      <c r="O710" s="204"/>
      <c r="P710" s="112"/>
      <c r="Q710" s="112"/>
      <c r="R710" s="112"/>
      <c r="S710" s="112"/>
      <c r="T710" s="112"/>
      <c r="U710" t="s">
        <v>5056</v>
      </c>
      <c r="V710" t="s">
        <v>5057</v>
      </c>
      <c r="W710" t="s">
        <v>3958</v>
      </c>
      <c r="X710" t="s">
        <v>4660</v>
      </c>
    </row>
    <row r="711" spans="1:24" x14ac:dyDescent="0.2">
      <c r="A711" t="s">
        <v>5055</v>
      </c>
      <c r="B711" t="s">
        <v>381</v>
      </c>
      <c r="C711" t="s">
        <v>1478</v>
      </c>
      <c r="D711" t="s">
        <v>335</v>
      </c>
      <c r="E711" t="s">
        <v>382</v>
      </c>
      <c r="F711" t="s">
        <v>99</v>
      </c>
      <c r="G711" s="202">
        <v>30.75</v>
      </c>
      <c r="H711">
        <v>2</v>
      </c>
      <c r="I711" t="s">
        <v>3960</v>
      </c>
      <c r="J711" t="s">
        <v>4994</v>
      </c>
      <c r="K711" t="s">
        <v>1283</v>
      </c>
      <c r="L711" s="204">
        <v>0.63</v>
      </c>
      <c r="M711" s="112">
        <v>130.38749999999999</v>
      </c>
      <c r="N711" s="112">
        <v>82.144124999999988</v>
      </c>
      <c r="O711" s="204"/>
      <c r="P711" s="112"/>
      <c r="Q711" s="112"/>
      <c r="R711" s="112"/>
      <c r="S711" s="112"/>
      <c r="T711" s="112"/>
      <c r="U711" t="s">
        <v>5056</v>
      </c>
      <c r="V711" t="s">
        <v>5057</v>
      </c>
      <c r="W711" t="s">
        <v>3958</v>
      </c>
      <c r="X711" t="s">
        <v>4660</v>
      </c>
    </row>
    <row r="712" spans="1:24" x14ac:dyDescent="0.2">
      <c r="A712" t="s">
        <v>5055</v>
      </c>
      <c r="B712" t="s">
        <v>381</v>
      </c>
      <c r="C712" t="s">
        <v>1478</v>
      </c>
      <c r="D712" t="s">
        <v>335</v>
      </c>
      <c r="E712" t="s">
        <v>382</v>
      </c>
      <c r="F712" t="s">
        <v>99</v>
      </c>
      <c r="G712" s="202">
        <v>30.75</v>
      </c>
      <c r="H712">
        <v>3</v>
      </c>
      <c r="I712" t="s">
        <v>3976</v>
      </c>
      <c r="J712" t="s">
        <v>4995</v>
      </c>
      <c r="K712" t="s">
        <v>1283</v>
      </c>
      <c r="L712" s="204">
        <v>0.05</v>
      </c>
      <c r="M712" s="112">
        <v>130.38749999999999</v>
      </c>
      <c r="N712" s="112">
        <v>6.5193750000000001</v>
      </c>
      <c r="O712" s="204"/>
      <c r="P712" s="112"/>
      <c r="Q712" s="112"/>
      <c r="R712" s="112"/>
      <c r="S712" s="112"/>
      <c r="T712" s="112"/>
      <c r="U712" t="s">
        <v>5056</v>
      </c>
      <c r="V712" t="s">
        <v>5057</v>
      </c>
      <c r="W712" t="s">
        <v>3958</v>
      </c>
      <c r="X712" t="s">
        <v>4660</v>
      </c>
    </row>
    <row r="713" spans="1:24" x14ac:dyDescent="0.2">
      <c r="A713" t="s">
        <v>5055</v>
      </c>
      <c r="B713" t="s">
        <v>381</v>
      </c>
      <c r="C713" t="s">
        <v>1478</v>
      </c>
      <c r="D713" t="s">
        <v>335</v>
      </c>
      <c r="E713" t="s">
        <v>382</v>
      </c>
      <c r="F713" t="s">
        <v>99</v>
      </c>
      <c r="G713" s="202">
        <v>30.75</v>
      </c>
      <c r="H713">
        <v>4</v>
      </c>
      <c r="I713" t="s">
        <v>4017</v>
      </c>
      <c r="J713" t="s">
        <v>4809</v>
      </c>
      <c r="K713" t="s">
        <v>1283</v>
      </c>
      <c r="L713" s="204">
        <v>0.05</v>
      </c>
      <c r="M713" s="112">
        <v>130.38749999999999</v>
      </c>
      <c r="N713" s="112">
        <v>6.5193750000000001</v>
      </c>
      <c r="O713" s="204"/>
      <c r="P713" s="112"/>
      <c r="Q713" s="112"/>
      <c r="R713" s="112"/>
      <c r="S713" s="112"/>
      <c r="T713" s="112"/>
      <c r="U713" t="s">
        <v>5056</v>
      </c>
      <c r="V713" t="s">
        <v>5057</v>
      </c>
      <c r="W713" t="s">
        <v>3958</v>
      </c>
      <c r="X713" t="s">
        <v>4660</v>
      </c>
    </row>
    <row r="714" spans="1:24" x14ac:dyDescent="0.2">
      <c r="A714" t="s">
        <v>5055</v>
      </c>
      <c r="B714" t="s">
        <v>381</v>
      </c>
      <c r="C714" t="s">
        <v>1478</v>
      </c>
      <c r="D714" t="s">
        <v>335</v>
      </c>
      <c r="E714" t="s">
        <v>382</v>
      </c>
      <c r="F714" t="s">
        <v>99</v>
      </c>
      <c r="G714" s="202">
        <v>30.75</v>
      </c>
      <c r="H714">
        <v>5</v>
      </c>
      <c r="I714" t="s">
        <v>3968</v>
      </c>
      <c r="J714" t="s">
        <v>3969</v>
      </c>
      <c r="K714" t="s">
        <v>99</v>
      </c>
      <c r="L714" s="204">
        <v>1</v>
      </c>
      <c r="M714" s="112"/>
      <c r="N714" s="112">
        <v>130.38749999999999</v>
      </c>
      <c r="O714" s="204">
        <v>0.22226041357336235</v>
      </c>
      <c r="P714" s="112">
        <v>28.979979674796766</v>
      </c>
      <c r="Q714" s="112">
        <v>159.36747967479675</v>
      </c>
      <c r="R714" s="112">
        <v>4900.55</v>
      </c>
      <c r="S714" s="112">
        <v>4900.55</v>
      </c>
      <c r="T714" s="112">
        <v>0</v>
      </c>
      <c r="U714" t="s">
        <v>5056</v>
      </c>
      <c r="V714" t="s">
        <v>5057</v>
      </c>
      <c r="W714" t="s">
        <v>4666</v>
      </c>
      <c r="X714" t="s">
        <v>4667</v>
      </c>
    </row>
    <row r="715" spans="1:24" x14ac:dyDescent="0.2">
      <c r="A715" t="s">
        <v>5058</v>
      </c>
      <c r="B715" t="s">
        <v>383</v>
      </c>
      <c r="C715" t="s">
        <v>384</v>
      </c>
      <c r="D715" t="s">
        <v>317</v>
      </c>
      <c r="E715" t="s">
        <v>1479</v>
      </c>
      <c r="F715" t="s">
        <v>342</v>
      </c>
      <c r="G715" s="202">
        <v>1.996</v>
      </c>
      <c r="H715">
        <v>1</v>
      </c>
      <c r="I715" t="s">
        <v>3954</v>
      </c>
      <c r="J715" t="s">
        <v>4992</v>
      </c>
      <c r="K715" t="s">
        <v>1283</v>
      </c>
      <c r="L715" s="204">
        <v>0.27</v>
      </c>
      <c r="M715" s="112">
        <v>187.16250000000002</v>
      </c>
      <c r="N715" s="112">
        <v>50.533875000000009</v>
      </c>
      <c r="O715" s="204"/>
      <c r="P715" s="112"/>
      <c r="Q715" s="112"/>
      <c r="R715" s="112"/>
      <c r="S715" s="112"/>
      <c r="T715" s="112"/>
      <c r="U715" t="s">
        <v>5059</v>
      </c>
      <c r="V715" t="s">
        <v>5060</v>
      </c>
      <c r="W715" t="s">
        <v>3958</v>
      </c>
      <c r="X715" t="s">
        <v>4660</v>
      </c>
    </row>
    <row r="716" spans="1:24" x14ac:dyDescent="0.2">
      <c r="A716" t="s">
        <v>5058</v>
      </c>
      <c r="B716" t="s">
        <v>383</v>
      </c>
      <c r="C716" t="s">
        <v>384</v>
      </c>
      <c r="D716" t="s">
        <v>317</v>
      </c>
      <c r="E716" t="s">
        <v>1479</v>
      </c>
      <c r="F716" t="s">
        <v>342</v>
      </c>
      <c r="G716" s="202">
        <v>1.996</v>
      </c>
      <c r="H716">
        <v>2</v>
      </c>
      <c r="I716" t="s">
        <v>3960</v>
      </c>
      <c r="J716" t="s">
        <v>4994</v>
      </c>
      <c r="K716" t="s">
        <v>1283</v>
      </c>
      <c r="L716" s="204">
        <v>0.63</v>
      </c>
      <c r="M716" s="112">
        <v>187.16250000000002</v>
      </c>
      <c r="N716" s="112">
        <v>117.91237500000001</v>
      </c>
      <c r="O716" s="204"/>
      <c r="P716" s="112"/>
      <c r="Q716" s="112"/>
      <c r="R716" s="112"/>
      <c r="S716" s="112"/>
      <c r="T716" s="112"/>
      <c r="U716" t="s">
        <v>5059</v>
      </c>
      <c r="V716" t="s">
        <v>5060</v>
      </c>
      <c r="W716" t="s">
        <v>3958</v>
      </c>
      <c r="X716" t="s">
        <v>4660</v>
      </c>
    </row>
    <row r="717" spans="1:24" x14ac:dyDescent="0.2">
      <c r="A717" t="s">
        <v>5058</v>
      </c>
      <c r="B717" t="s">
        <v>383</v>
      </c>
      <c r="C717" t="s">
        <v>384</v>
      </c>
      <c r="D717" t="s">
        <v>317</v>
      </c>
      <c r="E717" t="s">
        <v>1479</v>
      </c>
      <c r="F717" t="s">
        <v>342</v>
      </c>
      <c r="G717" s="202">
        <v>1.996</v>
      </c>
      <c r="H717">
        <v>3</v>
      </c>
      <c r="I717" t="s">
        <v>3976</v>
      </c>
      <c r="J717" t="s">
        <v>4995</v>
      </c>
      <c r="K717" t="s">
        <v>1283</v>
      </c>
      <c r="L717" s="204">
        <v>0.05</v>
      </c>
      <c r="M717" s="112">
        <v>187.16250000000002</v>
      </c>
      <c r="N717" s="112">
        <v>9.3581250000000011</v>
      </c>
      <c r="O717" s="204"/>
      <c r="P717" s="112"/>
      <c r="Q717" s="112"/>
      <c r="R717" s="112"/>
      <c r="S717" s="112"/>
      <c r="T717" s="112"/>
      <c r="U717" t="s">
        <v>5059</v>
      </c>
      <c r="V717" t="s">
        <v>5060</v>
      </c>
      <c r="W717" t="s">
        <v>3958</v>
      </c>
      <c r="X717" t="s">
        <v>4660</v>
      </c>
    </row>
    <row r="718" spans="1:24" x14ac:dyDescent="0.2">
      <c r="A718" t="s">
        <v>5058</v>
      </c>
      <c r="B718" t="s">
        <v>383</v>
      </c>
      <c r="C718" t="s">
        <v>384</v>
      </c>
      <c r="D718" t="s">
        <v>317</v>
      </c>
      <c r="E718" t="s">
        <v>1479</v>
      </c>
      <c r="F718" t="s">
        <v>342</v>
      </c>
      <c r="G718" s="202">
        <v>1.996</v>
      </c>
      <c r="H718">
        <v>4</v>
      </c>
      <c r="I718" t="s">
        <v>4017</v>
      </c>
      <c r="J718" t="s">
        <v>4809</v>
      </c>
      <c r="K718" t="s">
        <v>1283</v>
      </c>
      <c r="L718" s="204">
        <v>0.05</v>
      </c>
      <c r="M718" s="112">
        <v>187.16250000000002</v>
      </c>
      <c r="N718" s="112">
        <v>9.3581250000000011</v>
      </c>
      <c r="O718" s="204"/>
      <c r="P718" s="112"/>
      <c r="Q718" s="112"/>
      <c r="R718" s="112"/>
      <c r="S718" s="112"/>
      <c r="T718" s="112"/>
      <c r="U718" t="s">
        <v>5059</v>
      </c>
      <c r="V718" t="s">
        <v>5060</v>
      </c>
      <c r="W718" t="s">
        <v>3958</v>
      </c>
      <c r="X718" t="s">
        <v>4660</v>
      </c>
    </row>
    <row r="719" spans="1:24" x14ac:dyDescent="0.2">
      <c r="A719" t="s">
        <v>5058</v>
      </c>
      <c r="B719" t="s">
        <v>383</v>
      </c>
      <c r="C719" t="s">
        <v>384</v>
      </c>
      <c r="D719" t="s">
        <v>317</v>
      </c>
      <c r="E719" t="s">
        <v>1479</v>
      </c>
      <c r="F719" t="s">
        <v>342</v>
      </c>
      <c r="G719" s="202">
        <v>1.996</v>
      </c>
      <c r="H719">
        <v>5</v>
      </c>
      <c r="I719" t="s">
        <v>3968</v>
      </c>
      <c r="J719" t="s">
        <v>3969</v>
      </c>
      <c r="K719" t="s">
        <v>342</v>
      </c>
      <c r="L719" s="204">
        <v>1</v>
      </c>
      <c r="M719" s="112"/>
      <c r="N719" s="112">
        <v>187.16250000000002</v>
      </c>
      <c r="O719" s="204">
        <v>0.22226688065237532</v>
      </c>
      <c r="P719" s="112">
        <v>41.600025050100186</v>
      </c>
      <c r="Q719" s="112">
        <v>228.76252505010021</v>
      </c>
      <c r="R719" s="112">
        <v>456.61</v>
      </c>
      <c r="S719" s="112">
        <v>456.61</v>
      </c>
      <c r="T719" s="112">
        <v>0</v>
      </c>
      <c r="U719" t="s">
        <v>5059</v>
      </c>
      <c r="V719" t="s">
        <v>5060</v>
      </c>
      <c r="W719" t="s">
        <v>4666</v>
      </c>
      <c r="X719" t="s">
        <v>4667</v>
      </c>
    </row>
    <row r="720" spans="1:24" x14ac:dyDescent="0.2">
      <c r="A720" t="s">
        <v>5061</v>
      </c>
      <c r="B720" t="s">
        <v>1480</v>
      </c>
      <c r="C720" t="s">
        <v>386</v>
      </c>
      <c r="D720" t="s">
        <v>317</v>
      </c>
      <c r="E720" t="s">
        <v>387</v>
      </c>
      <c r="F720" t="s">
        <v>342</v>
      </c>
      <c r="G720" s="202">
        <v>626.70600000000002</v>
      </c>
      <c r="H720">
        <v>1</v>
      </c>
      <c r="I720" t="s">
        <v>3954</v>
      </c>
      <c r="J720" t="s">
        <v>4992</v>
      </c>
      <c r="K720" t="s">
        <v>1283</v>
      </c>
      <c r="L720" s="204">
        <v>0.27</v>
      </c>
      <c r="M720" s="112">
        <v>42.442500000000003</v>
      </c>
      <c r="N720" s="112">
        <v>11.459475000000001</v>
      </c>
      <c r="O720" s="204"/>
      <c r="P720" s="112"/>
      <c r="Q720" s="112"/>
      <c r="R720" s="112"/>
      <c r="S720" s="112"/>
      <c r="T720" s="112"/>
      <c r="U720" t="s">
        <v>5062</v>
      </c>
      <c r="V720" t="s">
        <v>5063</v>
      </c>
      <c r="W720" t="s">
        <v>3958</v>
      </c>
      <c r="X720" t="s">
        <v>4660</v>
      </c>
    </row>
    <row r="721" spans="1:24" x14ac:dyDescent="0.2">
      <c r="A721" t="s">
        <v>5061</v>
      </c>
      <c r="B721" t="s">
        <v>1480</v>
      </c>
      <c r="C721" t="s">
        <v>386</v>
      </c>
      <c r="D721" t="s">
        <v>317</v>
      </c>
      <c r="E721" t="s">
        <v>387</v>
      </c>
      <c r="F721" t="s">
        <v>342</v>
      </c>
      <c r="G721" s="202">
        <v>626.70600000000002</v>
      </c>
      <c r="H721">
        <v>2</v>
      </c>
      <c r="I721" t="s">
        <v>3960</v>
      </c>
      <c r="J721" t="s">
        <v>4994</v>
      </c>
      <c r="K721" t="s">
        <v>1283</v>
      </c>
      <c r="L721" s="204">
        <v>0.63</v>
      </c>
      <c r="M721" s="112">
        <v>42.442500000000003</v>
      </c>
      <c r="N721" s="112">
        <v>26.738775</v>
      </c>
      <c r="O721" s="204"/>
      <c r="P721" s="112"/>
      <c r="Q721" s="112"/>
      <c r="R721" s="112"/>
      <c r="S721" s="112"/>
      <c r="T721" s="112"/>
      <c r="U721" t="s">
        <v>5062</v>
      </c>
      <c r="V721" t="s">
        <v>5063</v>
      </c>
      <c r="W721" t="s">
        <v>3958</v>
      </c>
      <c r="X721" t="s">
        <v>4660</v>
      </c>
    </row>
    <row r="722" spans="1:24" x14ac:dyDescent="0.2">
      <c r="A722" t="s">
        <v>5061</v>
      </c>
      <c r="B722" t="s">
        <v>1480</v>
      </c>
      <c r="C722" t="s">
        <v>386</v>
      </c>
      <c r="D722" t="s">
        <v>317</v>
      </c>
      <c r="E722" t="s">
        <v>387</v>
      </c>
      <c r="F722" t="s">
        <v>342</v>
      </c>
      <c r="G722" s="202">
        <v>626.70600000000002</v>
      </c>
      <c r="H722">
        <v>3</v>
      </c>
      <c r="I722" t="s">
        <v>3976</v>
      </c>
      <c r="J722" t="s">
        <v>4995</v>
      </c>
      <c r="K722" t="s">
        <v>1283</v>
      </c>
      <c r="L722" s="204">
        <v>0.05</v>
      </c>
      <c r="M722" s="112">
        <v>42.442500000000003</v>
      </c>
      <c r="N722" s="112">
        <v>2.122125</v>
      </c>
      <c r="O722" s="204"/>
      <c r="P722" s="112"/>
      <c r="Q722" s="112"/>
      <c r="R722" s="112"/>
      <c r="S722" s="112"/>
      <c r="T722" s="112"/>
      <c r="U722" t="s">
        <v>5062</v>
      </c>
      <c r="V722" t="s">
        <v>5063</v>
      </c>
      <c r="W722" t="s">
        <v>3958</v>
      </c>
      <c r="X722" t="s">
        <v>4660</v>
      </c>
    </row>
    <row r="723" spans="1:24" x14ac:dyDescent="0.2">
      <c r="A723" t="s">
        <v>5061</v>
      </c>
      <c r="B723" t="s">
        <v>1480</v>
      </c>
      <c r="C723" t="s">
        <v>386</v>
      </c>
      <c r="D723" t="s">
        <v>317</v>
      </c>
      <c r="E723" t="s">
        <v>387</v>
      </c>
      <c r="F723" t="s">
        <v>342</v>
      </c>
      <c r="G723" s="202">
        <v>626.70600000000002</v>
      </c>
      <c r="H723">
        <v>4</v>
      </c>
      <c r="I723" t="s">
        <v>4017</v>
      </c>
      <c r="J723" t="s">
        <v>4809</v>
      </c>
      <c r="K723" t="s">
        <v>1283</v>
      </c>
      <c r="L723" s="204">
        <v>0.05</v>
      </c>
      <c r="M723" s="112">
        <v>42.442500000000003</v>
      </c>
      <c r="N723" s="112">
        <v>2.122125</v>
      </c>
      <c r="O723" s="204"/>
      <c r="P723" s="112"/>
      <c r="Q723" s="112"/>
      <c r="R723" s="112"/>
      <c r="S723" s="112"/>
      <c r="T723" s="112"/>
      <c r="U723" t="s">
        <v>5062</v>
      </c>
      <c r="V723" t="s">
        <v>5063</v>
      </c>
      <c r="W723" t="s">
        <v>3958</v>
      </c>
      <c r="X723" t="s">
        <v>4660</v>
      </c>
    </row>
    <row r="724" spans="1:24" x14ac:dyDescent="0.2">
      <c r="A724" t="s">
        <v>5061</v>
      </c>
      <c r="B724" t="s">
        <v>1480</v>
      </c>
      <c r="C724" t="s">
        <v>386</v>
      </c>
      <c r="D724" t="s">
        <v>317</v>
      </c>
      <c r="E724" t="s">
        <v>387</v>
      </c>
      <c r="F724" t="s">
        <v>342</v>
      </c>
      <c r="G724" s="202">
        <v>626.70600000000002</v>
      </c>
      <c r="H724">
        <v>5</v>
      </c>
      <c r="I724" t="s">
        <v>3968</v>
      </c>
      <c r="J724" t="s">
        <v>3969</v>
      </c>
      <c r="K724" t="s">
        <v>342</v>
      </c>
      <c r="L724" s="204">
        <v>1</v>
      </c>
      <c r="M724" s="112"/>
      <c r="N724" s="112">
        <v>42.442500000000003</v>
      </c>
      <c r="O724" s="204">
        <v>0.22212404191454804</v>
      </c>
      <c r="P724" s="112">
        <v>9.4274996489582037</v>
      </c>
      <c r="Q724" s="112">
        <v>51.869999648958206</v>
      </c>
      <c r="R724" s="112">
        <v>32507.24</v>
      </c>
      <c r="S724" s="112">
        <v>32507.24</v>
      </c>
      <c r="T724" s="112">
        <v>0</v>
      </c>
      <c r="U724" t="s">
        <v>5062</v>
      </c>
      <c r="V724" t="s">
        <v>5063</v>
      </c>
      <c r="W724" t="s">
        <v>4666</v>
      </c>
      <c r="X724" t="s">
        <v>4667</v>
      </c>
    </row>
    <row r="725" spans="1:24" x14ac:dyDescent="0.2">
      <c r="A725" t="s">
        <v>5064</v>
      </c>
      <c r="B725" t="s">
        <v>1481</v>
      </c>
      <c r="C725" t="s">
        <v>1482</v>
      </c>
      <c r="D725" t="s">
        <v>56</v>
      </c>
      <c r="E725" t="s">
        <v>388</v>
      </c>
      <c r="F725" t="s">
        <v>99</v>
      </c>
      <c r="G725" s="202">
        <v>73.102000000000004</v>
      </c>
      <c r="H725">
        <v>1</v>
      </c>
      <c r="I725" t="s">
        <v>3954</v>
      </c>
      <c r="J725" t="s">
        <v>4992</v>
      </c>
      <c r="K725" t="s">
        <v>1283</v>
      </c>
      <c r="L725" s="204">
        <v>0.27</v>
      </c>
      <c r="M725" s="112">
        <v>101.5275</v>
      </c>
      <c r="N725" s="112">
        <v>27.412425000000002</v>
      </c>
      <c r="O725" s="204"/>
      <c r="P725" s="112"/>
      <c r="Q725" s="112"/>
      <c r="R725" s="112"/>
      <c r="S725" s="112"/>
      <c r="T725" s="112"/>
      <c r="U725" t="s">
        <v>5065</v>
      </c>
      <c r="V725" t="s">
        <v>5066</v>
      </c>
      <c r="W725" t="s">
        <v>3958</v>
      </c>
      <c r="X725" t="s">
        <v>4660</v>
      </c>
    </row>
    <row r="726" spans="1:24" x14ac:dyDescent="0.2">
      <c r="A726" t="s">
        <v>5064</v>
      </c>
      <c r="B726" t="s">
        <v>1481</v>
      </c>
      <c r="C726" t="s">
        <v>1482</v>
      </c>
      <c r="D726" t="s">
        <v>56</v>
      </c>
      <c r="E726" t="s">
        <v>388</v>
      </c>
      <c r="F726" t="s">
        <v>99</v>
      </c>
      <c r="G726" s="202">
        <v>73.102000000000004</v>
      </c>
      <c r="H726">
        <v>2</v>
      </c>
      <c r="I726" t="s">
        <v>3960</v>
      </c>
      <c r="J726" t="s">
        <v>4994</v>
      </c>
      <c r="K726" t="s">
        <v>1283</v>
      </c>
      <c r="L726" s="204">
        <v>0.63</v>
      </c>
      <c r="M726" s="112">
        <v>101.5275</v>
      </c>
      <c r="N726" s="112">
        <v>63.962325</v>
      </c>
      <c r="O726" s="204"/>
      <c r="P726" s="112"/>
      <c r="Q726" s="112"/>
      <c r="R726" s="112"/>
      <c r="S726" s="112"/>
      <c r="T726" s="112"/>
      <c r="U726" t="s">
        <v>5065</v>
      </c>
      <c r="V726" t="s">
        <v>5066</v>
      </c>
      <c r="W726" t="s">
        <v>3958</v>
      </c>
      <c r="X726" t="s">
        <v>4660</v>
      </c>
    </row>
    <row r="727" spans="1:24" x14ac:dyDescent="0.2">
      <c r="A727" t="s">
        <v>5064</v>
      </c>
      <c r="B727" t="s">
        <v>1481</v>
      </c>
      <c r="C727" t="s">
        <v>1482</v>
      </c>
      <c r="D727" t="s">
        <v>56</v>
      </c>
      <c r="E727" t="s">
        <v>388</v>
      </c>
      <c r="F727" t="s">
        <v>99</v>
      </c>
      <c r="G727" s="202">
        <v>73.102000000000004</v>
      </c>
      <c r="H727">
        <v>3</v>
      </c>
      <c r="I727" t="s">
        <v>3976</v>
      </c>
      <c r="J727" t="s">
        <v>4995</v>
      </c>
      <c r="K727" t="s">
        <v>1283</v>
      </c>
      <c r="L727" s="204">
        <v>0.05</v>
      </c>
      <c r="M727" s="112">
        <v>101.5275</v>
      </c>
      <c r="N727" s="112">
        <v>5.0763750000000005</v>
      </c>
      <c r="O727" s="204"/>
      <c r="P727" s="112"/>
      <c r="Q727" s="112"/>
      <c r="R727" s="112"/>
      <c r="S727" s="112"/>
      <c r="T727" s="112"/>
      <c r="U727" t="s">
        <v>5065</v>
      </c>
      <c r="V727" t="s">
        <v>5066</v>
      </c>
      <c r="W727" t="s">
        <v>3958</v>
      </c>
      <c r="X727" t="s">
        <v>4660</v>
      </c>
    </row>
    <row r="728" spans="1:24" x14ac:dyDescent="0.2">
      <c r="A728" t="s">
        <v>5064</v>
      </c>
      <c r="B728" t="s">
        <v>1481</v>
      </c>
      <c r="C728" t="s">
        <v>1482</v>
      </c>
      <c r="D728" t="s">
        <v>56</v>
      </c>
      <c r="E728" t="s">
        <v>388</v>
      </c>
      <c r="F728" t="s">
        <v>99</v>
      </c>
      <c r="G728" s="202">
        <v>73.102000000000004</v>
      </c>
      <c r="H728">
        <v>4</v>
      </c>
      <c r="I728" t="s">
        <v>4017</v>
      </c>
      <c r="J728" t="s">
        <v>4809</v>
      </c>
      <c r="K728" t="s">
        <v>1283</v>
      </c>
      <c r="L728" s="204">
        <v>0.05</v>
      </c>
      <c r="M728" s="112">
        <v>101.5275</v>
      </c>
      <c r="N728" s="112">
        <v>5.0763750000000005</v>
      </c>
      <c r="O728" s="204"/>
      <c r="P728" s="112"/>
      <c r="Q728" s="112"/>
      <c r="R728" s="112"/>
      <c r="S728" s="112"/>
      <c r="T728" s="112"/>
      <c r="U728" t="s">
        <v>5065</v>
      </c>
      <c r="V728" t="s">
        <v>5066</v>
      </c>
      <c r="W728" t="s">
        <v>3958</v>
      </c>
      <c r="X728" t="s">
        <v>4660</v>
      </c>
    </row>
    <row r="729" spans="1:24" x14ac:dyDescent="0.2">
      <c r="A729" t="s">
        <v>5064</v>
      </c>
      <c r="B729" t="s">
        <v>1481</v>
      </c>
      <c r="C729" t="s">
        <v>1482</v>
      </c>
      <c r="D729" t="s">
        <v>56</v>
      </c>
      <c r="E729" t="s">
        <v>388</v>
      </c>
      <c r="F729" t="s">
        <v>99</v>
      </c>
      <c r="G729" s="202">
        <v>73.102000000000004</v>
      </c>
      <c r="H729">
        <v>5</v>
      </c>
      <c r="I729" t="s">
        <v>3968</v>
      </c>
      <c r="J729" t="s">
        <v>3969</v>
      </c>
      <c r="K729" t="s">
        <v>99</v>
      </c>
      <c r="L729" s="204">
        <v>1</v>
      </c>
      <c r="M729" s="112"/>
      <c r="N729" s="112">
        <v>101.5275</v>
      </c>
      <c r="O729" s="204">
        <v>0.222279315477099</v>
      </c>
      <c r="P729" s="112">
        <v>22.567463202101166</v>
      </c>
      <c r="Q729" s="112">
        <v>124.09496320210117</v>
      </c>
      <c r="R729" s="112">
        <v>9071.59</v>
      </c>
      <c r="S729" s="112">
        <v>9071.59</v>
      </c>
      <c r="T729" s="112">
        <v>0</v>
      </c>
      <c r="U729" t="s">
        <v>5065</v>
      </c>
      <c r="V729" t="s">
        <v>5066</v>
      </c>
      <c r="W729" t="s">
        <v>4666</v>
      </c>
      <c r="X729" t="s">
        <v>4667</v>
      </c>
    </row>
    <row r="730" spans="1:24" x14ac:dyDescent="0.2">
      <c r="A730" t="s">
        <v>5067</v>
      </c>
      <c r="B730" t="s">
        <v>1483</v>
      </c>
      <c r="C730" t="s">
        <v>1484</v>
      </c>
      <c r="D730" t="s">
        <v>335</v>
      </c>
      <c r="E730" t="s">
        <v>389</v>
      </c>
      <c r="F730" t="s">
        <v>99</v>
      </c>
      <c r="G730" s="202">
        <v>38.198999999999998</v>
      </c>
      <c r="H730">
        <v>1</v>
      </c>
      <c r="I730" t="s">
        <v>3954</v>
      </c>
      <c r="J730" t="s">
        <v>4992</v>
      </c>
      <c r="K730" t="s">
        <v>1283</v>
      </c>
      <c r="L730" s="204">
        <v>0.27</v>
      </c>
      <c r="M730" s="112">
        <v>25.125</v>
      </c>
      <c r="N730" s="112">
        <v>6.7837500000000004</v>
      </c>
      <c r="O730" s="204"/>
      <c r="P730" s="112"/>
      <c r="Q730" s="112"/>
      <c r="R730" s="112"/>
      <c r="S730" s="112"/>
      <c r="T730" s="112"/>
      <c r="U730" t="s">
        <v>5068</v>
      </c>
      <c r="V730" t="s">
        <v>5069</v>
      </c>
      <c r="W730" t="s">
        <v>3958</v>
      </c>
      <c r="X730" t="s">
        <v>4660</v>
      </c>
    </row>
    <row r="731" spans="1:24" x14ac:dyDescent="0.2">
      <c r="A731" t="s">
        <v>5067</v>
      </c>
      <c r="B731" t="s">
        <v>1483</v>
      </c>
      <c r="C731" t="s">
        <v>1484</v>
      </c>
      <c r="D731" t="s">
        <v>335</v>
      </c>
      <c r="E731" t="s">
        <v>389</v>
      </c>
      <c r="F731" t="s">
        <v>99</v>
      </c>
      <c r="G731" s="202">
        <v>38.198999999999998</v>
      </c>
      <c r="H731">
        <v>2</v>
      </c>
      <c r="I731" t="s">
        <v>3960</v>
      </c>
      <c r="J731" t="s">
        <v>4994</v>
      </c>
      <c r="K731" t="s">
        <v>1283</v>
      </c>
      <c r="L731" s="204">
        <v>0.63</v>
      </c>
      <c r="M731" s="112">
        <v>25.125</v>
      </c>
      <c r="N731" s="112">
        <v>15.828749999999999</v>
      </c>
      <c r="O731" s="204"/>
      <c r="P731" s="112"/>
      <c r="Q731" s="112"/>
      <c r="R731" s="112"/>
      <c r="S731" s="112"/>
      <c r="T731" s="112"/>
      <c r="U731" t="s">
        <v>5068</v>
      </c>
      <c r="V731" t="s">
        <v>5069</v>
      </c>
      <c r="W731" t="s">
        <v>3958</v>
      </c>
      <c r="X731" t="s">
        <v>4660</v>
      </c>
    </row>
    <row r="732" spans="1:24" x14ac:dyDescent="0.2">
      <c r="A732" t="s">
        <v>5067</v>
      </c>
      <c r="B732" t="s">
        <v>1483</v>
      </c>
      <c r="C732" t="s">
        <v>1484</v>
      </c>
      <c r="D732" t="s">
        <v>335</v>
      </c>
      <c r="E732" t="s">
        <v>389</v>
      </c>
      <c r="F732" t="s">
        <v>99</v>
      </c>
      <c r="G732" s="202">
        <v>38.198999999999998</v>
      </c>
      <c r="H732">
        <v>3</v>
      </c>
      <c r="I732" t="s">
        <v>3976</v>
      </c>
      <c r="J732" t="s">
        <v>4995</v>
      </c>
      <c r="K732" t="s">
        <v>1283</v>
      </c>
      <c r="L732" s="204">
        <v>0.05</v>
      </c>
      <c r="M732" s="112">
        <v>25.125</v>
      </c>
      <c r="N732" s="112">
        <v>1.2562500000000001</v>
      </c>
      <c r="O732" s="204"/>
      <c r="P732" s="112"/>
      <c r="Q732" s="112"/>
      <c r="R732" s="112"/>
      <c r="S732" s="112"/>
      <c r="T732" s="112"/>
      <c r="U732" t="s">
        <v>5068</v>
      </c>
      <c r="V732" t="s">
        <v>5069</v>
      </c>
      <c r="W732" t="s">
        <v>3958</v>
      </c>
      <c r="X732" t="s">
        <v>4660</v>
      </c>
    </row>
    <row r="733" spans="1:24" x14ac:dyDescent="0.2">
      <c r="A733" t="s">
        <v>5067</v>
      </c>
      <c r="B733" t="s">
        <v>1483</v>
      </c>
      <c r="C733" t="s">
        <v>1484</v>
      </c>
      <c r="D733" t="s">
        <v>335</v>
      </c>
      <c r="E733" t="s">
        <v>389</v>
      </c>
      <c r="F733" t="s">
        <v>99</v>
      </c>
      <c r="G733" s="202">
        <v>38.198999999999998</v>
      </c>
      <c r="H733">
        <v>4</v>
      </c>
      <c r="I733" t="s">
        <v>4017</v>
      </c>
      <c r="J733" t="s">
        <v>4809</v>
      </c>
      <c r="K733" t="s">
        <v>1283</v>
      </c>
      <c r="L733" s="204">
        <v>0.05</v>
      </c>
      <c r="M733" s="112">
        <v>25.125</v>
      </c>
      <c r="N733" s="112">
        <v>1.2562500000000001</v>
      </c>
      <c r="O733" s="204"/>
      <c r="P733" s="112"/>
      <c r="Q733" s="112"/>
      <c r="R733" s="112"/>
      <c r="S733" s="112"/>
      <c r="T733" s="112"/>
      <c r="U733" t="s">
        <v>5068</v>
      </c>
      <c r="V733" t="s">
        <v>5069</v>
      </c>
      <c r="W733" t="s">
        <v>3958</v>
      </c>
      <c r="X733" t="s">
        <v>4660</v>
      </c>
    </row>
    <row r="734" spans="1:24" x14ac:dyDescent="0.2">
      <c r="A734" t="s">
        <v>5067</v>
      </c>
      <c r="B734" t="s">
        <v>1483</v>
      </c>
      <c r="C734" t="s">
        <v>1484</v>
      </c>
      <c r="D734" t="s">
        <v>335</v>
      </c>
      <c r="E734" t="s">
        <v>389</v>
      </c>
      <c r="F734" t="s">
        <v>99</v>
      </c>
      <c r="G734" s="202">
        <v>38.198999999999998</v>
      </c>
      <c r="H734">
        <v>5</v>
      </c>
      <c r="I734" t="s">
        <v>3968</v>
      </c>
      <c r="J734" t="s">
        <v>3969</v>
      </c>
      <c r="K734" t="s">
        <v>99</v>
      </c>
      <c r="L734" s="204">
        <v>1</v>
      </c>
      <c r="M734" s="112"/>
      <c r="N734" s="112">
        <v>25.125</v>
      </c>
      <c r="O734" s="204">
        <v>0.22208924486705461</v>
      </c>
      <c r="P734" s="112">
        <v>5.5799922772847488</v>
      </c>
      <c r="Q734" s="112">
        <v>30.704992277284749</v>
      </c>
      <c r="R734" s="112">
        <v>1172.9000000000001</v>
      </c>
      <c r="S734" s="112">
        <v>1172.9000000000001</v>
      </c>
      <c r="T734" s="112">
        <v>0</v>
      </c>
      <c r="U734" t="s">
        <v>5068</v>
      </c>
      <c r="V734" t="s">
        <v>5069</v>
      </c>
      <c r="W734" t="s">
        <v>4666</v>
      </c>
      <c r="X734" t="s">
        <v>4667</v>
      </c>
    </row>
    <row r="735" spans="1:24" x14ac:dyDescent="0.2">
      <c r="A735" t="s">
        <v>5070</v>
      </c>
      <c r="B735" t="s">
        <v>392</v>
      </c>
      <c r="C735" t="s">
        <v>1485</v>
      </c>
      <c r="D735" t="s">
        <v>56</v>
      </c>
      <c r="E735" t="s">
        <v>1486</v>
      </c>
      <c r="F735" t="s">
        <v>26</v>
      </c>
      <c r="G735" s="202">
        <v>834.29499999999996</v>
      </c>
      <c r="H735">
        <v>1</v>
      </c>
      <c r="I735" t="s">
        <v>3954</v>
      </c>
      <c r="J735" t="s">
        <v>4992</v>
      </c>
      <c r="K735" t="s">
        <v>1283</v>
      </c>
      <c r="L735" s="204">
        <v>0.27</v>
      </c>
      <c r="M735" s="112">
        <v>73.710000000000008</v>
      </c>
      <c r="N735" s="112">
        <v>19.901700000000002</v>
      </c>
      <c r="O735" s="204"/>
      <c r="P735" s="112"/>
      <c r="Q735" s="112"/>
      <c r="R735" s="112"/>
      <c r="S735" s="112"/>
      <c r="T735" s="112"/>
      <c r="U735" t="s">
        <v>4150</v>
      </c>
      <c r="V735" t="s">
        <v>5071</v>
      </c>
      <c r="W735" t="s">
        <v>3958</v>
      </c>
      <c r="X735" t="s">
        <v>4660</v>
      </c>
    </row>
    <row r="736" spans="1:24" x14ac:dyDescent="0.2">
      <c r="A736" t="s">
        <v>5070</v>
      </c>
      <c r="B736" t="s">
        <v>392</v>
      </c>
      <c r="C736" t="s">
        <v>1485</v>
      </c>
      <c r="D736" t="s">
        <v>56</v>
      </c>
      <c r="E736" t="s">
        <v>1486</v>
      </c>
      <c r="F736" t="s">
        <v>26</v>
      </c>
      <c r="G736" s="202">
        <v>834.29499999999996</v>
      </c>
      <c r="H736">
        <v>2</v>
      </c>
      <c r="I736" t="s">
        <v>3960</v>
      </c>
      <c r="J736" t="s">
        <v>4994</v>
      </c>
      <c r="K736" t="s">
        <v>1283</v>
      </c>
      <c r="L736" s="204">
        <v>0.63</v>
      </c>
      <c r="M736" s="112">
        <v>73.710000000000008</v>
      </c>
      <c r="N736" s="112">
        <v>46.437300000000008</v>
      </c>
      <c r="O736" s="204"/>
      <c r="P736" s="112"/>
      <c r="Q736" s="112"/>
      <c r="R736" s="112"/>
      <c r="S736" s="112"/>
      <c r="T736" s="112"/>
      <c r="U736" t="s">
        <v>4150</v>
      </c>
      <c r="V736" t="s">
        <v>5071</v>
      </c>
      <c r="W736" t="s">
        <v>3958</v>
      </c>
      <c r="X736" t="s">
        <v>4660</v>
      </c>
    </row>
    <row r="737" spans="1:24" x14ac:dyDescent="0.2">
      <c r="A737" t="s">
        <v>5070</v>
      </c>
      <c r="B737" t="s">
        <v>392</v>
      </c>
      <c r="C737" t="s">
        <v>1485</v>
      </c>
      <c r="D737" t="s">
        <v>56</v>
      </c>
      <c r="E737" t="s">
        <v>1486</v>
      </c>
      <c r="F737" t="s">
        <v>26</v>
      </c>
      <c r="G737" s="202">
        <v>834.29499999999996</v>
      </c>
      <c r="H737">
        <v>3</v>
      </c>
      <c r="I737" t="s">
        <v>3976</v>
      </c>
      <c r="J737" t="s">
        <v>4995</v>
      </c>
      <c r="K737" t="s">
        <v>1283</v>
      </c>
      <c r="L737" s="204">
        <v>0.05</v>
      </c>
      <c r="M737" s="112">
        <v>73.710000000000008</v>
      </c>
      <c r="N737" s="112">
        <v>3.6855000000000007</v>
      </c>
      <c r="O737" s="204"/>
      <c r="P737" s="112"/>
      <c r="Q737" s="112"/>
      <c r="R737" s="112"/>
      <c r="S737" s="112"/>
      <c r="T737" s="112"/>
      <c r="U737" t="s">
        <v>4150</v>
      </c>
      <c r="V737" t="s">
        <v>5071</v>
      </c>
      <c r="W737" t="s">
        <v>3958</v>
      </c>
      <c r="X737" t="s">
        <v>4660</v>
      </c>
    </row>
    <row r="738" spans="1:24" x14ac:dyDescent="0.2">
      <c r="A738" t="s">
        <v>5070</v>
      </c>
      <c r="B738" t="s">
        <v>392</v>
      </c>
      <c r="C738" t="s">
        <v>1485</v>
      </c>
      <c r="D738" t="s">
        <v>56</v>
      </c>
      <c r="E738" t="s">
        <v>1486</v>
      </c>
      <c r="F738" t="s">
        <v>26</v>
      </c>
      <c r="G738" s="202">
        <v>834.29499999999996</v>
      </c>
      <c r="H738">
        <v>4</v>
      </c>
      <c r="I738" t="s">
        <v>4017</v>
      </c>
      <c r="J738" t="s">
        <v>4809</v>
      </c>
      <c r="K738" t="s">
        <v>1283</v>
      </c>
      <c r="L738" s="204">
        <v>0.05</v>
      </c>
      <c r="M738" s="112">
        <v>73.710000000000008</v>
      </c>
      <c r="N738" s="112">
        <v>3.6855000000000007</v>
      </c>
      <c r="O738" s="204"/>
      <c r="P738" s="112"/>
      <c r="Q738" s="112"/>
      <c r="R738" s="112"/>
      <c r="S738" s="112"/>
      <c r="T738" s="112"/>
      <c r="U738" t="s">
        <v>4150</v>
      </c>
      <c r="V738" t="s">
        <v>5071</v>
      </c>
      <c r="W738" t="s">
        <v>3958</v>
      </c>
      <c r="X738" t="s">
        <v>4660</v>
      </c>
    </row>
    <row r="739" spans="1:24" x14ac:dyDescent="0.2">
      <c r="A739" t="s">
        <v>5070</v>
      </c>
      <c r="B739" t="s">
        <v>392</v>
      </c>
      <c r="C739" t="s">
        <v>1485</v>
      </c>
      <c r="D739" t="s">
        <v>56</v>
      </c>
      <c r="E739" t="s">
        <v>1486</v>
      </c>
      <c r="F739" t="s">
        <v>26</v>
      </c>
      <c r="G739" s="202">
        <v>834.29499999999996</v>
      </c>
      <c r="H739">
        <v>5</v>
      </c>
      <c r="I739" t="s">
        <v>3968</v>
      </c>
      <c r="J739" t="s">
        <v>3969</v>
      </c>
      <c r="K739" t="s">
        <v>26</v>
      </c>
      <c r="L739" s="204">
        <v>1</v>
      </c>
      <c r="M739" s="112"/>
      <c r="N739" s="112">
        <v>73.710000000000008</v>
      </c>
      <c r="O739" s="204">
        <v>0.22222211571102957</v>
      </c>
      <c r="P739" s="112">
        <v>16.379992149059987</v>
      </c>
      <c r="Q739" s="112">
        <v>90.089992149059995</v>
      </c>
      <c r="R739" s="112">
        <v>75161.63</v>
      </c>
      <c r="S739" s="112">
        <v>75161.63</v>
      </c>
      <c r="T739" s="112">
        <v>0</v>
      </c>
      <c r="U739" t="s">
        <v>4150</v>
      </c>
      <c r="V739" t="s">
        <v>5071</v>
      </c>
      <c r="W739" t="s">
        <v>4666</v>
      </c>
      <c r="X739" t="s">
        <v>4667</v>
      </c>
    </row>
    <row r="740" spans="1:24" x14ac:dyDescent="0.2">
      <c r="A740" t="s">
        <v>5072</v>
      </c>
      <c r="B740" t="s">
        <v>394</v>
      </c>
      <c r="C740" t="s">
        <v>1487</v>
      </c>
      <c r="D740" t="s">
        <v>56</v>
      </c>
      <c r="E740" t="s">
        <v>1488</v>
      </c>
      <c r="F740" t="s">
        <v>26</v>
      </c>
      <c r="G740" s="202">
        <v>766.25300000000004</v>
      </c>
      <c r="H740">
        <v>1</v>
      </c>
      <c r="I740" t="s">
        <v>3954</v>
      </c>
      <c r="J740" t="s">
        <v>4804</v>
      </c>
      <c r="K740" t="s">
        <v>1283</v>
      </c>
      <c r="L740" s="204">
        <v>0.28000000000000003</v>
      </c>
      <c r="M740" s="112">
        <v>153.89999999999998</v>
      </c>
      <c r="N740" s="112">
        <v>43.091999999999999</v>
      </c>
      <c r="O740" s="204"/>
      <c r="P740" s="112"/>
      <c r="Q740" s="112"/>
      <c r="R740" s="112"/>
      <c r="S740" s="112"/>
      <c r="T740" s="112"/>
      <c r="U740" t="s">
        <v>4037</v>
      </c>
      <c r="V740" t="s">
        <v>5073</v>
      </c>
      <c r="W740" t="s">
        <v>3958</v>
      </c>
      <c r="X740" t="s">
        <v>4660</v>
      </c>
    </row>
    <row r="741" spans="1:24" x14ac:dyDescent="0.2">
      <c r="A741" t="s">
        <v>5072</v>
      </c>
      <c r="B741" t="s">
        <v>394</v>
      </c>
      <c r="C741" t="s">
        <v>1487</v>
      </c>
      <c r="D741" t="s">
        <v>56</v>
      </c>
      <c r="E741" t="s">
        <v>1488</v>
      </c>
      <c r="F741" t="s">
        <v>26</v>
      </c>
      <c r="G741" s="202">
        <v>766.25300000000004</v>
      </c>
      <c r="H741">
        <v>2</v>
      </c>
      <c r="I741" t="s">
        <v>3960</v>
      </c>
      <c r="J741" t="s">
        <v>4807</v>
      </c>
      <c r="K741" t="s">
        <v>1283</v>
      </c>
      <c r="L741" s="204">
        <v>0.56000000000000005</v>
      </c>
      <c r="M741" s="112">
        <v>153.89999999999998</v>
      </c>
      <c r="N741" s="112">
        <v>86.183999999999997</v>
      </c>
      <c r="O741" s="204"/>
      <c r="P741" s="112"/>
      <c r="Q741" s="112"/>
      <c r="R741" s="112"/>
      <c r="S741" s="112"/>
      <c r="T741" s="112"/>
      <c r="U741" t="s">
        <v>4037</v>
      </c>
      <c r="V741" t="s">
        <v>5073</v>
      </c>
      <c r="W741" t="s">
        <v>3958</v>
      </c>
      <c r="X741" t="s">
        <v>4660</v>
      </c>
    </row>
    <row r="742" spans="1:24" x14ac:dyDescent="0.2">
      <c r="A742" t="s">
        <v>5072</v>
      </c>
      <c r="B742" t="s">
        <v>394</v>
      </c>
      <c r="C742" t="s">
        <v>1487</v>
      </c>
      <c r="D742" t="s">
        <v>56</v>
      </c>
      <c r="E742" t="s">
        <v>1488</v>
      </c>
      <c r="F742" t="s">
        <v>26</v>
      </c>
      <c r="G742" s="202">
        <v>766.25300000000004</v>
      </c>
      <c r="H742">
        <v>3</v>
      </c>
      <c r="I742" t="s">
        <v>3962</v>
      </c>
      <c r="J742" t="s">
        <v>4808</v>
      </c>
      <c r="K742" t="s">
        <v>1283</v>
      </c>
      <c r="L742" s="204">
        <v>0.1</v>
      </c>
      <c r="M742" s="112">
        <v>153.89999999999998</v>
      </c>
      <c r="N742" s="112">
        <v>15.389999999999999</v>
      </c>
      <c r="O742" s="204"/>
      <c r="P742" s="112"/>
      <c r="Q742" s="112"/>
      <c r="R742" s="112"/>
      <c r="S742" s="112"/>
      <c r="T742" s="112"/>
      <c r="U742" t="s">
        <v>4037</v>
      </c>
      <c r="V742" t="s">
        <v>5073</v>
      </c>
      <c r="W742" t="s">
        <v>3958</v>
      </c>
      <c r="X742" t="s">
        <v>4660</v>
      </c>
    </row>
    <row r="743" spans="1:24" x14ac:dyDescent="0.2">
      <c r="A743" t="s">
        <v>5072</v>
      </c>
      <c r="B743" t="s">
        <v>394</v>
      </c>
      <c r="C743" t="s">
        <v>1487</v>
      </c>
      <c r="D743" t="s">
        <v>56</v>
      </c>
      <c r="E743" t="s">
        <v>1488</v>
      </c>
      <c r="F743" t="s">
        <v>26</v>
      </c>
      <c r="G743" s="202">
        <v>766.25300000000004</v>
      </c>
      <c r="H743">
        <v>4</v>
      </c>
      <c r="I743" t="s">
        <v>4017</v>
      </c>
      <c r="J743" t="s">
        <v>4809</v>
      </c>
      <c r="K743" t="s">
        <v>1283</v>
      </c>
      <c r="L743" s="204">
        <v>0.06</v>
      </c>
      <c r="M743" s="112">
        <v>153.89999999999998</v>
      </c>
      <c r="N743" s="112">
        <v>9.2339999999999982</v>
      </c>
      <c r="O743" s="204"/>
      <c r="P743" s="112"/>
      <c r="Q743" s="112"/>
      <c r="R743" s="112"/>
      <c r="S743" s="112"/>
      <c r="T743" s="112"/>
      <c r="U743" t="s">
        <v>4037</v>
      </c>
      <c r="V743" t="s">
        <v>5073</v>
      </c>
      <c r="W743" t="s">
        <v>3958</v>
      </c>
      <c r="X743" t="s">
        <v>4660</v>
      </c>
    </row>
    <row r="744" spans="1:24" x14ac:dyDescent="0.2">
      <c r="A744" t="s">
        <v>5072</v>
      </c>
      <c r="B744" t="s">
        <v>394</v>
      </c>
      <c r="C744" t="s">
        <v>1487</v>
      </c>
      <c r="D744" t="s">
        <v>56</v>
      </c>
      <c r="E744" t="s">
        <v>1488</v>
      </c>
      <c r="F744" t="s">
        <v>26</v>
      </c>
      <c r="G744" s="202">
        <v>766.25300000000004</v>
      </c>
      <c r="H744">
        <v>5</v>
      </c>
      <c r="I744" t="s">
        <v>3968</v>
      </c>
      <c r="J744" t="s">
        <v>3969</v>
      </c>
      <c r="K744" t="s">
        <v>26</v>
      </c>
      <c r="L744" s="204">
        <v>1</v>
      </c>
      <c r="M744" s="112"/>
      <c r="N744" s="112">
        <v>153.89999999999998</v>
      </c>
      <c r="O744" s="204">
        <v>0.22227090261169802</v>
      </c>
      <c r="P744" s="112">
        <v>34.207491911940309</v>
      </c>
      <c r="Q744" s="112">
        <v>188.10749191194029</v>
      </c>
      <c r="R744" s="112">
        <v>144137.93</v>
      </c>
      <c r="S744" s="112">
        <v>144137.93</v>
      </c>
      <c r="T744" s="112">
        <v>0</v>
      </c>
      <c r="U744" t="s">
        <v>4037</v>
      </c>
      <c r="V744" t="s">
        <v>5073</v>
      </c>
      <c r="W744" t="s">
        <v>4666</v>
      </c>
      <c r="X744" t="s">
        <v>4667</v>
      </c>
    </row>
    <row r="745" spans="1:24" x14ac:dyDescent="0.2">
      <c r="A745" t="s">
        <v>5074</v>
      </c>
      <c r="B745" t="s">
        <v>396</v>
      </c>
      <c r="C745" t="s">
        <v>1489</v>
      </c>
      <c r="D745" t="s">
        <v>56</v>
      </c>
      <c r="E745" t="s">
        <v>397</v>
      </c>
      <c r="F745" t="s">
        <v>26</v>
      </c>
      <c r="G745" s="202">
        <v>548.673</v>
      </c>
      <c r="H745">
        <v>1</v>
      </c>
      <c r="I745" t="s">
        <v>3954</v>
      </c>
      <c r="J745" t="s">
        <v>4804</v>
      </c>
      <c r="K745" t="s">
        <v>1283</v>
      </c>
      <c r="L745" s="204">
        <v>0.28000000000000003</v>
      </c>
      <c r="M745" s="112">
        <v>60.382500000000007</v>
      </c>
      <c r="N745" s="112">
        <v>16.907100000000003</v>
      </c>
      <c r="O745" s="204"/>
      <c r="P745" s="112"/>
      <c r="Q745" s="112"/>
      <c r="R745" s="112"/>
      <c r="S745" s="112"/>
      <c r="T745" s="112"/>
      <c r="U745" t="s">
        <v>4256</v>
      </c>
      <c r="V745" t="s">
        <v>5075</v>
      </c>
      <c r="W745" t="s">
        <v>3958</v>
      </c>
      <c r="X745" t="s">
        <v>4660</v>
      </c>
    </row>
    <row r="746" spans="1:24" x14ac:dyDescent="0.2">
      <c r="A746" t="s">
        <v>5074</v>
      </c>
      <c r="B746" t="s">
        <v>396</v>
      </c>
      <c r="C746" t="s">
        <v>1489</v>
      </c>
      <c r="D746" t="s">
        <v>56</v>
      </c>
      <c r="E746" t="s">
        <v>397</v>
      </c>
      <c r="F746" t="s">
        <v>26</v>
      </c>
      <c r="G746" s="202">
        <v>548.673</v>
      </c>
      <c r="H746">
        <v>2</v>
      </c>
      <c r="I746" t="s">
        <v>3960</v>
      </c>
      <c r="J746" t="s">
        <v>4807</v>
      </c>
      <c r="K746" t="s">
        <v>1283</v>
      </c>
      <c r="L746" s="204">
        <v>0.56000000000000005</v>
      </c>
      <c r="M746" s="112">
        <v>60.382500000000007</v>
      </c>
      <c r="N746" s="112">
        <v>33.814200000000007</v>
      </c>
      <c r="O746" s="204"/>
      <c r="P746" s="112"/>
      <c r="Q746" s="112"/>
      <c r="R746" s="112"/>
      <c r="S746" s="112"/>
      <c r="T746" s="112"/>
      <c r="U746" t="s">
        <v>4256</v>
      </c>
      <c r="V746" t="s">
        <v>5075</v>
      </c>
      <c r="W746" t="s">
        <v>3958</v>
      </c>
      <c r="X746" t="s">
        <v>4660</v>
      </c>
    </row>
    <row r="747" spans="1:24" x14ac:dyDescent="0.2">
      <c r="A747" t="s">
        <v>5074</v>
      </c>
      <c r="B747" t="s">
        <v>396</v>
      </c>
      <c r="C747" t="s">
        <v>1489</v>
      </c>
      <c r="D747" t="s">
        <v>56</v>
      </c>
      <c r="E747" t="s">
        <v>397</v>
      </c>
      <c r="F747" t="s">
        <v>26</v>
      </c>
      <c r="G747" s="202">
        <v>548.673</v>
      </c>
      <c r="H747">
        <v>3</v>
      </c>
      <c r="I747" t="s">
        <v>3962</v>
      </c>
      <c r="J747" t="s">
        <v>4808</v>
      </c>
      <c r="K747" t="s">
        <v>1283</v>
      </c>
      <c r="L747" s="204">
        <v>0.1</v>
      </c>
      <c r="M747" s="112">
        <v>60.382500000000007</v>
      </c>
      <c r="N747" s="112">
        <v>6.0382500000000014</v>
      </c>
      <c r="O747" s="204"/>
      <c r="P747" s="112"/>
      <c r="Q747" s="112"/>
      <c r="R747" s="112"/>
      <c r="S747" s="112"/>
      <c r="T747" s="112"/>
      <c r="U747" t="s">
        <v>4256</v>
      </c>
      <c r="V747" t="s">
        <v>5075</v>
      </c>
      <c r="W747" t="s">
        <v>3958</v>
      </c>
      <c r="X747" t="s">
        <v>4660</v>
      </c>
    </row>
    <row r="748" spans="1:24" x14ac:dyDescent="0.2">
      <c r="A748" t="s">
        <v>5074</v>
      </c>
      <c r="B748" t="s">
        <v>396</v>
      </c>
      <c r="C748" t="s">
        <v>1489</v>
      </c>
      <c r="D748" t="s">
        <v>56</v>
      </c>
      <c r="E748" t="s">
        <v>397</v>
      </c>
      <c r="F748" t="s">
        <v>26</v>
      </c>
      <c r="G748" s="202">
        <v>548.673</v>
      </c>
      <c r="H748">
        <v>4</v>
      </c>
      <c r="I748" t="s">
        <v>4017</v>
      </c>
      <c r="J748" t="s">
        <v>4809</v>
      </c>
      <c r="K748" t="s">
        <v>1283</v>
      </c>
      <c r="L748" s="204">
        <v>0.06</v>
      </c>
      <c r="M748" s="112">
        <v>60.382500000000007</v>
      </c>
      <c r="N748" s="112">
        <v>3.6229500000000003</v>
      </c>
      <c r="O748" s="204"/>
      <c r="P748" s="112"/>
      <c r="Q748" s="112"/>
      <c r="R748" s="112"/>
      <c r="S748" s="112"/>
      <c r="T748" s="112"/>
      <c r="U748" t="s">
        <v>4256</v>
      </c>
      <c r="V748" t="s">
        <v>5075</v>
      </c>
      <c r="W748" t="s">
        <v>3958</v>
      </c>
      <c r="X748" t="s">
        <v>4660</v>
      </c>
    </row>
    <row r="749" spans="1:24" x14ac:dyDescent="0.2">
      <c r="A749" t="s">
        <v>5074</v>
      </c>
      <c r="B749" t="s">
        <v>396</v>
      </c>
      <c r="C749" t="s">
        <v>1489</v>
      </c>
      <c r="D749" t="s">
        <v>56</v>
      </c>
      <c r="E749" t="s">
        <v>397</v>
      </c>
      <c r="F749" t="s">
        <v>26</v>
      </c>
      <c r="G749" s="202">
        <v>548.673</v>
      </c>
      <c r="H749">
        <v>5</v>
      </c>
      <c r="I749" t="s">
        <v>3968</v>
      </c>
      <c r="J749" t="s">
        <v>3969</v>
      </c>
      <c r="K749" t="s">
        <v>26</v>
      </c>
      <c r="L749" s="204">
        <v>1</v>
      </c>
      <c r="M749" s="112"/>
      <c r="N749" s="112">
        <v>60.382500000000007</v>
      </c>
      <c r="O749" s="204">
        <v>0.22220819795327906</v>
      </c>
      <c r="P749" s="112">
        <v>13.417486512913868</v>
      </c>
      <c r="Q749" s="112">
        <v>73.799986512913875</v>
      </c>
      <c r="R749" s="112">
        <v>40492.06</v>
      </c>
      <c r="S749" s="112">
        <v>40492.06</v>
      </c>
      <c r="T749" s="112">
        <v>0</v>
      </c>
      <c r="U749" t="s">
        <v>4256</v>
      </c>
      <c r="V749" t="s">
        <v>5075</v>
      </c>
      <c r="W749" t="s">
        <v>4666</v>
      </c>
      <c r="X749" t="s">
        <v>4667</v>
      </c>
    </row>
    <row r="750" spans="1:24" x14ac:dyDescent="0.2">
      <c r="A750" t="s">
        <v>5076</v>
      </c>
      <c r="B750" t="s">
        <v>398</v>
      </c>
      <c r="C750" t="s">
        <v>1490</v>
      </c>
      <c r="D750" t="s">
        <v>56</v>
      </c>
      <c r="E750" t="s">
        <v>399</v>
      </c>
      <c r="F750" t="s">
        <v>99</v>
      </c>
      <c r="G750" s="202">
        <v>202.65799999999999</v>
      </c>
      <c r="H750">
        <v>1</v>
      </c>
      <c r="I750" t="s">
        <v>3954</v>
      </c>
      <c r="J750" t="s">
        <v>4804</v>
      </c>
      <c r="K750" t="s">
        <v>1283</v>
      </c>
      <c r="L750" s="204">
        <v>0.28000000000000003</v>
      </c>
      <c r="M750" s="112">
        <v>42.344999999999999</v>
      </c>
      <c r="N750" s="112">
        <v>11.8566</v>
      </c>
      <c r="O750" s="204"/>
      <c r="P750" s="112"/>
      <c r="Q750" s="112"/>
      <c r="R750" s="112"/>
      <c r="S750" s="112"/>
      <c r="T750" s="112"/>
      <c r="U750" t="s">
        <v>5077</v>
      </c>
      <c r="V750" t="s">
        <v>5078</v>
      </c>
      <c r="W750" t="s">
        <v>3958</v>
      </c>
      <c r="X750" t="s">
        <v>4660</v>
      </c>
    </row>
    <row r="751" spans="1:24" x14ac:dyDescent="0.2">
      <c r="A751" t="s">
        <v>5076</v>
      </c>
      <c r="B751" t="s">
        <v>398</v>
      </c>
      <c r="C751" t="s">
        <v>1490</v>
      </c>
      <c r="D751" t="s">
        <v>56</v>
      </c>
      <c r="E751" t="s">
        <v>399</v>
      </c>
      <c r="F751" t="s">
        <v>99</v>
      </c>
      <c r="G751" s="202">
        <v>202.65799999999999</v>
      </c>
      <c r="H751">
        <v>2</v>
      </c>
      <c r="I751" t="s">
        <v>3960</v>
      </c>
      <c r="J751" t="s">
        <v>4807</v>
      </c>
      <c r="K751" t="s">
        <v>1283</v>
      </c>
      <c r="L751" s="204">
        <v>0.56000000000000005</v>
      </c>
      <c r="M751" s="112">
        <v>42.344999999999999</v>
      </c>
      <c r="N751" s="112">
        <v>23.713200000000001</v>
      </c>
      <c r="O751" s="204"/>
      <c r="P751" s="112"/>
      <c r="Q751" s="112"/>
      <c r="R751" s="112"/>
      <c r="S751" s="112"/>
      <c r="T751" s="112"/>
      <c r="U751" t="s">
        <v>5077</v>
      </c>
      <c r="V751" t="s">
        <v>5078</v>
      </c>
      <c r="W751" t="s">
        <v>3958</v>
      </c>
      <c r="X751" t="s">
        <v>4660</v>
      </c>
    </row>
    <row r="752" spans="1:24" x14ac:dyDescent="0.2">
      <c r="A752" t="s">
        <v>5076</v>
      </c>
      <c r="B752" t="s">
        <v>398</v>
      </c>
      <c r="C752" t="s">
        <v>1490</v>
      </c>
      <c r="D752" t="s">
        <v>56</v>
      </c>
      <c r="E752" t="s">
        <v>399</v>
      </c>
      <c r="F752" t="s">
        <v>99</v>
      </c>
      <c r="G752" s="202">
        <v>202.65799999999999</v>
      </c>
      <c r="H752">
        <v>3</v>
      </c>
      <c r="I752" t="s">
        <v>3962</v>
      </c>
      <c r="J752" t="s">
        <v>4808</v>
      </c>
      <c r="K752" t="s">
        <v>1283</v>
      </c>
      <c r="L752" s="204">
        <v>0.1</v>
      </c>
      <c r="M752" s="112">
        <v>42.344999999999999</v>
      </c>
      <c r="N752" s="112">
        <v>4.2344999999999997</v>
      </c>
      <c r="O752" s="204"/>
      <c r="P752" s="112"/>
      <c r="Q752" s="112"/>
      <c r="R752" s="112"/>
      <c r="S752" s="112"/>
      <c r="T752" s="112"/>
      <c r="U752" t="s">
        <v>5077</v>
      </c>
      <c r="V752" t="s">
        <v>5078</v>
      </c>
      <c r="W752" t="s">
        <v>3958</v>
      </c>
      <c r="X752" t="s">
        <v>4660</v>
      </c>
    </row>
    <row r="753" spans="1:24" x14ac:dyDescent="0.2">
      <c r="A753" t="s">
        <v>5076</v>
      </c>
      <c r="B753" t="s">
        <v>398</v>
      </c>
      <c r="C753" t="s">
        <v>1490</v>
      </c>
      <c r="D753" t="s">
        <v>56</v>
      </c>
      <c r="E753" t="s">
        <v>399</v>
      </c>
      <c r="F753" t="s">
        <v>99</v>
      </c>
      <c r="G753" s="202">
        <v>202.65799999999999</v>
      </c>
      <c r="H753">
        <v>4</v>
      </c>
      <c r="I753" t="s">
        <v>4017</v>
      </c>
      <c r="J753" t="s">
        <v>4809</v>
      </c>
      <c r="K753" t="s">
        <v>1283</v>
      </c>
      <c r="L753" s="204">
        <v>0.06</v>
      </c>
      <c r="M753" s="112">
        <v>42.344999999999999</v>
      </c>
      <c r="N753" s="112">
        <v>2.5406999999999997</v>
      </c>
      <c r="O753" s="204"/>
      <c r="P753" s="112"/>
      <c r="Q753" s="112"/>
      <c r="R753" s="112"/>
      <c r="S753" s="112"/>
      <c r="T753" s="112"/>
      <c r="U753" t="s">
        <v>5077</v>
      </c>
      <c r="V753" t="s">
        <v>5078</v>
      </c>
      <c r="W753" t="s">
        <v>3958</v>
      </c>
      <c r="X753" t="s">
        <v>4660</v>
      </c>
    </row>
    <row r="754" spans="1:24" x14ac:dyDescent="0.2">
      <c r="A754" t="s">
        <v>5076</v>
      </c>
      <c r="B754" t="s">
        <v>398</v>
      </c>
      <c r="C754" t="s">
        <v>1490</v>
      </c>
      <c r="D754" t="s">
        <v>56</v>
      </c>
      <c r="E754" t="s">
        <v>399</v>
      </c>
      <c r="F754" t="s">
        <v>99</v>
      </c>
      <c r="G754" s="202">
        <v>202.65799999999999</v>
      </c>
      <c r="H754">
        <v>5</v>
      </c>
      <c r="I754" t="s">
        <v>3968</v>
      </c>
      <c r="J754" t="s">
        <v>3969</v>
      </c>
      <c r="K754" t="s">
        <v>99</v>
      </c>
      <c r="L754" s="204">
        <v>1</v>
      </c>
      <c r="M754" s="112"/>
      <c r="N754" s="112">
        <v>42.344999999999999</v>
      </c>
      <c r="O754" s="204">
        <v>0.2222810938506341</v>
      </c>
      <c r="P754" s="112">
        <v>9.4124929191050981</v>
      </c>
      <c r="Q754" s="112">
        <v>51.757492919105097</v>
      </c>
      <c r="R754" s="112">
        <v>10489.07</v>
      </c>
      <c r="S754" s="112">
        <v>10489.07</v>
      </c>
      <c r="T754" s="112">
        <v>0</v>
      </c>
      <c r="U754" t="s">
        <v>5077</v>
      </c>
      <c r="V754" t="s">
        <v>5078</v>
      </c>
      <c r="W754" t="s">
        <v>4666</v>
      </c>
      <c r="X754" t="s">
        <v>4667</v>
      </c>
    </row>
    <row r="755" spans="1:24" x14ac:dyDescent="0.2">
      <c r="A755" t="s">
        <v>5079</v>
      </c>
      <c r="B755" t="s">
        <v>400</v>
      </c>
      <c r="C755" t="s">
        <v>1491</v>
      </c>
      <c r="D755" t="s">
        <v>335</v>
      </c>
      <c r="E755" t="s">
        <v>401</v>
      </c>
      <c r="F755" t="s">
        <v>26</v>
      </c>
      <c r="G755" s="202">
        <v>483.697</v>
      </c>
      <c r="H755">
        <v>1</v>
      </c>
      <c r="I755" t="s">
        <v>3954</v>
      </c>
      <c r="J755" t="s">
        <v>4992</v>
      </c>
      <c r="K755" t="s">
        <v>1283</v>
      </c>
      <c r="L755" s="204">
        <v>0.27</v>
      </c>
      <c r="M755" s="112">
        <v>138.8175</v>
      </c>
      <c r="N755" s="112">
        <v>37.480725</v>
      </c>
      <c r="O755" s="204"/>
      <c r="P755" s="112"/>
      <c r="Q755" s="112"/>
      <c r="R755" s="112"/>
      <c r="S755" s="112"/>
      <c r="T755" s="112"/>
      <c r="U755" t="s">
        <v>5080</v>
      </c>
      <c r="V755" t="s">
        <v>5081</v>
      </c>
      <c r="W755" t="s">
        <v>3958</v>
      </c>
      <c r="X755" t="s">
        <v>4660</v>
      </c>
    </row>
    <row r="756" spans="1:24" x14ac:dyDescent="0.2">
      <c r="A756" t="s">
        <v>5079</v>
      </c>
      <c r="B756" t="s">
        <v>400</v>
      </c>
      <c r="C756" t="s">
        <v>1491</v>
      </c>
      <c r="D756" t="s">
        <v>335</v>
      </c>
      <c r="E756" t="s">
        <v>401</v>
      </c>
      <c r="F756" t="s">
        <v>26</v>
      </c>
      <c r="G756" s="202">
        <v>483.697</v>
      </c>
      <c r="H756">
        <v>2</v>
      </c>
      <c r="I756" t="s">
        <v>3960</v>
      </c>
      <c r="J756" t="s">
        <v>4994</v>
      </c>
      <c r="K756" t="s">
        <v>1283</v>
      </c>
      <c r="L756" s="204">
        <v>0.63</v>
      </c>
      <c r="M756" s="112">
        <v>138.8175</v>
      </c>
      <c r="N756" s="112">
        <v>87.455024999999992</v>
      </c>
      <c r="O756" s="204"/>
      <c r="P756" s="112"/>
      <c r="Q756" s="112"/>
      <c r="R756" s="112"/>
      <c r="S756" s="112"/>
      <c r="T756" s="112"/>
      <c r="U756" t="s">
        <v>5080</v>
      </c>
      <c r="V756" t="s">
        <v>5081</v>
      </c>
      <c r="W756" t="s">
        <v>3958</v>
      </c>
      <c r="X756" t="s">
        <v>4660</v>
      </c>
    </row>
    <row r="757" spans="1:24" x14ac:dyDescent="0.2">
      <c r="A757" t="s">
        <v>5079</v>
      </c>
      <c r="B757" t="s">
        <v>400</v>
      </c>
      <c r="C757" t="s">
        <v>1491</v>
      </c>
      <c r="D757" t="s">
        <v>335</v>
      </c>
      <c r="E757" t="s">
        <v>401</v>
      </c>
      <c r="F757" t="s">
        <v>26</v>
      </c>
      <c r="G757" s="202">
        <v>483.697</v>
      </c>
      <c r="H757">
        <v>3</v>
      </c>
      <c r="I757" t="s">
        <v>3976</v>
      </c>
      <c r="J757" t="s">
        <v>4995</v>
      </c>
      <c r="K757" t="s">
        <v>1283</v>
      </c>
      <c r="L757" s="204">
        <v>0.05</v>
      </c>
      <c r="M757" s="112">
        <v>138.8175</v>
      </c>
      <c r="N757" s="112">
        <v>6.9408750000000001</v>
      </c>
      <c r="O757" s="204"/>
      <c r="P757" s="112"/>
      <c r="Q757" s="112"/>
      <c r="R757" s="112"/>
      <c r="S757" s="112"/>
      <c r="T757" s="112"/>
      <c r="U757" t="s">
        <v>5080</v>
      </c>
      <c r="V757" t="s">
        <v>5081</v>
      </c>
      <c r="W757" t="s">
        <v>3958</v>
      </c>
      <c r="X757" t="s">
        <v>4660</v>
      </c>
    </row>
    <row r="758" spans="1:24" x14ac:dyDescent="0.2">
      <c r="A758" t="s">
        <v>5079</v>
      </c>
      <c r="B758" t="s">
        <v>400</v>
      </c>
      <c r="C758" t="s">
        <v>1491</v>
      </c>
      <c r="D758" t="s">
        <v>335</v>
      </c>
      <c r="E758" t="s">
        <v>401</v>
      </c>
      <c r="F758" t="s">
        <v>26</v>
      </c>
      <c r="G758" s="202">
        <v>483.697</v>
      </c>
      <c r="H758">
        <v>4</v>
      </c>
      <c r="I758" t="s">
        <v>4017</v>
      </c>
      <c r="J758" t="s">
        <v>4809</v>
      </c>
      <c r="K758" t="s">
        <v>1283</v>
      </c>
      <c r="L758" s="204">
        <v>0.05</v>
      </c>
      <c r="M758" s="112">
        <v>138.8175</v>
      </c>
      <c r="N758" s="112">
        <v>6.9408750000000001</v>
      </c>
      <c r="O758" s="204"/>
      <c r="P758" s="112"/>
      <c r="Q758" s="112"/>
      <c r="R758" s="112"/>
      <c r="S758" s="112"/>
      <c r="T758" s="112"/>
      <c r="U758" t="s">
        <v>5080</v>
      </c>
      <c r="V758" t="s">
        <v>5081</v>
      </c>
      <c r="W758" t="s">
        <v>3958</v>
      </c>
      <c r="X758" t="s">
        <v>4660</v>
      </c>
    </row>
    <row r="759" spans="1:24" x14ac:dyDescent="0.2">
      <c r="A759" t="s">
        <v>5079</v>
      </c>
      <c r="B759" t="s">
        <v>400</v>
      </c>
      <c r="C759" t="s">
        <v>1491</v>
      </c>
      <c r="D759" t="s">
        <v>335</v>
      </c>
      <c r="E759" t="s">
        <v>401</v>
      </c>
      <c r="F759" t="s">
        <v>26</v>
      </c>
      <c r="G759" s="202">
        <v>483.697</v>
      </c>
      <c r="H759">
        <v>5</v>
      </c>
      <c r="I759" t="s">
        <v>3968</v>
      </c>
      <c r="J759" t="s">
        <v>3969</v>
      </c>
      <c r="K759" t="s">
        <v>26</v>
      </c>
      <c r="L759" s="204">
        <v>1</v>
      </c>
      <c r="M759" s="112"/>
      <c r="N759" s="112">
        <v>138.8175</v>
      </c>
      <c r="O759" s="204">
        <v>0.22227010940722502</v>
      </c>
      <c r="P759" s="112">
        <v>30.854980912637473</v>
      </c>
      <c r="Q759" s="112">
        <v>169.67248091263747</v>
      </c>
      <c r="R759" s="112">
        <v>82070.070000000007</v>
      </c>
      <c r="S759" s="112">
        <v>82070.070000000007</v>
      </c>
      <c r="T759" s="112">
        <v>0</v>
      </c>
      <c r="U759" t="s">
        <v>5080</v>
      </c>
      <c r="V759" t="s">
        <v>5081</v>
      </c>
      <c r="W759" t="s">
        <v>4666</v>
      </c>
      <c r="X759" t="s">
        <v>4667</v>
      </c>
    </row>
    <row r="760" spans="1:24" x14ac:dyDescent="0.2">
      <c r="A760" t="s">
        <v>5082</v>
      </c>
      <c r="B760" t="s">
        <v>404</v>
      </c>
      <c r="C760" t="s">
        <v>1492</v>
      </c>
      <c r="D760" t="s">
        <v>56</v>
      </c>
      <c r="E760" t="s">
        <v>405</v>
      </c>
      <c r="F760" t="s">
        <v>99</v>
      </c>
      <c r="G760" s="202">
        <v>42.094999999999999</v>
      </c>
      <c r="H760">
        <v>1</v>
      </c>
      <c r="I760" t="s">
        <v>3954</v>
      </c>
      <c r="J760" t="s">
        <v>4804</v>
      </c>
      <c r="K760" t="s">
        <v>1283</v>
      </c>
      <c r="L760" s="204">
        <v>0.28000000000000003</v>
      </c>
      <c r="M760" s="112">
        <v>110.17500000000001</v>
      </c>
      <c r="N760" s="112">
        <v>30.849000000000007</v>
      </c>
      <c r="O760" s="204"/>
      <c r="P760" s="112"/>
      <c r="Q760" s="112"/>
      <c r="R760" s="112"/>
      <c r="S760" s="112"/>
      <c r="T760" s="112"/>
      <c r="U760" t="s">
        <v>5083</v>
      </c>
      <c r="V760" t="s">
        <v>5084</v>
      </c>
      <c r="W760" t="s">
        <v>3958</v>
      </c>
      <c r="X760" t="s">
        <v>4660</v>
      </c>
    </row>
    <row r="761" spans="1:24" x14ac:dyDescent="0.2">
      <c r="A761" t="s">
        <v>5082</v>
      </c>
      <c r="B761" t="s">
        <v>404</v>
      </c>
      <c r="C761" t="s">
        <v>1492</v>
      </c>
      <c r="D761" t="s">
        <v>56</v>
      </c>
      <c r="E761" t="s">
        <v>405</v>
      </c>
      <c r="F761" t="s">
        <v>99</v>
      </c>
      <c r="G761" s="202">
        <v>42.094999999999999</v>
      </c>
      <c r="H761">
        <v>2</v>
      </c>
      <c r="I761" t="s">
        <v>3960</v>
      </c>
      <c r="J761" t="s">
        <v>4807</v>
      </c>
      <c r="K761" t="s">
        <v>1283</v>
      </c>
      <c r="L761" s="204">
        <v>0.56000000000000005</v>
      </c>
      <c r="M761" s="112">
        <v>110.17500000000001</v>
      </c>
      <c r="N761" s="112">
        <v>61.698000000000015</v>
      </c>
      <c r="O761" s="204"/>
      <c r="P761" s="112"/>
      <c r="Q761" s="112"/>
      <c r="R761" s="112"/>
      <c r="S761" s="112"/>
      <c r="T761" s="112"/>
      <c r="U761" t="s">
        <v>5083</v>
      </c>
      <c r="V761" t="s">
        <v>5084</v>
      </c>
      <c r="W761" t="s">
        <v>3958</v>
      </c>
      <c r="X761" t="s">
        <v>4660</v>
      </c>
    </row>
    <row r="762" spans="1:24" x14ac:dyDescent="0.2">
      <c r="A762" t="s">
        <v>5082</v>
      </c>
      <c r="B762" t="s">
        <v>404</v>
      </c>
      <c r="C762" t="s">
        <v>1492</v>
      </c>
      <c r="D762" t="s">
        <v>56</v>
      </c>
      <c r="E762" t="s">
        <v>405</v>
      </c>
      <c r="F762" t="s">
        <v>99</v>
      </c>
      <c r="G762" s="202">
        <v>42.094999999999999</v>
      </c>
      <c r="H762">
        <v>3</v>
      </c>
      <c r="I762" t="s">
        <v>3962</v>
      </c>
      <c r="J762" t="s">
        <v>4808</v>
      </c>
      <c r="K762" t="s">
        <v>1283</v>
      </c>
      <c r="L762" s="204">
        <v>0.1</v>
      </c>
      <c r="M762" s="112">
        <v>110.17500000000001</v>
      </c>
      <c r="N762" s="112">
        <v>11.017500000000002</v>
      </c>
      <c r="O762" s="204"/>
      <c r="P762" s="112"/>
      <c r="Q762" s="112"/>
      <c r="R762" s="112"/>
      <c r="S762" s="112"/>
      <c r="T762" s="112"/>
      <c r="U762" t="s">
        <v>5083</v>
      </c>
      <c r="V762" t="s">
        <v>5084</v>
      </c>
      <c r="W762" t="s">
        <v>3958</v>
      </c>
      <c r="X762" t="s">
        <v>4660</v>
      </c>
    </row>
    <row r="763" spans="1:24" x14ac:dyDescent="0.2">
      <c r="A763" t="s">
        <v>5082</v>
      </c>
      <c r="B763" t="s">
        <v>404</v>
      </c>
      <c r="C763" t="s">
        <v>1492</v>
      </c>
      <c r="D763" t="s">
        <v>56</v>
      </c>
      <c r="E763" t="s">
        <v>405</v>
      </c>
      <c r="F763" t="s">
        <v>99</v>
      </c>
      <c r="G763" s="202">
        <v>42.094999999999999</v>
      </c>
      <c r="H763">
        <v>4</v>
      </c>
      <c r="I763" t="s">
        <v>4017</v>
      </c>
      <c r="J763" t="s">
        <v>4809</v>
      </c>
      <c r="K763" t="s">
        <v>1283</v>
      </c>
      <c r="L763" s="204">
        <v>0.06</v>
      </c>
      <c r="M763" s="112">
        <v>110.17500000000001</v>
      </c>
      <c r="N763" s="112">
        <v>6.6105</v>
      </c>
      <c r="O763" s="204"/>
      <c r="P763" s="112"/>
      <c r="Q763" s="112"/>
      <c r="R763" s="112"/>
      <c r="S763" s="112"/>
      <c r="T763" s="112"/>
      <c r="U763" t="s">
        <v>5083</v>
      </c>
      <c r="V763" t="s">
        <v>5084</v>
      </c>
      <c r="W763" t="s">
        <v>3958</v>
      </c>
      <c r="X763" t="s">
        <v>4660</v>
      </c>
    </row>
    <row r="764" spans="1:24" x14ac:dyDescent="0.2">
      <c r="A764" t="s">
        <v>5082</v>
      </c>
      <c r="B764" t="s">
        <v>404</v>
      </c>
      <c r="C764" t="s">
        <v>1492</v>
      </c>
      <c r="D764" t="s">
        <v>56</v>
      </c>
      <c r="E764" t="s">
        <v>405</v>
      </c>
      <c r="F764" t="s">
        <v>99</v>
      </c>
      <c r="G764" s="202">
        <v>42.094999999999999</v>
      </c>
      <c r="H764">
        <v>5</v>
      </c>
      <c r="I764" t="s">
        <v>3968</v>
      </c>
      <c r="J764" t="s">
        <v>3969</v>
      </c>
      <c r="K764" t="s">
        <v>99</v>
      </c>
      <c r="L764" s="204">
        <v>1</v>
      </c>
      <c r="M764" s="112"/>
      <c r="N764" s="112">
        <v>110.17500000000001</v>
      </c>
      <c r="O764" s="204">
        <v>0.2222583293706657</v>
      </c>
      <c r="P764" s="112">
        <v>24.487311438413087</v>
      </c>
      <c r="Q764" s="112">
        <v>134.6623114384131</v>
      </c>
      <c r="R764" s="112">
        <v>5668.61</v>
      </c>
      <c r="S764" s="112">
        <v>5668.61</v>
      </c>
      <c r="T764" s="112">
        <v>0</v>
      </c>
      <c r="U764" t="s">
        <v>5083</v>
      </c>
      <c r="V764" t="s">
        <v>5084</v>
      </c>
      <c r="W764" t="s">
        <v>4666</v>
      </c>
      <c r="X764" t="s">
        <v>4667</v>
      </c>
    </row>
    <row r="765" spans="1:24" x14ac:dyDescent="0.2">
      <c r="A765" t="s">
        <v>5085</v>
      </c>
      <c r="B765" t="s">
        <v>406</v>
      </c>
      <c r="C765" t="s">
        <v>1493</v>
      </c>
      <c r="D765" t="s">
        <v>56</v>
      </c>
      <c r="E765" t="s">
        <v>407</v>
      </c>
      <c r="F765" t="s">
        <v>99</v>
      </c>
      <c r="G765" s="202">
        <v>336.04300000000001</v>
      </c>
      <c r="H765">
        <v>1</v>
      </c>
      <c r="I765" t="s">
        <v>3954</v>
      </c>
      <c r="J765" t="s">
        <v>4804</v>
      </c>
      <c r="K765" t="s">
        <v>1283</v>
      </c>
      <c r="L765" s="204">
        <v>0.28000000000000003</v>
      </c>
      <c r="M765" s="112">
        <v>132.03750000000002</v>
      </c>
      <c r="N765" s="112">
        <v>36.970500000000008</v>
      </c>
      <c r="O765" s="204"/>
      <c r="P765" s="112"/>
      <c r="Q765" s="112"/>
      <c r="R765" s="112"/>
      <c r="S765" s="112"/>
      <c r="T765" s="112"/>
      <c r="U765" t="s">
        <v>4202</v>
      </c>
      <c r="V765" t="s">
        <v>5086</v>
      </c>
      <c r="W765" t="s">
        <v>3958</v>
      </c>
      <c r="X765" t="s">
        <v>4660</v>
      </c>
    </row>
    <row r="766" spans="1:24" x14ac:dyDescent="0.2">
      <c r="A766" t="s">
        <v>5085</v>
      </c>
      <c r="B766" t="s">
        <v>406</v>
      </c>
      <c r="C766" t="s">
        <v>1493</v>
      </c>
      <c r="D766" t="s">
        <v>56</v>
      </c>
      <c r="E766" t="s">
        <v>407</v>
      </c>
      <c r="F766" t="s">
        <v>99</v>
      </c>
      <c r="G766" s="202">
        <v>336.04300000000001</v>
      </c>
      <c r="H766">
        <v>2</v>
      </c>
      <c r="I766" t="s">
        <v>3960</v>
      </c>
      <c r="J766" t="s">
        <v>4807</v>
      </c>
      <c r="K766" t="s">
        <v>1283</v>
      </c>
      <c r="L766" s="204">
        <v>0.56000000000000005</v>
      </c>
      <c r="M766" s="112">
        <v>132.03750000000002</v>
      </c>
      <c r="N766" s="112">
        <v>73.941000000000017</v>
      </c>
      <c r="O766" s="204"/>
      <c r="P766" s="112"/>
      <c r="Q766" s="112"/>
      <c r="R766" s="112"/>
      <c r="S766" s="112"/>
      <c r="T766" s="112"/>
      <c r="U766" t="s">
        <v>4202</v>
      </c>
      <c r="V766" t="s">
        <v>5086</v>
      </c>
      <c r="W766" t="s">
        <v>3958</v>
      </c>
      <c r="X766" t="s">
        <v>4660</v>
      </c>
    </row>
    <row r="767" spans="1:24" x14ac:dyDescent="0.2">
      <c r="A767" t="s">
        <v>5085</v>
      </c>
      <c r="B767" t="s">
        <v>406</v>
      </c>
      <c r="C767" t="s">
        <v>1493</v>
      </c>
      <c r="D767" t="s">
        <v>56</v>
      </c>
      <c r="E767" t="s">
        <v>407</v>
      </c>
      <c r="F767" t="s">
        <v>99</v>
      </c>
      <c r="G767" s="202">
        <v>336.04300000000001</v>
      </c>
      <c r="H767">
        <v>3</v>
      </c>
      <c r="I767" t="s">
        <v>3962</v>
      </c>
      <c r="J767" t="s">
        <v>4808</v>
      </c>
      <c r="K767" t="s">
        <v>1283</v>
      </c>
      <c r="L767" s="204">
        <v>0.1</v>
      </c>
      <c r="M767" s="112">
        <v>132.03750000000002</v>
      </c>
      <c r="N767" s="112">
        <v>13.203750000000003</v>
      </c>
      <c r="O767" s="204"/>
      <c r="P767" s="112"/>
      <c r="Q767" s="112"/>
      <c r="R767" s="112"/>
      <c r="S767" s="112"/>
      <c r="T767" s="112"/>
      <c r="U767" t="s">
        <v>4202</v>
      </c>
      <c r="V767" t="s">
        <v>5086</v>
      </c>
      <c r="W767" t="s">
        <v>3958</v>
      </c>
      <c r="X767" t="s">
        <v>4660</v>
      </c>
    </row>
    <row r="768" spans="1:24" x14ac:dyDescent="0.2">
      <c r="A768" t="s">
        <v>5085</v>
      </c>
      <c r="B768" t="s">
        <v>406</v>
      </c>
      <c r="C768" t="s">
        <v>1493</v>
      </c>
      <c r="D768" t="s">
        <v>56</v>
      </c>
      <c r="E768" t="s">
        <v>407</v>
      </c>
      <c r="F768" t="s">
        <v>99</v>
      </c>
      <c r="G768" s="202">
        <v>336.04300000000001</v>
      </c>
      <c r="H768">
        <v>4</v>
      </c>
      <c r="I768" t="s">
        <v>4017</v>
      </c>
      <c r="J768" t="s">
        <v>4809</v>
      </c>
      <c r="K768" t="s">
        <v>1283</v>
      </c>
      <c r="L768" s="204">
        <v>0.06</v>
      </c>
      <c r="M768" s="112">
        <v>132.03750000000002</v>
      </c>
      <c r="N768" s="112">
        <v>7.9222500000000009</v>
      </c>
      <c r="O768" s="204"/>
      <c r="P768" s="112"/>
      <c r="Q768" s="112"/>
      <c r="R768" s="112"/>
      <c r="S768" s="112"/>
      <c r="T768" s="112"/>
      <c r="U768" t="s">
        <v>4202</v>
      </c>
      <c r="V768" t="s">
        <v>5086</v>
      </c>
      <c r="W768" t="s">
        <v>3958</v>
      </c>
      <c r="X768" t="s">
        <v>4660</v>
      </c>
    </row>
    <row r="769" spans="1:24" x14ac:dyDescent="0.2">
      <c r="A769" t="s">
        <v>5085</v>
      </c>
      <c r="B769" t="s">
        <v>406</v>
      </c>
      <c r="C769" t="s">
        <v>1493</v>
      </c>
      <c r="D769" t="s">
        <v>56</v>
      </c>
      <c r="E769" t="s">
        <v>407</v>
      </c>
      <c r="F769" t="s">
        <v>99</v>
      </c>
      <c r="G769" s="202">
        <v>336.04300000000001</v>
      </c>
      <c r="H769">
        <v>5</v>
      </c>
      <c r="I769" t="s">
        <v>3968</v>
      </c>
      <c r="J769" t="s">
        <v>3969</v>
      </c>
      <c r="K769" t="s">
        <v>99</v>
      </c>
      <c r="L769" s="204">
        <v>1</v>
      </c>
      <c r="M769" s="112"/>
      <c r="N769" s="112">
        <v>132.03750000000002</v>
      </c>
      <c r="O769" s="204">
        <v>0.22226618624359618</v>
      </c>
      <c r="P769" s="112">
        <v>29.347471566138836</v>
      </c>
      <c r="Q769" s="112">
        <v>161.38497156613886</v>
      </c>
      <c r="R769" s="112">
        <v>54232.29</v>
      </c>
      <c r="S769" s="112">
        <v>54232.29</v>
      </c>
      <c r="T769" s="112">
        <v>0</v>
      </c>
      <c r="U769" t="s">
        <v>4202</v>
      </c>
      <c r="V769" t="s">
        <v>5086</v>
      </c>
      <c r="W769" t="s">
        <v>4666</v>
      </c>
      <c r="X769" t="s">
        <v>4667</v>
      </c>
    </row>
    <row r="770" spans="1:24" x14ac:dyDescent="0.2">
      <c r="A770" t="s">
        <v>5087</v>
      </c>
      <c r="B770" t="s">
        <v>408</v>
      </c>
      <c r="C770" t="s">
        <v>1494</v>
      </c>
      <c r="D770" t="s">
        <v>24</v>
      </c>
      <c r="E770" t="s">
        <v>410</v>
      </c>
      <c r="F770" t="s">
        <v>99</v>
      </c>
      <c r="G770" s="202">
        <v>230.05</v>
      </c>
      <c r="H770">
        <v>1</v>
      </c>
      <c r="I770" t="s">
        <v>3954</v>
      </c>
      <c r="J770" t="s">
        <v>4804</v>
      </c>
      <c r="K770" t="s">
        <v>1283</v>
      </c>
      <c r="L770" s="204">
        <v>0.28000000000000003</v>
      </c>
      <c r="M770" s="112">
        <v>48.457499999999996</v>
      </c>
      <c r="N770" s="112">
        <v>13.568099999999999</v>
      </c>
      <c r="O770" s="204"/>
      <c r="P770" s="112"/>
      <c r="Q770" s="112"/>
      <c r="R770" s="112"/>
      <c r="S770" s="112"/>
      <c r="T770" s="112"/>
      <c r="U770" t="s">
        <v>5088</v>
      </c>
      <c r="V770" t="s">
        <v>5089</v>
      </c>
      <c r="W770" t="s">
        <v>3958</v>
      </c>
      <c r="X770" t="s">
        <v>4660</v>
      </c>
    </row>
    <row r="771" spans="1:24" x14ac:dyDescent="0.2">
      <c r="A771" t="s">
        <v>5087</v>
      </c>
      <c r="B771" t="s">
        <v>408</v>
      </c>
      <c r="C771" t="s">
        <v>1494</v>
      </c>
      <c r="D771" t="s">
        <v>24</v>
      </c>
      <c r="E771" t="s">
        <v>410</v>
      </c>
      <c r="F771" t="s">
        <v>99</v>
      </c>
      <c r="G771" s="202">
        <v>230.05</v>
      </c>
      <c r="H771">
        <v>2</v>
      </c>
      <c r="I771" t="s">
        <v>3960</v>
      </c>
      <c r="J771" t="s">
        <v>4807</v>
      </c>
      <c r="K771" t="s">
        <v>1283</v>
      </c>
      <c r="L771" s="204">
        <v>0.56000000000000005</v>
      </c>
      <c r="M771" s="112">
        <v>48.457499999999996</v>
      </c>
      <c r="N771" s="112">
        <v>27.136199999999999</v>
      </c>
      <c r="O771" s="204"/>
      <c r="P771" s="112"/>
      <c r="Q771" s="112"/>
      <c r="R771" s="112"/>
      <c r="S771" s="112"/>
      <c r="T771" s="112"/>
      <c r="U771" t="s">
        <v>5088</v>
      </c>
      <c r="V771" t="s">
        <v>5089</v>
      </c>
      <c r="W771" t="s">
        <v>3958</v>
      </c>
      <c r="X771" t="s">
        <v>4660</v>
      </c>
    </row>
    <row r="772" spans="1:24" x14ac:dyDescent="0.2">
      <c r="A772" t="s">
        <v>5087</v>
      </c>
      <c r="B772" t="s">
        <v>408</v>
      </c>
      <c r="C772" t="s">
        <v>1494</v>
      </c>
      <c r="D772" t="s">
        <v>24</v>
      </c>
      <c r="E772" t="s">
        <v>410</v>
      </c>
      <c r="F772" t="s">
        <v>99</v>
      </c>
      <c r="G772" s="202">
        <v>230.05</v>
      </c>
      <c r="H772">
        <v>3</v>
      </c>
      <c r="I772" t="s">
        <v>3962</v>
      </c>
      <c r="J772" t="s">
        <v>4808</v>
      </c>
      <c r="K772" t="s">
        <v>1283</v>
      </c>
      <c r="L772" s="204">
        <v>0.1</v>
      </c>
      <c r="M772" s="112">
        <v>48.457499999999996</v>
      </c>
      <c r="N772" s="112">
        <v>4.8457499999999998</v>
      </c>
      <c r="O772" s="204"/>
      <c r="P772" s="112"/>
      <c r="Q772" s="112"/>
      <c r="R772" s="112"/>
      <c r="S772" s="112"/>
      <c r="T772" s="112"/>
      <c r="U772" t="s">
        <v>5088</v>
      </c>
      <c r="V772" t="s">
        <v>5089</v>
      </c>
      <c r="W772" t="s">
        <v>3958</v>
      </c>
      <c r="X772" t="s">
        <v>4660</v>
      </c>
    </row>
    <row r="773" spans="1:24" x14ac:dyDescent="0.2">
      <c r="A773" t="s">
        <v>5087</v>
      </c>
      <c r="B773" t="s">
        <v>408</v>
      </c>
      <c r="C773" t="s">
        <v>1494</v>
      </c>
      <c r="D773" t="s">
        <v>24</v>
      </c>
      <c r="E773" t="s">
        <v>410</v>
      </c>
      <c r="F773" t="s">
        <v>99</v>
      </c>
      <c r="G773" s="202">
        <v>230.05</v>
      </c>
      <c r="H773">
        <v>4</v>
      </c>
      <c r="I773" t="s">
        <v>4017</v>
      </c>
      <c r="J773" t="s">
        <v>4809</v>
      </c>
      <c r="K773" t="s">
        <v>1283</v>
      </c>
      <c r="L773" s="204">
        <v>0.06</v>
      </c>
      <c r="M773" s="112">
        <v>48.457499999999996</v>
      </c>
      <c r="N773" s="112">
        <v>2.9074499999999999</v>
      </c>
      <c r="O773" s="204"/>
      <c r="P773" s="112"/>
      <c r="Q773" s="112"/>
      <c r="R773" s="112"/>
      <c r="S773" s="112"/>
      <c r="T773" s="112"/>
      <c r="U773" t="s">
        <v>5088</v>
      </c>
      <c r="V773" t="s">
        <v>5089</v>
      </c>
      <c r="W773" t="s">
        <v>3958</v>
      </c>
      <c r="X773" t="s">
        <v>4660</v>
      </c>
    </row>
    <row r="774" spans="1:24" x14ac:dyDescent="0.2">
      <c r="A774" t="s">
        <v>5087</v>
      </c>
      <c r="B774" t="s">
        <v>408</v>
      </c>
      <c r="C774" t="s">
        <v>1494</v>
      </c>
      <c r="D774" t="s">
        <v>24</v>
      </c>
      <c r="E774" t="s">
        <v>410</v>
      </c>
      <c r="F774" t="s">
        <v>99</v>
      </c>
      <c r="G774" s="202">
        <v>230.05</v>
      </c>
      <c r="H774">
        <v>5</v>
      </c>
      <c r="I774" t="s">
        <v>3968</v>
      </c>
      <c r="J774" t="s">
        <v>3969</v>
      </c>
      <c r="K774" t="s">
        <v>99</v>
      </c>
      <c r="L774" s="204">
        <v>1</v>
      </c>
      <c r="M774" s="112"/>
      <c r="N774" s="112">
        <v>48.457499999999996</v>
      </c>
      <c r="O774" s="204">
        <v>0.2222560447532973</v>
      </c>
      <c r="P774" s="112">
        <v>10.769972288632907</v>
      </c>
      <c r="Q774" s="112">
        <v>59.227472288632903</v>
      </c>
      <c r="R774" s="112">
        <v>13625.28</v>
      </c>
      <c r="S774" s="112">
        <v>13625.28</v>
      </c>
      <c r="T774" s="112">
        <v>0</v>
      </c>
      <c r="U774" t="s">
        <v>5088</v>
      </c>
      <c r="V774" t="s">
        <v>5089</v>
      </c>
      <c r="W774" t="s">
        <v>4666</v>
      </c>
      <c r="X774" t="s">
        <v>4667</v>
      </c>
    </row>
    <row r="775" spans="1:24" x14ac:dyDescent="0.2">
      <c r="A775" t="s">
        <v>5090</v>
      </c>
      <c r="B775" t="s">
        <v>411</v>
      </c>
      <c r="C775" t="s">
        <v>1495</v>
      </c>
      <c r="D775" t="s">
        <v>56</v>
      </c>
      <c r="E775" t="s">
        <v>412</v>
      </c>
      <c r="F775" t="s">
        <v>118</v>
      </c>
      <c r="G775" s="202">
        <v>0.69399999999999995</v>
      </c>
      <c r="H775">
        <v>1</v>
      </c>
      <c r="I775" t="s">
        <v>3954</v>
      </c>
      <c r="J775" t="s">
        <v>4804</v>
      </c>
      <c r="K775" t="s">
        <v>1283</v>
      </c>
      <c r="L775" s="204">
        <v>0.28000000000000003</v>
      </c>
      <c r="M775" s="112">
        <v>1274.8274999999999</v>
      </c>
      <c r="N775" s="112">
        <v>356.95170000000002</v>
      </c>
      <c r="O775" s="204"/>
      <c r="P775" s="112"/>
      <c r="Q775" s="112"/>
      <c r="R775" s="112"/>
      <c r="S775" s="112"/>
      <c r="T775" s="112"/>
      <c r="U775" t="s">
        <v>5091</v>
      </c>
      <c r="V775" t="s">
        <v>5092</v>
      </c>
      <c r="W775" t="s">
        <v>3958</v>
      </c>
      <c r="X775" t="s">
        <v>4660</v>
      </c>
    </row>
    <row r="776" spans="1:24" x14ac:dyDescent="0.2">
      <c r="A776" t="s">
        <v>5090</v>
      </c>
      <c r="B776" t="s">
        <v>411</v>
      </c>
      <c r="C776" t="s">
        <v>1495</v>
      </c>
      <c r="D776" t="s">
        <v>56</v>
      </c>
      <c r="E776" t="s">
        <v>412</v>
      </c>
      <c r="F776" t="s">
        <v>118</v>
      </c>
      <c r="G776" s="202">
        <v>0.69399999999999995</v>
      </c>
      <c r="H776">
        <v>2</v>
      </c>
      <c r="I776" t="s">
        <v>3960</v>
      </c>
      <c r="J776" t="s">
        <v>4807</v>
      </c>
      <c r="K776" t="s">
        <v>1283</v>
      </c>
      <c r="L776" s="204">
        <v>0.56000000000000005</v>
      </c>
      <c r="M776" s="112">
        <v>1274.8274999999999</v>
      </c>
      <c r="N776" s="112">
        <v>713.90340000000003</v>
      </c>
      <c r="O776" s="204"/>
      <c r="P776" s="112"/>
      <c r="Q776" s="112"/>
      <c r="R776" s="112"/>
      <c r="S776" s="112"/>
      <c r="T776" s="112"/>
      <c r="U776" t="s">
        <v>5091</v>
      </c>
      <c r="V776" t="s">
        <v>5092</v>
      </c>
      <c r="W776" t="s">
        <v>3958</v>
      </c>
      <c r="X776" t="s">
        <v>4660</v>
      </c>
    </row>
    <row r="777" spans="1:24" x14ac:dyDescent="0.2">
      <c r="A777" t="s">
        <v>5090</v>
      </c>
      <c r="B777" t="s">
        <v>411</v>
      </c>
      <c r="C777" t="s">
        <v>1495</v>
      </c>
      <c r="D777" t="s">
        <v>56</v>
      </c>
      <c r="E777" t="s">
        <v>412</v>
      </c>
      <c r="F777" t="s">
        <v>118</v>
      </c>
      <c r="G777" s="202">
        <v>0.69399999999999995</v>
      </c>
      <c r="H777">
        <v>3</v>
      </c>
      <c r="I777" t="s">
        <v>3962</v>
      </c>
      <c r="J777" t="s">
        <v>4808</v>
      </c>
      <c r="K777" t="s">
        <v>1283</v>
      </c>
      <c r="L777" s="204">
        <v>0.1</v>
      </c>
      <c r="M777" s="112">
        <v>1274.8274999999999</v>
      </c>
      <c r="N777" s="112">
        <v>127.48275</v>
      </c>
      <c r="O777" s="204"/>
      <c r="P777" s="112"/>
      <c r="Q777" s="112"/>
      <c r="R777" s="112"/>
      <c r="S777" s="112"/>
      <c r="T777" s="112"/>
      <c r="U777" t="s">
        <v>5091</v>
      </c>
      <c r="V777" t="s">
        <v>5092</v>
      </c>
      <c r="W777" t="s">
        <v>3958</v>
      </c>
      <c r="X777" t="s">
        <v>4660</v>
      </c>
    </row>
    <row r="778" spans="1:24" x14ac:dyDescent="0.2">
      <c r="A778" t="s">
        <v>5090</v>
      </c>
      <c r="B778" t="s">
        <v>411</v>
      </c>
      <c r="C778" t="s">
        <v>1495</v>
      </c>
      <c r="D778" t="s">
        <v>56</v>
      </c>
      <c r="E778" t="s">
        <v>412</v>
      </c>
      <c r="F778" t="s">
        <v>118</v>
      </c>
      <c r="G778" s="202">
        <v>0.69399999999999995</v>
      </c>
      <c r="H778">
        <v>4</v>
      </c>
      <c r="I778" t="s">
        <v>4017</v>
      </c>
      <c r="J778" t="s">
        <v>4809</v>
      </c>
      <c r="K778" t="s">
        <v>1283</v>
      </c>
      <c r="L778" s="204">
        <v>0.06</v>
      </c>
      <c r="M778" s="112">
        <v>1274.8274999999999</v>
      </c>
      <c r="N778" s="112">
        <v>76.489649999999983</v>
      </c>
      <c r="O778" s="204"/>
      <c r="P778" s="112"/>
      <c r="Q778" s="112"/>
      <c r="R778" s="112"/>
      <c r="S778" s="112"/>
      <c r="T778" s="112"/>
      <c r="U778" t="s">
        <v>5091</v>
      </c>
      <c r="V778" t="s">
        <v>5092</v>
      </c>
      <c r="W778" t="s">
        <v>3958</v>
      </c>
      <c r="X778" t="s">
        <v>4660</v>
      </c>
    </row>
    <row r="779" spans="1:24" x14ac:dyDescent="0.2">
      <c r="A779" t="s">
        <v>5090</v>
      </c>
      <c r="B779" t="s">
        <v>411</v>
      </c>
      <c r="C779" t="s">
        <v>1495</v>
      </c>
      <c r="D779" t="s">
        <v>56</v>
      </c>
      <c r="E779" t="s">
        <v>412</v>
      </c>
      <c r="F779" t="s">
        <v>118</v>
      </c>
      <c r="G779" s="202">
        <v>0.69399999999999995</v>
      </c>
      <c r="H779">
        <v>5</v>
      </c>
      <c r="I779" t="s">
        <v>3968</v>
      </c>
      <c r="J779" t="s">
        <v>3969</v>
      </c>
      <c r="K779" t="s">
        <v>118</v>
      </c>
      <c r="L779" s="204">
        <v>1</v>
      </c>
      <c r="M779" s="112"/>
      <c r="N779" s="112">
        <v>1274.8274999999999</v>
      </c>
      <c r="O779" s="204">
        <v>0.22229341341016751</v>
      </c>
      <c r="P779" s="112">
        <v>283.38575648415031</v>
      </c>
      <c r="Q779" s="112">
        <v>1558.2132564841502</v>
      </c>
      <c r="R779" s="112">
        <v>1081.4000000000001</v>
      </c>
      <c r="S779" s="112">
        <v>1081.4000000000001</v>
      </c>
      <c r="T779" s="112">
        <v>0</v>
      </c>
      <c r="U779" t="s">
        <v>5091</v>
      </c>
      <c r="V779" t="s">
        <v>5092</v>
      </c>
      <c r="W779" t="s">
        <v>4666</v>
      </c>
      <c r="X779" t="s">
        <v>4667</v>
      </c>
    </row>
    <row r="780" spans="1:24" x14ac:dyDescent="0.2">
      <c r="A780" t="s">
        <v>5093</v>
      </c>
      <c r="B780" t="s">
        <v>416</v>
      </c>
      <c r="C780" t="s">
        <v>1496</v>
      </c>
      <c r="D780" t="s">
        <v>56</v>
      </c>
      <c r="E780" t="s">
        <v>1497</v>
      </c>
      <c r="F780" t="s">
        <v>26</v>
      </c>
      <c r="G780" s="202">
        <v>3376.1179999999999</v>
      </c>
      <c r="H780">
        <v>1</v>
      </c>
      <c r="I780" t="s">
        <v>3954</v>
      </c>
      <c r="J780" t="s">
        <v>5094</v>
      </c>
      <c r="K780" t="s">
        <v>1283</v>
      </c>
      <c r="L780" s="204">
        <v>0.45</v>
      </c>
      <c r="M780" s="112">
        <v>4.0724999999999998</v>
      </c>
      <c r="N780" s="112">
        <v>1.8326249999999999</v>
      </c>
      <c r="O780" s="204"/>
      <c r="P780" s="112"/>
      <c r="Q780" s="112"/>
      <c r="R780" s="112"/>
      <c r="S780" s="112"/>
      <c r="T780" s="112"/>
      <c r="U780" t="s">
        <v>5095</v>
      </c>
      <c r="V780" t="s">
        <v>5096</v>
      </c>
      <c r="W780" t="s">
        <v>3958</v>
      </c>
      <c r="X780" t="s">
        <v>4660</v>
      </c>
    </row>
    <row r="781" spans="1:24" x14ac:dyDescent="0.2">
      <c r="A781" t="s">
        <v>5093</v>
      </c>
      <c r="B781" t="s">
        <v>416</v>
      </c>
      <c r="C781" t="s">
        <v>1496</v>
      </c>
      <c r="D781" t="s">
        <v>56</v>
      </c>
      <c r="E781" t="s">
        <v>1497</v>
      </c>
      <c r="F781" t="s">
        <v>26</v>
      </c>
      <c r="G781" s="202">
        <v>3376.1179999999999</v>
      </c>
      <c r="H781">
        <v>2</v>
      </c>
      <c r="I781" t="s">
        <v>3960</v>
      </c>
      <c r="J781" t="s">
        <v>5097</v>
      </c>
      <c r="K781" t="s">
        <v>1283</v>
      </c>
      <c r="L781" s="204">
        <v>0.45</v>
      </c>
      <c r="M781" s="112">
        <v>4.0724999999999998</v>
      </c>
      <c r="N781" s="112">
        <v>1.8326249999999999</v>
      </c>
      <c r="O781" s="204"/>
      <c r="P781" s="112"/>
      <c r="Q781" s="112"/>
      <c r="R781" s="112"/>
      <c r="S781" s="112"/>
      <c r="T781" s="112"/>
      <c r="U781" t="s">
        <v>5095</v>
      </c>
      <c r="V781" t="s">
        <v>5096</v>
      </c>
      <c r="W781" t="s">
        <v>3958</v>
      </c>
      <c r="X781" t="s">
        <v>4660</v>
      </c>
    </row>
    <row r="782" spans="1:24" x14ac:dyDescent="0.2">
      <c r="A782" t="s">
        <v>5093</v>
      </c>
      <c r="B782" t="s">
        <v>416</v>
      </c>
      <c r="C782" t="s">
        <v>1496</v>
      </c>
      <c r="D782" t="s">
        <v>56</v>
      </c>
      <c r="E782" t="s">
        <v>1497</v>
      </c>
      <c r="F782" t="s">
        <v>26</v>
      </c>
      <c r="G782" s="202">
        <v>3376.1179999999999</v>
      </c>
      <c r="H782">
        <v>3</v>
      </c>
      <c r="I782" t="s">
        <v>3976</v>
      </c>
      <c r="J782" t="s">
        <v>5098</v>
      </c>
      <c r="K782" t="s">
        <v>1283</v>
      </c>
      <c r="L782" s="204">
        <v>0.05</v>
      </c>
      <c r="M782" s="112">
        <v>4.0724999999999998</v>
      </c>
      <c r="N782" s="112">
        <v>0.203625</v>
      </c>
      <c r="O782" s="204"/>
      <c r="P782" s="112"/>
      <c r="Q782" s="112"/>
      <c r="R782" s="112"/>
      <c r="S782" s="112"/>
      <c r="T782" s="112"/>
      <c r="U782" t="s">
        <v>5095</v>
      </c>
      <c r="V782" t="s">
        <v>5096</v>
      </c>
      <c r="W782" t="s">
        <v>3958</v>
      </c>
      <c r="X782" t="s">
        <v>4660</v>
      </c>
    </row>
    <row r="783" spans="1:24" x14ac:dyDescent="0.2">
      <c r="A783" t="s">
        <v>5093</v>
      </c>
      <c r="B783" t="s">
        <v>416</v>
      </c>
      <c r="C783" t="s">
        <v>1496</v>
      </c>
      <c r="D783" t="s">
        <v>56</v>
      </c>
      <c r="E783" t="s">
        <v>1497</v>
      </c>
      <c r="F783" t="s">
        <v>26</v>
      </c>
      <c r="G783" s="202">
        <v>3376.1179999999999</v>
      </c>
      <c r="H783">
        <v>4</v>
      </c>
      <c r="I783" t="s">
        <v>4017</v>
      </c>
      <c r="J783" t="s">
        <v>4851</v>
      </c>
      <c r="K783" t="s">
        <v>1283</v>
      </c>
      <c r="L783" s="204">
        <v>0.05</v>
      </c>
      <c r="M783" s="112">
        <v>4.0724999999999998</v>
      </c>
      <c r="N783" s="112">
        <v>0.203625</v>
      </c>
      <c r="O783" s="204"/>
      <c r="P783" s="112"/>
      <c r="Q783" s="112"/>
      <c r="R783" s="112"/>
      <c r="S783" s="112"/>
      <c r="T783" s="112"/>
      <c r="U783" t="s">
        <v>5095</v>
      </c>
      <c r="V783" t="s">
        <v>5096</v>
      </c>
      <c r="W783" t="s">
        <v>3958</v>
      </c>
      <c r="X783" t="s">
        <v>4660</v>
      </c>
    </row>
    <row r="784" spans="1:24" x14ac:dyDescent="0.2">
      <c r="A784" t="s">
        <v>5093</v>
      </c>
      <c r="B784" t="s">
        <v>416</v>
      </c>
      <c r="C784" t="s">
        <v>1496</v>
      </c>
      <c r="D784" t="s">
        <v>56</v>
      </c>
      <c r="E784" t="s">
        <v>1497</v>
      </c>
      <c r="F784" t="s">
        <v>26</v>
      </c>
      <c r="G784" s="202">
        <v>3376.1179999999999</v>
      </c>
      <c r="H784">
        <v>5</v>
      </c>
      <c r="I784" t="s">
        <v>3968</v>
      </c>
      <c r="J784" t="s">
        <v>3969</v>
      </c>
      <c r="K784" t="s">
        <v>26</v>
      </c>
      <c r="L784" s="204">
        <v>1</v>
      </c>
      <c r="M784" s="112"/>
      <c r="N784" s="112">
        <v>4.0724999999999998</v>
      </c>
      <c r="O784" s="204">
        <v>0.22099398383825886</v>
      </c>
      <c r="P784" s="112">
        <v>0.89999799918130918</v>
      </c>
      <c r="Q784" s="112">
        <v>4.972497999181309</v>
      </c>
      <c r="R784" s="112">
        <v>16787.740000000002</v>
      </c>
      <c r="S784" s="112">
        <v>16787.740000000002</v>
      </c>
      <c r="T784" s="112">
        <v>0</v>
      </c>
      <c r="U784" t="s">
        <v>5095</v>
      </c>
      <c r="V784" t="s">
        <v>5096</v>
      </c>
      <c r="W784" t="s">
        <v>4666</v>
      </c>
      <c r="X784" t="s">
        <v>4667</v>
      </c>
    </row>
    <row r="785" spans="1:24" x14ac:dyDescent="0.2">
      <c r="A785" t="s">
        <v>5099</v>
      </c>
      <c r="B785" t="s">
        <v>418</v>
      </c>
      <c r="C785" t="s">
        <v>1498</v>
      </c>
      <c r="D785" t="s">
        <v>56</v>
      </c>
      <c r="E785" t="s">
        <v>419</v>
      </c>
      <c r="F785" t="s">
        <v>26</v>
      </c>
      <c r="G785" s="202">
        <v>2257.8420000000001</v>
      </c>
      <c r="H785">
        <v>1</v>
      </c>
      <c r="I785" t="s">
        <v>3954</v>
      </c>
      <c r="J785" t="s">
        <v>5094</v>
      </c>
      <c r="K785" t="s">
        <v>1283</v>
      </c>
      <c r="L785" s="204">
        <v>0.45</v>
      </c>
      <c r="M785" s="112">
        <v>18.037500000000001</v>
      </c>
      <c r="N785" s="112">
        <v>8.1168750000000003</v>
      </c>
      <c r="O785" s="204"/>
      <c r="P785" s="112"/>
      <c r="Q785" s="112"/>
      <c r="R785" s="112"/>
      <c r="S785" s="112"/>
      <c r="T785" s="112"/>
      <c r="U785" t="s">
        <v>4218</v>
      </c>
      <c r="V785" t="s">
        <v>5100</v>
      </c>
      <c r="W785" t="s">
        <v>3958</v>
      </c>
      <c r="X785" t="s">
        <v>4660</v>
      </c>
    </row>
    <row r="786" spans="1:24" x14ac:dyDescent="0.2">
      <c r="A786" t="s">
        <v>5099</v>
      </c>
      <c r="B786" t="s">
        <v>418</v>
      </c>
      <c r="C786" t="s">
        <v>1498</v>
      </c>
      <c r="D786" t="s">
        <v>56</v>
      </c>
      <c r="E786" t="s">
        <v>419</v>
      </c>
      <c r="F786" t="s">
        <v>26</v>
      </c>
      <c r="G786" s="202">
        <v>2257.8420000000001</v>
      </c>
      <c r="H786">
        <v>2</v>
      </c>
      <c r="I786" t="s">
        <v>3960</v>
      </c>
      <c r="J786" t="s">
        <v>5097</v>
      </c>
      <c r="K786" t="s">
        <v>1283</v>
      </c>
      <c r="L786" s="204">
        <v>0.45</v>
      </c>
      <c r="M786" s="112">
        <v>18.037500000000001</v>
      </c>
      <c r="N786" s="112">
        <v>8.1168750000000003</v>
      </c>
      <c r="O786" s="204"/>
      <c r="P786" s="112"/>
      <c r="Q786" s="112"/>
      <c r="R786" s="112"/>
      <c r="S786" s="112"/>
      <c r="T786" s="112"/>
      <c r="U786" t="s">
        <v>4218</v>
      </c>
      <c r="V786" t="s">
        <v>5100</v>
      </c>
      <c r="W786" t="s">
        <v>3958</v>
      </c>
      <c r="X786" t="s">
        <v>4660</v>
      </c>
    </row>
    <row r="787" spans="1:24" x14ac:dyDescent="0.2">
      <c r="A787" t="s">
        <v>5099</v>
      </c>
      <c r="B787" t="s">
        <v>418</v>
      </c>
      <c r="C787" t="s">
        <v>1498</v>
      </c>
      <c r="D787" t="s">
        <v>56</v>
      </c>
      <c r="E787" t="s">
        <v>419</v>
      </c>
      <c r="F787" t="s">
        <v>26</v>
      </c>
      <c r="G787" s="202">
        <v>2257.8420000000001</v>
      </c>
      <c r="H787">
        <v>3</v>
      </c>
      <c r="I787" t="s">
        <v>3976</v>
      </c>
      <c r="J787" t="s">
        <v>5098</v>
      </c>
      <c r="K787" t="s">
        <v>1283</v>
      </c>
      <c r="L787" s="204">
        <v>0.05</v>
      </c>
      <c r="M787" s="112">
        <v>18.037500000000001</v>
      </c>
      <c r="N787" s="112">
        <v>0.90187500000000009</v>
      </c>
      <c r="O787" s="204"/>
      <c r="P787" s="112"/>
      <c r="Q787" s="112"/>
      <c r="R787" s="112"/>
      <c r="S787" s="112"/>
      <c r="T787" s="112"/>
      <c r="U787" t="s">
        <v>4218</v>
      </c>
      <c r="V787" t="s">
        <v>5100</v>
      </c>
      <c r="W787" t="s">
        <v>3958</v>
      </c>
      <c r="X787" t="s">
        <v>4660</v>
      </c>
    </row>
    <row r="788" spans="1:24" x14ac:dyDescent="0.2">
      <c r="A788" t="s">
        <v>5099</v>
      </c>
      <c r="B788" t="s">
        <v>418</v>
      </c>
      <c r="C788" t="s">
        <v>1498</v>
      </c>
      <c r="D788" t="s">
        <v>56</v>
      </c>
      <c r="E788" t="s">
        <v>419</v>
      </c>
      <c r="F788" t="s">
        <v>26</v>
      </c>
      <c r="G788" s="202">
        <v>2257.8420000000001</v>
      </c>
      <c r="H788">
        <v>4</v>
      </c>
      <c r="I788" t="s">
        <v>4017</v>
      </c>
      <c r="J788" t="s">
        <v>4851</v>
      </c>
      <c r="K788" t="s">
        <v>1283</v>
      </c>
      <c r="L788" s="204">
        <v>0.05</v>
      </c>
      <c r="M788" s="112">
        <v>18.037500000000001</v>
      </c>
      <c r="N788" s="112">
        <v>0.90187500000000009</v>
      </c>
      <c r="O788" s="204"/>
      <c r="P788" s="112"/>
      <c r="Q788" s="112"/>
      <c r="R788" s="112"/>
      <c r="S788" s="112"/>
      <c r="T788" s="112"/>
      <c r="U788" t="s">
        <v>4218</v>
      </c>
      <c r="V788" t="s">
        <v>5100</v>
      </c>
      <c r="W788" t="s">
        <v>3958</v>
      </c>
      <c r="X788" t="s">
        <v>4660</v>
      </c>
    </row>
    <row r="789" spans="1:24" x14ac:dyDescent="0.2">
      <c r="A789" t="s">
        <v>5099</v>
      </c>
      <c r="B789" t="s">
        <v>418</v>
      </c>
      <c r="C789" t="s">
        <v>1498</v>
      </c>
      <c r="D789" t="s">
        <v>56</v>
      </c>
      <c r="E789" t="s">
        <v>419</v>
      </c>
      <c r="F789" t="s">
        <v>26</v>
      </c>
      <c r="G789" s="202">
        <v>2257.8420000000001</v>
      </c>
      <c r="H789">
        <v>5</v>
      </c>
      <c r="I789" t="s">
        <v>3968</v>
      </c>
      <c r="J789" t="s">
        <v>3969</v>
      </c>
      <c r="K789" t="s">
        <v>26</v>
      </c>
      <c r="L789" s="204">
        <v>1</v>
      </c>
      <c r="M789" s="112"/>
      <c r="N789" s="112">
        <v>18.037500000000001</v>
      </c>
      <c r="O789" s="204">
        <v>0.22203736593051704</v>
      </c>
      <c r="P789" s="112">
        <v>4.0049989879716996</v>
      </c>
      <c r="Q789" s="112">
        <v>22.042498987971701</v>
      </c>
      <c r="R789" s="112">
        <v>49768.480000000003</v>
      </c>
      <c r="S789" s="112">
        <v>49768.480000000003</v>
      </c>
      <c r="T789" s="112">
        <v>0</v>
      </c>
      <c r="U789" t="s">
        <v>4218</v>
      </c>
      <c r="V789" t="s">
        <v>5100</v>
      </c>
      <c r="W789" t="s">
        <v>4666</v>
      </c>
      <c r="X789" t="s">
        <v>4667</v>
      </c>
    </row>
    <row r="790" spans="1:24" x14ac:dyDescent="0.2">
      <c r="A790" t="s">
        <v>5101</v>
      </c>
      <c r="B790" t="s">
        <v>420</v>
      </c>
      <c r="C790" t="s">
        <v>1499</v>
      </c>
      <c r="D790" t="s">
        <v>56</v>
      </c>
      <c r="E790" t="s">
        <v>1500</v>
      </c>
      <c r="F790" t="s">
        <v>26</v>
      </c>
      <c r="G790" s="202">
        <v>2257.8420000000001</v>
      </c>
      <c r="H790">
        <v>1</v>
      </c>
      <c r="I790" t="s">
        <v>3954</v>
      </c>
      <c r="J790" t="s">
        <v>5094</v>
      </c>
      <c r="K790" t="s">
        <v>1283</v>
      </c>
      <c r="L790" s="204">
        <v>0.45</v>
      </c>
      <c r="M790" s="112">
        <v>12.375</v>
      </c>
      <c r="N790" s="112">
        <v>5.5687500000000005</v>
      </c>
      <c r="O790" s="204"/>
      <c r="P790" s="112"/>
      <c r="Q790" s="112"/>
      <c r="R790" s="112"/>
      <c r="S790" s="112"/>
      <c r="T790" s="112"/>
      <c r="U790" t="s">
        <v>4292</v>
      </c>
      <c r="V790" t="s">
        <v>5102</v>
      </c>
      <c r="W790" t="s">
        <v>3958</v>
      </c>
      <c r="X790" t="s">
        <v>4660</v>
      </c>
    </row>
    <row r="791" spans="1:24" x14ac:dyDescent="0.2">
      <c r="A791" t="s">
        <v>5101</v>
      </c>
      <c r="B791" t="s">
        <v>420</v>
      </c>
      <c r="C791" t="s">
        <v>1499</v>
      </c>
      <c r="D791" t="s">
        <v>56</v>
      </c>
      <c r="E791" t="s">
        <v>1500</v>
      </c>
      <c r="F791" t="s">
        <v>26</v>
      </c>
      <c r="G791" s="202">
        <v>2257.8420000000001</v>
      </c>
      <c r="H791">
        <v>2</v>
      </c>
      <c r="I791" t="s">
        <v>3960</v>
      </c>
      <c r="J791" t="s">
        <v>5097</v>
      </c>
      <c r="K791" t="s">
        <v>1283</v>
      </c>
      <c r="L791" s="204">
        <v>0.45</v>
      </c>
      <c r="M791" s="112">
        <v>12.375</v>
      </c>
      <c r="N791" s="112">
        <v>5.5687500000000005</v>
      </c>
      <c r="O791" s="204"/>
      <c r="P791" s="112"/>
      <c r="Q791" s="112"/>
      <c r="R791" s="112"/>
      <c r="S791" s="112"/>
      <c r="T791" s="112"/>
      <c r="U791" t="s">
        <v>4292</v>
      </c>
      <c r="V791" t="s">
        <v>5102</v>
      </c>
      <c r="W791" t="s">
        <v>3958</v>
      </c>
      <c r="X791" t="s">
        <v>4660</v>
      </c>
    </row>
    <row r="792" spans="1:24" x14ac:dyDescent="0.2">
      <c r="A792" t="s">
        <v>5101</v>
      </c>
      <c r="B792" t="s">
        <v>420</v>
      </c>
      <c r="C792" t="s">
        <v>1499</v>
      </c>
      <c r="D792" t="s">
        <v>56</v>
      </c>
      <c r="E792" t="s">
        <v>1500</v>
      </c>
      <c r="F792" t="s">
        <v>26</v>
      </c>
      <c r="G792" s="202">
        <v>2257.8420000000001</v>
      </c>
      <c r="H792">
        <v>3</v>
      </c>
      <c r="I792" t="s">
        <v>3976</v>
      </c>
      <c r="J792" t="s">
        <v>5098</v>
      </c>
      <c r="K792" t="s">
        <v>1283</v>
      </c>
      <c r="L792" s="204">
        <v>0.05</v>
      </c>
      <c r="M792" s="112">
        <v>12.375</v>
      </c>
      <c r="N792" s="112">
        <v>0.61875000000000002</v>
      </c>
      <c r="O792" s="204"/>
      <c r="P792" s="112"/>
      <c r="Q792" s="112"/>
      <c r="R792" s="112"/>
      <c r="S792" s="112"/>
      <c r="T792" s="112"/>
      <c r="U792" t="s">
        <v>4292</v>
      </c>
      <c r="V792" t="s">
        <v>5102</v>
      </c>
      <c r="W792" t="s">
        <v>3958</v>
      </c>
      <c r="X792" t="s">
        <v>4660</v>
      </c>
    </row>
    <row r="793" spans="1:24" x14ac:dyDescent="0.2">
      <c r="A793" t="s">
        <v>5101</v>
      </c>
      <c r="B793" t="s">
        <v>420</v>
      </c>
      <c r="C793" t="s">
        <v>1499</v>
      </c>
      <c r="D793" t="s">
        <v>56</v>
      </c>
      <c r="E793" t="s">
        <v>1500</v>
      </c>
      <c r="F793" t="s">
        <v>26</v>
      </c>
      <c r="G793" s="202">
        <v>2257.8420000000001</v>
      </c>
      <c r="H793">
        <v>4</v>
      </c>
      <c r="I793" t="s">
        <v>4017</v>
      </c>
      <c r="J793" t="s">
        <v>4851</v>
      </c>
      <c r="K793" t="s">
        <v>1283</v>
      </c>
      <c r="L793" s="204">
        <v>0.05</v>
      </c>
      <c r="M793" s="112">
        <v>12.375</v>
      </c>
      <c r="N793" s="112">
        <v>0.61875000000000002</v>
      </c>
      <c r="O793" s="204"/>
      <c r="P793" s="112"/>
      <c r="Q793" s="112"/>
      <c r="R793" s="112"/>
      <c r="S793" s="112"/>
      <c r="T793" s="112"/>
      <c r="U793" t="s">
        <v>4292</v>
      </c>
      <c r="V793" t="s">
        <v>5102</v>
      </c>
      <c r="W793" t="s">
        <v>3958</v>
      </c>
      <c r="X793" t="s">
        <v>4660</v>
      </c>
    </row>
    <row r="794" spans="1:24" x14ac:dyDescent="0.2">
      <c r="A794" t="s">
        <v>5101</v>
      </c>
      <c r="B794" t="s">
        <v>420</v>
      </c>
      <c r="C794" t="s">
        <v>1499</v>
      </c>
      <c r="D794" t="s">
        <v>56</v>
      </c>
      <c r="E794" t="s">
        <v>1500</v>
      </c>
      <c r="F794" t="s">
        <v>26</v>
      </c>
      <c r="G794" s="202">
        <v>2257.8420000000001</v>
      </c>
      <c r="H794">
        <v>5</v>
      </c>
      <c r="I794" t="s">
        <v>3968</v>
      </c>
      <c r="J794" t="s">
        <v>3969</v>
      </c>
      <c r="K794" t="s">
        <v>26</v>
      </c>
      <c r="L794" s="204">
        <v>1</v>
      </c>
      <c r="M794" s="112"/>
      <c r="N794" s="112">
        <v>12.375</v>
      </c>
      <c r="O794" s="204">
        <v>0.22181814459662053</v>
      </c>
      <c r="P794" s="112">
        <v>2.7449995393831799</v>
      </c>
      <c r="Q794" s="112">
        <v>15.11999953938318</v>
      </c>
      <c r="R794" s="112">
        <v>34138.57</v>
      </c>
      <c r="S794" s="112">
        <v>34138.57</v>
      </c>
      <c r="T794" s="112">
        <v>0</v>
      </c>
      <c r="U794" t="s">
        <v>4292</v>
      </c>
      <c r="V794" t="s">
        <v>5102</v>
      </c>
      <c r="W794" t="s">
        <v>4666</v>
      </c>
      <c r="X794" t="s">
        <v>4667</v>
      </c>
    </row>
    <row r="795" spans="1:24" x14ac:dyDescent="0.2">
      <c r="A795" t="s">
        <v>5103</v>
      </c>
      <c r="B795" t="s">
        <v>424</v>
      </c>
      <c r="C795" t="s">
        <v>1501</v>
      </c>
      <c r="D795" t="s">
        <v>56</v>
      </c>
      <c r="E795" t="s">
        <v>425</v>
      </c>
      <c r="F795" t="s">
        <v>26</v>
      </c>
      <c r="G795" s="202">
        <v>39.978999999999999</v>
      </c>
      <c r="H795">
        <v>1</v>
      </c>
      <c r="I795" t="s">
        <v>3954</v>
      </c>
      <c r="J795" t="s">
        <v>5094</v>
      </c>
      <c r="K795" t="s">
        <v>1283</v>
      </c>
      <c r="L795" s="204">
        <v>0.45</v>
      </c>
      <c r="M795" s="112">
        <v>10.23</v>
      </c>
      <c r="N795" s="112">
        <v>4.6035000000000004</v>
      </c>
      <c r="O795" s="204"/>
      <c r="P795" s="112"/>
      <c r="Q795" s="112"/>
      <c r="R795" s="112"/>
      <c r="S795" s="112"/>
      <c r="T795" s="112"/>
      <c r="U795" t="s">
        <v>5104</v>
      </c>
      <c r="V795" t="s">
        <v>5105</v>
      </c>
      <c r="W795" t="s">
        <v>3958</v>
      </c>
      <c r="X795" t="s">
        <v>4660</v>
      </c>
    </row>
    <row r="796" spans="1:24" x14ac:dyDescent="0.2">
      <c r="A796" t="s">
        <v>5103</v>
      </c>
      <c r="B796" t="s">
        <v>424</v>
      </c>
      <c r="C796" t="s">
        <v>1501</v>
      </c>
      <c r="D796" t="s">
        <v>56</v>
      </c>
      <c r="E796" t="s">
        <v>425</v>
      </c>
      <c r="F796" t="s">
        <v>26</v>
      </c>
      <c r="G796" s="202">
        <v>39.978999999999999</v>
      </c>
      <c r="H796">
        <v>2</v>
      </c>
      <c r="I796" t="s">
        <v>3960</v>
      </c>
      <c r="J796" t="s">
        <v>5097</v>
      </c>
      <c r="K796" t="s">
        <v>1283</v>
      </c>
      <c r="L796" s="204">
        <v>0.45</v>
      </c>
      <c r="M796" s="112">
        <v>10.23</v>
      </c>
      <c r="N796" s="112">
        <v>4.6035000000000004</v>
      </c>
      <c r="O796" s="204"/>
      <c r="P796" s="112"/>
      <c r="Q796" s="112"/>
      <c r="R796" s="112"/>
      <c r="S796" s="112"/>
      <c r="T796" s="112"/>
      <c r="U796" t="s">
        <v>5104</v>
      </c>
      <c r="V796" t="s">
        <v>5105</v>
      </c>
      <c r="W796" t="s">
        <v>3958</v>
      </c>
      <c r="X796" t="s">
        <v>4660</v>
      </c>
    </row>
    <row r="797" spans="1:24" x14ac:dyDescent="0.2">
      <c r="A797" t="s">
        <v>5103</v>
      </c>
      <c r="B797" t="s">
        <v>424</v>
      </c>
      <c r="C797" t="s">
        <v>1501</v>
      </c>
      <c r="D797" t="s">
        <v>56</v>
      </c>
      <c r="E797" t="s">
        <v>425</v>
      </c>
      <c r="F797" t="s">
        <v>26</v>
      </c>
      <c r="G797" s="202">
        <v>39.978999999999999</v>
      </c>
      <c r="H797">
        <v>3</v>
      </c>
      <c r="I797" t="s">
        <v>3976</v>
      </c>
      <c r="J797" t="s">
        <v>5098</v>
      </c>
      <c r="K797" t="s">
        <v>1283</v>
      </c>
      <c r="L797" s="204">
        <v>0.05</v>
      </c>
      <c r="M797" s="112">
        <v>10.23</v>
      </c>
      <c r="N797" s="112">
        <v>0.51150000000000007</v>
      </c>
      <c r="O797" s="204"/>
      <c r="P797" s="112"/>
      <c r="Q797" s="112"/>
      <c r="R797" s="112"/>
      <c r="S797" s="112"/>
      <c r="T797" s="112"/>
      <c r="U797" t="s">
        <v>5104</v>
      </c>
      <c r="V797" t="s">
        <v>5105</v>
      </c>
      <c r="W797" t="s">
        <v>3958</v>
      </c>
      <c r="X797" t="s">
        <v>4660</v>
      </c>
    </row>
    <row r="798" spans="1:24" x14ac:dyDescent="0.2">
      <c r="A798" t="s">
        <v>5103</v>
      </c>
      <c r="B798" t="s">
        <v>424</v>
      </c>
      <c r="C798" t="s">
        <v>1501</v>
      </c>
      <c r="D798" t="s">
        <v>56</v>
      </c>
      <c r="E798" t="s">
        <v>425</v>
      </c>
      <c r="F798" t="s">
        <v>26</v>
      </c>
      <c r="G798" s="202">
        <v>39.978999999999999</v>
      </c>
      <c r="H798">
        <v>4</v>
      </c>
      <c r="I798" t="s">
        <v>4017</v>
      </c>
      <c r="J798" t="s">
        <v>4851</v>
      </c>
      <c r="K798" t="s">
        <v>1283</v>
      </c>
      <c r="L798" s="204">
        <v>0.05</v>
      </c>
      <c r="M798" s="112">
        <v>10.23</v>
      </c>
      <c r="N798" s="112">
        <v>0.51150000000000007</v>
      </c>
      <c r="O798" s="204"/>
      <c r="P798" s="112"/>
      <c r="Q798" s="112"/>
      <c r="R798" s="112"/>
      <c r="S798" s="112"/>
      <c r="T798" s="112"/>
      <c r="U798" t="s">
        <v>5104</v>
      </c>
      <c r="V798" t="s">
        <v>5105</v>
      </c>
      <c r="W798" t="s">
        <v>3958</v>
      </c>
      <c r="X798" t="s">
        <v>4660</v>
      </c>
    </row>
    <row r="799" spans="1:24" x14ac:dyDescent="0.2">
      <c r="A799" t="s">
        <v>5103</v>
      </c>
      <c r="B799" t="s">
        <v>424</v>
      </c>
      <c r="C799" t="s">
        <v>1501</v>
      </c>
      <c r="D799" t="s">
        <v>56</v>
      </c>
      <c r="E799" t="s">
        <v>425</v>
      </c>
      <c r="F799" t="s">
        <v>26</v>
      </c>
      <c r="G799" s="202">
        <v>39.978999999999999</v>
      </c>
      <c r="H799">
        <v>5</v>
      </c>
      <c r="I799" t="s">
        <v>3968</v>
      </c>
      <c r="J799" t="s">
        <v>3969</v>
      </c>
      <c r="K799" t="s">
        <v>26</v>
      </c>
      <c r="L799" s="204">
        <v>1</v>
      </c>
      <c r="M799" s="112"/>
      <c r="N799" s="112">
        <v>10.23</v>
      </c>
      <c r="O799" s="204">
        <v>0.22212255275661952</v>
      </c>
      <c r="P799" s="112">
        <v>2.2723137147002177</v>
      </c>
      <c r="Q799" s="112">
        <v>12.502313714700218</v>
      </c>
      <c r="R799" s="112">
        <v>499.83</v>
      </c>
      <c r="S799" s="112">
        <v>499.83</v>
      </c>
      <c r="T799" s="112">
        <v>0</v>
      </c>
      <c r="U799" t="s">
        <v>5104</v>
      </c>
      <c r="V799" t="s">
        <v>5105</v>
      </c>
      <c r="W799" t="s">
        <v>4666</v>
      </c>
      <c r="X799" t="s">
        <v>4667</v>
      </c>
    </row>
    <row r="800" spans="1:24" x14ac:dyDescent="0.2">
      <c r="A800" t="s">
        <v>5106</v>
      </c>
      <c r="B800" t="s">
        <v>426</v>
      </c>
      <c r="C800" t="s">
        <v>1502</v>
      </c>
      <c r="D800" t="s">
        <v>56</v>
      </c>
      <c r="E800" t="s">
        <v>427</v>
      </c>
      <c r="F800" t="s">
        <v>26</v>
      </c>
      <c r="G800" s="202">
        <v>1359.8</v>
      </c>
      <c r="H800">
        <v>1</v>
      </c>
      <c r="I800" t="s">
        <v>3954</v>
      </c>
      <c r="J800" t="s">
        <v>5094</v>
      </c>
      <c r="K800" t="s">
        <v>1283</v>
      </c>
      <c r="L800" s="204">
        <v>0.45</v>
      </c>
      <c r="M800" s="112">
        <v>11.22</v>
      </c>
      <c r="N800" s="112">
        <v>5.0490000000000004</v>
      </c>
      <c r="O800" s="204"/>
      <c r="P800" s="112"/>
      <c r="Q800" s="112"/>
      <c r="R800" s="112"/>
      <c r="S800" s="112"/>
      <c r="T800" s="112"/>
      <c r="U800" t="s">
        <v>5107</v>
      </c>
      <c r="V800" t="s">
        <v>5108</v>
      </c>
      <c r="W800" t="s">
        <v>3958</v>
      </c>
      <c r="X800" t="s">
        <v>4660</v>
      </c>
    </row>
    <row r="801" spans="1:24" x14ac:dyDescent="0.2">
      <c r="A801" t="s">
        <v>5106</v>
      </c>
      <c r="B801" t="s">
        <v>426</v>
      </c>
      <c r="C801" t="s">
        <v>1502</v>
      </c>
      <c r="D801" t="s">
        <v>56</v>
      </c>
      <c r="E801" t="s">
        <v>427</v>
      </c>
      <c r="F801" t="s">
        <v>26</v>
      </c>
      <c r="G801" s="202">
        <v>1359.8</v>
      </c>
      <c r="H801">
        <v>2</v>
      </c>
      <c r="I801" t="s">
        <v>3960</v>
      </c>
      <c r="J801" t="s">
        <v>5097</v>
      </c>
      <c r="K801" t="s">
        <v>1283</v>
      </c>
      <c r="L801" s="204">
        <v>0.45</v>
      </c>
      <c r="M801" s="112">
        <v>11.22</v>
      </c>
      <c r="N801" s="112">
        <v>5.0490000000000004</v>
      </c>
      <c r="O801" s="204"/>
      <c r="P801" s="112"/>
      <c r="Q801" s="112"/>
      <c r="R801" s="112"/>
      <c r="S801" s="112"/>
      <c r="T801" s="112"/>
      <c r="U801" t="s">
        <v>5107</v>
      </c>
      <c r="V801" t="s">
        <v>5108</v>
      </c>
      <c r="W801" t="s">
        <v>3958</v>
      </c>
      <c r="X801" t="s">
        <v>4660</v>
      </c>
    </row>
    <row r="802" spans="1:24" x14ac:dyDescent="0.2">
      <c r="A802" t="s">
        <v>5106</v>
      </c>
      <c r="B802" t="s">
        <v>426</v>
      </c>
      <c r="C802" t="s">
        <v>1502</v>
      </c>
      <c r="D802" t="s">
        <v>56</v>
      </c>
      <c r="E802" t="s">
        <v>427</v>
      </c>
      <c r="F802" t="s">
        <v>26</v>
      </c>
      <c r="G802" s="202">
        <v>1359.8</v>
      </c>
      <c r="H802">
        <v>3</v>
      </c>
      <c r="I802" t="s">
        <v>3976</v>
      </c>
      <c r="J802" t="s">
        <v>5098</v>
      </c>
      <c r="K802" t="s">
        <v>1283</v>
      </c>
      <c r="L802" s="204">
        <v>0.05</v>
      </c>
      <c r="M802" s="112">
        <v>11.22</v>
      </c>
      <c r="N802" s="112">
        <v>0.56100000000000005</v>
      </c>
      <c r="O802" s="204"/>
      <c r="P802" s="112"/>
      <c r="Q802" s="112"/>
      <c r="R802" s="112"/>
      <c r="S802" s="112"/>
      <c r="T802" s="112"/>
      <c r="U802" t="s">
        <v>5107</v>
      </c>
      <c r="V802" t="s">
        <v>5108</v>
      </c>
      <c r="W802" t="s">
        <v>3958</v>
      </c>
      <c r="X802" t="s">
        <v>4660</v>
      </c>
    </row>
    <row r="803" spans="1:24" x14ac:dyDescent="0.2">
      <c r="A803" t="s">
        <v>5106</v>
      </c>
      <c r="B803" t="s">
        <v>426</v>
      </c>
      <c r="C803" t="s">
        <v>1502</v>
      </c>
      <c r="D803" t="s">
        <v>56</v>
      </c>
      <c r="E803" t="s">
        <v>427</v>
      </c>
      <c r="F803" t="s">
        <v>26</v>
      </c>
      <c r="G803" s="202">
        <v>1359.8</v>
      </c>
      <c r="H803">
        <v>4</v>
      </c>
      <c r="I803" t="s">
        <v>4017</v>
      </c>
      <c r="J803" t="s">
        <v>4851</v>
      </c>
      <c r="K803" t="s">
        <v>1283</v>
      </c>
      <c r="L803" s="204">
        <v>0.05</v>
      </c>
      <c r="M803" s="112">
        <v>11.22</v>
      </c>
      <c r="N803" s="112">
        <v>0.56100000000000005</v>
      </c>
      <c r="O803" s="204"/>
      <c r="P803" s="112"/>
      <c r="Q803" s="112"/>
      <c r="R803" s="112"/>
      <c r="S803" s="112"/>
      <c r="T803" s="112"/>
      <c r="U803" t="s">
        <v>5107</v>
      </c>
      <c r="V803" t="s">
        <v>5108</v>
      </c>
      <c r="W803" t="s">
        <v>3958</v>
      </c>
      <c r="X803" t="s">
        <v>4660</v>
      </c>
    </row>
    <row r="804" spans="1:24" x14ac:dyDescent="0.2">
      <c r="A804" t="s">
        <v>5106</v>
      </c>
      <c r="B804" t="s">
        <v>426</v>
      </c>
      <c r="C804" t="s">
        <v>1502</v>
      </c>
      <c r="D804" t="s">
        <v>56</v>
      </c>
      <c r="E804" t="s">
        <v>427</v>
      </c>
      <c r="F804" t="s">
        <v>26</v>
      </c>
      <c r="G804" s="202">
        <v>1359.8</v>
      </c>
      <c r="H804">
        <v>5</v>
      </c>
      <c r="I804" t="s">
        <v>3968</v>
      </c>
      <c r="J804" t="s">
        <v>3969</v>
      </c>
      <c r="K804" t="s">
        <v>26</v>
      </c>
      <c r="L804" s="204">
        <v>1</v>
      </c>
      <c r="M804" s="112"/>
      <c r="N804" s="112">
        <v>11.22</v>
      </c>
      <c r="O804" s="204">
        <v>0.22192460933884828</v>
      </c>
      <c r="P804" s="112">
        <v>2.4899941167818778</v>
      </c>
      <c r="Q804" s="112">
        <v>13.709994116781878</v>
      </c>
      <c r="R804" s="112">
        <v>18642.849999999999</v>
      </c>
      <c r="S804" s="112">
        <v>18642.849999999999</v>
      </c>
      <c r="T804" s="112">
        <v>0</v>
      </c>
      <c r="U804" t="s">
        <v>5107</v>
      </c>
      <c r="V804" t="s">
        <v>5108</v>
      </c>
      <c r="W804" t="s">
        <v>4666</v>
      </c>
      <c r="X804" t="s">
        <v>4667</v>
      </c>
    </row>
    <row r="805" spans="1:24" x14ac:dyDescent="0.2">
      <c r="A805" t="s">
        <v>5109</v>
      </c>
      <c r="B805" t="s">
        <v>428</v>
      </c>
      <c r="C805" t="s">
        <v>1503</v>
      </c>
      <c r="D805" t="s">
        <v>56</v>
      </c>
      <c r="E805" t="s">
        <v>429</v>
      </c>
      <c r="F805" t="s">
        <v>26</v>
      </c>
      <c r="G805" s="202">
        <v>1359.8</v>
      </c>
      <c r="H805">
        <v>1</v>
      </c>
      <c r="I805" t="s">
        <v>3954</v>
      </c>
      <c r="J805" t="s">
        <v>5094</v>
      </c>
      <c r="K805" t="s">
        <v>1283</v>
      </c>
      <c r="L805" s="204">
        <v>0.45</v>
      </c>
      <c r="M805" s="112">
        <v>50.662499999999994</v>
      </c>
      <c r="N805" s="112">
        <v>22.798124999999999</v>
      </c>
      <c r="O805" s="204"/>
      <c r="P805" s="112"/>
      <c r="Q805" s="112"/>
      <c r="R805" s="112"/>
      <c r="S805" s="112"/>
      <c r="T805" s="112"/>
      <c r="U805" t="s">
        <v>4123</v>
      </c>
      <c r="V805" t="s">
        <v>5110</v>
      </c>
      <c r="W805" t="s">
        <v>3958</v>
      </c>
      <c r="X805" t="s">
        <v>4660</v>
      </c>
    </row>
    <row r="806" spans="1:24" x14ac:dyDescent="0.2">
      <c r="A806" t="s">
        <v>5109</v>
      </c>
      <c r="B806" t="s">
        <v>428</v>
      </c>
      <c r="C806" t="s">
        <v>1503</v>
      </c>
      <c r="D806" t="s">
        <v>56</v>
      </c>
      <c r="E806" t="s">
        <v>429</v>
      </c>
      <c r="F806" t="s">
        <v>26</v>
      </c>
      <c r="G806" s="202">
        <v>1359.8</v>
      </c>
      <c r="H806">
        <v>2</v>
      </c>
      <c r="I806" t="s">
        <v>3960</v>
      </c>
      <c r="J806" t="s">
        <v>5097</v>
      </c>
      <c r="K806" t="s">
        <v>1283</v>
      </c>
      <c r="L806" s="204">
        <v>0.45</v>
      </c>
      <c r="M806" s="112">
        <v>50.662499999999994</v>
      </c>
      <c r="N806" s="112">
        <v>22.798124999999999</v>
      </c>
      <c r="O806" s="204"/>
      <c r="P806" s="112"/>
      <c r="Q806" s="112"/>
      <c r="R806" s="112"/>
      <c r="S806" s="112"/>
      <c r="T806" s="112"/>
      <c r="U806" t="s">
        <v>4123</v>
      </c>
      <c r="V806" t="s">
        <v>5110</v>
      </c>
      <c r="W806" t="s">
        <v>3958</v>
      </c>
      <c r="X806" t="s">
        <v>4660</v>
      </c>
    </row>
    <row r="807" spans="1:24" x14ac:dyDescent="0.2">
      <c r="A807" t="s">
        <v>5109</v>
      </c>
      <c r="B807" t="s">
        <v>428</v>
      </c>
      <c r="C807" t="s">
        <v>1503</v>
      </c>
      <c r="D807" t="s">
        <v>56</v>
      </c>
      <c r="E807" t="s">
        <v>429</v>
      </c>
      <c r="F807" t="s">
        <v>26</v>
      </c>
      <c r="G807" s="202">
        <v>1359.8</v>
      </c>
      <c r="H807">
        <v>3</v>
      </c>
      <c r="I807" t="s">
        <v>3976</v>
      </c>
      <c r="J807" t="s">
        <v>5098</v>
      </c>
      <c r="K807" t="s">
        <v>1283</v>
      </c>
      <c r="L807" s="204">
        <v>0.05</v>
      </c>
      <c r="M807" s="112">
        <v>50.662499999999994</v>
      </c>
      <c r="N807" s="112">
        <v>2.5331250000000001</v>
      </c>
      <c r="O807" s="204"/>
      <c r="P807" s="112"/>
      <c r="Q807" s="112"/>
      <c r="R807" s="112"/>
      <c r="S807" s="112"/>
      <c r="T807" s="112"/>
      <c r="U807" t="s">
        <v>4123</v>
      </c>
      <c r="V807" t="s">
        <v>5110</v>
      </c>
      <c r="W807" t="s">
        <v>3958</v>
      </c>
      <c r="X807" t="s">
        <v>4660</v>
      </c>
    </row>
    <row r="808" spans="1:24" x14ac:dyDescent="0.2">
      <c r="A808" t="s">
        <v>5109</v>
      </c>
      <c r="B808" t="s">
        <v>428</v>
      </c>
      <c r="C808" t="s">
        <v>1503</v>
      </c>
      <c r="D808" t="s">
        <v>56</v>
      </c>
      <c r="E808" t="s">
        <v>429</v>
      </c>
      <c r="F808" t="s">
        <v>26</v>
      </c>
      <c r="G808" s="202">
        <v>1359.8</v>
      </c>
      <c r="H808">
        <v>4</v>
      </c>
      <c r="I808" t="s">
        <v>4017</v>
      </c>
      <c r="J808" t="s">
        <v>4851</v>
      </c>
      <c r="K808" t="s">
        <v>1283</v>
      </c>
      <c r="L808" s="204">
        <v>0.05</v>
      </c>
      <c r="M808" s="112">
        <v>50.662499999999994</v>
      </c>
      <c r="N808" s="112">
        <v>2.5331250000000001</v>
      </c>
      <c r="O808" s="204"/>
      <c r="P808" s="112"/>
      <c r="Q808" s="112"/>
      <c r="R808" s="112"/>
      <c r="S808" s="112"/>
      <c r="T808" s="112"/>
      <c r="U808" t="s">
        <v>4123</v>
      </c>
      <c r="V808" t="s">
        <v>5110</v>
      </c>
      <c r="W808" t="s">
        <v>3958</v>
      </c>
      <c r="X808" t="s">
        <v>4660</v>
      </c>
    </row>
    <row r="809" spans="1:24" x14ac:dyDescent="0.2">
      <c r="A809" t="s">
        <v>5109</v>
      </c>
      <c r="B809" t="s">
        <v>428</v>
      </c>
      <c r="C809" t="s">
        <v>1503</v>
      </c>
      <c r="D809" t="s">
        <v>56</v>
      </c>
      <c r="E809" t="s">
        <v>429</v>
      </c>
      <c r="F809" t="s">
        <v>26</v>
      </c>
      <c r="G809" s="202">
        <v>1359.8</v>
      </c>
      <c r="H809">
        <v>5</v>
      </c>
      <c r="I809" t="s">
        <v>3968</v>
      </c>
      <c r="J809" t="s">
        <v>3969</v>
      </c>
      <c r="K809" t="s">
        <v>26</v>
      </c>
      <c r="L809" s="204">
        <v>1</v>
      </c>
      <c r="M809" s="112"/>
      <c r="N809" s="112">
        <v>50.662499999999994</v>
      </c>
      <c r="O809" s="204">
        <v>0.2222056864068378</v>
      </c>
      <c r="P809" s="112">
        <v>11.257495587586419</v>
      </c>
      <c r="Q809" s="112">
        <v>61.919995587586413</v>
      </c>
      <c r="R809" s="112">
        <v>84198.81</v>
      </c>
      <c r="S809" s="112">
        <v>84198.81</v>
      </c>
      <c r="T809" s="112">
        <v>0</v>
      </c>
      <c r="U809" t="s">
        <v>4123</v>
      </c>
      <c r="V809" t="s">
        <v>5110</v>
      </c>
      <c r="W809" t="s">
        <v>4666</v>
      </c>
      <c r="X809" t="s">
        <v>4667</v>
      </c>
    </row>
    <row r="810" spans="1:24" x14ac:dyDescent="0.2">
      <c r="A810" t="s">
        <v>5111</v>
      </c>
      <c r="B810" t="s">
        <v>430</v>
      </c>
      <c r="C810" t="s">
        <v>431</v>
      </c>
      <c r="D810" t="s">
        <v>24</v>
      </c>
      <c r="E810" t="s">
        <v>432</v>
      </c>
      <c r="F810" t="s">
        <v>180</v>
      </c>
      <c r="G810" s="202">
        <v>940.67200000000003</v>
      </c>
      <c r="H810">
        <v>1</v>
      </c>
      <c r="I810" t="s">
        <v>3954</v>
      </c>
      <c r="J810" t="s">
        <v>5112</v>
      </c>
      <c r="K810" t="s">
        <v>1283</v>
      </c>
      <c r="L810" s="204">
        <v>0.22</v>
      </c>
      <c r="M810" s="112">
        <v>11.25</v>
      </c>
      <c r="N810" s="112">
        <v>2.4750000000000001</v>
      </c>
      <c r="O810" s="204"/>
      <c r="P810" s="112"/>
      <c r="Q810" s="112"/>
      <c r="R810" s="112"/>
      <c r="S810" s="112"/>
      <c r="T810" s="112"/>
      <c r="U810" t="s">
        <v>5113</v>
      </c>
      <c r="V810" t="s">
        <v>5114</v>
      </c>
      <c r="W810" t="s">
        <v>3958</v>
      </c>
      <c r="X810" t="s">
        <v>4660</v>
      </c>
    </row>
    <row r="811" spans="1:24" x14ac:dyDescent="0.2">
      <c r="A811" t="s">
        <v>5111</v>
      </c>
      <c r="B811" t="s">
        <v>430</v>
      </c>
      <c r="C811" t="s">
        <v>431</v>
      </c>
      <c r="D811" t="s">
        <v>24</v>
      </c>
      <c r="E811" t="s">
        <v>432</v>
      </c>
      <c r="F811" t="s">
        <v>180</v>
      </c>
      <c r="G811" s="202">
        <v>940.67200000000003</v>
      </c>
      <c r="H811">
        <v>2</v>
      </c>
      <c r="I811" t="s">
        <v>3960</v>
      </c>
      <c r="J811" t="s">
        <v>5115</v>
      </c>
      <c r="K811" t="s">
        <v>1283</v>
      </c>
      <c r="L811" s="204">
        <v>0.68</v>
      </c>
      <c r="M811" s="112">
        <v>11.25</v>
      </c>
      <c r="N811" s="112">
        <v>7.65</v>
      </c>
      <c r="O811" s="204"/>
      <c r="P811" s="112"/>
      <c r="Q811" s="112"/>
      <c r="R811" s="112"/>
      <c r="S811" s="112"/>
      <c r="T811" s="112"/>
      <c r="U811" t="s">
        <v>5113</v>
      </c>
      <c r="V811" t="s">
        <v>5114</v>
      </c>
      <c r="W811" t="s">
        <v>3958</v>
      </c>
      <c r="X811" t="s">
        <v>4660</v>
      </c>
    </row>
    <row r="812" spans="1:24" x14ac:dyDescent="0.2">
      <c r="A812" t="s">
        <v>5111</v>
      </c>
      <c r="B812" t="s">
        <v>430</v>
      </c>
      <c r="C812" t="s">
        <v>431</v>
      </c>
      <c r="D812" t="s">
        <v>24</v>
      </c>
      <c r="E812" t="s">
        <v>432</v>
      </c>
      <c r="F812" t="s">
        <v>180</v>
      </c>
      <c r="G812" s="202">
        <v>940.67200000000003</v>
      </c>
      <c r="H812">
        <v>3</v>
      </c>
      <c r="I812" t="s">
        <v>3976</v>
      </c>
      <c r="J812" t="s">
        <v>5116</v>
      </c>
      <c r="K812" t="s">
        <v>1283</v>
      </c>
      <c r="L812" s="204">
        <v>0.05</v>
      </c>
      <c r="M812" s="112">
        <v>11.25</v>
      </c>
      <c r="N812" s="112">
        <v>0.5625</v>
      </c>
      <c r="O812" s="204"/>
      <c r="P812" s="112"/>
      <c r="Q812" s="112"/>
      <c r="R812" s="112"/>
      <c r="S812" s="112"/>
      <c r="T812" s="112"/>
      <c r="U812" t="s">
        <v>5113</v>
      </c>
      <c r="V812" t="s">
        <v>5114</v>
      </c>
      <c r="W812" t="s">
        <v>3958</v>
      </c>
      <c r="X812" t="s">
        <v>4660</v>
      </c>
    </row>
    <row r="813" spans="1:24" x14ac:dyDescent="0.2">
      <c r="A813" t="s">
        <v>5111</v>
      </c>
      <c r="B813" t="s">
        <v>430</v>
      </c>
      <c r="C813" t="s">
        <v>431</v>
      </c>
      <c r="D813" t="s">
        <v>24</v>
      </c>
      <c r="E813" t="s">
        <v>432</v>
      </c>
      <c r="F813" t="s">
        <v>180</v>
      </c>
      <c r="G813" s="202">
        <v>940.67200000000003</v>
      </c>
      <c r="H813">
        <v>4</v>
      </c>
      <c r="I813" t="s">
        <v>4017</v>
      </c>
      <c r="J813" t="s">
        <v>5117</v>
      </c>
      <c r="K813" t="s">
        <v>1283</v>
      </c>
      <c r="L813" s="204">
        <v>0.05</v>
      </c>
      <c r="M813" s="112">
        <v>11.25</v>
      </c>
      <c r="N813" s="112">
        <v>0.5625</v>
      </c>
      <c r="O813" s="204"/>
      <c r="P813" s="112"/>
      <c r="Q813" s="112"/>
      <c r="R813" s="112"/>
      <c r="S813" s="112"/>
      <c r="T813" s="112"/>
      <c r="U813" t="s">
        <v>5113</v>
      </c>
      <c r="V813" t="s">
        <v>5114</v>
      </c>
      <c r="W813" t="s">
        <v>3958</v>
      </c>
      <c r="X813" t="s">
        <v>4660</v>
      </c>
    </row>
    <row r="814" spans="1:24" x14ac:dyDescent="0.2">
      <c r="A814" t="s">
        <v>5111</v>
      </c>
      <c r="B814" t="s">
        <v>430</v>
      </c>
      <c r="C814" t="s">
        <v>431</v>
      </c>
      <c r="D814" t="s">
        <v>24</v>
      </c>
      <c r="E814" t="s">
        <v>432</v>
      </c>
      <c r="F814" t="s">
        <v>180</v>
      </c>
      <c r="G814" s="202">
        <v>940.67200000000003</v>
      </c>
      <c r="H814">
        <v>5</v>
      </c>
      <c r="I814" t="s">
        <v>3968</v>
      </c>
      <c r="J814" t="s">
        <v>3969</v>
      </c>
      <c r="K814" t="s">
        <v>180</v>
      </c>
      <c r="L814" s="204">
        <v>1</v>
      </c>
      <c r="M814" s="112"/>
      <c r="N814" s="112">
        <v>11.25</v>
      </c>
      <c r="O814" s="204">
        <v>0.22199921380081933</v>
      </c>
      <c r="P814" s="112">
        <v>2.4974911552592172</v>
      </c>
      <c r="Q814" s="112">
        <v>13.747491155259217</v>
      </c>
      <c r="R814" s="112">
        <v>12931.88</v>
      </c>
      <c r="S814" s="112">
        <v>12931.88</v>
      </c>
      <c r="T814" s="112">
        <v>0</v>
      </c>
      <c r="U814" t="s">
        <v>5113</v>
      </c>
      <c r="V814" t="s">
        <v>5114</v>
      </c>
      <c r="W814" t="s">
        <v>4666</v>
      </c>
      <c r="X814" t="s">
        <v>4667</v>
      </c>
    </row>
    <row r="815" spans="1:24" x14ac:dyDescent="0.2">
      <c r="A815" t="s">
        <v>5118</v>
      </c>
      <c r="B815" t="s">
        <v>435</v>
      </c>
      <c r="C815" t="s">
        <v>1504</v>
      </c>
      <c r="D815" t="s">
        <v>56</v>
      </c>
      <c r="E815" t="s">
        <v>436</v>
      </c>
      <c r="F815" t="s">
        <v>99</v>
      </c>
      <c r="G815" s="202">
        <v>374.10399999999998</v>
      </c>
      <c r="H815">
        <v>1</v>
      </c>
      <c r="I815" t="s">
        <v>3954</v>
      </c>
      <c r="J815" t="s">
        <v>5094</v>
      </c>
      <c r="K815" t="s">
        <v>1283</v>
      </c>
      <c r="L815" s="204">
        <v>0.45</v>
      </c>
      <c r="M815" s="112">
        <v>6.4875000000000007</v>
      </c>
      <c r="N815" s="112">
        <v>2.9193750000000005</v>
      </c>
      <c r="O815" s="204"/>
      <c r="P815" s="112"/>
      <c r="Q815" s="112"/>
      <c r="R815" s="112"/>
      <c r="S815" s="112"/>
      <c r="T815" s="112"/>
      <c r="U815" t="s">
        <v>5119</v>
      </c>
      <c r="V815" t="s">
        <v>5120</v>
      </c>
      <c r="W815" t="s">
        <v>3958</v>
      </c>
      <c r="X815" t="s">
        <v>4660</v>
      </c>
    </row>
    <row r="816" spans="1:24" x14ac:dyDescent="0.2">
      <c r="A816" t="s">
        <v>5118</v>
      </c>
      <c r="B816" t="s">
        <v>435</v>
      </c>
      <c r="C816" t="s">
        <v>1504</v>
      </c>
      <c r="D816" t="s">
        <v>56</v>
      </c>
      <c r="E816" t="s">
        <v>436</v>
      </c>
      <c r="F816" t="s">
        <v>99</v>
      </c>
      <c r="G816" s="202">
        <v>374.10399999999998</v>
      </c>
      <c r="H816">
        <v>2</v>
      </c>
      <c r="I816" t="s">
        <v>3960</v>
      </c>
      <c r="J816" t="s">
        <v>5097</v>
      </c>
      <c r="K816" t="s">
        <v>1283</v>
      </c>
      <c r="L816" s="204">
        <v>0.45</v>
      </c>
      <c r="M816" s="112">
        <v>6.4875000000000007</v>
      </c>
      <c r="N816" s="112">
        <v>2.9193750000000005</v>
      </c>
      <c r="O816" s="204"/>
      <c r="P816" s="112"/>
      <c r="Q816" s="112"/>
      <c r="R816" s="112"/>
      <c r="S816" s="112"/>
      <c r="T816" s="112"/>
      <c r="U816" t="s">
        <v>5119</v>
      </c>
      <c r="V816" t="s">
        <v>5120</v>
      </c>
      <c r="W816" t="s">
        <v>3958</v>
      </c>
      <c r="X816" t="s">
        <v>4660</v>
      </c>
    </row>
    <row r="817" spans="1:24" x14ac:dyDescent="0.2">
      <c r="A817" t="s">
        <v>5118</v>
      </c>
      <c r="B817" t="s">
        <v>435</v>
      </c>
      <c r="C817" t="s">
        <v>1504</v>
      </c>
      <c r="D817" t="s">
        <v>56</v>
      </c>
      <c r="E817" t="s">
        <v>436</v>
      </c>
      <c r="F817" t="s">
        <v>99</v>
      </c>
      <c r="G817" s="202">
        <v>374.10399999999998</v>
      </c>
      <c r="H817">
        <v>3</v>
      </c>
      <c r="I817" t="s">
        <v>3976</v>
      </c>
      <c r="J817" t="s">
        <v>5098</v>
      </c>
      <c r="K817" t="s">
        <v>1283</v>
      </c>
      <c r="L817" s="204">
        <v>0.05</v>
      </c>
      <c r="M817" s="112">
        <v>6.4875000000000007</v>
      </c>
      <c r="N817" s="112">
        <v>0.32437500000000008</v>
      </c>
      <c r="O817" s="204"/>
      <c r="P817" s="112"/>
      <c r="Q817" s="112"/>
      <c r="R817" s="112"/>
      <c r="S817" s="112"/>
      <c r="T817" s="112"/>
      <c r="U817" t="s">
        <v>5119</v>
      </c>
      <c r="V817" t="s">
        <v>5120</v>
      </c>
      <c r="W817" t="s">
        <v>3958</v>
      </c>
      <c r="X817" t="s">
        <v>4660</v>
      </c>
    </row>
    <row r="818" spans="1:24" x14ac:dyDescent="0.2">
      <c r="A818" t="s">
        <v>5118</v>
      </c>
      <c r="B818" t="s">
        <v>435</v>
      </c>
      <c r="C818" t="s">
        <v>1504</v>
      </c>
      <c r="D818" t="s">
        <v>56</v>
      </c>
      <c r="E818" t="s">
        <v>436</v>
      </c>
      <c r="F818" t="s">
        <v>99</v>
      </c>
      <c r="G818" s="202">
        <v>374.10399999999998</v>
      </c>
      <c r="H818">
        <v>4</v>
      </c>
      <c r="I818" t="s">
        <v>4017</v>
      </c>
      <c r="J818" t="s">
        <v>4851</v>
      </c>
      <c r="K818" t="s">
        <v>1283</v>
      </c>
      <c r="L818" s="204">
        <v>0.05</v>
      </c>
      <c r="M818" s="112">
        <v>6.4875000000000007</v>
      </c>
      <c r="N818" s="112">
        <v>0.32437500000000008</v>
      </c>
      <c r="O818" s="204"/>
      <c r="P818" s="112"/>
      <c r="Q818" s="112"/>
      <c r="R818" s="112"/>
      <c r="S818" s="112"/>
      <c r="T818" s="112"/>
      <c r="U818" t="s">
        <v>5119</v>
      </c>
      <c r="V818" t="s">
        <v>5120</v>
      </c>
      <c r="W818" t="s">
        <v>3958</v>
      </c>
      <c r="X818" t="s">
        <v>4660</v>
      </c>
    </row>
    <row r="819" spans="1:24" x14ac:dyDescent="0.2">
      <c r="A819" t="s">
        <v>5118</v>
      </c>
      <c r="B819" t="s">
        <v>435</v>
      </c>
      <c r="C819" t="s">
        <v>1504</v>
      </c>
      <c r="D819" t="s">
        <v>56</v>
      </c>
      <c r="E819" t="s">
        <v>436</v>
      </c>
      <c r="F819" t="s">
        <v>99</v>
      </c>
      <c r="G819" s="202">
        <v>374.10399999999998</v>
      </c>
      <c r="H819">
        <v>5</v>
      </c>
      <c r="I819" t="s">
        <v>3968</v>
      </c>
      <c r="J819" t="s">
        <v>3969</v>
      </c>
      <c r="K819" t="s">
        <v>99</v>
      </c>
      <c r="L819" s="204">
        <v>1</v>
      </c>
      <c r="M819" s="112"/>
      <c r="N819" s="112">
        <v>6.4875000000000007</v>
      </c>
      <c r="O819" s="204">
        <v>0.2219614201023592</v>
      </c>
      <c r="P819" s="112">
        <v>1.4399747129140552</v>
      </c>
      <c r="Q819" s="112">
        <v>7.9274747129140559</v>
      </c>
      <c r="R819" s="112">
        <v>2965.7</v>
      </c>
      <c r="S819" s="112">
        <v>2965.7</v>
      </c>
      <c r="T819" s="112">
        <v>0</v>
      </c>
      <c r="U819" t="s">
        <v>5119</v>
      </c>
      <c r="V819" t="s">
        <v>5120</v>
      </c>
      <c r="W819" t="s">
        <v>4666</v>
      </c>
      <c r="X819" t="s">
        <v>4667</v>
      </c>
    </row>
    <row r="820" spans="1:24" x14ac:dyDescent="0.2">
      <c r="A820" t="s">
        <v>5121</v>
      </c>
      <c r="B820" t="s">
        <v>437</v>
      </c>
      <c r="C820" t="s">
        <v>1505</v>
      </c>
      <c r="D820" t="s">
        <v>56</v>
      </c>
      <c r="E820" t="s">
        <v>438</v>
      </c>
      <c r="F820" t="s">
        <v>26</v>
      </c>
      <c r="G820" s="202">
        <v>73.769000000000005</v>
      </c>
      <c r="H820">
        <v>1</v>
      </c>
      <c r="I820" t="s">
        <v>3954</v>
      </c>
      <c r="J820" t="s">
        <v>4992</v>
      </c>
      <c r="K820" t="s">
        <v>1283</v>
      </c>
      <c r="L820" s="204">
        <v>0.27</v>
      </c>
      <c r="M820" s="112">
        <v>20.325000000000003</v>
      </c>
      <c r="N820" s="112">
        <v>5.487750000000001</v>
      </c>
      <c r="O820" s="204"/>
      <c r="P820" s="112"/>
      <c r="Q820" s="112"/>
      <c r="R820" s="112"/>
      <c r="S820" s="112"/>
      <c r="T820" s="112"/>
      <c r="U820" t="s">
        <v>5122</v>
      </c>
      <c r="V820" t="s">
        <v>5123</v>
      </c>
      <c r="W820" t="s">
        <v>3958</v>
      </c>
      <c r="X820" t="s">
        <v>4660</v>
      </c>
    </row>
    <row r="821" spans="1:24" x14ac:dyDescent="0.2">
      <c r="A821" t="s">
        <v>5121</v>
      </c>
      <c r="B821" t="s">
        <v>437</v>
      </c>
      <c r="C821" t="s">
        <v>1505</v>
      </c>
      <c r="D821" t="s">
        <v>56</v>
      </c>
      <c r="E821" t="s">
        <v>438</v>
      </c>
      <c r="F821" t="s">
        <v>26</v>
      </c>
      <c r="G821" s="202">
        <v>73.769000000000005</v>
      </c>
      <c r="H821">
        <v>2</v>
      </c>
      <c r="I821" t="s">
        <v>3960</v>
      </c>
      <c r="J821" t="s">
        <v>4994</v>
      </c>
      <c r="K821" t="s">
        <v>1283</v>
      </c>
      <c r="L821" s="204">
        <v>0.63</v>
      </c>
      <c r="M821" s="112">
        <v>20.325000000000003</v>
      </c>
      <c r="N821" s="112">
        <v>12.804750000000002</v>
      </c>
      <c r="O821" s="204"/>
      <c r="P821" s="112"/>
      <c r="Q821" s="112"/>
      <c r="R821" s="112"/>
      <c r="S821" s="112"/>
      <c r="T821" s="112"/>
      <c r="U821" t="s">
        <v>5122</v>
      </c>
      <c r="V821" t="s">
        <v>5123</v>
      </c>
      <c r="W821" t="s">
        <v>3958</v>
      </c>
      <c r="X821" t="s">
        <v>4660</v>
      </c>
    </row>
    <row r="822" spans="1:24" x14ac:dyDescent="0.2">
      <c r="A822" t="s">
        <v>5121</v>
      </c>
      <c r="B822" t="s">
        <v>437</v>
      </c>
      <c r="C822" t="s">
        <v>1505</v>
      </c>
      <c r="D822" t="s">
        <v>56</v>
      </c>
      <c r="E822" t="s">
        <v>438</v>
      </c>
      <c r="F822" t="s">
        <v>26</v>
      </c>
      <c r="G822" s="202">
        <v>73.769000000000005</v>
      </c>
      <c r="H822">
        <v>3</v>
      </c>
      <c r="I822" t="s">
        <v>3976</v>
      </c>
      <c r="J822" t="s">
        <v>4995</v>
      </c>
      <c r="K822" t="s">
        <v>1283</v>
      </c>
      <c r="L822" s="204">
        <v>0.05</v>
      </c>
      <c r="M822" s="112">
        <v>20.325000000000003</v>
      </c>
      <c r="N822" s="112">
        <v>1.0162500000000001</v>
      </c>
      <c r="O822" s="204"/>
      <c r="P822" s="112"/>
      <c r="Q822" s="112"/>
      <c r="R822" s="112"/>
      <c r="S822" s="112"/>
      <c r="T822" s="112"/>
      <c r="U822" t="s">
        <v>5122</v>
      </c>
      <c r="V822" t="s">
        <v>5123</v>
      </c>
      <c r="W822" t="s">
        <v>3958</v>
      </c>
      <c r="X822" t="s">
        <v>4660</v>
      </c>
    </row>
    <row r="823" spans="1:24" x14ac:dyDescent="0.2">
      <c r="A823" t="s">
        <v>5121</v>
      </c>
      <c r="B823" t="s">
        <v>437</v>
      </c>
      <c r="C823" t="s">
        <v>1505</v>
      </c>
      <c r="D823" t="s">
        <v>56</v>
      </c>
      <c r="E823" t="s">
        <v>438</v>
      </c>
      <c r="F823" t="s">
        <v>26</v>
      </c>
      <c r="G823" s="202">
        <v>73.769000000000005</v>
      </c>
      <c r="H823">
        <v>4</v>
      </c>
      <c r="I823" t="s">
        <v>4017</v>
      </c>
      <c r="J823" t="s">
        <v>4809</v>
      </c>
      <c r="K823" t="s">
        <v>1283</v>
      </c>
      <c r="L823" s="204">
        <v>0.05</v>
      </c>
      <c r="M823" s="112">
        <v>20.325000000000003</v>
      </c>
      <c r="N823" s="112">
        <v>1.0162500000000001</v>
      </c>
      <c r="O823" s="204"/>
      <c r="P823" s="112"/>
      <c r="Q823" s="112"/>
      <c r="R823" s="112"/>
      <c r="S823" s="112"/>
      <c r="T823" s="112"/>
      <c r="U823" t="s">
        <v>5122</v>
      </c>
      <c r="V823" t="s">
        <v>5123</v>
      </c>
      <c r="W823" t="s">
        <v>3958</v>
      </c>
      <c r="X823" t="s">
        <v>4660</v>
      </c>
    </row>
    <row r="824" spans="1:24" x14ac:dyDescent="0.2">
      <c r="A824" t="s">
        <v>5121</v>
      </c>
      <c r="B824" t="s">
        <v>437</v>
      </c>
      <c r="C824" t="s">
        <v>1505</v>
      </c>
      <c r="D824" t="s">
        <v>56</v>
      </c>
      <c r="E824" t="s">
        <v>438</v>
      </c>
      <c r="F824" t="s">
        <v>26</v>
      </c>
      <c r="G824" s="202">
        <v>73.769000000000005</v>
      </c>
      <c r="H824">
        <v>5</v>
      </c>
      <c r="I824" t="s">
        <v>3968</v>
      </c>
      <c r="J824" t="s">
        <v>3969</v>
      </c>
      <c r="K824" t="s">
        <v>26</v>
      </c>
      <c r="L824" s="204">
        <v>1</v>
      </c>
      <c r="M824" s="112"/>
      <c r="N824" s="112">
        <v>20.325000000000003</v>
      </c>
      <c r="O824" s="204">
        <v>0.22213891417337339</v>
      </c>
      <c r="P824" s="112">
        <v>4.5149734305738143</v>
      </c>
      <c r="Q824" s="112">
        <v>24.839973430573817</v>
      </c>
      <c r="R824" s="112">
        <v>1832.42</v>
      </c>
      <c r="S824" s="112">
        <v>1832.42</v>
      </c>
      <c r="T824" s="112">
        <v>0</v>
      </c>
      <c r="U824" t="s">
        <v>5122</v>
      </c>
      <c r="V824" t="s">
        <v>5123</v>
      </c>
      <c r="W824" t="s">
        <v>4666</v>
      </c>
      <c r="X824" t="s">
        <v>4667</v>
      </c>
    </row>
    <row r="825" spans="1:24" x14ac:dyDescent="0.2">
      <c r="A825" t="s">
        <v>5124</v>
      </c>
      <c r="B825" t="s">
        <v>441</v>
      </c>
      <c r="C825" t="s">
        <v>1506</v>
      </c>
      <c r="D825" t="s">
        <v>56</v>
      </c>
      <c r="E825" t="s">
        <v>1507</v>
      </c>
      <c r="F825" t="s">
        <v>26</v>
      </c>
      <c r="G825" s="202">
        <v>29.904</v>
      </c>
      <c r="H825">
        <v>1</v>
      </c>
      <c r="I825" t="s">
        <v>3954</v>
      </c>
      <c r="J825" t="s">
        <v>5094</v>
      </c>
      <c r="K825" t="s">
        <v>1283</v>
      </c>
      <c r="L825" s="204">
        <v>0.45</v>
      </c>
      <c r="M825" s="112">
        <v>5.0999999999999996</v>
      </c>
      <c r="N825" s="112">
        <v>2.2949999999999999</v>
      </c>
      <c r="O825" s="204"/>
      <c r="P825" s="112"/>
      <c r="Q825" s="112"/>
      <c r="R825" s="112"/>
      <c r="S825" s="112"/>
      <c r="T825" s="112"/>
      <c r="U825" t="s">
        <v>5125</v>
      </c>
      <c r="V825" t="s">
        <v>5126</v>
      </c>
      <c r="W825" t="s">
        <v>3958</v>
      </c>
      <c r="X825" t="s">
        <v>4660</v>
      </c>
    </row>
    <row r="826" spans="1:24" x14ac:dyDescent="0.2">
      <c r="A826" t="s">
        <v>5124</v>
      </c>
      <c r="B826" t="s">
        <v>441</v>
      </c>
      <c r="C826" t="s">
        <v>1506</v>
      </c>
      <c r="D826" t="s">
        <v>56</v>
      </c>
      <c r="E826" t="s">
        <v>1507</v>
      </c>
      <c r="F826" t="s">
        <v>26</v>
      </c>
      <c r="G826" s="202">
        <v>29.904</v>
      </c>
      <c r="H826">
        <v>2</v>
      </c>
      <c r="I826" t="s">
        <v>3960</v>
      </c>
      <c r="J826" t="s">
        <v>5097</v>
      </c>
      <c r="K826" t="s">
        <v>1283</v>
      </c>
      <c r="L826" s="204">
        <v>0.45</v>
      </c>
      <c r="M826" s="112">
        <v>5.0999999999999996</v>
      </c>
      <c r="N826" s="112">
        <v>2.2949999999999999</v>
      </c>
      <c r="O826" s="204"/>
      <c r="P826" s="112"/>
      <c r="Q826" s="112"/>
      <c r="R826" s="112"/>
      <c r="S826" s="112"/>
      <c r="T826" s="112"/>
      <c r="U826" t="s">
        <v>5125</v>
      </c>
      <c r="V826" t="s">
        <v>5126</v>
      </c>
      <c r="W826" t="s">
        <v>3958</v>
      </c>
      <c r="X826" t="s">
        <v>4660</v>
      </c>
    </row>
    <row r="827" spans="1:24" x14ac:dyDescent="0.2">
      <c r="A827" t="s">
        <v>5124</v>
      </c>
      <c r="B827" t="s">
        <v>441</v>
      </c>
      <c r="C827" t="s">
        <v>1506</v>
      </c>
      <c r="D827" t="s">
        <v>56</v>
      </c>
      <c r="E827" t="s">
        <v>1507</v>
      </c>
      <c r="F827" t="s">
        <v>26</v>
      </c>
      <c r="G827" s="202">
        <v>29.904</v>
      </c>
      <c r="H827">
        <v>3</v>
      </c>
      <c r="I827" t="s">
        <v>3976</v>
      </c>
      <c r="J827" t="s">
        <v>5098</v>
      </c>
      <c r="K827" t="s">
        <v>1283</v>
      </c>
      <c r="L827" s="204">
        <v>0.05</v>
      </c>
      <c r="M827" s="112">
        <v>5.0999999999999996</v>
      </c>
      <c r="N827" s="112">
        <v>0.255</v>
      </c>
      <c r="O827" s="204"/>
      <c r="P827" s="112"/>
      <c r="Q827" s="112"/>
      <c r="R827" s="112"/>
      <c r="S827" s="112"/>
      <c r="T827" s="112"/>
      <c r="U827" t="s">
        <v>5125</v>
      </c>
      <c r="V827" t="s">
        <v>5126</v>
      </c>
      <c r="W827" t="s">
        <v>3958</v>
      </c>
      <c r="X827" t="s">
        <v>4660</v>
      </c>
    </row>
    <row r="828" spans="1:24" x14ac:dyDescent="0.2">
      <c r="A828" t="s">
        <v>5124</v>
      </c>
      <c r="B828" t="s">
        <v>441</v>
      </c>
      <c r="C828" t="s">
        <v>1506</v>
      </c>
      <c r="D828" t="s">
        <v>56</v>
      </c>
      <c r="E828" t="s">
        <v>1507</v>
      </c>
      <c r="F828" t="s">
        <v>26</v>
      </c>
      <c r="G828" s="202">
        <v>29.904</v>
      </c>
      <c r="H828">
        <v>4</v>
      </c>
      <c r="I828" t="s">
        <v>4017</v>
      </c>
      <c r="J828" t="s">
        <v>4851</v>
      </c>
      <c r="K828" t="s">
        <v>1283</v>
      </c>
      <c r="L828" s="204">
        <v>0.05</v>
      </c>
      <c r="M828" s="112">
        <v>5.0999999999999996</v>
      </c>
      <c r="N828" s="112">
        <v>0.255</v>
      </c>
      <c r="O828" s="204"/>
      <c r="P828" s="112"/>
      <c r="Q828" s="112"/>
      <c r="R828" s="112"/>
      <c r="S828" s="112"/>
      <c r="T828" s="112"/>
      <c r="U828" t="s">
        <v>5125</v>
      </c>
      <c r="V828" t="s">
        <v>5126</v>
      </c>
      <c r="W828" t="s">
        <v>3958</v>
      </c>
      <c r="X828" t="s">
        <v>4660</v>
      </c>
    </row>
    <row r="829" spans="1:24" x14ac:dyDescent="0.2">
      <c r="A829" t="s">
        <v>5124</v>
      </c>
      <c r="B829" t="s">
        <v>441</v>
      </c>
      <c r="C829" t="s">
        <v>1506</v>
      </c>
      <c r="D829" t="s">
        <v>56</v>
      </c>
      <c r="E829" t="s">
        <v>1507</v>
      </c>
      <c r="F829" t="s">
        <v>26</v>
      </c>
      <c r="G829" s="202">
        <v>29.904</v>
      </c>
      <c r="H829">
        <v>5</v>
      </c>
      <c r="I829" t="s">
        <v>3968</v>
      </c>
      <c r="J829" t="s">
        <v>3969</v>
      </c>
      <c r="K829" t="s">
        <v>26</v>
      </c>
      <c r="L829" s="204">
        <v>1</v>
      </c>
      <c r="M829" s="112"/>
      <c r="N829" s="112">
        <v>5.0999999999999996</v>
      </c>
      <c r="O829" s="204">
        <v>0.22201502323775957</v>
      </c>
      <c r="P829" s="112">
        <v>1.1322766185125737</v>
      </c>
      <c r="Q829" s="112">
        <v>6.2322766185125733</v>
      </c>
      <c r="R829" s="112">
        <v>186.37</v>
      </c>
      <c r="S829" s="112">
        <v>186.37</v>
      </c>
      <c r="T829" s="112">
        <v>0</v>
      </c>
      <c r="U829" t="s">
        <v>5125</v>
      </c>
      <c r="V829" t="s">
        <v>5126</v>
      </c>
      <c r="W829" t="s">
        <v>4666</v>
      </c>
      <c r="X829" t="s">
        <v>4667</v>
      </c>
    </row>
    <row r="830" spans="1:24" x14ac:dyDescent="0.2">
      <c r="A830" t="s">
        <v>5127</v>
      </c>
      <c r="B830" t="s">
        <v>443</v>
      </c>
      <c r="C830" t="s">
        <v>1508</v>
      </c>
      <c r="D830" t="s">
        <v>56</v>
      </c>
      <c r="E830" t="s">
        <v>1509</v>
      </c>
      <c r="F830" t="s">
        <v>26</v>
      </c>
      <c r="G830" s="202">
        <v>29.904</v>
      </c>
      <c r="H830">
        <v>1</v>
      </c>
      <c r="I830" t="s">
        <v>3954</v>
      </c>
      <c r="J830" t="s">
        <v>5094</v>
      </c>
      <c r="K830" t="s">
        <v>1283</v>
      </c>
      <c r="L830" s="204">
        <v>0.45</v>
      </c>
      <c r="M830" s="112">
        <v>33.06</v>
      </c>
      <c r="N830" s="112">
        <v>14.877000000000001</v>
      </c>
      <c r="O830" s="204"/>
      <c r="P830" s="112"/>
      <c r="Q830" s="112"/>
      <c r="R830" s="112"/>
      <c r="S830" s="112"/>
      <c r="T830" s="112"/>
      <c r="U830" t="s">
        <v>5128</v>
      </c>
      <c r="V830" t="s">
        <v>5129</v>
      </c>
      <c r="W830" t="s">
        <v>3958</v>
      </c>
      <c r="X830" t="s">
        <v>4660</v>
      </c>
    </row>
    <row r="831" spans="1:24" x14ac:dyDescent="0.2">
      <c r="A831" t="s">
        <v>5127</v>
      </c>
      <c r="B831" t="s">
        <v>443</v>
      </c>
      <c r="C831" t="s">
        <v>1508</v>
      </c>
      <c r="D831" t="s">
        <v>56</v>
      </c>
      <c r="E831" t="s">
        <v>1509</v>
      </c>
      <c r="F831" t="s">
        <v>26</v>
      </c>
      <c r="G831" s="202">
        <v>29.904</v>
      </c>
      <c r="H831">
        <v>2</v>
      </c>
      <c r="I831" t="s">
        <v>3960</v>
      </c>
      <c r="J831" t="s">
        <v>5097</v>
      </c>
      <c r="K831" t="s">
        <v>1283</v>
      </c>
      <c r="L831" s="204">
        <v>0.45</v>
      </c>
      <c r="M831" s="112">
        <v>33.06</v>
      </c>
      <c r="N831" s="112">
        <v>14.877000000000001</v>
      </c>
      <c r="O831" s="204"/>
      <c r="P831" s="112"/>
      <c r="Q831" s="112"/>
      <c r="R831" s="112"/>
      <c r="S831" s="112"/>
      <c r="T831" s="112"/>
      <c r="U831" t="s">
        <v>5128</v>
      </c>
      <c r="V831" t="s">
        <v>5129</v>
      </c>
      <c r="W831" t="s">
        <v>3958</v>
      </c>
      <c r="X831" t="s">
        <v>4660</v>
      </c>
    </row>
    <row r="832" spans="1:24" x14ac:dyDescent="0.2">
      <c r="A832" t="s">
        <v>5127</v>
      </c>
      <c r="B832" t="s">
        <v>443</v>
      </c>
      <c r="C832" t="s">
        <v>1508</v>
      </c>
      <c r="D832" t="s">
        <v>56</v>
      </c>
      <c r="E832" t="s">
        <v>1509</v>
      </c>
      <c r="F832" t="s">
        <v>26</v>
      </c>
      <c r="G832" s="202">
        <v>29.904</v>
      </c>
      <c r="H832">
        <v>3</v>
      </c>
      <c r="I832" t="s">
        <v>3976</v>
      </c>
      <c r="J832" t="s">
        <v>5098</v>
      </c>
      <c r="K832" t="s">
        <v>1283</v>
      </c>
      <c r="L832" s="204">
        <v>0.05</v>
      </c>
      <c r="M832" s="112">
        <v>33.06</v>
      </c>
      <c r="N832" s="112">
        <v>1.6530000000000002</v>
      </c>
      <c r="O832" s="204"/>
      <c r="P832" s="112"/>
      <c r="Q832" s="112"/>
      <c r="R832" s="112"/>
      <c r="S832" s="112"/>
      <c r="T832" s="112"/>
      <c r="U832" t="s">
        <v>5128</v>
      </c>
      <c r="V832" t="s">
        <v>5129</v>
      </c>
      <c r="W832" t="s">
        <v>3958</v>
      </c>
      <c r="X832" t="s">
        <v>4660</v>
      </c>
    </row>
    <row r="833" spans="1:24" x14ac:dyDescent="0.2">
      <c r="A833" t="s">
        <v>5127</v>
      </c>
      <c r="B833" t="s">
        <v>443</v>
      </c>
      <c r="C833" t="s">
        <v>1508</v>
      </c>
      <c r="D833" t="s">
        <v>56</v>
      </c>
      <c r="E833" t="s">
        <v>1509</v>
      </c>
      <c r="F833" t="s">
        <v>26</v>
      </c>
      <c r="G833" s="202">
        <v>29.904</v>
      </c>
      <c r="H833">
        <v>4</v>
      </c>
      <c r="I833" t="s">
        <v>4017</v>
      </c>
      <c r="J833" t="s">
        <v>4851</v>
      </c>
      <c r="K833" t="s">
        <v>1283</v>
      </c>
      <c r="L833" s="204">
        <v>0.05</v>
      </c>
      <c r="M833" s="112">
        <v>33.06</v>
      </c>
      <c r="N833" s="112">
        <v>1.6530000000000002</v>
      </c>
      <c r="O833" s="204"/>
      <c r="P833" s="112"/>
      <c r="Q833" s="112"/>
      <c r="R833" s="112"/>
      <c r="S833" s="112"/>
      <c r="T833" s="112"/>
      <c r="U833" t="s">
        <v>5128</v>
      </c>
      <c r="V833" t="s">
        <v>5129</v>
      </c>
      <c r="W833" t="s">
        <v>3958</v>
      </c>
      <c r="X833" t="s">
        <v>4660</v>
      </c>
    </row>
    <row r="834" spans="1:24" x14ac:dyDescent="0.2">
      <c r="A834" t="s">
        <v>5127</v>
      </c>
      <c r="B834" t="s">
        <v>443</v>
      </c>
      <c r="C834" t="s">
        <v>1508</v>
      </c>
      <c r="D834" t="s">
        <v>56</v>
      </c>
      <c r="E834" t="s">
        <v>1509</v>
      </c>
      <c r="F834" t="s">
        <v>26</v>
      </c>
      <c r="G834" s="202">
        <v>29.904</v>
      </c>
      <c r="H834">
        <v>5</v>
      </c>
      <c r="I834" t="s">
        <v>3968</v>
      </c>
      <c r="J834" t="s">
        <v>3969</v>
      </c>
      <c r="K834" t="s">
        <v>26</v>
      </c>
      <c r="L834" s="204">
        <v>1</v>
      </c>
      <c r="M834" s="112"/>
      <c r="N834" s="112">
        <v>33.06</v>
      </c>
      <c r="O834" s="204">
        <v>0.22208975557840738</v>
      </c>
      <c r="P834" s="112">
        <v>7.3422873194221481</v>
      </c>
      <c r="Q834" s="112">
        <v>40.40228731942215</v>
      </c>
      <c r="R834" s="112">
        <v>1208.19</v>
      </c>
      <c r="S834" s="112">
        <v>1208.19</v>
      </c>
      <c r="T834" s="112">
        <v>0</v>
      </c>
      <c r="U834" t="s">
        <v>5128</v>
      </c>
      <c r="V834" t="s">
        <v>5129</v>
      </c>
      <c r="W834" t="s">
        <v>4666</v>
      </c>
      <c r="X834" t="s">
        <v>4667</v>
      </c>
    </row>
    <row r="835" spans="1:24" x14ac:dyDescent="0.2">
      <c r="A835" t="s">
        <v>5130</v>
      </c>
      <c r="B835" t="s">
        <v>445</v>
      </c>
      <c r="C835" t="s">
        <v>1510</v>
      </c>
      <c r="D835" t="s">
        <v>56</v>
      </c>
      <c r="E835" t="s">
        <v>446</v>
      </c>
      <c r="F835" t="s">
        <v>26</v>
      </c>
      <c r="G835" s="202">
        <v>29.904</v>
      </c>
      <c r="H835">
        <v>1</v>
      </c>
      <c r="I835" t="s">
        <v>3954</v>
      </c>
      <c r="J835" t="s">
        <v>5094</v>
      </c>
      <c r="K835" t="s">
        <v>1283</v>
      </c>
      <c r="L835" s="204">
        <v>0.45</v>
      </c>
      <c r="M835" s="112">
        <v>14.895</v>
      </c>
      <c r="N835" s="112">
        <v>6.70275</v>
      </c>
      <c r="O835" s="204"/>
      <c r="P835" s="112"/>
      <c r="Q835" s="112"/>
      <c r="R835" s="112"/>
      <c r="S835" s="112"/>
      <c r="T835" s="112"/>
      <c r="U835" t="s">
        <v>5131</v>
      </c>
      <c r="V835" t="s">
        <v>5132</v>
      </c>
      <c r="W835" t="s">
        <v>3958</v>
      </c>
      <c r="X835" t="s">
        <v>4660</v>
      </c>
    </row>
    <row r="836" spans="1:24" x14ac:dyDescent="0.2">
      <c r="A836" t="s">
        <v>5130</v>
      </c>
      <c r="B836" t="s">
        <v>445</v>
      </c>
      <c r="C836" t="s">
        <v>1510</v>
      </c>
      <c r="D836" t="s">
        <v>56</v>
      </c>
      <c r="E836" t="s">
        <v>446</v>
      </c>
      <c r="F836" t="s">
        <v>26</v>
      </c>
      <c r="G836" s="202">
        <v>29.904</v>
      </c>
      <c r="H836">
        <v>2</v>
      </c>
      <c r="I836" t="s">
        <v>3960</v>
      </c>
      <c r="J836" t="s">
        <v>5097</v>
      </c>
      <c r="K836" t="s">
        <v>1283</v>
      </c>
      <c r="L836" s="204">
        <v>0.45</v>
      </c>
      <c r="M836" s="112">
        <v>14.895</v>
      </c>
      <c r="N836" s="112">
        <v>6.70275</v>
      </c>
      <c r="O836" s="204"/>
      <c r="P836" s="112"/>
      <c r="Q836" s="112"/>
      <c r="R836" s="112"/>
      <c r="S836" s="112"/>
      <c r="T836" s="112"/>
      <c r="U836" t="s">
        <v>5131</v>
      </c>
      <c r="V836" t="s">
        <v>5132</v>
      </c>
      <c r="W836" t="s">
        <v>3958</v>
      </c>
      <c r="X836" t="s">
        <v>4660</v>
      </c>
    </row>
    <row r="837" spans="1:24" x14ac:dyDescent="0.2">
      <c r="A837" t="s">
        <v>5130</v>
      </c>
      <c r="B837" t="s">
        <v>445</v>
      </c>
      <c r="C837" t="s">
        <v>1510</v>
      </c>
      <c r="D837" t="s">
        <v>56</v>
      </c>
      <c r="E837" t="s">
        <v>446</v>
      </c>
      <c r="F837" t="s">
        <v>26</v>
      </c>
      <c r="G837" s="202">
        <v>29.904</v>
      </c>
      <c r="H837">
        <v>3</v>
      </c>
      <c r="I837" t="s">
        <v>3976</v>
      </c>
      <c r="J837" t="s">
        <v>5098</v>
      </c>
      <c r="K837" t="s">
        <v>1283</v>
      </c>
      <c r="L837" s="204">
        <v>0.05</v>
      </c>
      <c r="M837" s="112">
        <v>14.895</v>
      </c>
      <c r="N837" s="112">
        <v>0.74475000000000002</v>
      </c>
      <c r="O837" s="204"/>
      <c r="P837" s="112"/>
      <c r="Q837" s="112"/>
      <c r="R837" s="112"/>
      <c r="S837" s="112"/>
      <c r="T837" s="112"/>
      <c r="U837" t="s">
        <v>5131</v>
      </c>
      <c r="V837" t="s">
        <v>5132</v>
      </c>
      <c r="W837" t="s">
        <v>3958</v>
      </c>
      <c r="X837" t="s">
        <v>4660</v>
      </c>
    </row>
    <row r="838" spans="1:24" x14ac:dyDescent="0.2">
      <c r="A838" t="s">
        <v>5130</v>
      </c>
      <c r="B838" t="s">
        <v>445</v>
      </c>
      <c r="C838" t="s">
        <v>1510</v>
      </c>
      <c r="D838" t="s">
        <v>56</v>
      </c>
      <c r="E838" t="s">
        <v>446</v>
      </c>
      <c r="F838" t="s">
        <v>26</v>
      </c>
      <c r="G838" s="202">
        <v>29.904</v>
      </c>
      <c r="H838">
        <v>4</v>
      </c>
      <c r="I838" t="s">
        <v>4017</v>
      </c>
      <c r="J838" t="s">
        <v>4851</v>
      </c>
      <c r="K838" t="s">
        <v>1283</v>
      </c>
      <c r="L838" s="204">
        <v>0.05</v>
      </c>
      <c r="M838" s="112">
        <v>14.895</v>
      </c>
      <c r="N838" s="112">
        <v>0.74475000000000002</v>
      </c>
      <c r="O838" s="204"/>
      <c r="P838" s="112"/>
      <c r="Q838" s="112"/>
      <c r="R838" s="112"/>
      <c r="S838" s="112"/>
      <c r="T838" s="112"/>
      <c r="U838" t="s">
        <v>5131</v>
      </c>
      <c r="V838" t="s">
        <v>5132</v>
      </c>
      <c r="W838" t="s">
        <v>3958</v>
      </c>
      <c r="X838" t="s">
        <v>4660</v>
      </c>
    </row>
    <row r="839" spans="1:24" x14ac:dyDescent="0.2">
      <c r="A839" t="s">
        <v>5130</v>
      </c>
      <c r="B839" t="s">
        <v>445</v>
      </c>
      <c r="C839" t="s">
        <v>1510</v>
      </c>
      <c r="D839" t="s">
        <v>56</v>
      </c>
      <c r="E839" t="s">
        <v>446</v>
      </c>
      <c r="F839" t="s">
        <v>26</v>
      </c>
      <c r="G839" s="202">
        <v>29.904</v>
      </c>
      <c r="H839">
        <v>5</v>
      </c>
      <c r="I839" t="s">
        <v>3968</v>
      </c>
      <c r="J839" t="s">
        <v>3969</v>
      </c>
      <c r="K839" t="s">
        <v>26</v>
      </c>
      <c r="L839" s="204">
        <v>1</v>
      </c>
      <c r="M839" s="112"/>
      <c r="N839" s="112">
        <v>14.895</v>
      </c>
      <c r="O839" s="204">
        <v>0.22203740792287618</v>
      </c>
      <c r="P839" s="112">
        <v>3.3072471910112391</v>
      </c>
      <c r="Q839" s="112">
        <v>18.202247191011239</v>
      </c>
      <c r="R839" s="112">
        <v>544.32000000000005</v>
      </c>
      <c r="S839" s="112">
        <v>544.32000000000005</v>
      </c>
      <c r="T839" s="112">
        <v>0</v>
      </c>
      <c r="U839" t="s">
        <v>5131</v>
      </c>
      <c r="V839" t="s">
        <v>5132</v>
      </c>
      <c r="W839" t="s">
        <v>4666</v>
      </c>
      <c r="X839" t="s">
        <v>4667</v>
      </c>
    </row>
    <row r="840" spans="1:24" x14ac:dyDescent="0.2">
      <c r="A840" t="s">
        <v>5133</v>
      </c>
      <c r="B840" t="s">
        <v>450</v>
      </c>
      <c r="C840" t="s">
        <v>1511</v>
      </c>
      <c r="D840" t="s">
        <v>56</v>
      </c>
      <c r="E840" t="s">
        <v>451</v>
      </c>
      <c r="F840" t="s">
        <v>84</v>
      </c>
      <c r="G840" s="202">
        <v>26</v>
      </c>
      <c r="H840">
        <v>1</v>
      </c>
      <c r="I840" t="s">
        <v>3954</v>
      </c>
      <c r="J840" t="s">
        <v>5112</v>
      </c>
      <c r="K840" t="s">
        <v>1283</v>
      </c>
      <c r="L840" s="204">
        <v>0.22</v>
      </c>
      <c r="M840" s="112">
        <v>740.51250000000005</v>
      </c>
      <c r="N840" s="112">
        <v>162.91275000000002</v>
      </c>
      <c r="O840" s="204"/>
      <c r="P840" s="112"/>
      <c r="Q840" s="112"/>
      <c r="R840" s="112"/>
      <c r="S840" s="112"/>
      <c r="T840" s="112"/>
      <c r="U840" t="s">
        <v>4348</v>
      </c>
      <c r="V840" t="s">
        <v>5134</v>
      </c>
      <c r="W840" t="s">
        <v>3958</v>
      </c>
      <c r="X840" t="s">
        <v>4660</v>
      </c>
    </row>
    <row r="841" spans="1:24" x14ac:dyDescent="0.2">
      <c r="A841" t="s">
        <v>5133</v>
      </c>
      <c r="B841" t="s">
        <v>450</v>
      </c>
      <c r="C841" t="s">
        <v>1511</v>
      </c>
      <c r="D841" t="s">
        <v>56</v>
      </c>
      <c r="E841" t="s">
        <v>451</v>
      </c>
      <c r="F841" t="s">
        <v>84</v>
      </c>
      <c r="G841" s="202">
        <v>26</v>
      </c>
      <c r="H841">
        <v>2</v>
      </c>
      <c r="I841" t="s">
        <v>3960</v>
      </c>
      <c r="J841" t="s">
        <v>5115</v>
      </c>
      <c r="K841" t="s">
        <v>1283</v>
      </c>
      <c r="L841" s="204">
        <v>0.68</v>
      </c>
      <c r="M841" s="112">
        <v>740.51250000000005</v>
      </c>
      <c r="N841" s="112">
        <v>503.54850000000005</v>
      </c>
      <c r="O841" s="204"/>
      <c r="P841" s="112"/>
      <c r="Q841" s="112"/>
      <c r="R841" s="112"/>
      <c r="S841" s="112"/>
      <c r="T841" s="112"/>
      <c r="U841" t="s">
        <v>4348</v>
      </c>
      <c r="V841" t="s">
        <v>5134</v>
      </c>
      <c r="W841" t="s">
        <v>3958</v>
      </c>
      <c r="X841" t="s">
        <v>4660</v>
      </c>
    </row>
    <row r="842" spans="1:24" x14ac:dyDescent="0.2">
      <c r="A842" t="s">
        <v>5133</v>
      </c>
      <c r="B842" t="s">
        <v>450</v>
      </c>
      <c r="C842" t="s">
        <v>1511</v>
      </c>
      <c r="D842" t="s">
        <v>56</v>
      </c>
      <c r="E842" t="s">
        <v>451</v>
      </c>
      <c r="F842" t="s">
        <v>84</v>
      </c>
      <c r="G842" s="202">
        <v>26</v>
      </c>
      <c r="H842">
        <v>3</v>
      </c>
      <c r="I842" t="s">
        <v>3976</v>
      </c>
      <c r="J842" t="s">
        <v>5116</v>
      </c>
      <c r="K842" t="s">
        <v>1283</v>
      </c>
      <c r="L842" s="204">
        <v>0.05</v>
      </c>
      <c r="M842" s="112">
        <v>740.51250000000005</v>
      </c>
      <c r="N842" s="112">
        <v>37.025625000000005</v>
      </c>
      <c r="O842" s="204"/>
      <c r="P842" s="112"/>
      <c r="Q842" s="112"/>
      <c r="R842" s="112"/>
      <c r="S842" s="112"/>
      <c r="T842" s="112"/>
      <c r="U842" t="s">
        <v>4348</v>
      </c>
      <c r="V842" t="s">
        <v>5134</v>
      </c>
      <c r="W842" t="s">
        <v>3958</v>
      </c>
      <c r="X842" t="s">
        <v>4660</v>
      </c>
    </row>
    <row r="843" spans="1:24" x14ac:dyDescent="0.2">
      <c r="A843" t="s">
        <v>5133</v>
      </c>
      <c r="B843" t="s">
        <v>450</v>
      </c>
      <c r="C843" t="s">
        <v>1511</v>
      </c>
      <c r="D843" t="s">
        <v>56</v>
      </c>
      <c r="E843" t="s">
        <v>451</v>
      </c>
      <c r="F843" t="s">
        <v>84</v>
      </c>
      <c r="G843" s="202">
        <v>26</v>
      </c>
      <c r="H843">
        <v>4</v>
      </c>
      <c r="I843" t="s">
        <v>4017</v>
      </c>
      <c r="J843" t="s">
        <v>5117</v>
      </c>
      <c r="K843" t="s">
        <v>1283</v>
      </c>
      <c r="L843" s="204">
        <v>0.05</v>
      </c>
      <c r="M843" s="112">
        <v>740.51250000000005</v>
      </c>
      <c r="N843" s="112">
        <v>37.025625000000005</v>
      </c>
      <c r="O843" s="204"/>
      <c r="P843" s="112"/>
      <c r="Q843" s="112"/>
      <c r="R843" s="112"/>
      <c r="S843" s="112"/>
      <c r="T843" s="112"/>
      <c r="U843" t="s">
        <v>4348</v>
      </c>
      <c r="V843" t="s">
        <v>5134</v>
      </c>
      <c r="W843" t="s">
        <v>3958</v>
      </c>
      <c r="X843" t="s">
        <v>4660</v>
      </c>
    </row>
    <row r="844" spans="1:24" x14ac:dyDescent="0.2">
      <c r="A844" t="s">
        <v>5133</v>
      </c>
      <c r="B844" t="s">
        <v>450</v>
      </c>
      <c r="C844" t="s">
        <v>1511</v>
      </c>
      <c r="D844" t="s">
        <v>56</v>
      </c>
      <c r="E844" t="s">
        <v>451</v>
      </c>
      <c r="F844" t="s">
        <v>84</v>
      </c>
      <c r="G844" s="202">
        <v>26</v>
      </c>
      <c r="H844">
        <v>5</v>
      </c>
      <c r="I844" t="s">
        <v>3968</v>
      </c>
      <c r="J844" t="s">
        <v>3969</v>
      </c>
      <c r="K844" t="s">
        <v>84</v>
      </c>
      <c r="L844" s="204">
        <v>1</v>
      </c>
      <c r="M844" s="112"/>
      <c r="N844" s="112">
        <v>740.51250000000005</v>
      </c>
      <c r="O844" s="204">
        <v>0.22229173402516178</v>
      </c>
      <c r="P844" s="112">
        <v>164.60980769230764</v>
      </c>
      <c r="Q844" s="112">
        <v>905.12230769230769</v>
      </c>
      <c r="R844" s="112">
        <v>23533.18</v>
      </c>
      <c r="S844" s="112">
        <v>23533.18</v>
      </c>
      <c r="T844" s="112">
        <v>0</v>
      </c>
      <c r="U844" t="s">
        <v>4348</v>
      </c>
      <c r="V844" t="s">
        <v>5134</v>
      </c>
      <c r="W844" t="s">
        <v>4666</v>
      </c>
      <c r="X844" t="s">
        <v>4667</v>
      </c>
    </row>
    <row r="845" spans="1:24" x14ac:dyDescent="0.2">
      <c r="A845" t="s">
        <v>5135</v>
      </c>
      <c r="B845" t="s">
        <v>452</v>
      </c>
      <c r="C845" t="s">
        <v>1512</v>
      </c>
      <c r="D845" t="s">
        <v>56</v>
      </c>
      <c r="E845" t="s">
        <v>453</v>
      </c>
      <c r="F845" t="s">
        <v>84</v>
      </c>
      <c r="G845" s="202">
        <v>2</v>
      </c>
      <c r="H845">
        <v>1</v>
      </c>
      <c r="I845" t="s">
        <v>3954</v>
      </c>
      <c r="J845" t="s">
        <v>5112</v>
      </c>
      <c r="K845" t="s">
        <v>1283</v>
      </c>
      <c r="L845" s="204">
        <v>0.22</v>
      </c>
      <c r="M845" s="112">
        <v>913.29</v>
      </c>
      <c r="N845" s="112">
        <v>200.9238</v>
      </c>
      <c r="O845" s="204"/>
      <c r="P845" s="112"/>
      <c r="Q845" s="112"/>
      <c r="R845" s="112"/>
      <c r="S845" s="112"/>
      <c r="T845" s="112"/>
      <c r="U845" t="s">
        <v>5136</v>
      </c>
      <c r="V845" t="s">
        <v>5137</v>
      </c>
      <c r="W845" t="s">
        <v>3958</v>
      </c>
      <c r="X845" t="s">
        <v>4660</v>
      </c>
    </row>
    <row r="846" spans="1:24" x14ac:dyDescent="0.2">
      <c r="A846" t="s">
        <v>5135</v>
      </c>
      <c r="B846" t="s">
        <v>452</v>
      </c>
      <c r="C846" t="s">
        <v>1512</v>
      </c>
      <c r="D846" t="s">
        <v>56</v>
      </c>
      <c r="E846" t="s">
        <v>453</v>
      </c>
      <c r="F846" t="s">
        <v>84</v>
      </c>
      <c r="G846" s="202">
        <v>2</v>
      </c>
      <c r="H846">
        <v>2</v>
      </c>
      <c r="I846" t="s">
        <v>3960</v>
      </c>
      <c r="J846" t="s">
        <v>5115</v>
      </c>
      <c r="K846" t="s">
        <v>1283</v>
      </c>
      <c r="L846" s="204">
        <v>0.68</v>
      </c>
      <c r="M846" s="112">
        <v>913.29</v>
      </c>
      <c r="N846" s="112">
        <v>621.03719999999998</v>
      </c>
      <c r="O846" s="204"/>
      <c r="P846" s="112"/>
      <c r="Q846" s="112"/>
      <c r="R846" s="112"/>
      <c r="S846" s="112"/>
      <c r="T846" s="112"/>
      <c r="U846" t="s">
        <v>5136</v>
      </c>
      <c r="V846" t="s">
        <v>5137</v>
      </c>
      <c r="W846" t="s">
        <v>3958</v>
      </c>
      <c r="X846" t="s">
        <v>4660</v>
      </c>
    </row>
    <row r="847" spans="1:24" x14ac:dyDescent="0.2">
      <c r="A847" t="s">
        <v>5135</v>
      </c>
      <c r="B847" t="s">
        <v>452</v>
      </c>
      <c r="C847" t="s">
        <v>1512</v>
      </c>
      <c r="D847" t="s">
        <v>56</v>
      </c>
      <c r="E847" t="s">
        <v>453</v>
      </c>
      <c r="F847" t="s">
        <v>84</v>
      </c>
      <c r="G847" s="202">
        <v>2</v>
      </c>
      <c r="H847">
        <v>3</v>
      </c>
      <c r="I847" t="s">
        <v>3976</v>
      </c>
      <c r="J847" t="s">
        <v>5116</v>
      </c>
      <c r="K847" t="s">
        <v>1283</v>
      </c>
      <c r="L847" s="204">
        <v>0.05</v>
      </c>
      <c r="M847" s="112">
        <v>913.29</v>
      </c>
      <c r="N847" s="112">
        <v>45.664500000000004</v>
      </c>
      <c r="O847" s="204"/>
      <c r="P847" s="112"/>
      <c r="Q847" s="112"/>
      <c r="R847" s="112"/>
      <c r="S847" s="112"/>
      <c r="T847" s="112"/>
      <c r="U847" t="s">
        <v>5136</v>
      </c>
      <c r="V847" t="s">
        <v>5137</v>
      </c>
      <c r="W847" t="s">
        <v>3958</v>
      </c>
      <c r="X847" t="s">
        <v>4660</v>
      </c>
    </row>
    <row r="848" spans="1:24" x14ac:dyDescent="0.2">
      <c r="A848" t="s">
        <v>5135</v>
      </c>
      <c r="B848" t="s">
        <v>452</v>
      </c>
      <c r="C848" t="s">
        <v>1512</v>
      </c>
      <c r="D848" t="s">
        <v>56</v>
      </c>
      <c r="E848" t="s">
        <v>453</v>
      </c>
      <c r="F848" t="s">
        <v>84</v>
      </c>
      <c r="G848" s="202">
        <v>2</v>
      </c>
      <c r="H848">
        <v>4</v>
      </c>
      <c r="I848" t="s">
        <v>4017</v>
      </c>
      <c r="J848" t="s">
        <v>5117</v>
      </c>
      <c r="K848" t="s">
        <v>1283</v>
      </c>
      <c r="L848" s="204">
        <v>0.05</v>
      </c>
      <c r="M848" s="112">
        <v>913.29</v>
      </c>
      <c r="N848" s="112">
        <v>45.664500000000004</v>
      </c>
      <c r="O848" s="204"/>
      <c r="P848" s="112"/>
      <c r="Q848" s="112"/>
      <c r="R848" s="112"/>
      <c r="S848" s="112"/>
      <c r="T848" s="112"/>
      <c r="U848" t="s">
        <v>5136</v>
      </c>
      <c r="V848" t="s">
        <v>5137</v>
      </c>
      <c r="W848" t="s">
        <v>3958</v>
      </c>
      <c r="X848" t="s">
        <v>4660</v>
      </c>
    </row>
    <row r="849" spans="1:24" x14ac:dyDescent="0.2">
      <c r="A849" t="s">
        <v>5135</v>
      </c>
      <c r="B849" t="s">
        <v>452</v>
      </c>
      <c r="C849" t="s">
        <v>1512</v>
      </c>
      <c r="D849" t="s">
        <v>56</v>
      </c>
      <c r="E849" t="s">
        <v>453</v>
      </c>
      <c r="F849" t="s">
        <v>84</v>
      </c>
      <c r="G849" s="202">
        <v>2</v>
      </c>
      <c r="H849">
        <v>5</v>
      </c>
      <c r="I849" t="s">
        <v>3968</v>
      </c>
      <c r="J849" t="s">
        <v>3969</v>
      </c>
      <c r="K849" t="s">
        <v>84</v>
      </c>
      <c r="L849" s="204">
        <v>1</v>
      </c>
      <c r="M849" s="112"/>
      <c r="N849" s="112">
        <v>913.29</v>
      </c>
      <c r="O849" s="204">
        <v>0.22228974367397014</v>
      </c>
      <c r="P849" s="112">
        <v>203.0150000000001</v>
      </c>
      <c r="Q849" s="112">
        <v>1116.3050000000001</v>
      </c>
      <c r="R849" s="112">
        <v>2232.61</v>
      </c>
      <c r="S849" s="112">
        <v>2232.61</v>
      </c>
      <c r="T849" s="112">
        <v>0</v>
      </c>
      <c r="U849" t="s">
        <v>5136</v>
      </c>
      <c r="V849" t="s">
        <v>5137</v>
      </c>
      <c r="W849" t="s">
        <v>4666</v>
      </c>
      <c r="X849" t="s">
        <v>4667</v>
      </c>
    </row>
    <row r="850" spans="1:24" x14ac:dyDescent="0.2">
      <c r="A850" t="s">
        <v>5138</v>
      </c>
      <c r="B850" t="s">
        <v>454</v>
      </c>
      <c r="C850" t="s">
        <v>1513</v>
      </c>
      <c r="D850" t="s">
        <v>335</v>
      </c>
      <c r="E850" t="s">
        <v>455</v>
      </c>
      <c r="F850" t="s">
        <v>84</v>
      </c>
      <c r="G850" s="202">
        <v>11</v>
      </c>
      <c r="H850">
        <v>1</v>
      </c>
      <c r="I850" t="s">
        <v>3954</v>
      </c>
      <c r="J850" t="s">
        <v>5112</v>
      </c>
      <c r="K850" t="s">
        <v>1283</v>
      </c>
      <c r="L850" s="204">
        <v>0.22</v>
      </c>
      <c r="M850" s="112">
        <v>2082.5025000000001</v>
      </c>
      <c r="N850" s="112">
        <v>458.15055000000001</v>
      </c>
      <c r="O850" s="204"/>
      <c r="P850" s="112"/>
      <c r="Q850" s="112"/>
      <c r="R850" s="112"/>
      <c r="S850" s="112"/>
      <c r="T850" s="112"/>
      <c r="U850" t="s">
        <v>5139</v>
      </c>
      <c r="V850" t="s">
        <v>5140</v>
      </c>
      <c r="W850" t="s">
        <v>3958</v>
      </c>
      <c r="X850" t="s">
        <v>4660</v>
      </c>
    </row>
    <row r="851" spans="1:24" x14ac:dyDescent="0.2">
      <c r="A851" t="s">
        <v>5138</v>
      </c>
      <c r="B851" t="s">
        <v>454</v>
      </c>
      <c r="C851" t="s">
        <v>1513</v>
      </c>
      <c r="D851" t="s">
        <v>335</v>
      </c>
      <c r="E851" t="s">
        <v>455</v>
      </c>
      <c r="F851" t="s">
        <v>84</v>
      </c>
      <c r="G851" s="202">
        <v>11</v>
      </c>
      <c r="H851">
        <v>2</v>
      </c>
      <c r="I851" t="s">
        <v>3960</v>
      </c>
      <c r="J851" t="s">
        <v>5115</v>
      </c>
      <c r="K851" t="s">
        <v>1283</v>
      </c>
      <c r="L851" s="204">
        <v>0.68</v>
      </c>
      <c r="M851" s="112">
        <v>2082.5025000000001</v>
      </c>
      <c r="N851" s="112">
        <v>1416.1017000000002</v>
      </c>
      <c r="O851" s="204"/>
      <c r="P851" s="112"/>
      <c r="Q851" s="112"/>
      <c r="R851" s="112"/>
      <c r="S851" s="112"/>
      <c r="T851" s="112"/>
      <c r="U851" t="s">
        <v>5139</v>
      </c>
      <c r="V851" t="s">
        <v>5140</v>
      </c>
      <c r="W851" t="s">
        <v>3958</v>
      </c>
      <c r="X851" t="s">
        <v>4660</v>
      </c>
    </row>
    <row r="852" spans="1:24" x14ac:dyDescent="0.2">
      <c r="A852" t="s">
        <v>5138</v>
      </c>
      <c r="B852" t="s">
        <v>454</v>
      </c>
      <c r="C852" t="s">
        <v>1513</v>
      </c>
      <c r="D852" t="s">
        <v>335</v>
      </c>
      <c r="E852" t="s">
        <v>455</v>
      </c>
      <c r="F852" t="s">
        <v>84</v>
      </c>
      <c r="G852" s="202">
        <v>11</v>
      </c>
      <c r="H852">
        <v>3</v>
      </c>
      <c r="I852" t="s">
        <v>3976</v>
      </c>
      <c r="J852" t="s">
        <v>5116</v>
      </c>
      <c r="K852" t="s">
        <v>1283</v>
      </c>
      <c r="L852" s="204">
        <v>0.05</v>
      </c>
      <c r="M852" s="112">
        <v>2082.5025000000001</v>
      </c>
      <c r="N852" s="112">
        <v>104.12512500000001</v>
      </c>
      <c r="O852" s="204"/>
      <c r="P852" s="112"/>
      <c r="Q852" s="112"/>
      <c r="R852" s="112"/>
      <c r="S852" s="112"/>
      <c r="T852" s="112"/>
      <c r="U852" t="s">
        <v>5139</v>
      </c>
      <c r="V852" t="s">
        <v>5140</v>
      </c>
      <c r="W852" t="s">
        <v>3958</v>
      </c>
      <c r="X852" t="s">
        <v>4660</v>
      </c>
    </row>
    <row r="853" spans="1:24" x14ac:dyDescent="0.2">
      <c r="A853" t="s">
        <v>5138</v>
      </c>
      <c r="B853" t="s">
        <v>454</v>
      </c>
      <c r="C853" t="s">
        <v>1513</v>
      </c>
      <c r="D853" t="s">
        <v>335</v>
      </c>
      <c r="E853" t="s">
        <v>455</v>
      </c>
      <c r="F853" t="s">
        <v>84</v>
      </c>
      <c r="G853" s="202">
        <v>11</v>
      </c>
      <c r="H853">
        <v>4</v>
      </c>
      <c r="I853" t="s">
        <v>4017</v>
      </c>
      <c r="J853" t="s">
        <v>5117</v>
      </c>
      <c r="K853" t="s">
        <v>1283</v>
      </c>
      <c r="L853" s="204">
        <v>0.05</v>
      </c>
      <c r="M853" s="112">
        <v>2082.5025000000001</v>
      </c>
      <c r="N853" s="112">
        <v>104.12512500000001</v>
      </c>
      <c r="O853" s="204"/>
      <c r="P853" s="112"/>
      <c r="Q853" s="112"/>
      <c r="R853" s="112"/>
      <c r="S853" s="112"/>
      <c r="T853" s="112"/>
      <c r="U853" t="s">
        <v>5139</v>
      </c>
      <c r="V853" t="s">
        <v>5140</v>
      </c>
      <c r="W853" t="s">
        <v>3958</v>
      </c>
      <c r="X853" t="s">
        <v>4660</v>
      </c>
    </row>
    <row r="854" spans="1:24" x14ac:dyDescent="0.2">
      <c r="A854" t="s">
        <v>5138</v>
      </c>
      <c r="B854" t="s">
        <v>454</v>
      </c>
      <c r="C854" t="s">
        <v>1513</v>
      </c>
      <c r="D854" t="s">
        <v>335</v>
      </c>
      <c r="E854" t="s">
        <v>455</v>
      </c>
      <c r="F854" t="s">
        <v>84</v>
      </c>
      <c r="G854" s="202">
        <v>11</v>
      </c>
      <c r="H854">
        <v>5</v>
      </c>
      <c r="I854" t="s">
        <v>3968</v>
      </c>
      <c r="J854" t="s">
        <v>3969</v>
      </c>
      <c r="K854" t="s">
        <v>84</v>
      </c>
      <c r="L854" s="204">
        <v>1</v>
      </c>
      <c r="M854" s="112"/>
      <c r="N854" s="112">
        <v>2082.5025000000001</v>
      </c>
      <c r="O854" s="204">
        <v>0.22229865270269777</v>
      </c>
      <c r="P854" s="112">
        <v>462.9375</v>
      </c>
      <c r="Q854" s="112">
        <v>2545.44</v>
      </c>
      <c r="R854" s="112">
        <v>27999.84</v>
      </c>
      <c r="S854" s="112">
        <v>27999.84</v>
      </c>
      <c r="T854" s="112">
        <v>0</v>
      </c>
      <c r="U854" t="s">
        <v>5139</v>
      </c>
      <c r="V854" t="s">
        <v>5140</v>
      </c>
      <c r="W854" t="s">
        <v>4666</v>
      </c>
      <c r="X854" t="s">
        <v>4667</v>
      </c>
    </row>
    <row r="855" spans="1:24" x14ac:dyDescent="0.2">
      <c r="A855" t="s">
        <v>5141</v>
      </c>
      <c r="B855" t="s">
        <v>456</v>
      </c>
      <c r="C855" t="s">
        <v>457</v>
      </c>
      <c r="D855" t="s">
        <v>209</v>
      </c>
      <c r="E855" t="s">
        <v>458</v>
      </c>
      <c r="F855" t="s">
        <v>84</v>
      </c>
      <c r="G855" s="202">
        <v>11</v>
      </c>
      <c r="H855">
        <v>1</v>
      </c>
      <c r="I855" t="s">
        <v>3954</v>
      </c>
      <c r="J855" t="s">
        <v>4992</v>
      </c>
      <c r="K855" t="s">
        <v>1283</v>
      </c>
      <c r="L855" s="204">
        <v>0.27</v>
      </c>
      <c r="M855" s="112">
        <v>2009.73</v>
      </c>
      <c r="N855" s="112">
        <v>542.62710000000004</v>
      </c>
      <c r="O855" s="204"/>
      <c r="P855" s="112"/>
      <c r="Q855" s="112"/>
      <c r="R855" s="112"/>
      <c r="S855" s="112"/>
      <c r="T855" s="112"/>
      <c r="U855" t="s">
        <v>4332</v>
      </c>
      <c r="V855" t="s">
        <v>5142</v>
      </c>
      <c r="W855" t="s">
        <v>3958</v>
      </c>
      <c r="X855" t="s">
        <v>4660</v>
      </c>
    </row>
    <row r="856" spans="1:24" x14ac:dyDescent="0.2">
      <c r="A856" t="s">
        <v>5141</v>
      </c>
      <c r="B856" t="s">
        <v>456</v>
      </c>
      <c r="C856" t="s">
        <v>457</v>
      </c>
      <c r="D856" t="s">
        <v>209</v>
      </c>
      <c r="E856" t="s">
        <v>458</v>
      </c>
      <c r="F856" t="s">
        <v>84</v>
      </c>
      <c r="G856" s="202">
        <v>11</v>
      </c>
      <c r="H856">
        <v>2</v>
      </c>
      <c r="I856" t="s">
        <v>3960</v>
      </c>
      <c r="J856" t="s">
        <v>4994</v>
      </c>
      <c r="K856" t="s">
        <v>1283</v>
      </c>
      <c r="L856" s="204">
        <v>0.63</v>
      </c>
      <c r="M856" s="112">
        <v>2009.73</v>
      </c>
      <c r="N856" s="112">
        <v>1266.1298999999999</v>
      </c>
      <c r="O856" s="204"/>
      <c r="P856" s="112"/>
      <c r="Q856" s="112"/>
      <c r="R856" s="112"/>
      <c r="S856" s="112"/>
      <c r="T856" s="112"/>
      <c r="U856" t="s">
        <v>4332</v>
      </c>
      <c r="V856" t="s">
        <v>5142</v>
      </c>
      <c r="W856" t="s">
        <v>3958</v>
      </c>
      <c r="X856" t="s">
        <v>4660</v>
      </c>
    </row>
    <row r="857" spans="1:24" x14ac:dyDescent="0.2">
      <c r="A857" t="s">
        <v>5141</v>
      </c>
      <c r="B857" t="s">
        <v>456</v>
      </c>
      <c r="C857" t="s">
        <v>457</v>
      </c>
      <c r="D857" t="s">
        <v>209</v>
      </c>
      <c r="E857" t="s">
        <v>458</v>
      </c>
      <c r="F857" t="s">
        <v>84</v>
      </c>
      <c r="G857" s="202">
        <v>11</v>
      </c>
      <c r="H857">
        <v>3</v>
      </c>
      <c r="I857" t="s">
        <v>3976</v>
      </c>
      <c r="J857" t="s">
        <v>4995</v>
      </c>
      <c r="K857" t="s">
        <v>1283</v>
      </c>
      <c r="L857" s="204">
        <v>0.05</v>
      </c>
      <c r="M857" s="112">
        <v>2009.73</v>
      </c>
      <c r="N857" s="112">
        <v>100.48650000000001</v>
      </c>
      <c r="O857" s="204"/>
      <c r="P857" s="112"/>
      <c r="Q857" s="112"/>
      <c r="R857" s="112"/>
      <c r="S857" s="112"/>
      <c r="T857" s="112"/>
      <c r="U857" t="s">
        <v>4332</v>
      </c>
      <c r="V857" t="s">
        <v>5142</v>
      </c>
      <c r="W857" t="s">
        <v>3958</v>
      </c>
      <c r="X857" t="s">
        <v>4660</v>
      </c>
    </row>
    <row r="858" spans="1:24" x14ac:dyDescent="0.2">
      <c r="A858" t="s">
        <v>5141</v>
      </c>
      <c r="B858" t="s">
        <v>456</v>
      </c>
      <c r="C858" t="s">
        <v>457</v>
      </c>
      <c r="D858" t="s">
        <v>209</v>
      </c>
      <c r="E858" t="s">
        <v>458</v>
      </c>
      <c r="F858" t="s">
        <v>84</v>
      </c>
      <c r="G858" s="202">
        <v>11</v>
      </c>
      <c r="H858">
        <v>4</v>
      </c>
      <c r="I858" t="s">
        <v>4017</v>
      </c>
      <c r="J858" t="s">
        <v>4809</v>
      </c>
      <c r="K858" t="s">
        <v>1283</v>
      </c>
      <c r="L858" s="204">
        <v>0.05</v>
      </c>
      <c r="M858" s="112">
        <v>2009.73</v>
      </c>
      <c r="N858" s="112">
        <v>100.48650000000001</v>
      </c>
      <c r="O858" s="204"/>
      <c r="P858" s="112"/>
      <c r="Q858" s="112"/>
      <c r="R858" s="112"/>
      <c r="S858" s="112"/>
      <c r="T858" s="112"/>
      <c r="U858" t="s">
        <v>4332</v>
      </c>
      <c r="V858" t="s">
        <v>5142</v>
      </c>
      <c r="W858" t="s">
        <v>3958</v>
      </c>
      <c r="X858" t="s">
        <v>4660</v>
      </c>
    </row>
    <row r="859" spans="1:24" x14ac:dyDescent="0.2">
      <c r="A859" t="s">
        <v>5141</v>
      </c>
      <c r="B859" t="s">
        <v>456</v>
      </c>
      <c r="C859" t="s">
        <v>457</v>
      </c>
      <c r="D859" t="s">
        <v>209</v>
      </c>
      <c r="E859" t="s">
        <v>458</v>
      </c>
      <c r="F859" t="s">
        <v>84</v>
      </c>
      <c r="G859" s="202">
        <v>11</v>
      </c>
      <c r="H859">
        <v>5</v>
      </c>
      <c r="I859" t="s">
        <v>3968</v>
      </c>
      <c r="J859" t="s">
        <v>3969</v>
      </c>
      <c r="K859" t="s">
        <v>84</v>
      </c>
      <c r="L859" s="204">
        <v>1</v>
      </c>
      <c r="M859" s="112"/>
      <c r="N859" s="112">
        <v>2009.73</v>
      </c>
      <c r="O859" s="204">
        <v>0.22229851771133413</v>
      </c>
      <c r="P859" s="112">
        <v>446.75999999999976</v>
      </c>
      <c r="Q859" s="112">
        <v>2456.4899999999998</v>
      </c>
      <c r="R859" s="112">
        <v>27021.39</v>
      </c>
      <c r="S859" s="112">
        <v>27021.39</v>
      </c>
      <c r="T859" s="112">
        <v>0</v>
      </c>
      <c r="U859" t="s">
        <v>4332</v>
      </c>
      <c r="V859" t="s">
        <v>5142</v>
      </c>
      <c r="W859" t="s">
        <v>4666</v>
      </c>
      <c r="X859" t="s">
        <v>4667</v>
      </c>
    </row>
    <row r="860" spans="1:24" x14ac:dyDescent="0.2">
      <c r="A860" t="s">
        <v>5143</v>
      </c>
      <c r="B860" t="s">
        <v>459</v>
      </c>
      <c r="C860" t="s">
        <v>1514</v>
      </c>
      <c r="D860" t="s">
        <v>56</v>
      </c>
      <c r="E860" t="s">
        <v>1515</v>
      </c>
      <c r="F860" t="s">
        <v>26</v>
      </c>
      <c r="G860" s="202">
        <v>10.71</v>
      </c>
      <c r="H860">
        <v>1</v>
      </c>
      <c r="I860" t="s">
        <v>3954</v>
      </c>
      <c r="J860" t="s">
        <v>5112</v>
      </c>
      <c r="K860" t="s">
        <v>1283</v>
      </c>
      <c r="L860" s="204">
        <v>0.22</v>
      </c>
      <c r="M860" s="112">
        <v>697.86750000000006</v>
      </c>
      <c r="N860" s="112">
        <v>153.53085000000002</v>
      </c>
      <c r="O860" s="204"/>
      <c r="P860" s="112"/>
      <c r="Q860" s="112"/>
      <c r="R860" s="112"/>
      <c r="S860" s="112"/>
      <c r="T860" s="112"/>
      <c r="U860" t="s">
        <v>5144</v>
      </c>
      <c r="V860" t="s">
        <v>5145</v>
      </c>
      <c r="W860" t="s">
        <v>3958</v>
      </c>
      <c r="X860" t="s">
        <v>4660</v>
      </c>
    </row>
    <row r="861" spans="1:24" x14ac:dyDescent="0.2">
      <c r="A861" t="s">
        <v>5143</v>
      </c>
      <c r="B861" t="s">
        <v>459</v>
      </c>
      <c r="C861" t="s">
        <v>1514</v>
      </c>
      <c r="D861" t="s">
        <v>56</v>
      </c>
      <c r="E861" t="s">
        <v>1515</v>
      </c>
      <c r="F861" t="s">
        <v>26</v>
      </c>
      <c r="G861" s="202">
        <v>10.71</v>
      </c>
      <c r="H861">
        <v>2</v>
      </c>
      <c r="I861" t="s">
        <v>3960</v>
      </c>
      <c r="J861" t="s">
        <v>5115</v>
      </c>
      <c r="K861" t="s">
        <v>1283</v>
      </c>
      <c r="L861" s="204">
        <v>0.68</v>
      </c>
      <c r="M861" s="112">
        <v>697.86750000000006</v>
      </c>
      <c r="N861" s="112">
        <v>474.54990000000009</v>
      </c>
      <c r="O861" s="204"/>
      <c r="P861" s="112"/>
      <c r="Q861" s="112"/>
      <c r="R861" s="112"/>
      <c r="S861" s="112"/>
      <c r="T861" s="112"/>
      <c r="U861" t="s">
        <v>5144</v>
      </c>
      <c r="V861" t="s">
        <v>5145</v>
      </c>
      <c r="W861" t="s">
        <v>3958</v>
      </c>
      <c r="X861" t="s">
        <v>4660</v>
      </c>
    </row>
    <row r="862" spans="1:24" x14ac:dyDescent="0.2">
      <c r="A862" t="s">
        <v>5143</v>
      </c>
      <c r="B862" t="s">
        <v>459</v>
      </c>
      <c r="C862" t="s">
        <v>1514</v>
      </c>
      <c r="D862" t="s">
        <v>56</v>
      </c>
      <c r="E862" t="s">
        <v>1515</v>
      </c>
      <c r="F862" t="s">
        <v>26</v>
      </c>
      <c r="G862" s="202">
        <v>10.71</v>
      </c>
      <c r="H862">
        <v>3</v>
      </c>
      <c r="I862" t="s">
        <v>3976</v>
      </c>
      <c r="J862" t="s">
        <v>5116</v>
      </c>
      <c r="K862" t="s">
        <v>1283</v>
      </c>
      <c r="L862" s="204">
        <v>0.05</v>
      </c>
      <c r="M862" s="112">
        <v>697.86750000000006</v>
      </c>
      <c r="N862" s="112">
        <v>34.893375000000006</v>
      </c>
      <c r="O862" s="204"/>
      <c r="P862" s="112"/>
      <c r="Q862" s="112"/>
      <c r="R862" s="112"/>
      <c r="S862" s="112"/>
      <c r="T862" s="112"/>
      <c r="U862" t="s">
        <v>5144</v>
      </c>
      <c r="V862" t="s">
        <v>5145</v>
      </c>
      <c r="W862" t="s">
        <v>3958</v>
      </c>
      <c r="X862" t="s">
        <v>4660</v>
      </c>
    </row>
    <row r="863" spans="1:24" x14ac:dyDescent="0.2">
      <c r="A863" t="s">
        <v>5143</v>
      </c>
      <c r="B863" t="s">
        <v>459</v>
      </c>
      <c r="C863" t="s">
        <v>1514</v>
      </c>
      <c r="D863" t="s">
        <v>56</v>
      </c>
      <c r="E863" t="s">
        <v>1515</v>
      </c>
      <c r="F863" t="s">
        <v>26</v>
      </c>
      <c r="G863" s="202">
        <v>10.71</v>
      </c>
      <c r="H863">
        <v>4</v>
      </c>
      <c r="I863" t="s">
        <v>4017</v>
      </c>
      <c r="J863" t="s">
        <v>5117</v>
      </c>
      <c r="K863" t="s">
        <v>1283</v>
      </c>
      <c r="L863" s="204">
        <v>0.05</v>
      </c>
      <c r="M863" s="112">
        <v>697.86750000000006</v>
      </c>
      <c r="N863" s="112">
        <v>34.893375000000006</v>
      </c>
      <c r="O863" s="204"/>
      <c r="P863" s="112"/>
      <c r="Q863" s="112"/>
      <c r="R863" s="112"/>
      <c r="S863" s="112"/>
      <c r="T863" s="112"/>
      <c r="U863" t="s">
        <v>5144</v>
      </c>
      <c r="V863" t="s">
        <v>5145</v>
      </c>
      <c r="W863" t="s">
        <v>3958</v>
      </c>
      <c r="X863" t="s">
        <v>4660</v>
      </c>
    </row>
    <row r="864" spans="1:24" x14ac:dyDescent="0.2">
      <c r="A864" t="s">
        <v>5143</v>
      </c>
      <c r="B864" t="s">
        <v>459</v>
      </c>
      <c r="C864" t="s">
        <v>1514</v>
      </c>
      <c r="D864" t="s">
        <v>56</v>
      </c>
      <c r="E864" t="s">
        <v>1515</v>
      </c>
      <c r="F864" t="s">
        <v>26</v>
      </c>
      <c r="G864" s="202">
        <v>10.71</v>
      </c>
      <c r="H864">
        <v>5</v>
      </c>
      <c r="I864" t="s">
        <v>3968</v>
      </c>
      <c r="J864" t="s">
        <v>3969</v>
      </c>
      <c r="K864" t="s">
        <v>26</v>
      </c>
      <c r="L864" s="204">
        <v>1</v>
      </c>
      <c r="M864" s="112"/>
      <c r="N864" s="112">
        <v>697.86750000000006</v>
      </c>
      <c r="O864" s="204">
        <v>0.22229104934611765</v>
      </c>
      <c r="P864" s="112">
        <v>155.12969887955171</v>
      </c>
      <c r="Q864" s="112">
        <v>852.99719887955177</v>
      </c>
      <c r="R864" s="112">
        <v>9135.6</v>
      </c>
      <c r="S864" s="112">
        <v>9135.6</v>
      </c>
      <c r="T864" s="112">
        <v>0</v>
      </c>
      <c r="U864" t="s">
        <v>5144</v>
      </c>
      <c r="V864" t="s">
        <v>5145</v>
      </c>
      <c r="W864" t="s">
        <v>4666</v>
      </c>
      <c r="X864" t="s">
        <v>4667</v>
      </c>
    </row>
    <row r="865" spans="1:24" x14ac:dyDescent="0.2">
      <c r="A865" t="s">
        <v>5146</v>
      </c>
      <c r="B865" t="s">
        <v>461</v>
      </c>
      <c r="C865" t="s">
        <v>1516</v>
      </c>
      <c r="D865" t="s">
        <v>56</v>
      </c>
      <c r="E865" t="s">
        <v>1517</v>
      </c>
      <c r="F865" t="s">
        <v>84</v>
      </c>
      <c r="G865" s="202">
        <v>1</v>
      </c>
      <c r="H865">
        <v>1</v>
      </c>
      <c r="I865" t="s">
        <v>3954</v>
      </c>
      <c r="J865" t="s">
        <v>5112</v>
      </c>
      <c r="K865" t="s">
        <v>1283</v>
      </c>
      <c r="L865" s="204">
        <v>0.22</v>
      </c>
      <c r="M865" s="112">
        <v>1446.0674999999999</v>
      </c>
      <c r="N865" s="112">
        <v>318.13484999999997</v>
      </c>
      <c r="O865" s="204"/>
      <c r="P865" s="112"/>
      <c r="Q865" s="112"/>
      <c r="R865" s="112"/>
      <c r="S865" s="112"/>
      <c r="T865" s="112"/>
      <c r="U865" t="s">
        <v>5147</v>
      </c>
      <c r="V865" t="s">
        <v>5148</v>
      </c>
      <c r="W865" t="s">
        <v>3958</v>
      </c>
      <c r="X865" t="s">
        <v>4660</v>
      </c>
    </row>
    <row r="866" spans="1:24" x14ac:dyDescent="0.2">
      <c r="A866" t="s">
        <v>5146</v>
      </c>
      <c r="B866" t="s">
        <v>461</v>
      </c>
      <c r="C866" t="s">
        <v>1516</v>
      </c>
      <c r="D866" t="s">
        <v>56</v>
      </c>
      <c r="E866" t="s">
        <v>1517</v>
      </c>
      <c r="F866" t="s">
        <v>84</v>
      </c>
      <c r="G866" s="202">
        <v>1</v>
      </c>
      <c r="H866">
        <v>2</v>
      </c>
      <c r="I866" t="s">
        <v>3960</v>
      </c>
      <c r="J866" t="s">
        <v>5115</v>
      </c>
      <c r="K866" t="s">
        <v>1283</v>
      </c>
      <c r="L866" s="204">
        <v>0.68</v>
      </c>
      <c r="M866" s="112">
        <v>1446.0674999999999</v>
      </c>
      <c r="N866" s="112">
        <v>983.32590000000005</v>
      </c>
      <c r="O866" s="204"/>
      <c r="P866" s="112"/>
      <c r="Q866" s="112"/>
      <c r="R866" s="112"/>
      <c r="S866" s="112"/>
      <c r="T866" s="112"/>
      <c r="U866" t="s">
        <v>5147</v>
      </c>
      <c r="V866" t="s">
        <v>5148</v>
      </c>
      <c r="W866" t="s">
        <v>3958</v>
      </c>
      <c r="X866" t="s">
        <v>4660</v>
      </c>
    </row>
    <row r="867" spans="1:24" x14ac:dyDescent="0.2">
      <c r="A867" t="s">
        <v>5146</v>
      </c>
      <c r="B867" t="s">
        <v>461</v>
      </c>
      <c r="C867" t="s">
        <v>1516</v>
      </c>
      <c r="D867" t="s">
        <v>56</v>
      </c>
      <c r="E867" t="s">
        <v>1517</v>
      </c>
      <c r="F867" t="s">
        <v>84</v>
      </c>
      <c r="G867" s="202">
        <v>1</v>
      </c>
      <c r="H867">
        <v>3</v>
      </c>
      <c r="I867" t="s">
        <v>3976</v>
      </c>
      <c r="J867" t="s">
        <v>5116</v>
      </c>
      <c r="K867" t="s">
        <v>1283</v>
      </c>
      <c r="L867" s="204">
        <v>0.05</v>
      </c>
      <c r="M867" s="112">
        <v>1446.0674999999999</v>
      </c>
      <c r="N867" s="112">
        <v>72.303375000000003</v>
      </c>
      <c r="O867" s="204"/>
      <c r="P867" s="112"/>
      <c r="Q867" s="112"/>
      <c r="R867" s="112"/>
      <c r="S867" s="112"/>
      <c r="T867" s="112"/>
      <c r="U867" t="s">
        <v>5147</v>
      </c>
      <c r="V867" t="s">
        <v>5148</v>
      </c>
      <c r="W867" t="s">
        <v>3958</v>
      </c>
      <c r="X867" t="s">
        <v>4660</v>
      </c>
    </row>
    <row r="868" spans="1:24" x14ac:dyDescent="0.2">
      <c r="A868" t="s">
        <v>5146</v>
      </c>
      <c r="B868" t="s">
        <v>461</v>
      </c>
      <c r="C868" t="s">
        <v>1516</v>
      </c>
      <c r="D868" t="s">
        <v>56</v>
      </c>
      <c r="E868" t="s">
        <v>1517</v>
      </c>
      <c r="F868" t="s">
        <v>84</v>
      </c>
      <c r="G868" s="202">
        <v>1</v>
      </c>
      <c r="H868">
        <v>4</v>
      </c>
      <c r="I868" t="s">
        <v>4017</v>
      </c>
      <c r="J868" t="s">
        <v>5117</v>
      </c>
      <c r="K868" t="s">
        <v>1283</v>
      </c>
      <c r="L868" s="204">
        <v>0.05</v>
      </c>
      <c r="M868" s="112">
        <v>1446.0674999999999</v>
      </c>
      <c r="N868" s="112">
        <v>72.303375000000003</v>
      </c>
      <c r="O868" s="204"/>
      <c r="P868" s="112"/>
      <c r="Q868" s="112"/>
      <c r="R868" s="112"/>
      <c r="S868" s="112"/>
      <c r="T868" s="112"/>
      <c r="U868" t="s">
        <v>5147</v>
      </c>
      <c r="V868" t="s">
        <v>5148</v>
      </c>
      <c r="W868" t="s">
        <v>3958</v>
      </c>
      <c r="X868" t="s">
        <v>4660</v>
      </c>
    </row>
    <row r="869" spans="1:24" x14ac:dyDescent="0.2">
      <c r="A869" t="s">
        <v>5146</v>
      </c>
      <c r="B869" t="s">
        <v>461</v>
      </c>
      <c r="C869" t="s">
        <v>1516</v>
      </c>
      <c r="D869" t="s">
        <v>56</v>
      </c>
      <c r="E869" t="s">
        <v>1517</v>
      </c>
      <c r="F869" t="s">
        <v>84</v>
      </c>
      <c r="G869" s="202">
        <v>1</v>
      </c>
      <c r="H869">
        <v>5</v>
      </c>
      <c r="I869" t="s">
        <v>3968</v>
      </c>
      <c r="J869" t="s">
        <v>3969</v>
      </c>
      <c r="K869" t="s">
        <v>84</v>
      </c>
      <c r="L869" s="204">
        <v>1</v>
      </c>
      <c r="M869" s="112"/>
      <c r="N869" s="112">
        <v>1446.0674999999999</v>
      </c>
      <c r="O869" s="204">
        <v>0.22229425666505898</v>
      </c>
      <c r="P869" s="112">
        <v>321.4525000000001</v>
      </c>
      <c r="Q869" s="112">
        <v>1767.52</v>
      </c>
      <c r="R869" s="112">
        <v>1767.52</v>
      </c>
      <c r="S869" s="112">
        <v>1767.52</v>
      </c>
      <c r="T869" s="112">
        <v>0</v>
      </c>
      <c r="U869" t="s">
        <v>5147</v>
      </c>
      <c r="V869" t="s">
        <v>5148</v>
      </c>
      <c r="W869" t="s">
        <v>4666</v>
      </c>
      <c r="X869" t="s">
        <v>4667</v>
      </c>
    </row>
    <row r="870" spans="1:24" x14ac:dyDescent="0.2">
      <c r="A870" t="s">
        <v>5149</v>
      </c>
      <c r="B870" t="s">
        <v>463</v>
      </c>
      <c r="C870" t="s">
        <v>1518</v>
      </c>
      <c r="D870" t="s">
        <v>56</v>
      </c>
      <c r="E870" t="s">
        <v>1519</v>
      </c>
      <c r="F870" t="s">
        <v>84</v>
      </c>
      <c r="G870" s="202">
        <v>26</v>
      </c>
      <c r="H870">
        <v>1</v>
      </c>
      <c r="I870" t="s">
        <v>3954</v>
      </c>
      <c r="J870" t="s">
        <v>4110</v>
      </c>
      <c r="K870" t="s">
        <v>1283</v>
      </c>
      <c r="L870" s="204">
        <v>0.3</v>
      </c>
      <c r="M870" s="112">
        <v>182.85000000000002</v>
      </c>
      <c r="N870" s="112">
        <v>54.855000000000004</v>
      </c>
      <c r="O870" s="204"/>
      <c r="P870" s="112"/>
      <c r="Q870" s="112"/>
      <c r="R870" s="112"/>
      <c r="S870" s="112"/>
      <c r="T870" s="112"/>
      <c r="U870" t="s">
        <v>5150</v>
      </c>
      <c r="V870" t="s">
        <v>5151</v>
      </c>
      <c r="W870" t="s">
        <v>3958</v>
      </c>
      <c r="X870" t="s">
        <v>4660</v>
      </c>
    </row>
    <row r="871" spans="1:24" x14ac:dyDescent="0.2">
      <c r="A871" t="s">
        <v>5149</v>
      </c>
      <c r="B871" t="s">
        <v>463</v>
      </c>
      <c r="C871" t="s">
        <v>1518</v>
      </c>
      <c r="D871" t="s">
        <v>56</v>
      </c>
      <c r="E871" t="s">
        <v>1519</v>
      </c>
      <c r="F871" t="s">
        <v>84</v>
      </c>
      <c r="G871" s="202">
        <v>26</v>
      </c>
      <c r="H871">
        <v>2</v>
      </c>
      <c r="I871" t="s">
        <v>3960</v>
      </c>
      <c r="J871" t="s">
        <v>4113</v>
      </c>
      <c r="K871" t="s">
        <v>1283</v>
      </c>
      <c r="L871" s="204">
        <v>0.55000000000000004</v>
      </c>
      <c r="M871" s="112">
        <v>182.85000000000002</v>
      </c>
      <c r="N871" s="112">
        <v>100.56750000000002</v>
      </c>
      <c r="O871" s="204"/>
      <c r="P871" s="112"/>
      <c r="Q871" s="112"/>
      <c r="R871" s="112"/>
      <c r="S871" s="112"/>
      <c r="T871" s="112"/>
      <c r="U871" t="s">
        <v>5150</v>
      </c>
      <c r="V871" t="s">
        <v>5151</v>
      </c>
      <c r="W871" t="s">
        <v>3958</v>
      </c>
      <c r="X871" t="s">
        <v>4660</v>
      </c>
    </row>
    <row r="872" spans="1:24" x14ac:dyDescent="0.2">
      <c r="A872" t="s">
        <v>5149</v>
      </c>
      <c r="B872" t="s">
        <v>463</v>
      </c>
      <c r="C872" t="s">
        <v>1518</v>
      </c>
      <c r="D872" t="s">
        <v>56</v>
      </c>
      <c r="E872" t="s">
        <v>1519</v>
      </c>
      <c r="F872" t="s">
        <v>84</v>
      </c>
      <c r="G872" s="202">
        <v>26</v>
      </c>
      <c r="H872">
        <v>3</v>
      </c>
      <c r="I872" t="s">
        <v>3976</v>
      </c>
      <c r="J872" t="s">
        <v>4114</v>
      </c>
      <c r="K872" t="s">
        <v>1283</v>
      </c>
      <c r="L872" s="204">
        <v>0.1</v>
      </c>
      <c r="M872" s="112">
        <v>182.85000000000002</v>
      </c>
      <c r="N872" s="112">
        <v>18.285000000000004</v>
      </c>
      <c r="O872" s="204"/>
      <c r="P872" s="112"/>
      <c r="Q872" s="112"/>
      <c r="R872" s="112"/>
      <c r="S872" s="112"/>
      <c r="T872" s="112"/>
      <c r="U872" t="s">
        <v>5150</v>
      </c>
      <c r="V872" t="s">
        <v>5151</v>
      </c>
      <c r="W872" t="s">
        <v>3958</v>
      </c>
      <c r="X872" t="s">
        <v>4660</v>
      </c>
    </row>
    <row r="873" spans="1:24" x14ac:dyDescent="0.2">
      <c r="A873" t="s">
        <v>5149</v>
      </c>
      <c r="B873" t="s">
        <v>463</v>
      </c>
      <c r="C873" t="s">
        <v>1518</v>
      </c>
      <c r="D873" t="s">
        <v>56</v>
      </c>
      <c r="E873" t="s">
        <v>1519</v>
      </c>
      <c r="F873" t="s">
        <v>84</v>
      </c>
      <c r="G873" s="202">
        <v>26</v>
      </c>
      <c r="H873">
        <v>4</v>
      </c>
      <c r="I873" t="s">
        <v>4017</v>
      </c>
      <c r="J873" t="s">
        <v>4115</v>
      </c>
      <c r="K873" t="s">
        <v>1283</v>
      </c>
      <c r="L873" s="204">
        <v>0.05</v>
      </c>
      <c r="M873" s="112">
        <v>182.85000000000002</v>
      </c>
      <c r="N873" s="112">
        <v>9.1425000000000018</v>
      </c>
      <c r="O873" s="204"/>
      <c r="P873" s="112"/>
      <c r="Q873" s="112"/>
      <c r="R873" s="112"/>
      <c r="S873" s="112"/>
      <c r="T873" s="112"/>
      <c r="U873" t="s">
        <v>5150</v>
      </c>
      <c r="V873" t="s">
        <v>5151</v>
      </c>
      <c r="W873" t="s">
        <v>3958</v>
      </c>
      <c r="X873" t="s">
        <v>4660</v>
      </c>
    </row>
    <row r="874" spans="1:24" x14ac:dyDescent="0.2">
      <c r="A874" t="s">
        <v>5149</v>
      </c>
      <c r="B874" t="s">
        <v>463</v>
      </c>
      <c r="C874" t="s">
        <v>1518</v>
      </c>
      <c r="D874" t="s">
        <v>56</v>
      </c>
      <c r="E874" t="s">
        <v>1519</v>
      </c>
      <c r="F874" t="s">
        <v>84</v>
      </c>
      <c r="G874" s="202">
        <v>26</v>
      </c>
      <c r="H874">
        <v>5</v>
      </c>
      <c r="I874" t="s">
        <v>3968</v>
      </c>
      <c r="J874" t="s">
        <v>3969</v>
      </c>
      <c r="K874" t="s">
        <v>84</v>
      </c>
      <c r="L874" s="204">
        <v>1</v>
      </c>
      <c r="M874" s="112"/>
      <c r="N874" s="112">
        <v>182.85000000000002</v>
      </c>
      <c r="O874" s="204">
        <v>0.22227130266506778</v>
      </c>
      <c r="P874" s="112">
        <v>40.642307692307668</v>
      </c>
      <c r="Q874" s="112">
        <v>223.49230769230769</v>
      </c>
      <c r="R874" s="112">
        <v>5810.8</v>
      </c>
      <c r="S874" s="112">
        <v>5810.8</v>
      </c>
      <c r="T874" s="112">
        <v>0</v>
      </c>
      <c r="U874" t="s">
        <v>5150</v>
      </c>
      <c r="V874" t="s">
        <v>5151</v>
      </c>
      <c r="W874" t="s">
        <v>4666</v>
      </c>
      <c r="X874" t="s">
        <v>4667</v>
      </c>
    </row>
    <row r="875" spans="1:24" x14ac:dyDescent="0.2">
      <c r="A875" t="s">
        <v>5152</v>
      </c>
      <c r="B875" t="s">
        <v>465</v>
      </c>
      <c r="C875" t="s">
        <v>1520</v>
      </c>
      <c r="D875" t="s">
        <v>56</v>
      </c>
      <c r="E875" t="s">
        <v>1521</v>
      </c>
      <c r="F875" t="s">
        <v>84</v>
      </c>
      <c r="G875" s="202">
        <v>2</v>
      </c>
      <c r="H875">
        <v>1</v>
      </c>
      <c r="I875" t="s">
        <v>3954</v>
      </c>
      <c r="J875" t="s">
        <v>5112</v>
      </c>
      <c r="K875" t="s">
        <v>1283</v>
      </c>
      <c r="L875" s="204">
        <v>0.22</v>
      </c>
      <c r="M875" s="112">
        <v>157.71</v>
      </c>
      <c r="N875" s="112">
        <v>34.696200000000005</v>
      </c>
      <c r="O875" s="204"/>
      <c r="P875" s="112"/>
      <c r="Q875" s="112"/>
      <c r="R875" s="112"/>
      <c r="S875" s="112"/>
      <c r="T875" s="112"/>
      <c r="U875" t="s">
        <v>5153</v>
      </c>
      <c r="V875" t="s">
        <v>5154</v>
      </c>
      <c r="W875" t="s">
        <v>3958</v>
      </c>
      <c r="X875" t="s">
        <v>4660</v>
      </c>
    </row>
    <row r="876" spans="1:24" x14ac:dyDescent="0.2">
      <c r="A876" t="s">
        <v>5152</v>
      </c>
      <c r="B876" t="s">
        <v>465</v>
      </c>
      <c r="C876" t="s">
        <v>1520</v>
      </c>
      <c r="D876" t="s">
        <v>56</v>
      </c>
      <c r="E876" t="s">
        <v>1521</v>
      </c>
      <c r="F876" t="s">
        <v>84</v>
      </c>
      <c r="G876" s="202">
        <v>2</v>
      </c>
      <c r="H876">
        <v>2</v>
      </c>
      <c r="I876" t="s">
        <v>3960</v>
      </c>
      <c r="J876" t="s">
        <v>5115</v>
      </c>
      <c r="K876" t="s">
        <v>1283</v>
      </c>
      <c r="L876" s="204">
        <v>0.68</v>
      </c>
      <c r="M876" s="112">
        <v>157.71</v>
      </c>
      <c r="N876" s="112">
        <v>107.24280000000002</v>
      </c>
      <c r="O876" s="204"/>
      <c r="P876" s="112"/>
      <c r="Q876" s="112"/>
      <c r="R876" s="112"/>
      <c r="S876" s="112"/>
      <c r="T876" s="112"/>
      <c r="U876" t="s">
        <v>5153</v>
      </c>
      <c r="V876" t="s">
        <v>5154</v>
      </c>
      <c r="W876" t="s">
        <v>3958</v>
      </c>
      <c r="X876" t="s">
        <v>4660</v>
      </c>
    </row>
    <row r="877" spans="1:24" x14ac:dyDescent="0.2">
      <c r="A877" t="s">
        <v>5152</v>
      </c>
      <c r="B877" t="s">
        <v>465</v>
      </c>
      <c r="C877" t="s">
        <v>1520</v>
      </c>
      <c r="D877" t="s">
        <v>56</v>
      </c>
      <c r="E877" t="s">
        <v>1521</v>
      </c>
      <c r="F877" t="s">
        <v>84</v>
      </c>
      <c r="G877" s="202">
        <v>2</v>
      </c>
      <c r="H877">
        <v>3</v>
      </c>
      <c r="I877" t="s">
        <v>3976</v>
      </c>
      <c r="J877" t="s">
        <v>5116</v>
      </c>
      <c r="K877" t="s">
        <v>1283</v>
      </c>
      <c r="L877" s="204">
        <v>0.05</v>
      </c>
      <c r="M877" s="112">
        <v>157.71</v>
      </c>
      <c r="N877" s="112">
        <v>7.8855000000000004</v>
      </c>
      <c r="O877" s="204"/>
      <c r="P877" s="112"/>
      <c r="Q877" s="112"/>
      <c r="R877" s="112"/>
      <c r="S877" s="112"/>
      <c r="T877" s="112"/>
      <c r="U877" t="s">
        <v>5153</v>
      </c>
      <c r="V877" t="s">
        <v>5154</v>
      </c>
      <c r="W877" t="s">
        <v>3958</v>
      </c>
      <c r="X877" t="s">
        <v>4660</v>
      </c>
    </row>
    <row r="878" spans="1:24" x14ac:dyDescent="0.2">
      <c r="A878" t="s">
        <v>5152</v>
      </c>
      <c r="B878" t="s">
        <v>465</v>
      </c>
      <c r="C878" t="s">
        <v>1520</v>
      </c>
      <c r="D878" t="s">
        <v>56</v>
      </c>
      <c r="E878" t="s">
        <v>1521</v>
      </c>
      <c r="F878" t="s">
        <v>84</v>
      </c>
      <c r="G878" s="202">
        <v>2</v>
      </c>
      <c r="H878">
        <v>4</v>
      </c>
      <c r="I878" t="s">
        <v>4017</v>
      </c>
      <c r="J878" t="s">
        <v>5117</v>
      </c>
      <c r="K878" t="s">
        <v>1283</v>
      </c>
      <c r="L878" s="204">
        <v>0.05</v>
      </c>
      <c r="M878" s="112">
        <v>157.71</v>
      </c>
      <c r="N878" s="112">
        <v>7.8855000000000004</v>
      </c>
      <c r="O878" s="204"/>
      <c r="P878" s="112"/>
      <c r="Q878" s="112"/>
      <c r="R878" s="112"/>
      <c r="S878" s="112"/>
      <c r="T878" s="112"/>
      <c r="U878" t="s">
        <v>5153</v>
      </c>
      <c r="V878" t="s">
        <v>5154</v>
      </c>
      <c r="W878" t="s">
        <v>3958</v>
      </c>
      <c r="X878" t="s">
        <v>4660</v>
      </c>
    </row>
    <row r="879" spans="1:24" x14ac:dyDescent="0.2">
      <c r="A879" t="s">
        <v>5152</v>
      </c>
      <c r="B879" t="s">
        <v>465</v>
      </c>
      <c r="C879" t="s">
        <v>1520</v>
      </c>
      <c r="D879" t="s">
        <v>56</v>
      </c>
      <c r="E879" t="s">
        <v>1521</v>
      </c>
      <c r="F879" t="s">
        <v>84</v>
      </c>
      <c r="G879" s="202">
        <v>2</v>
      </c>
      <c r="H879">
        <v>5</v>
      </c>
      <c r="I879" t="s">
        <v>3968</v>
      </c>
      <c r="J879" t="s">
        <v>3969</v>
      </c>
      <c r="K879" t="s">
        <v>84</v>
      </c>
      <c r="L879" s="204">
        <v>1</v>
      </c>
      <c r="M879" s="112"/>
      <c r="N879" s="112">
        <v>157.71</v>
      </c>
      <c r="O879" s="204">
        <v>0.22227506182233192</v>
      </c>
      <c r="P879" s="112">
        <v>35.054999999999978</v>
      </c>
      <c r="Q879" s="112">
        <v>192.76499999999999</v>
      </c>
      <c r="R879" s="112">
        <v>385.53</v>
      </c>
      <c r="S879" s="112">
        <v>385.53</v>
      </c>
      <c r="T879" s="112">
        <v>0</v>
      </c>
      <c r="U879" t="s">
        <v>5153</v>
      </c>
      <c r="V879" t="s">
        <v>5154</v>
      </c>
      <c r="W879" t="s">
        <v>4666</v>
      </c>
      <c r="X879" t="s">
        <v>4667</v>
      </c>
    </row>
    <row r="880" spans="1:24" x14ac:dyDescent="0.2">
      <c r="A880" t="s">
        <v>5155</v>
      </c>
      <c r="B880" t="s">
        <v>467</v>
      </c>
      <c r="C880" t="s">
        <v>1522</v>
      </c>
      <c r="D880" t="s">
        <v>24</v>
      </c>
      <c r="E880" t="s">
        <v>469</v>
      </c>
      <c r="F880" t="s">
        <v>99</v>
      </c>
      <c r="G880" s="202">
        <v>3.6</v>
      </c>
      <c r="H880">
        <v>1</v>
      </c>
      <c r="I880" t="s">
        <v>3954</v>
      </c>
      <c r="J880" t="s">
        <v>5112</v>
      </c>
      <c r="K880" t="s">
        <v>1283</v>
      </c>
      <c r="L880" s="204">
        <v>0.22</v>
      </c>
      <c r="M880" s="112">
        <v>47.43</v>
      </c>
      <c r="N880" s="112">
        <v>10.4346</v>
      </c>
      <c r="O880" s="204"/>
      <c r="P880" s="112"/>
      <c r="Q880" s="112"/>
      <c r="R880" s="112"/>
      <c r="S880" s="112"/>
      <c r="T880" s="112"/>
      <c r="U880" t="s">
        <v>5156</v>
      </c>
      <c r="V880" t="s">
        <v>5157</v>
      </c>
      <c r="W880" t="s">
        <v>3958</v>
      </c>
      <c r="X880" t="s">
        <v>4660</v>
      </c>
    </row>
    <row r="881" spans="1:24" x14ac:dyDescent="0.2">
      <c r="A881" t="s">
        <v>5155</v>
      </c>
      <c r="B881" t="s">
        <v>467</v>
      </c>
      <c r="C881" t="s">
        <v>1522</v>
      </c>
      <c r="D881" t="s">
        <v>24</v>
      </c>
      <c r="E881" t="s">
        <v>469</v>
      </c>
      <c r="F881" t="s">
        <v>99</v>
      </c>
      <c r="G881" s="202">
        <v>3.6</v>
      </c>
      <c r="H881">
        <v>2</v>
      </c>
      <c r="I881" t="s">
        <v>3960</v>
      </c>
      <c r="J881" t="s">
        <v>5115</v>
      </c>
      <c r="K881" t="s">
        <v>1283</v>
      </c>
      <c r="L881" s="204">
        <v>0.68</v>
      </c>
      <c r="M881" s="112">
        <v>47.43</v>
      </c>
      <c r="N881" s="112">
        <v>32.252400000000002</v>
      </c>
      <c r="O881" s="204"/>
      <c r="P881" s="112"/>
      <c r="Q881" s="112"/>
      <c r="R881" s="112"/>
      <c r="S881" s="112"/>
      <c r="T881" s="112"/>
      <c r="U881" t="s">
        <v>5156</v>
      </c>
      <c r="V881" t="s">
        <v>5157</v>
      </c>
      <c r="W881" t="s">
        <v>3958</v>
      </c>
      <c r="X881" t="s">
        <v>4660</v>
      </c>
    </row>
    <row r="882" spans="1:24" x14ac:dyDescent="0.2">
      <c r="A882" t="s">
        <v>5155</v>
      </c>
      <c r="B882" t="s">
        <v>467</v>
      </c>
      <c r="C882" t="s">
        <v>1522</v>
      </c>
      <c r="D882" t="s">
        <v>24</v>
      </c>
      <c r="E882" t="s">
        <v>469</v>
      </c>
      <c r="F882" t="s">
        <v>99</v>
      </c>
      <c r="G882" s="202">
        <v>3.6</v>
      </c>
      <c r="H882">
        <v>3</v>
      </c>
      <c r="I882" t="s">
        <v>3976</v>
      </c>
      <c r="J882" t="s">
        <v>5116</v>
      </c>
      <c r="K882" t="s">
        <v>1283</v>
      </c>
      <c r="L882" s="204">
        <v>0.05</v>
      </c>
      <c r="M882" s="112">
        <v>47.43</v>
      </c>
      <c r="N882" s="112">
        <v>2.3715000000000002</v>
      </c>
      <c r="O882" s="204"/>
      <c r="P882" s="112"/>
      <c r="Q882" s="112"/>
      <c r="R882" s="112"/>
      <c r="S882" s="112"/>
      <c r="T882" s="112"/>
      <c r="U882" t="s">
        <v>5156</v>
      </c>
      <c r="V882" t="s">
        <v>5157</v>
      </c>
      <c r="W882" t="s">
        <v>3958</v>
      </c>
      <c r="X882" t="s">
        <v>4660</v>
      </c>
    </row>
    <row r="883" spans="1:24" x14ac:dyDescent="0.2">
      <c r="A883" t="s">
        <v>5155</v>
      </c>
      <c r="B883" t="s">
        <v>467</v>
      </c>
      <c r="C883" t="s">
        <v>1522</v>
      </c>
      <c r="D883" t="s">
        <v>24</v>
      </c>
      <c r="E883" t="s">
        <v>469</v>
      </c>
      <c r="F883" t="s">
        <v>99</v>
      </c>
      <c r="G883" s="202">
        <v>3.6</v>
      </c>
      <c r="H883">
        <v>4</v>
      </c>
      <c r="I883" t="s">
        <v>4017</v>
      </c>
      <c r="J883" t="s">
        <v>5117</v>
      </c>
      <c r="K883" t="s">
        <v>1283</v>
      </c>
      <c r="L883" s="204">
        <v>0.05</v>
      </c>
      <c r="M883" s="112">
        <v>47.43</v>
      </c>
      <c r="N883" s="112">
        <v>2.3715000000000002</v>
      </c>
      <c r="O883" s="204"/>
      <c r="P883" s="112"/>
      <c r="Q883" s="112"/>
      <c r="R883" s="112"/>
      <c r="S883" s="112"/>
      <c r="T883" s="112"/>
      <c r="U883" t="s">
        <v>5156</v>
      </c>
      <c r="V883" t="s">
        <v>5157</v>
      </c>
      <c r="W883" t="s">
        <v>3958</v>
      </c>
      <c r="X883" t="s">
        <v>4660</v>
      </c>
    </row>
    <row r="884" spans="1:24" x14ac:dyDescent="0.2">
      <c r="A884" t="s">
        <v>5155</v>
      </c>
      <c r="B884" t="s">
        <v>467</v>
      </c>
      <c r="C884" t="s">
        <v>1522</v>
      </c>
      <c r="D884" t="s">
        <v>24</v>
      </c>
      <c r="E884" t="s">
        <v>469</v>
      </c>
      <c r="F884" t="s">
        <v>99</v>
      </c>
      <c r="G884" s="202">
        <v>3.6</v>
      </c>
      <c r="H884">
        <v>5</v>
      </c>
      <c r="I884" t="s">
        <v>3968</v>
      </c>
      <c r="J884" t="s">
        <v>3969</v>
      </c>
      <c r="K884" t="s">
        <v>99</v>
      </c>
      <c r="L884" s="204">
        <v>1</v>
      </c>
      <c r="M884" s="112"/>
      <c r="N884" s="112">
        <v>47.43</v>
      </c>
      <c r="O884" s="204">
        <v>0.22215194321456178</v>
      </c>
      <c r="P884" s="112">
        <v>10.536666666666669</v>
      </c>
      <c r="Q884" s="112">
        <v>57.966666666666669</v>
      </c>
      <c r="R884" s="112">
        <v>208.68</v>
      </c>
      <c r="S884" s="112">
        <v>208.68</v>
      </c>
      <c r="T884" s="112">
        <v>0</v>
      </c>
      <c r="U884" t="s">
        <v>5156</v>
      </c>
      <c r="V884" t="s">
        <v>5157</v>
      </c>
      <c r="W884" t="s">
        <v>4666</v>
      </c>
      <c r="X884" t="s">
        <v>4667</v>
      </c>
    </row>
    <row r="885" spans="1:24" x14ac:dyDescent="0.2">
      <c r="A885" t="s">
        <v>5158</v>
      </c>
      <c r="B885" t="s">
        <v>1523</v>
      </c>
      <c r="C885" t="s">
        <v>470</v>
      </c>
      <c r="D885" t="s">
        <v>209</v>
      </c>
      <c r="E885" t="s">
        <v>471</v>
      </c>
      <c r="F885" t="s">
        <v>84</v>
      </c>
      <c r="G885" s="202">
        <v>18</v>
      </c>
      <c r="H885">
        <v>1</v>
      </c>
      <c r="I885" t="s">
        <v>3954</v>
      </c>
      <c r="J885" t="s">
        <v>5112</v>
      </c>
      <c r="K885" t="s">
        <v>1283</v>
      </c>
      <c r="L885" s="204">
        <v>0.22</v>
      </c>
      <c r="M885" s="112">
        <v>754.58249999999998</v>
      </c>
      <c r="N885" s="112">
        <v>166.00815</v>
      </c>
      <c r="O885" s="204"/>
      <c r="P885" s="112"/>
      <c r="Q885" s="112"/>
      <c r="R885" s="112"/>
      <c r="S885" s="112"/>
      <c r="T885" s="112"/>
      <c r="U885" t="s">
        <v>4394</v>
      </c>
      <c r="V885" t="s">
        <v>5159</v>
      </c>
      <c r="W885" t="s">
        <v>3958</v>
      </c>
      <c r="X885" t="s">
        <v>4660</v>
      </c>
    </row>
    <row r="886" spans="1:24" x14ac:dyDescent="0.2">
      <c r="A886" t="s">
        <v>5158</v>
      </c>
      <c r="B886" t="s">
        <v>1523</v>
      </c>
      <c r="C886" t="s">
        <v>470</v>
      </c>
      <c r="D886" t="s">
        <v>209</v>
      </c>
      <c r="E886" t="s">
        <v>471</v>
      </c>
      <c r="F886" t="s">
        <v>84</v>
      </c>
      <c r="G886" s="202">
        <v>18</v>
      </c>
      <c r="H886">
        <v>2</v>
      </c>
      <c r="I886" t="s">
        <v>3960</v>
      </c>
      <c r="J886" t="s">
        <v>5115</v>
      </c>
      <c r="K886" t="s">
        <v>1283</v>
      </c>
      <c r="L886" s="204">
        <v>0.68</v>
      </c>
      <c r="M886" s="112">
        <v>754.58249999999998</v>
      </c>
      <c r="N886" s="112">
        <v>513.11610000000007</v>
      </c>
      <c r="O886" s="204"/>
      <c r="P886" s="112"/>
      <c r="Q886" s="112"/>
      <c r="R886" s="112"/>
      <c r="S886" s="112"/>
      <c r="T886" s="112"/>
      <c r="U886" t="s">
        <v>4394</v>
      </c>
      <c r="V886" t="s">
        <v>5159</v>
      </c>
      <c r="W886" t="s">
        <v>3958</v>
      </c>
      <c r="X886" t="s">
        <v>4660</v>
      </c>
    </row>
    <row r="887" spans="1:24" x14ac:dyDescent="0.2">
      <c r="A887" t="s">
        <v>5158</v>
      </c>
      <c r="B887" t="s">
        <v>1523</v>
      </c>
      <c r="C887" t="s">
        <v>470</v>
      </c>
      <c r="D887" t="s">
        <v>209</v>
      </c>
      <c r="E887" t="s">
        <v>471</v>
      </c>
      <c r="F887" t="s">
        <v>84</v>
      </c>
      <c r="G887" s="202">
        <v>18</v>
      </c>
      <c r="H887">
        <v>3</v>
      </c>
      <c r="I887" t="s">
        <v>3976</v>
      </c>
      <c r="J887" t="s">
        <v>5116</v>
      </c>
      <c r="K887" t="s">
        <v>1283</v>
      </c>
      <c r="L887" s="204">
        <v>0.05</v>
      </c>
      <c r="M887" s="112">
        <v>754.58249999999998</v>
      </c>
      <c r="N887" s="112">
        <v>37.729125000000003</v>
      </c>
      <c r="O887" s="204"/>
      <c r="P887" s="112"/>
      <c r="Q887" s="112"/>
      <c r="R887" s="112"/>
      <c r="S887" s="112"/>
      <c r="T887" s="112"/>
      <c r="U887" t="s">
        <v>4394</v>
      </c>
      <c r="V887" t="s">
        <v>5159</v>
      </c>
      <c r="W887" t="s">
        <v>3958</v>
      </c>
      <c r="X887" t="s">
        <v>4660</v>
      </c>
    </row>
    <row r="888" spans="1:24" x14ac:dyDescent="0.2">
      <c r="A888" t="s">
        <v>5158</v>
      </c>
      <c r="B888" t="s">
        <v>1523</v>
      </c>
      <c r="C888" t="s">
        <v>470</v>
      </c>
      <c r="D888" t="s">
        <v>209</v>
      </c>
      <c r="E888" t="s">
        <v>471</v>
      </c>
      <c r="F888" t="s">
        <v>84</v>
      </c>
      <c r="G888" s="202">
        <v>18</v>
      </c>
      <c r="H888">
        <v>4</v>
      </c>
      <c r="I888" t="s">
        <v>4017</v>
      </c>
      <c r="J888" t="s">
        <v>5117</v>
      </c>
      <c r="K888" t="s">
        <v>1283</v>
      </c>
      <c r="L888" s="204">
        <v>0.05</v>
      </c>
      <c r="M888" s="112">
        <v>754.58249999999998</v>
      </c>
      <c r="N888" s="112">
        <v>37.729125000000003</v>
      </c>
      <c r="O888" s="204"/>
      <c r="P888" s="112"/>
      <c r="Q888" s="112"/>
      <c r="R888" s="112"/>
      <c r="S888" s="112"/>
      <c r="T888" s="112"/>
      <c r="U888" t="s">
        <v>4394</v>
      </c>
      <c r="V888" t="s">
        <v>5159</v>
      </c>
      <c r="W888" t="s">
        <v>3958</v>
      </c>
      <c r="X888" t="s">
        <v>4660</v>
      </c>
    </row>
    <row r="889" spans="1:24" x14ac:dyDescent="0.2">
      <c r="A889" t="s">
        <v>5158</v>
      </c>
      <c r="B889" t="s">
        <v>1523</v>
      </c>
      <c r="C889" t="s">
        <v>470</v>
      </c>
      <c r="D889" t="s">
        <v>209</v>
      </c>
      <c r="E889" t="s">
        <v>471</v>
      </c>
      <c r="F889" t="s">
        <v>84</v>
      </c>
      <c r="G889" s="202">
        <v>18</v>
      </c>
      <c r="H889">
        <v>5</v>
      </c>
      <c r="I889" t="s">
        <v>3968</v>
      </c>
      <c r="J889" t="s">
        <v>3969</v>
      </c>
      <c r="K889" t="s">
        <v>84</v>
      </c>
      <c r="L889" s="204">
        <v>1</v>
      </c>
      <c r="M889" s="112"/>
      <c r="N889" s="112">
        <v>754.58249999999998</v>
      </c>
      <c r="O889" s="204">
        <v>0.22229179711959923</v>
      </c>
      <c r="P889" s="112">
        <v>167.73749999999995</v>
      </c>
      <c r="Q889" s="112">
        <v>922.31999999999994</v>
      </c>
      <c r="R889" s="112">
        <v>16601.759999999998</v>
      </c>
      <c r="S889" s="112">
        <v>16601.759999999998</v>
      </c>
      <c r="T889" s="112">
        <v>0</v>
      </c>
      <c r="U889" t="s">
        <v>4394</v>
      </c>
      <c r="V889" t="s">
        <v>5159</v>
      </c>
      <c r="W889" t="s">
        <v>4666</v>
      </c>
      <c r="X889" t="s">
        <v>4667</v>
      </c>
    </row>
    <row r="890" spans="1:24" x14ac:dyDescent="0.2">
      <c r="A890" t="s">
        <v>5160</v>
      </c>
      <c r="B890" t="s">
        <v>1524</v>
      </c>
      <c r="C890" t="s">
        <v>1525</v>
      </c>
      <c r="D890" t="s">
        <v>24</v>
      </c>
      <c r="E890" t="s">
        <v>473</v>
      </c>
      <c r="F890" t="s">
        <v>26</v>
      </c>
      <c r="G890" s="202">
        <v>73.483000000000004</v>
      </c>
      <c r="H890">
        <v>1</v>
      </c>
      <c r="I890" t="s">
        <v>3954</v>
      </c>
      <c r="J890" t="s">
        <v>5112</v>
      </c>
      <c r="K890" t="s">
        <v>1283</v>
      </c>
      <c r="L890" s="204">
        <v>0.22</v>
      </c>
      <c r="M890" s="112">
        <v>875.84999999999991</v>
      </c>
      <c r="N890" s="112">
        <v>192.68699999999998</v>
      </c>
      <c r="O890" s="204"/>
      <c r="P890" s="112"/>
      <c r="Q890" s="112"/>
      <c r="R890" s="112"/>
      <c r="S890" s="112"/>
      <c r="T890" s="112"/>
      <c r="U890" t="s">
        <v>5161</v>
      </c>
      <c r="V890" t="s">
        <v>5162</v>
      </c>
      <c r="W890" t="s">
        <v>3958</v>
      </c>
      <c r="X890" t="s">
        <v>4660</v>
      </c>
    </row>
    <row r="891" spans="1:24" x14ac:dyDescent="0.2">
      <c r="A891" t="s">
        <v>5160</v>
      </c>
      <c r="B891" t="s">
        <v>1524</v>
      </c>
      <c r="C891" t="s">
        <v>1525</v>
      </c>
      <c r="D891" t="s">
        <v>24</v>
      </c>
      <c r="E891" t="s">
        <v>473</v>
      </c>
      <c r="F891" t="s">
        <v>26</v>
      </c>
      <c r="G891" s="202">
        <v>73.483000000000004</v>
      </c>
      <c r="H891">
        <v>2</v>
      </c>
      <c r="I891" t="s">
        <v>3960</v>
      </c>
      <c r="J891" t="s">
        <v>5115</v>
      </c>
      <c r="K891" t="s">
        <v>1283</v>
      </c>
      <c r="L891" s="204">
        <v>0.68</v>
      </c>
      <c r="M891" s="112">
        <v>875.84999999999991</v>
      </c>
      <c r="N891" s="112">
        <v>595.57799999999997</v>
      </c>
      <c r="O891" s="204"/>
      <c r="P891" s="112"/>
      <c r="Q891" s="112"/>
      <c r="R891" s="112"/>
      <c r="S891" s="112"/>
      <c r="T891" s="112"/>
      <c r="U891" t="s">
        <v>5161</v>
      </c>
      <c r="V891" t="s">
        <v>5162</v>
      </c>
      <c r="W891" t="s">
        <v>3958</v>
      </c>
      <c r="X891" t="s">
        <v>4660</v>
      </c>
    </row>
    <row r="892" spans="1:24" x14ac:dyDescent="0.2">
      <c r="A892" t="s">
        <v>5160</v>
      </c>
      <c r="B892" t="s">
        <v>1524</v>
      </c>
      <c r="C892" t="s">
        <v>1525</v>
      </c>
      <c r="D892" t="s">
        <v>24</v>
      </c>
      <c r="E892" t="s">
        <v>473</v>
      </c>
      <c r="F892" t="s">
        <v>26</v>
      </c>
      <c r="G892" s="202">
        <v>73.483000000000004</v>
      </c>
      <c r="H892">
        <v>3</v>
      </c>
      <c r="I892" t="s">
        <v>3976</v>
      </c>
      <c r="J892" t="s">
        <v>5116</v>
      </c>
      <c r="K892" t="s">
        <v>1283</v>
      </c>
      <c r="L892" s="204">
        <v>0.05</v>
      </c>
      <c r="M892" s="112">
        <v>875.84999999999991</v>
      </c>
      <c r="N892" s="112">
        <v>43.792499999999997</v>
      </c>
      <c r="O892" s="204"/>
      <c r="P892" s="112"/>
      <c r="Q892" s="112"/>
      <c r="R892" s="112"/>
      <c r="S892" s="112"/>
      <c r="T892" s="112"/>
      <c r="U892" t="s">
        <v>5161</v>
      </c>
      <c r="V892" t="s">
        <v>5162</v>
      </c>
      <c r="W892" t="s">
        <v>3958</v>
      </c>
      <c r="X892" t="s">
        <v>4660</v>
      </c>
    </row>
    <row r="893" spans="1:24" x14ac:dyDescent="0.2">
      <c r="A893" t="s">
        <v>5160</v>
      </c>
      <c r="B893" t="s">
        <v>1524</v>
      </c>
      <c r="C893" t="s">
        <v>1525</v>
      </c>
      <c r="D893" t="s">
        <v>24</v>
      </c>
      <c r="E893" t="s">
        <v>473</v>
      </c>
      <c r="F893" t="s">
        <v>26</v>
      </c>
      <c r="G893" s="202">
        <v>73.483000000000004</v>
      </c>
      <c r="H893">
        <v>4</v>
      </c>
      <c r="I893" t="s">
        <v>4017</v>
      </c>
      <c r="J893" t="s">
        <v>5117</v>
      </c>
      <c r="K893" t="s">
        <v>1283</v>
      </c>
      <c r="L893" s="204">
        <v>0.05</v>
      </c>
      <c r="M893" s="112">
        <v>875.84999999999991</v>
      </c>
      <c r="N893" s="112">
        <v>43.792499999999997</v>
      </c>
      <c r="O893" s="204"/>
      <c r="P893" s="112"/>
      <c r="Q893" s="112"/>
      <c r="R893" s="112"/>
      <c r="S893" s="112"/>
      <c r="T893" s="112"/>
      <c r="U893" t="s">
        <v>5161</v>
      </c>
      <c r="V893" t="s">
        <v>5162</v>
      </c>
      <c r="W893" t="s">
        <v>3958</v>
      </c>
      <c r="X893" t="s">
        <v>4660</v>
      </c>
    </row>
    <row r="894" spans="1:24" x14ac:dyDescent="0.2">
      <c r="A894" t="s">
        <v>5160</v>
      </c>
      <c r="B894" t="s">
        <v>1524</v>
      </c>
      <c r="C894" t="s">
        <v>1525</v>
      </c>
      <c r="D894" t="s">
        <v>24</v>
      </c>
      <c r="E894" t="s">
        <v>473</v>
      </c>
      <c r="F894" t="s">
        <v>26</v>
      </c>
      <c r="G894" s="202">
        <v>73.483000000000004</v>
      </c>
      <c r="H894">
        <v>5</v>
      </c>
      <c r="I894" t="s">
        <v>3968</v>
      </c>
      <c r="J894" t="s">
        <v>3969</v>
      </c>
      <c r="K894" t="s">
        <v>26</v>
      </c>
      <c r="L894" s="204">
        <v>1</v>
      </c>
      <c r="M894" s="112"/>
      <c r="N894" s="112">
        <v>875.84999999999991</v>
      </c>
      <c r="O894" s="204">
        <v>0.22229825096930766</v>
      </c>
      <c r="P894" s="112">
        <v>194.69992311146802</v>
      </c>
      <c r="Q894" s="112">
        <v>1070.5499231114679</v>
      </c>
      <c r="R894" s="112">
        <v>78667.22</v>
      </c>
      <c r="S894" s="112">
        <v>78667.22</v>
      </c>
      <c r="T894" s="112">
        <v>0</v>
      </c>
      <c r="U894" t="s">
        <v>5161</v>
      </c>
      <c r="V894" t="s">
        <v>5162</v>
      </c>
      <c r="W894" t="s">
        <v>4666</v>
      </c>
      <c r="X894" t="s">
        <v>4667</v>
      </c>
    </row>
    <row r="895" spans="1:24" x14ac:dyDescent="0.2">
      <c r="A895" t="s">
        <v>5163</v>
      </c>
      <c r="B895" t="s">
        <v>1526</v>
      </c>
      <c r="C895" t="s">
        <v>474</v>
      </c>
      <c r="D895" t="s">
        <v>209</v>
      </c>
      <c r="E895" t="s">
        <v>475</v>
      </c>
      <c r="F895" t="s">
        <v>84</v>
      </c>
      <c r="G895" s="202">
        <v>1</v>
      </c>
      <c r="H895">
        <v>1</v>
      </c>
      <c r="I895" t="s">
        <v>3954</v>
      </c>
      <c r="J895" t="s">
        <v>4992</v>
      </c>
      <c r="K895" t="s">
        <v>1283</v>
      </c>
      <c r="L895" s="204">
        <v>0.27</v>
      </c>
      <c r="M895" s="112">
        <v>8206.3724999999995</v>
      </c>
      <c r="N895" s="112">
        <v>2215.7205749999998</v>
      </c>
      <c r="O895" s="204"/>
      <c r="P895" s="112"/>
      <c r="Q895" s="112"/>
      <c r="R895" s="112"/>
      <c r="S895" s="112"/>
      <c r="T895" s="112"/>
      <c r="U895" t="s">
        <v>4426</v>
      </c>
      <c r="V895" t="s">
        <v>5164</v>
      </c>
      <c r="W895" t="s">
        <v>3958</v>
      </c>
      <c r="X895" t="s">
        <v>4660</v>
      </c>
    </row>
    <row r="896" spans="1:24" x14ac:dyDescent="0.2">
      <c r="A896" t="s">
        <v>5163</v>
      </c>
      <c r="B896" t="s">
        <v>1526</v>
      </c>
      <c r="C896" t="s">
        <v>474</v>
      </c>
      <c r="D896" t="s">
        <v>209</v>
      </c>
      <c r="E896" t="s">
        <v>475</v>
      </c>
      <c r="F896" t="s">
        <v>84</v>
      </c>
      <c r="G896" s="202">
        <v>1</v>
      </c>
      <c r="H896">
        <v>2</v>
      </c>
      <c r="I896" t="s">
        <v>3960</v>
      </c>
      <c r="J896" t="s">
        <v>4994</v>
      </c>
      <c r="K896" t="s">
        <v>1283</v>
      </c>
      <c r="L896" s="204">
        <v>0.63</v>
      </c>
      <c r="M896" s="112">
        <v>8206.3724999999995</v>
      </c>
      <c r="N896" s="112">
        <v>5170.0146749999994</v>
      </c>
      <c r="O896" s="204"/>
      <c r="P896" s="112"/>
      <c r="Q896" s="112"/>
      <c r="R896" s="112"/>
      <c r="S896" s="112"/>
      <c r="T896" s="112"/>
      <c r="U896" t="s">
        <v>4426</v>
      </c>
      <c r="V896" t="s">
        <v>5164</v>
      </c>
      <c r="W896" t="s">
        <v>3958</v>
      </c>
      <c r="X896" t="s">
        <v>4660</v>
      </c>
    </row>
    <row r="897" spans="1:24" x14ac:dyDescent="0.2">
      <c r="A897" t="s">
        <v>5163</v>
      </c>
      <c r="B897" t="s">
        <v>1526</v>
      </c>
      <c r="C897" t="s">
        <v>474</v>
      </c>
      <c r="D897" t="s">
        <v>209</v>
      </c>
      <c r="E897" t="s">
        <v>475</v>
      </c>
      <c r="F897" t="s">
        <v>84</v>
      </c>
      <c r="G897" s="202">
        <v>1</v>
      </c>
      <c r="H897">
        <v>3</v>
      </c>
      <c r="I897" t="s">
        <v>3976</v>
      </c>
      <c r="J897" t="s">
        <v>4995</v>
      </c>
      <c r="K897" t="s">
        <v>1283</v>
      </c>
      <c r="L897" s="204">
        <v>0.05</v>
      </c>
      <c r="M897" s="112">
        <v>8206.3724999999995</v>
      </c>
      <c r="N897" s="112">
        <v>410.318625</v>
      </c>
      <c r="O897" s="204"/>
      <c r="P897" s="112"/>
      <c r="Q897" s="112"/>
      <c r="R897" s="112"/>
      <c r="S897" s="112"/>
      <c r="T897" s="112"/>
      <c r="U897" t="s">
        <v>4426</v>
      </c>
      <c r="V897" t="s">
        <v>5164</v>
      </c>
      <c r="W897" t="s">
        <v>3958</v>
      </c>
      <c r="X897" t="s">
        <v>4660</v>
      </c>
    </row>
    <row r="898" spans="1:24" x14ac:dyDescent="0.2">
      <c r="A898" t="s">
        <v>5163</v>
      </c>
      <c r="B898" t="s">
        <v>1526</v>
      </c>
      <c r="C898" t="s">
        <v>474</v>
      </c>
      <c r="D898" t="s">
        <v>209</v>
      </c>
      <c r="E898" t="s">
        <v>475</v>
      </c>
      <c r="F898" t="s">
        <v>84</v>
      </c>
      <c r="G898" s="202">
        <v>1</v>
      </c>
      <c r="H898">
        <v>4</v>
      </c>
      <c r="I898" t="s">
        <v>4017</v>
      </c>
      <c r="J898" t="s">
        <v>4809</v>
      </c>
      <c r="K898" t="s">
        <v>1283</v>
      </c>
      <c r="L898" s="204">
        <v>0.05</v>
      </c>
      <c r="M898" s="112">
        <v>8206.3724999999995</v>
      </c>
      <c r="N898" s="112">
        <v>410.318625</v>
      </c>
      <c r="O898" s="204"/>
      <c r="P898" s="112"/>
      <c r="Q898" s="112"/>
      <c r="R898" s="112"/>
      <c r="S898" s="112"/>
      <c r="T898" s="112"/>
      <c r="U898" t="s">
        <v>4426</v>
      </c>
      <c r="V898" t="s">
        <v>5164</v>
      </c>
      <c r="W898" t="s">
        <v>3958</v>
      </c>
      <c r="X898" t="s">
        <v>4660</v>
      </c>
    </row>
    <row r="899" spans="1:24" x14ac:dyDescent="0.2">
      <c r="A899" t="s">
        <v>5163</v>
      </c>
      <c r="B899" t="s">
        <v>1526</v>
      </c>
      <c r="C899" t="s">
        <v>474</v>
      </c>
      <c r="D899" t="s">
        <v>209</v>
      </c>
      <c r="E899" t="s">
        <v>475</v>
      </c>
      <c r="F899" t="s">
        <v>84</v>
      </c>
      <c r="G899" s="202">
        <v>1</v>
      </c>
      <c r="H899">
        <v>5</v>
      </c>
      <c r="I899" t="s">
        <v>3968</v>
      </c>
      <c r="J899" t="s">
        <v>3969</v>
      </c>
      <c r="K899" t="s">
        <v>84</v>
      </c>
      <c r="L899" s="204">
        <v>1</v>
      </c>
      <c r="M899" s="112"/>
      <c r="N899" s="112">
        <v>8206.3724999999995</v>
      </c>
      <c r="O899" s="204">
        <v>0.22229889028313066</v>
      </c>
      <c r="P899" s="112">
        <v>1824.2674999999999</v>
      </c>
      <c r="Q899" s="112">
        <v>10030.64</v>
      </c>
      <c r="R899" s="112">
        <v>10030.64</v>
      </c>
      <c r="S899" s="112">
        <v>10030.64</v>
      </c>
      <c r="T899" s="112">
        <v>0</v>
      </c>
      <c r="U899" t="s">
        <v>4426</v>
      </c>
      <c r="V899" t="s">
        <v>5164</v>
      </c>
      <c r="W899" t="s">
        <v>4666</v>
      </c>
      <c r="X899" t="s">
        <v>4667</v>
      </c>
    </row>
    <row r="900" spans="1:24" x14ac:dyDescent="0.2">
      <c r="A900" t="s">
        <v>5165</v>
      </c>
      <c r="B900" t="s">
        <v>478</v>
      </c>
      <c r="C900" t="s">
        <v>1527</v>
      </c>
      <c r="D900" t="s">
        <v>24</v>
      </c>
      <c r="E900" t="s">
        <v>1528</v>
      </c>
      <c r="F900" t="s">
        <v>26</v>
      </c>
      <c r="G900" s="202">
        <v>14.077999999999999</v>
      </c>
      <c r="H900">
        <v>1</v>
      </c>
      <c r="I900" t="s">
        <v>3954</v>
      </c>
      <c r="J900" t="s">
        <v>5112</v>
      </c>
      <c r="K900" t="s">
        <v>1283</v>
      </c>
      <c r="L900" s="204">
        <v>0.22</v>
      </c>
      <c r="M900" s="112">
        <v>478.95000000000005</v>
      </c>
      <c r="N900" s="112">
        <v>105.36900000000001</v>
      </c>
      <c r="O900" s="204"/>
      <c r="P900" s="112"/>
      <c r="Q900" s="112"/>
      <c r="R900" s="112"/>
      <c r="S900" s="112"/>
      <c r="T900" s="112"/>
      <c r="U900" t="s">
        <v>5166</v>
      </c>
      <c r="V900" t="s">
        <v>5167</v>
      </c>
      <c r="W900" t="s">
        <v>3958</v>
      </c>
      <c r="X900" t="s">
        <v>4660</v>
      </c>
    </row>
    <row r="901" spans="1:24" x14ac:dyDescent="0.2">
      <c r="A901" t="s">
        <v>5165</v>
      </c>
      <c r="B901" t="s">
        <v>478</v>
      </c>
      <c r="C901" t="s">
        <v>1527</v>
      </c>
      <c r="D901" t="s">
        <v>24</v>
      </c>
      <c r="E901" t="s">
        <v>1528</v>
      </c>
      <c r="F901" t="s">
        <v>26</v>
      </c>
      <c r="G901" s="202">
        <v>14.077999999999999</v>
      </c>
      <c r="H901">
        <v>2</v>
      </c>
      <c r="I901" t="s">
        <v>3960</v>
      </c>
      <c r="J901" t="s">
        <v>5115</v>
      </c>
      <c r="K901" t="s">
        <v>1283</v>
      </c>
      <c r="L901" s="204">
        <v>0.68</v>
      </c>
      <c r="M901" s="112">
        <v>478.95000000000005</v>
      </c>
      <c r="N901" s="112">
        <v>325.68600000000004</v>
      </c>
      <c r="O901" s="204"/>
      <c r="P901" s="112"/>
      <c r="Q901" s="112"/>
      <c r="R901" s="112"/>
      <c r="S901" s="112"/>
      <c r="T901" s="112"/>
      <c r="U901" t="s">
        <v>5166</v>
      </c>
      <c r="V901" t="s">
        <v>5167</v>
      </c>
      <c r="W901" t="s">
        <v>3958</v>
      </c>
      <c r="X901" t="s">
        <v>4660</v>
      </c>
    </row>
    <row r="902" spans="1:24" x14ac:dyDescent="0.2">
      <c r="A902" t="s">
        <v>5165</v>
      </c>
      <c r="B902" t="s">
        <v>478</v>
      </c>
      <c r="C902" t="s">
        <v>1527</v>
      </c>
      <c r="D902" t="s">
        <v>24</v>
      </c>
      <c r="E902" t="s">
        <v>1528</v>
      </c>
      <c r="F902" t="s">
        <v>26</v>
      </c>
      <c r="G902" s="202">
        <v>14.077999999999999</v>
      </c>
      <c r="H902">
        <v>3</v>
      </c>
      <c r="I902" t="s">
        <v>3976</v>
      </c>
      <c r="J902" t="s">
        <v>5116</v>
      </c>
      <c r="K902" t="s">
        <v>1283</v>
      </c>
      <c r="L902" s="204">
        <v>0.05</v>
      </c>
      <c r="M902" s="112">
        <v>478.95000000000005</v>
      </c>
      <c r="N902" s="112">
        <v>23.947500000000005</v>
      </c>
      <c r="O902" s="204"/>
      <c r="P902" s="112"/>
      <c r="Q902" s="112"/>
      <c r="R902" s="112"/>
      <c r="S902" s="112"/>
      <c r="T902" s="112"/>
      <c r="U902" t="s">
        <v>5166</v>
      </c>
      <c r="V902" t="s">
        <v>5167</v>
      </c>
      <c r="W902" t="s">
        <v>3958</v>
      </c>
      <c r="X902" t="s">
        <v>4660</v>
      </c>
    </row>
    <row r="903" spans="1:24" x14ac:dyDescent="0.2">
      <c r="A903" t="s">
        <v>5165</v>
      </c>
      <c r="B903" t="s">
        <v>478</v>
      </c>
      <c r="C903" t="s">
        <v>1527</v>
      </c>
      <c r="D903" t="s">
        <v>24</v>
      </c>
      <c r="E903" t="s">
        <v>1528</v>
      </c>
      <c r="F903" t="s">
        <v>26</v>
      </c>
      <c r="G903" s="202">
        <v>14.077999999999999</v>
      </c>
      <c r="H903">
        <v>4</v>
      </c>
      <c r="I903" t="s">
        <v>4017</v>
      </c>
      <c r="J903" t="s">
        <v>5117</v>
      </c>
      <c r="K903" t="s">
        <v>1283</v>
      </c>
      <c r="L903" s="204">
        <v>0.05</v>
      </c>
      <c r="M903" s="112">
        <v>478.95000000000005</v>
      </c>
      <c r="N903" s="112">
        <v>23.947500000000005</v>
      </c>
      <c r="O903" s="204"/>
      <c r="P903" s="112"/>
      <c r="Q903" s="112"/>
      <c r="R903" s="112"/>
      <c r="S903" s="112"/>
      <c r="T903" s="112"/>
      <c r="U903" t="s">
        <v>5166</v>
      </c>
      <c r="V903" t="s">
        <v>5167</v>
      </c>
      <c r="W903" t="s">
        <v>3958</v>
      </c>
      <c r="X903" t="s">
        <v>4660</v>
      </c>
    </row>
    <row r="904" spans="1:24" x14ac:dyDescent="0.2">
      <c r="A904" t="s">
        <v>5165</v>
      </c>
      <c r="B904" t="s">
        <v>478</v>
      </c>
      <c r="C904" t="s">
        <v>1527</v>
      </c>
      <c r="D904" t="s">
        <v>24</v>
      </c>
      <c r="E904" t="s">
        <v>1528</v>
      </c>
      <c r="F904" t="s">
        <v>26</v>
      </c>
      <c r="G904" s="202">
        <v>14.077999999999999</v>
      </c>
      <c r="H904">
        <v>5</v>
      </c>
      <c r="I904" t="s">
        <v>3968</v>
      </c>
      <c r="J904" t="s">
        <v>3969</v>
      </c>
      <c r="K904" t="s">
        <v>26</v>
      </c>
      <c r="L904" s="204">
        <v>1</v>
      </c>
      <c r="M904" s="112"/>
      <c r="N904" s="112">
        <v>478.95000000000005</v>
      </c>
      <c r="O904" s="204">
        <v>0.22229836924402258</v>
      </c>
      <c r="P904" s="112">
        <v>106.46980394942466</v>
      </c>
      <c r="Q904" s="112">
        <v>585.4198039494247</v>
      </c>
      <c r="R904" s="112">
        <v>8241.5400000000009</v>
      </c>
      <c r="S904" s="112">
        <v>8241.5400000000009</v>
      </c>
      <c r="T904" s="112">
        <v>0</v>
      </c>
      <c r="U904" t="s">
        <v>5166</v>
      </c>
      <c r="V904" t="s">
        <v>5167</v>
      </c>
      <c r="W904" t="s">
        <v>4666</v>
      </c>
      <c r="X904" t="s">
        <v>4667</v>
      </c>
    </row>
    <row r="905" spans="1:24" x14ac:dyDescent="0.2">
      <c r="A905" t="s">
        <v>5168</v>
      </c>
      <c r="B905" t="s">
        <v>481</v>
      </c>
      <c r="C905" t="s">
        <v>1529</v>
      </c>
      <c r="D905" t="s">
        <v>24</v>
      </c>
      <c r="E905" t="s">
        <v>1530</v>
      </c>
      <c r="F905" t="s">
        <v>84</v>
      </c>
      <c r="G905" s="202">
        <v>4</v>
      </c>
      <c r="H905">
        <v>1</v>
      </c>
      <c r="I905" t="s">
        <v>3954</v>
      </c>
      <c r="J905" t="s">
        <v>5112</v>
      </c>
      <c r="K905" t="s">
        <v>1283</v>
      </c>
      <c r="L905" s="204">
        <v>0.22</v>
      </c>
      <c r="M905" s="112">
        <v>141.19499999999999</v>
      </c>
      <c r="N905" s="112">
        <v>31.062899999999999</v>
      </c>
      <c r="O905" s="204"/>
      <c r="P905" s="112"/>
      <c r="Q905" s="112"/>
      <c r="R905" s="112"/>
      <c r="S905" s="112"/>
      <c r="T905" s="112"/>
      <c r="U905" t="s">
        <v>5169</v>
      </c>
      <c r="V905" t="s">
        <v>5170</v>
      </c>
      <c r="W905" t="s">
        <v>3958</v>
      </c>
      <c r="X905" t="s">
        <v>4660</v>
      </c>
    </row>
    <row r="906" spans="1:24" x14ac:dyDescent="0.2">
      <c r="A906" t="s">
        <v>5168</v>
      </c>
      <c r="B906" t="s">
        <v>481</v>
      </c>
      <c r="C906" t="s">
        <v>1529</v>
      </c>
      <c r="D906" t="s">
        <v>24</v>
      </c>
      <c r="E906" t="s">
        <v>1530</v>
      </c>
      <c r="F906" t="s">
        <v>84</v>
      </c>
      <c r="G906" s="202">
        <v>4</v>
      </c>
      <c r="H906">
        <v>2</v>
      </c>
      <c r="I906" t="s">
        <v>3960</v>
      </c>
      <c r="J906" t="s">
        <v>5115</v>
      </c>
      <c r="K906" t="s">
        <v>1283</v>
      </c>
      <c r="L906" s="204">
        <v>0.68</v>
      </c>
      <c r="M906" s="112">
        <v>141.19499999999999</v>
      </c>
      <c r="N906" s="112">
        <v>96.012600000000006</v>
      </c>
      <c r="O906" s="204"/>
      <c r="P906" s="112"/>
      <c r="Q906" s="112"/>
      <c r="R906" s="112"/>
      <c r="S906" s="112"/>
      <c r="T906" s="112"/>
      <c r="U906" t="s">
        <v>5169</v>
      </c>
      <c r="V906" t="s">
        <v>5170</v>
      </c>
      <c r="W906" t="s">
        <v>3958</v>
      </c>
      <c r="X906" t="s">
        <v>4660</v>
      </c>
    </row>
    <row r="907" spans="1:24" x14ac:dyDescent="0.2">
      <c r="A907" t="s">
        <v>5168</v>
      </c>
      <c r="B907" t="s">
        <v>481</v>
      </c>
      <c r="C907" t="s">
        <v>1529</v>
      </c>
      <c r="D907" t="s">
        <v>24</v>
      </c>
      <c r="E907" t="s">
        <v>1530</v>
      </c>
      <c r="F907" t="s">
        <v>84</v>
      </c>
      <c r="G907" s="202">
        <v>4</v>
      </c>
      <c r="H907">
        <v>3</v>
      </c>
      <c r="I907" t="s">
        <v>3976</v>
      </c>
      <c r="J907" t="s">
        <v>5116</v>
      </c>
      <c r="K907" t="s">
        <v>1283</v>
      </c>
      <c r="L907" s="204">
        <v>0.05</v>
      </c>
      <c r="M907" s="112">
        <v>141.19499999999999</v>
      </c>
      <c r="N907" s="112">
        <v>7.0597500000000002</v>
      </c>
      <c r="O907" s="204"/>
      <c r="P907" s="112"/>
      <c r="Q907" s="112"/>
      <c r="R907" s="112"/>
      <c r="S907" s="112"/>
      <c r="T907" s="112"/>
      <c r="U907" t="s">
        <v>5169</v>
      </c>
      <c r="V907" t="s">
        <v>5170</v>
      </c>
      <c r="W907" t="s">
        <v>3958</v>
      </c>
      <c r="X907" t="s">
        <v>4660</v>
      </c>
    </row>
    <row r="908" spans="1:24" x14ac:dyDescent="0.2">
      <c r="A908" t="s">
        <v>5168</v>
      </c>
      <c r="B908" t="s">
        <v>481</v>
      </c>
      <c r="C908" t="s">
        <v>1529</v>
      </c>
      <c r="D908" t="s">
        <v>24</v>
      </c>
      <c r="E908" t="s">
        <v>1530</v>
      </c>
      <c r="F908" t="s">
        <v>84</v>
      </c>
      <c r="G908" s="202">
        <v>4</v>
      </c>
      <c r="H908">
        <v>4</v>
      </c>
      <c r="I908" t="s">
        <v>4017</v>
      </c>
      <c r="J908" t="s">
        <v>5117</v>
      </c>
      <c r="K908" t="s">
        <v>1283</v>
      </c>
      <c r="L908" s="204">
        <v>0.05</v>
      </c>
      <c r="M908" s="112">
        <v>141.19499999999999</v>
      </c>
      <c r="N908" s="112">
        <v>7.0597500000000002</v>
      </c>
      <c r="O908" s="204"/>
      <c r="P908" s="112"/>
      <c r="Q908" s="112"/>
      <c r="R908" s="112"/>
      <c r="S908" s="112"/>
      <c r="T908" s="112"/>
      <c r="U908" t="s">
        <v>5169</v>
      </c>
      <c r="V908" t="s">
        <v>5170</v>
      </c>
      <c r="W908" t="s">
        <v>3958</v>
      </c>
      <c r="X908" t="s">
        <v>4660</v>
      </c>
    </row>
    <row r="909" spans="1:24" x14ac:dyDescent="0.2">
      <c r="A909" t="s">
        <v>5168</v>
      </c>
      <c r="B909" t="s">
        <v>481</v>
      </c>
      <c r="C909" t="s">
        <v>1529</v>
      </c>
      <c r="D909" t="s">
        <v>24</v>
      </c>
      <c r="E909" t="s">
        <v>1530</v>
      </c>
      <c r="F909" t="s">
        <v>84</v>
      </c>
      <c r="G909" s="202">
        <v>4</v>
      </c>
      <c r="H909">
        <v>5</v>
      </c>
      <c r="I909" t="s">
        <v>3968</v>
      </c>
      <c r="J909" t="s">
        <v>3969</v>
      </c>
      <c r="K909" t="s">
        <v>84</v>
      </c>
      <c r="L909" s="204">
        <v>1</v>
      </c>
      <c r="M909" s="112"/>
      <c r="N909" s="112">
        <v>141.19499999999999</v>
      </c>
      <c r="O909" s="204">
        <v>0.22229894826304064</v>
      </c>
      <c r="P909" s="112">
        <v>31.387500000000017</v>
      </c>
      <c r="Q909" s="112">
        <v>172.58250000000001</v>
      </c>
      <c r="R909" s="112">
        <v>690.33</v>
      </c>
      <c r="S909" s="112">
        <v>690.33</v>
      </c>
      <c r="T909" s="112">
        <v>0</v>
      </c>
      <c r="U909" t="s">
        <v>5169</v>
      </c>
      <c r="V909" t="s">
        <v>5170</v>
      </c>
      <c r="W909" t="s">
        <v>4666</v>
      </c>
      <c r="X909" t="s">
        <v>4667</v>
      </c>
    </row>
    <row r="910" spans="1:24" x14ac:dyDescent="0.2">
      <c r="A910" t="s">
        <v>5171</v>
      </c>
      <c r="B910" t="s">
        <v>484</v>
      </c>
      <c r="C910" t="s">
        <v>1531</v>
      </c>
      <c r="D910" t="s">
        <v>56</v>
      </c>
      <c r="E910" t="s">
        <v>485</v>
      </c>
      <c r="F910" t="s">
        <v>84</v>
      </c>
      <c r="G910" s="202">
        <v>2</v>
      </c>
      <c r="H910">
        <v>1</v>
      </c>
      <c r="I910" t="s">
        <v>3954</v>
      </c>
      <c r="J910" t="s">
        <v>5112</v>
      </c>
      <c r="K910" t="s">
        <v>1283</v>
      </c>
      <c r="L910" s="204">
        <v>0.22</v>
      </c>
      <c r="M910" s="112">
        <v>3876.3825000000002</v>
      </c>
      <c r="N910" s="112">
        <v>852.80415000000005</v>
      </c>
      <c r="O910" s="204"/>
      <c r="P910" s="112"/>
      <c r="Q910" s="112"/>
      <c r="R910" s="112"/>
      <c r="S910" s="112"/>
      <c r="T910" s="112"/>
      <c r="U910" t="s">
        <v>5172</v>
      </c>
      <c r="V910" t="s">
        <v>5173</v>
      </c>
      <c r="W910" t="s">
        <v>3958</v>
      </c>
      <c r="X910" t="s">
        <v>4660</v>
      </c>
    </row>
    <row r="911" spans="1:24" x14ac:dyDescent="0.2">
      <c r="A911" t="s">
        <v>5171</v>
      </c>
      <c r="B911" t="s">
        <v>484</v>
      </c>
      <c r="C911" t="s">
        <v>1531</v>
      </c>
      <c r="D911" t="s">
        <v>56</v>
      </c>
      <c r="E911" t="s">
        <v>485</v>
      </c>
      <c r="F911" t="s">
        <v>84</v>
      </c>
      <c r="G911" s="202">
        <v>2</v>
      </c>
      <c r="H911">
        <v>2</v>
      </c>
      <c r="I911" t="s">
        <v>3960</v>
      </c>
      <c r="J911" t="s">
        <v>5115</v>
      </c>
      <c r="K911" t="s">
        <v>1283</v>
      </c>
      <c r="L911" s="204">
        <v>0.68</v>
      </c>
      <c r="M911" s="112">
        <v>3876.3825000000002</v>
      </c>
      <c r="N911" s="112">
        <v>2635.9401000000003</v>
      </c>
      <c r="O911" s="204"/>
      <c r="P911" s="112"/>
      <c r="Q911" s="112"/>
      <c r="R911" s="112"/>
      <c r="S911" s="112"/>
      <c r="T911" s="112"/>
      <c r="U911" t="s">
        <v>5172</v>
      </c>
      <c r="V911" t="s">
        <v>5173</v>
      </c>
      <c r="W911" t="s">
        <v>3958</v>
      </c>
      <c r="X911" t="s">
        <v>4660</v>
      </c>
    </row>
    <row r="912" spans="1:24" x14ac:dyDescent="0.2">
      <c r="A912" t="s">
        <v>5171</v>
      </c>
      <c r="B912" t="s">
        <v>484</v>
      </c>
      <c r="C912" t="s">
        <v>1531</v>
      </c>
      <c r="D912" t="s">
        <v>56</v>
      </c>
      <c r="E912" t="s">
        <v>485</v>
      </c>
      <c r="F912" t="s">
        <v>84</v>
      </c>
      <c r="G912" s="202">
        <v>2</v>
      </c>
      <c r="H912">
        <v>3</v>
      </c>
      <c r="I912" t="s">
        <v>3976</v>
      </c>
      <c r="J912" t="s">
        <v>5116</v>
      </c>
      <c r="K912" t="s">
        <v>1283</v>
      </c>
      <c r="L912" s="204">
        <v>0.05</v>
      </c>
      <c r="M912" s="112">
        <v>3876.3825000000002</v>
      </c>
      <c r="N912" s="112">
        <v>193.81912500000001</v>
      </c>
      <c r="O912" s="204"/>
      <c r="P912" s="112"/>
      <c r="Q912" s="112"/>
      <c r="R912" s="112"/>
      <c r="S912" s="112"/>
      <c r="T912" s="112"/>
      <c r="U912" t="s">
        <v>5172</v>
      </c>
      <c r="V912" t="s">
        <v>5173</v>
      </c>
      <c r="W912" t="s">
        <v>3958</v>
      </c>
      <c r="X912" t="s">
        <v>4660</v>
      </c>
    </row>
    <row r="913" spans="1:24" x14ac:dyDescent="0.2">
      <c r="A913" t="s">
        <v>5171</v>
      </c>
      <c r="B913" t="s">
        <v>484</v>
      </c>
      <c r="C913" t="s">
        <v>1531</v>
      </c>
      <c r="D913" t="s">
        <v>56</v>
      </c>
      <c r="E913" t="s">
        <v>485</v>
      </c>
      <c r="F913" t="s">
        <v>84</v>
      </c>
      <c r="G913" s="202">
        <v>2</v>
      </c>
      <c r="H913">
        <v>4</v>
      </c>
      <c r="I913" t="s">
        <v>4017</v>
      </c>
      <c r="J913" t="s">
        <v>5117</v>
      </c>
      <c r="K913" t="s">
        <v>1283</v>
      </c>
      <c r="L913" s="204">
        <v>0.05</v>
      </c>
      <c r="M913" s="112">
        <v>3876.3825000000002</v>
      </c>
      <c r="N913" s="112">
        <v>193.81912500000001</v>
      </c>
      <c r="O913" s="204"/>
      <c r="P913" s="112"/>
      <c r="Q913" s="112"/>
      <c r="R913" s="112"/>
      <c r="S913" s="112"/>
      <c r="T913" s="112"/>
      <c r="U913" t="s">
        <v>5172</v>
      </c>
      <c r="V913" t="s">
        <v>5173</v>
      </c>
      <c r="W913" t="s">
        <v>3958</v>
      </c>
      <c r="X913" t="s">
        <v>4660</v>
      </c>
    </row>
    <row r="914" spans="1:24" x14ac:dyDescent="0.2">
      <c r="A914" t="s">
        <v>5171</v>
      </c>
      <c r="B914" t="s">
        <v>484</v>
      </c>
      <c r="C914" t="s">
        <v>1531</v>
      </c>
      <c r="D914" t="s">
        <v>56</v>
      </c>
      <c r="E914" t="s">
        <v>485</v>
      </c>
      <c r="F914" t="s">
        <v>84</v>
      </c>
      <c r="G914" s="202">
        <v>2</v>
      </c>
      <c r="H914">
        <v>5</v>
      </c>
      <c r="I914" t="s">
        <v>3968</v>
      </c>
      <c r="J914" t="s">
        <v>3969</v>
      </c>
      <c r="K914" t="s">
        <v>84</v>
      </c>
      <c r="L914" s="204">
        <v>1</v>
      </c>
      <c r="M914" s="112"/>
      <c r="N914" s="112">
        <v>3876.3825000000002</v>
      </c>
      <c r="O914" s="204">
        <v>0.22229810912622794</v>
      </c>
      <c r="P914" s="112">
        <v>861.71250000000009</v>
      </c>
      <c r="Q914" s="112">
        <v>4738.0950000000003</v>
      </c>
      <c r="R914" s="112">
        <v>9476.19</v>
      </c>
      <c r="S914" s="112">
        <v>9476.19</v>
      </c>
      <c r="T914" s="112">
        <v>0</v>
      </c>
      <c r="U914" t="s">
        <v>5172</v>
      </c>
      <c r="V914" t="s">
        <v>5173</v>
      </c>
      <c r="W914" t="s">
        <v>4666</v>
      </c>
      <c r="X914" t="s">
        <v>4667</v>
      </c>
    </row>
    <row r="915" spans="1:24" x14ac:dyDescent="0.2">
      <c r="A915" t="s">
        <v>5174</v>
      </c>
      <c r="B915" t="s">
        <v>486</v>
      </c>
      <c r="C915" t="s">
        <v>1532</v>
      </c>
      <c r="D915" t="s">
        <v>56</v>
      </c>
      <c r="E915" t="s">
        <v>487</v>
      </c>
      <c r="F915" t="s">
        <v>84</v>
      </c>
      <c r="G915" s="202">
        <v>2</v>
      </c>
      <c r="H915">
        <v>1</v>
      </c>
      <c r="I915" t="s">
        <v>3954</v>
      </c>
      <c r="J915" t="s">
        <v>5112</v>
      </c>
      <c r="K915" t="s">
        <v>1283</v>
      </c>
      <c r="L915" s="204">
        <v>0.22</v>
      </c>
      <c r="M915" s="112">
        <v>1932.0749999999998</v>
      </c>
      <c r="N915" s="112">
        <v>425.05649999999997</v>
      </c>
      <c r="O915" s="204"/>
      <c r="P915" s="112"/>
      <c r="Q915" s="112"/>
      <c r="R915" s="112"/>
      <c r="S915" s="112"/>
      <c r="T915" s="112"/>
      <c r="U915" t="s">
        <v>5175</v>
      </c>
      <c r="V915" t="s">
        <v>5176</v>
      </c>
      <c r="W915" t="s">
        <v>3958</v>
      </c>
      <c r="X915" t="s">
        <v>4660</v>
      </c>
    </row>
    <row r="916" spans="1:24" x14ac:dyDescent="0.2">
      <c r="A916" t="s">
        <v>5174</v>
      </c>
      <c r="B916" t="s">
        <v>486</v>
      </c>
      <c r="C916" t="s">
        <v>1532</v>
      </c>
      <c r="D916" t="s">
        <v>56</v>
      </c>
      <c r="E916" t="s">
        <v>487</v>
      </c>
      <c r="F916" t="s">
        <v>84</v>
      </c>
      <c r="G916" s="202">
        <v>2</v>
      </c>
      <c r="H916">
        <v>2</v>
      </c>
      <c r="I916" t="s">
        <v>3960</v>
      </c>
      <c r="J916" t="s">
        <v>5115</v>
      </c>
      <c r="K916" t="s">
        <v>1283</v>
      </c>
      <c r="L916" s="204">
        <v>0.68</v>
      </c>
      <c r="M916" s="112">
        <v>1932.0749999999998</v>
      </c>
      <c r="N916" s="112">
        <v>1313.8109999999999</v>
      </c>
      <c r="O916" s="204"/>
      <c r="P916" s="112"/>
      <c r="Q916" s="112"/>
      <c r="R916" s="112"/>
      <c r="S916" s="112"/>
      <c r="T916" s="112"/>
      <c r="U916" t="s">
        <v>5175</v>
      </c>
      <c r="V916" t="s">
        <v>5176</v>
      </c>
      <c r="W916" t="s">
        <v>3958</v>
      </c>
      <c r="X916" t="s">
        <v>4660</v>
      </c>
    </row>
    <row r="917" spans="1:24" x14ac:dyDescent="0.2">
      <c r="A917" t="s">
        <v>5174</v>
      </c>
      <c r="B917" t="s">
        <v>486</v>
      </c>
      <c r="C917" t="s">
        <v>1532</v>
      </c>
      <c r="D917" t="s">
        <v>56</v>
      </c>
      <c r="E917" t="s">
        <v>487</v>
      </c>
      <c r="F917" t="s">
        <v>84</v>
      </c>
      <c r="G917" s="202">
        <v>2</v>
      </c>
      <c r="H917">
        <v>3</v>
      </c>
      <c r="I917" t="s">
        <v>3976</v>
      </c>
      <c r="J917" t="s">
        <v>5116</v>
      </c>
      <c r="K917" t="s">
        <v>1283</v>
      </c>
      <c r="L917" s="204">
        <v>0.05</v>
      </c>
      <c r="M917" s="112">
        <v>1932.0749999999998</v>
      </c>
      <c r="N917" s="112">
        <v>96.603749999999991</v>
      </c>
      <c r="O917" s="204"/>
      <c r="P917" s="112"/>
      <c r="Q917" s="112"/>
      <c r="R917" s="112"/>
      <c r="S917" s="112"/>
      <c r="T917" s="112"/>
      <c r="U917" t="s">
        <v>5175</v>
      </c>
      <c r="V917" t="s">
        <v>5176</v>
      </c>
      <c r="W917" t="s">
        <v>3958</v>
      </c>
      <c r="X917" t="s">
        <v>4660</v>
      </c>
    </row>
    <row r="918" spans="1:24" x14ac:dyDescent="0.2">
      <c r="A918" t="s">
        <v>5174</v>
      </c>
      <c r="B918" t="s">
        <v>486</v>
      </c>
      <c r="C918" t="s">
        <v>1532</v>
      </c>
      <c r="D918" t="s">
        <v>56</v>
      </c>
      <c r="E918" t="s">
        <v>487</v>
      </c>
      <c r="F918" t="s">
        <v>84</v>
      </c>
      <c r="G918" s="202">
        <v>2</v>
      </c>
      <c r="H918">
        <v>4</v>
      </c>
      <c r="I918" t="s">
        <v>4017</v>
      </c>
      <c r="J918" t="s">
        <v>5117</v>
      </c>
      <c r="K918" t="s">
        <v>1283</v>
      </c>
      <c r="L918" s="204">
        <v>0.05</v>
      </c>
      <c r="M918" s="112">
        <v>1932.0749999999998</v>
      </c>
      <c r="N918" s="112">
        <v>96.603749999999991</v>
      </c>
      <c r="O918" s="204"/>
      <c r="P918" s="112"/>
      <c r="Q918" s="112"/>
      <c r="R918" s="112"/>
      <c r="S918" s="112"/>
      <c r="T918" s="112"/>
      <c r="U918" t="s">
        <v>5175</v>
      </c>
      <c r="V918" t="s">
        <v>5176</v>
      </c>
      <c r="W918" t="s">
        <v>3958</v>
      </c>
      <c r="X918" t="s">
        <v>4660</v>
      </c>
    </row>
    <row r="919" spans="1:24" x14ac:dyDescent="0.2">
      <c r="A919" t="s">
        <v>5174</v>
      </c>
      <c r="B919" t="s">
        <v>486</v>
      </c>
      <c r="C919" t="s">
        <v>1532</v>
      </c>
      <c r="D919" t="s">
        <v>56</v>
      </c>
      <c r="E919" t="s">
        <v>487</v>
      </c>
      <c r="F919" t="s">
        <v>84</v>
      </c>
      <c r="G919" s="202">
        <v>2</v>
      </c>
      <c r="H919">
        <v>5</v>
      </c>
      <c r="I919" t="s">
        <v>3968</v>
      </c>
      <c r="J919" t="s">
        <v>3969</v>
      </c>
      <c r="K919" t="s">
        <v>84</v>
      </c>
      <c r="L919" s="204">
        <v>1</v>
      </c>
      <c r="M919" s="112"/>
      <c r="N919" s="112">
        <v>1932.0749999999998</v>
      </c>
      <c r="O919" s="204">
        <v>0.22229727106866992</v>
      </c>
      <c r="P919" s="112">
        <v>429.49500000000035</v>
      </c>
      <c r="Q919" s="112">
        <v>2361.5700000000002</v>
      </c>
      <c r="R919" s="112">
        <v>4723.1400000000003</v>
      </c>
      <c r="S919" s="112">
        <v>4723.1400000000003</v>
      </c>
      <c r="T919" s="112">
        <v>0</v>
      </c>
      <c r="U919" t="s">
        <v>5175</v>
      </c>
      <c r="V919" t="s">
        <v>5176</v>
      </c>
      <c r="W919" t="s">
        <v>4666</v>
      </c>
      <c r="X919" t="s">
        <v>4667</v>
      </c>
    </row>
    <row r="920" spans="1:24" x14ac:dyDescent="0.2">
      <c r="A920" t="s">
        <v>5177</v>
      </c>
      <c r="B920" t="s">
        <v>488</v>
      </c>
      <c r="C920" t="s">
        <v>1533</v>
      </c>
      <c r="D920" t="s">
        <v>24</v>
      </c>
      <c r="E920" t="s">
        <v>490</v>
      </c>
      <c r="F920" t="s">
        <v>26</v>
      </c>
      <c r="G920" s="202">
        <v>192.67599999999999</v>
      </c>
      <c r="H920">
        <v>1</v>
      </c>
      <c r="I920" t="s">
        <v>3954</v>
      </c>
      <c r="J920" t="s">
        <v>5112</v>
      </c>
      <c r="K920" t="s">
        <v>1283</v>
      </c>
      <c r="L920" s="204">
        <v>0.22</v>
      </c>
      <c r="M920" s="112">
        <v>485.12250000000006</v>
      </c>
      <c r="N920" s="112">
        <v>106.72695000000002</v>
      </c>
      <c r="O920" s="204"/>
      <c r="P920" s="112"/>
      <c r="Q920" s="112"/>
      <c r="R920" s="112"/>
      <c r="S920" s="112"/>
      <c r="T920" s="112"/>
      <c r="U920" t="s">
        <v>5178</v>
      </c>
      <c r="V920" t="s">
        <v>5179</v>
      </c>
      <c r="W920" t="s">
        <v>3958</v>
      </c>
      <c r="X920" t="s">
        <v>4660</v>
      </c>
    </row>
    <row r="921" spans="1:24" x14ac:dyDescent="0.2">
      <c r="A921" t="s">
        <v>5177</v>
      </c>
      <c r="B921" t="s">
        <v>488</v>
      </c>
      <c r="C921" t="s">
        <v>1533</v>
      </c>
      <c r="D921" t="s">
        <v>24</v>
      </c>
      <c r="E921" t="s">
        <v>490</v>
      </c>
      <c r="F921" t="s">
        <v>26</v>
      </c>
      <c r="G921" s="202">
        <v>192.67599999999999</v>
      </c>
      <c r="H921">
        <v>2</v>
      </c>
      <c r="I921" t="s">
        <v>3960</v>
      </c>
      <c r="J921" t="s">
        <v>5115</v>
      </c>
      <c r="K921" t="s">
        <v>1283</v>
      </c>
      <c r="L921" s="204">
        <v>0.68</v>
      </c>
      <c r="M921" s="112">
        <v>485.12250000000006</v>
      </c>
      <c r="N921" s="112">
        <v>329.88330000000008</v>
      </c>
      <c r="O921" s="204"/>
      <c r="P921" s="112"/>
      <c r="Q921" s="112"/>
      <c r="R921" s="112"/>
      <c r="S921" s="112"/>
      <c r="T921" s="112"/>
      <c r="U921" t="s">
        <v>5178</v>
      </c>
      <c r="V921" t="s">
        <v>5179</v>
      </c>
      <c r="W921" t="s">
        <v>3958</v>
      </c>
      <c r="X921" t="s">
        <v>4660</v>
      </c>
    </row>
    <row r="922" spans="1:24" x14ac:dyDescent="0.2">
      <c r="A922" t="s">
        <v>5177</v>
      </c>
      <c r="B922" t="s">
        <v>488</v>
      </c>
      <c r="C922" t="s">
        <v>1533</v>
      </c>
      <c r="D922" t="s">
        <v>24</v>
      </c>
      <c r="E922" t="s">
        <v>490</v>
      </c>
      <c r="F922" t="s">
        <v>26</v>
      </c>
      <c r="G922" s="202">
        <v>192.67599999999999</v>
      </c>
      <c r="H922">
        <v>3</v>
      </c>
      <c r="I922" t="s">
        <v>3976</v>
      </c>
      <c r="J922" t="s">
        <v>5116</v>
      </c>
      <c r="K922" t="s">
        <v>1283</v>
      </c>
      <c r="L922" s="204">
        <v>0.05</v>
      </c>
      <c r="M922" s="112">
        <v>485.12250000000006</v>
      </c>
      <c r="N922" s="112">
        <v>24.256125000000004</v>
      </c>
      <c r="O922" s="204"/>
      <c r="P922" s="112"/>
      <c r="Q922" s="112"/>
      <c r="R922" s="112"/>
      <c r="S922" s="112"/>
      <c r="T922" s="112"/>
      <c r="U922" t="s">
        <v>5178</v>
      </c>
      <c r="V922" t="s">
        <v>5179</v>
      </c>
      <c r="W922" t="s">
        <v>3958</v>
      </c>
      <c r="X922" t="s">
        <v>4660</v>
      </c>
    </row>
    <row r="923" spans="1:24" x14ac:dyDescent="0.2">
      <c r="A923" t="s">
        <v>5177</v>
      </c>
      <c r="B923" t="s">
        <v>488</v>
      </c>
      <c r="C923" t="s">
        <v>1533</v>
      </c>
      <c r="D923" t="s">
        <v>24</v>
      </c>
      <c r="E923" t="s">
        <v>490</v>
      </c>
      <c r="F923" t="s">
        <v>26</v>
      </c>
      <c r="G923" s="202">
        <v>192.67599999999999</v>
      </c>
      <c r="H923">
        <v>4</v>
      </c>
      <c r="I923" t="s">
        <v>4017</v>
      </c>
      <c r="J923" t="s">
        <v>5117</v>
      </c>
      <c r="K923" t="s">
        <v>1283</v>
      </c>
      <c r="L923" s="204">
        <v>0.05</v>
      </c>
      <c r="M923" s="112">
        <v>485.12250000000006</v>
      </c>
      <c r="N923" s="112">
        <v>24.256125000000004</v>
      </c>
      <c r="O923" s="204"/>
      <c r="P923" s="112"/>
      <c r="Q923" s="112"/>
      <c r="R923" s="112"/>
      <c r="S923" s="112"/>
      <c r="T923" s="112"/>
      <c r="U923" t="s">
        <v>5178</v>
      </c>
      <c r="V923" t="s">
        <v>5179</v>
      </c>
      <c r="W923" t="s">
        <v>3958</v>
      </c>
      <c r="X923" t="s">
        <v>4660</v>
      </c>
    </row>
    <row r="924" spans="1:24" x14ac:dyDescent="0.2">
      <c r="A924" t="s">
        <v>5177</v>
      </c>
      <c r="B924" t="s">
        <v>488</v>
      </c>
      <c r="C924" t="s">
        <v>1533</v>
      </c>
      <c r="D924" t="s">
        <v>24</v>
      </c>
      <c r="E924" t="s">
        <v>490</v>
      </c>
      <c r="F924" t="s">
        <v>26</v>
      </c>
      <c r="G924" s="202">
        <v>192.67599999999999</v>
      </c>
      <c r="H924">
        <v>5</v>
      </c>
      <c r="I924" t="s">
        <v>3968</v>
      </c>
      <c r="J924" t="s">
        <v>3969</v>
      </c>
      <c r="K924" t="s">
        <v>26</v>
      </c>
      <c r="L924" s="204">
        <v>1</v>
      </c>
      <c r="M924" s="112"/>
      <c r="N924" s="112">
        <v>485.12250000000006</v>
      </c>
      <c r="O924" s="204">
        <v>0.22229947585432464</v>
      </c>
      <c r="P924" s="112">
        <v>107.84247747513962</v>
      </c>
      <c r="Q924" s="112">
        <v>592.96497747513968</v>
      </c>
      <c r="R924" s="112">
        <v>114250.12</v>
      </c>
      <c r="S924" s="112">
        <v>114250.12</v>
      </c>
      <c r="T924" s="112">
        <v>0</v>
      </c>
      <c r="U924" t="s">
        <v>5178</v>
      </c>
      <c r="V924" t="s">
        <v>5179</v>
      </c>
      <c r="W924" t="s">
        <v>4666</v>
      </c>
      <c r="X924" t="s">
        <v>4667</v>
      </c>
    </row>
    <row r="925" spans="1:24" x14ac:dyDescent="0.2">
      <c r="A925" t="s">
        <v>5180</v>
      </c>
      <c r="B925" t="s">
        <v>491</v>
      </c>
      <c r="C925" t="s">
        <v>1534</v>
      </c>
      <c r="D925" t="s">
        <v>24</v>
      </c>
      <c r="E925" t="s">
        <v>493</v>
      </c>
      <c r="F925" t="s">
        <v>26</v>
      </c>
      <c r="G925" s="202">
        <v>140.98599999999999</v>
      </c>
      <c r="H925">
        <v>1</v>
      </c>
      <c r="I925" t="s">
        <v>3954</v>
      </c>
      <c r="J925" t="s">
        <v>5112</v>
      </c>
      <c r="K925" t="s">
        <v>1283</v>
      </c>
      <c r="L925" s="204">
        <v>0.22</v>
      </c>
      <c r="M925" s="112">
        <v>321.47249999999997</v>
      </c>
      <c r="N925" s="112">
        <v>70.723949999999988</v>
      </c>
      <c r="O925" s="204"/>
      <c r="P925" s="112"/>
      <c r="Q925" s="112"/>
      <c r="R925" s="112"/>
      <c r="S925" s="112"/>
      <c r="T925" s="112"/>
      <c r="U925" t="s">
        <v>5181</v>
      </c>
      <c r="V925" t="s">
        <v>5182</v>
      </c>
      <c r="W925" t="s">
        <v>3958</v>
      </c>
      <c r="X925" t="s">
        <v>4660</v>
      </c>
    </row>
    <row r="926" spans="1:24" x14ac:dyDescent="0.2">
      <c r="A926" t="s">
        <v>5180</v>
      </c>
      <c r="B926" t="s">
        <v>491</v>
      </c>
      <c r="C926" t="s">
        <v>1534</v>
      </c>
      <c r="D926" t="s">
        <v>24</v>
      </c>
      <c r="E926" t="s">
        <v>493</v>
      </c>
      <c r="F926" t="s">
        <v>26</v>
      </c>
      <c r="G926" s="202">
        <v>140.98599999999999</v>
      </c>
      <c r="H926">
        <v>2</v>
      </c>
      <c r="I926" t="s">
        <v>3960</v>
      </c>
      <c r="J926" t="s">
        <v>5115</v>
      </c>
      <c r="K926" t="s">
        <v>1283</v>
      </c>
      <c r="L926" s="204">
        <v>0.68</v>
      </c>
      <c r="M926" s="112">
        <v>321.47249999999997</v>
      </c>
      <c r="N926" s="112">
        <v>218.60129999999998</v>
      </c>
      <c r="O926" s="204"/>
      <c r="P926" s="112"/>
      <c r="Q926" s="112"/>
      <c r="R926" s="112"/>
      <c r="S926" s="112"/>
      <c r="T926" s="112"/>
      <c r="U926" t="s">
        <v>5181</v>
      </c>
      <c r="V926" t="s">
        <v>5182</v>
      </c>
      <c r="W926" t="s">
        <v>3958</v>
      </c>
      <c r="X926" t="s">
        <v>4660</v>
      </c>
    </row>
    <row r="927" spans="1:24" x14ac:dyDescent="0.2">
      <c r="A927" t="s">
        <v>5180</v>
      </c>
      <c r="B927" t="s">
        <v>491</v>
      </c>
      <c r="C927" t="s">
        <v>1534</v>
      </c>
      <c r="D927" t="s">
        <v>24</v>
      </c>
      <c r="E927" t="s">
        <v>493</v>
      </c>
      <c r="F927" t="s">
        <v>26</v>
      </c>
      <c r="G927" s="202">
        <v>140.98599999999999</v>
      </c>
      <c r="H927">
        <v>3</v>
      </c>
      <c r="I927" t="s">
        <v>3976</v>
      </c>
      <c r="J927" t="s">
        <v>5116</v>
      </c>
      <c r="K927" t="s">
        <v>1283</v>
      </c>
      <c r="L927" s="204">
        <v>0.05</v>
      </c>
      <c r="M927" s="112">
        <v>321.47249999999997</v>
      </c>
      <c r="N927" s="112">
        <v>16.073625</v>
      </c>
      <c r="O927" s="204"/>
      <c r="P927" s="112"/>
      <c r="Q927" s="112"/>
      <c r="R927" s="112"/>
      <c r="S927" s="112"/>
      <c r="T927" s="112"/>
      <c r="U927" t="s">
        <v>5181</v>
      </c>
      <c r="V927" t="s">
        <v>5182</v>
      </c>
      <c r="W927" t="s">
        <v>3958</v>
      </c>
      <c r="X927" t="s">
        <v>4660</v>
      </c>
    </row>
    <row r="928" spans="1:24" x14ac:dyDescent="0.2">
      <c r="A928" t="s">
        <v>5180</v>
      </c>
      <c r="B928" t="s">
        <v>491</v>
      </c>
      <c r="C928" t="s">
        <v>1534</v>
      </c>
      <c r="D928" t="s">
        <v>24</v>
      </c>
      <c r="E928" t="s">
        <v>493</v>
      </c>
      <c r="F928" t="s">
        <v>26</v>
      </c>
      <c r="G928" s="202">
        <v>140.98599999999999</v>
      </c>
      <c r="H928">
        <v>4</v>
      </c>
      <c r="I928" t="s">
        <v>4017</v>
      </c>
      <c r="J928" t="s">
        <v>5117</v>
      </c>
      <c r="K928" t="s">
        <v>1283</v>
      </c>
      <c r="L928" s="204">
        <v>0.05</v>
      </c>
      <c r="M928" s="112">
        <v>321.47249999999997</v>
      </c>
      <c r="N928" s="112">
        <v>16.073625</v>
      </c>
      <c r="O928" s="204"/>
      <c r="P928" s="112"/>
      <c r="Q928" s="112"/>
      <c r="R928" s="112"/>
      <c r="S928" s="112"/>
      <c r="T928" s="112"/>
      <c r="U928" t="s">
        <v>5181</v>
      </c>
      <c r="V928" t="s">
        <v>5182</v>
      </c>
      <c r="W928" t="s">
        <v>3958</v>
      </c>
      <c r="X928" t="s">
        <v>4660</v>
      </c>
    </row>
    <row r="929" spans="1:24" x14ac:dyDescent="0.2">
      <c r="A929" t="s">
        <v>5180</v>
      </c>
      <c r="B929" t="s">
        <v>491</v>
      </c>
      <c r="C929" t="s">
        <v>1534</v>
      </c>
      <c r="D929" t="s">
        <v>24</v>
      </c>
      <c r="E929" t="s">
        <v>493</v>
      </c>
      <c r="F929" t="s">
        <v>26</v>
      </c>
      <c r="G929" s="202">
        <v>140.98599999999999</v>
      </c>
      <c r="H929">
        <v>5</v>
      </c>
      <c r="I929" t="s">
        <v>3968</v>
      </c>
      <c r="J929" t="s">
        <v>3969</v>
      </c>
      <c r="K929" t="s">
        <v>26</v>
      </c>
      <c r="L929" s="204">
        <v>1</v>
      </c>
      <c r="M929" s="112"/>
      <c r="N929" s="112">
        <v>321.47249999999997</v>
      </c>
      <c r="O929" s="204">
        <v>0.2222895885363616</v>
      </c>
      <c r="P929" s="112">
        <v>71.459989750755483</v>
      </c>
      <c r="Q929" s="112">
        <v>392.93248975075545</v>
      </c>
      <c r="R929" s="112">
        <v>55397.98</v>
      </c>
      <c r="S929" s="112">
        <v>55397.98</v>
      </c>
      <c r="T929" s="112">
        <v>0</v>
      </c>
      <c r="U929" t="s">
        <v>5181</v>
      </c>
      <c r="V929" t="s">
        <v>5182</v>
      </c>
      <c r="W929" t="s">
        <v>4666</v>
      </c>
      <c r="X929" t="s">
        <v>4667</v>
      </c>
    </row>
    <row r="930" spans="1:24" x14ac:dyDescent="0.2">
      <c r="A930" t="s">
        <v>5183</v>
      </c>
      <c r="B930" t="s">
        <v>494</v>
      </c>
      <c r="C930" t="s">
        <v>1535</v>
      </c>
      <c r="D930" t="s">
        <v>24</v>
      </c>
      <c r="E930" t="s">
        <v>1536</v>
      </c>
      <c r="F930" t="s">
        <v>26</v>
      </c>
      <c r="G930" s="202">
        <v>5.6769999999999996</v>
      </c>
      <c r="H930">
        <v>1</v>
      </c>
      <c r="I930" t="s">
        <v>3954</v>
      </c>
      <c r="J930" t="s">
        <v>5112</v>
      </c>
      <c r="K930" t="s">
        <v>1283</v>
      </c>
      <c r="L930" s="204">
        <v>0.22</v>
      </c>
      <c r="M930" s="112">
        <v>1184.31</v>
      </c>
      <c r="N930" s="112">
        <v>260.54820000000001</v>
      </c>
      <c r="O930" s="204"/>
      <c r="P930" s="112"/>
      <c r="Q930" s="112"/>
      <c r="R930" s="112"/>
      <c r="S930" s="112"/>
      <c r="T930" s="112"/>
      <c r="U930" t="s">
        <v>5184</v>
      </c>
      <c r="V930" t="s">
        <v>5185</v>
      </c>
      <c r="W930" t="s">
        <v>3958</v>
      </c>
      <c r="X930" t="s">
        <v>4660</v>
      </c>
    </row>
    <row r="931" spans="1:24" x14ac:dyDescent="0.2">
      <c r="A931" t="s">
        <v>5183</v>
      </c>
      <c r="B931" t="s">
        <v>494</v>
      </c>
      <c r="C931" t="s">
        <v>1535</v>
      </c>
      <c r="D931" t="s">
        <v>24</v>
      </c>
      <c r="E931" t="s">
        <v>1536</v>
      </c>
      <c r="F931" t="s">
        <v>26</v>
      </c>
      <c r="G931" s="202">
        <v>5.6769999999999996</v>
      </c>
      <c r="H931">
        <v>2</v>
      </c>
      <c r="I931" t="s">
        <v>3960</v>
      </c>
      <c r="J931" t="s">
        <v>5115</v>
      </c>
      <c r="K931" t="s">
        <v>1283</v>
      </c>
      <c r="L931" s="204">
        <v>0.68</v>
      </c>
      <c r="M931" s="112">
        <v>1184.31</v>
      </c>
      <c r="N931" s="112">
        <v>805.33080000000007</v>
      </c>
      <c r="O931" s="204"/>
      <c r="P931" s="112"/>
      <c r="Q931" s="112"/>
      <c r="R931" s="112"/>
      <c r="S931" s="112"/>
      <c r="T931" s="112"/>
      <c r="U931" t="s">
        <v>5184</v>
      </c>
      <c r="V931" t="s">
        <v>5185</v>
      </c>
      <c r="W931" t="s">
        <v>3958</v>
      </c>
      <c r="X931" t="s">
        <v>4660</v>
      </c>
    </row>
    <row r="932" spans="1:24" x14ac:dyDescent="0.2">
      <c r="A932" t="s">
        <v>5183</v>
      </c>
      <c r="B932" t="s">
        <v>494</v>
      </c>
      <c r="C932" t="s">
        <v>1535</v>
      </c>
      <c r="D932" t="s">
        <v>24</v>
      </c>
      <c r="E932" t="s">
        <v>1536</v>
      </c>
      <c r="F932" t="s">
        <v>26</v>
      </c>
      <c r="G932" s="202">
        <v>5.6769999999999996</v>
      </c>
      <c r="H932">
        <v>3</v>
      </c>
      <c r="I932" t="s">
        <v>3976</v>
      </c>
      <c r="J932" t="s">
        <v>5116</v>
      </c>
      <c r="K932" t="s">
        <v>1283</v>
      </c>
      <c r="L932" s="204">
        <v>0.05</v>
      </c>
      <c r="M932" s="112">
        <v>1184.31</v>
      </c>
      <c r="N932" s="112">
        <v>59.215499999999999</v>
      </c>
      <c r="O932" s="204"/>
      <c r="P932" s="112"/>
      <c r="Q932" s="112"/>
      <c r="R932" s="112"/>
      <c r="S932" s="112"/>
      <c r="T932" s="112"/>
      <c r="U932" t="s">
        <v>5184</v>
      </c>
      <c r="V932" t="s">
        <v>5185</v>
      </c>
      <c r="W932" t="s">
        <v>3958</v>
      </c>
      <c r="X932" t="s">
        <v>4660</v>
      </c>
    </row>
    <row r="933" spans="1:24" x14ac:dyDescent="0.2">
      <c r="A933" t="s">
        <v>5183</v>
      </c>
      <c r="B933" t="s">
        <v>494</v>
      </c>
      <c r="C933" t="s">
        <v>1535</v>
      </c>
      <c r="D933" t="s">
        <v>24</v>
      </c>
      <c r="E933" t="s">
        <v>1536</v>
      </c>
      <c r="F933" t="s">
        <v>26</v>
      </c>
      <c r="G933" s="202">
        <v>5.6769999999999996</v>
      </c>
      <c r="H933">
        <v>4</v>
      </c>
      <c r="I933" t="s">
        <v>4017</v>
      </c>
      <c r="J933" t="s">
        <v>5117</v>
      </c>
      <c r="K933" t="s">
        <v>1283</v>
      </c>
      <c r="L933" s="204">
        <v>0.05</v>
      </c>
      <c r="M933" s="112">
        <v>1184.31</v>
      </c>
      <c r="N933" s="112">
        <v>59.215499999999999</v>
      </c>
      <c r="O933" s="204"/>
      <c r="P933" s="112"/>
      <c r="Q933" s="112"/>
      <c r="R933" s="112"/>
      <c r="S933" s="112"/>
      <c r="T933" s="112"/>
      <c r="U933" t="s">
        <v>5184</v>
      </c>
      <c r="V933" t="s">
        <v>5185</v>
      </c>
      <c r="W933" t="s">
        <v>3958</v>
      </c>
      <c r="X933" t="s">
        <v>4660</v>
      </c>
    </row>
    <row r="934" spans="1:24" x14ac:dyDescent="0.2">
      <c r="A934" t="s">
        <v>5183</v>
      </c>
      <c r="B934" t="s">
        <v>494</v>
      </c>
      <c r="C934" t="s">
        <v>1535</v>
      </c>
      <c r="D934" t="s">
        <v>24</v>
      </c>
      <c r="E934" t="s">
        <v>1536</v>
      </c>
      <c r="F934" t="s">
        <v>26</v>
      </c>
      <c r="G934" s="202">
        <v>5.6769999999999996</v>
      </c>
      <c r="H934">
        <v>5</v>
      </c>
      <c r="I934" t="s">
        <v>3968</v>
      </c>
      <c r="J934" t="s">
        <v>3969</v>
      </c>
      <c r="K934" t="s">
        <v>26</v>
      </c>
      <c r="L934" s="204">
        <v>1</v>
      </c>
      <c r="M934" s="112"/>
      <c r="N934" s="112">
        <v>1184.31</v>
      </c>
      <c r="O934" s="204">
        <v>0.22229350686120863</v>
      </c>
      <c r="P934" s="112">
        <v>263.26442311079791</v>
      </c>
      <c r="Q934" s="112">
        <v>1447.5744231107979</v>
      </c>
      <c r="R934" s="112">
        <v>8217.8799999999992</v>
      </c>
      <c r="S934" s="112">
        <v>8217.8799999999992</v>
      </c>
      <c r="T934" s="112">
        <v>0</v>
      </c>
      <c r="U934" t="s">
        <v>5184</v>
      </c>
      <c r="V934" t="s">
        <v>5185</v>
      </c>
      <c r="W934" t="s">
        <v>4666</v>
      </c>
      <c r="X934" t="s">
        <v>4667</v>
      </c>
    </row>
    <row r="935" spans="1:24" x14ac:dyDescent="0.2">
      <c r="A935" t="s">
        <v>5186</v>
      </c>
      <c r="B935" t="s">
        <v>497</v>
      </c>
      <c r="C935" t="s">
        <v>1537</v>
      </c>
      <c r="D935" t="s">
        <v>24</v>
      </c>
      <c r="E935" t="s">
        <v>499</v>
      </c>
      <c r="F935" t="s">
        <v>26</v>
      </c>
      <c r="G935" s="202">
        <v>1.944</v>
      </c>
      <c r="H935">
        <v>1</v>
      </c>
      <c r="I935" t="s">
        <v>3954</v>
      </c>
      <c r="J935" t="s">
        <v>5112</v>
      </c>
      <c r="K935" t="s">
        <v>1283</v>
      </c>
      <c r="L935" s="204">
        <v>0.22</v>
      </c>
      <c r="M935" s="112">
        <v>1129.5525</v>
      </c>
      <c r="N935" s="112">
        <v>248.50155000000001</v>
      </c>
      <c r="O935" s="204"/>
      <c r="P935" s="112"/>
      <c r="Q935" s="112"/>
      <c r="R935" s="112"/>
      <c r="S935" s="112"/>
      <c r="T935" s="112"/>
      <c r="U935" t="s">
        <v>5187</v>
      </c>
      <c r="V935" t="s">
        <v>5188</v>
      </c>
      <c r="W935" t="s">
        <v>3958</v>
      </c>
      <c r="X935" t="s">
        <v>4660</v>
      </c>
    </row>
    <row r="936" spans="1:24" x14ac:dyDescent="0.2">
      <c r="A936" t="s">
        <v>5186</v>
      </c>
      <c r="B936" t="s">
        <v>497</v>
      </c>
      <c r="C936" t="s">
        <v>1537</v>
      </c>
      <c r="D936" t="s">
        <v>24</v>
      </c>
      <c r="E936" t="s">
        <v>499</v>
      </c>
      <c r="F936" t="s">
        <v>26</v>
      </c>
      <c r="G936" s="202">
        <v>1.944</v>
      </c>
      <c r="H936">
        <v>2</v>
      </c>
      <c r="I936" t="s">
        <v>3960</v>
      </c>
      <c r="J936" t="s">
        <v>5115</v>
      </c>
      <c r="K936" t="s">
        <v>1283</v>
      </c>
      <c r="L936" s="204">
        <v>0.68</v>
      </c>
      <c r="M936" s="112">
        <v>1129.5525</v>
      </c>
      <c r="N936" s="112">
        <v>768.09570000000008</v>
      </c>
      <c r="O936" s="204"/>
      <c r="P936" s="112"/>
      <c r="Q936" s="112"/>
      <c r="R936" s="112"/>
      <c r="S936" s="112"/>
      <c r="T936" s="112"/>
      <c r="U936" t="s">
        <v>5187</v>
      </c>
      <c r="V936" t="s">
        <v>5188</v>
      </c>
      <c r="W936" t="s">
        <v>3958</v>
      </c>
      <c r="X936" t="s">
        <v>4660</v>
      </c>
    </row>
    <row r="937" spans="1:24" x14ac:dyDescent="0.2">
      <c r="A937" t="s">
        <v>5186</v>
      </c>
      <c r="B937" t="s">
        <v>497</v>
      </c>
      <c r="C937" t="s">
        <v>1537</v>
      </c>
      <c r="D937" t="s">
        <v>24</v>
      </c>
      <c r="E937" t="s">
        <v>499</v>
      </c>
      <c r="F937" t="s">
        <v>26</v>
      </c>
      <c r="G937" s="202">
        <v>1.944</v>
      </c>
      <c r="H937">
        <v>3</v>
      </c>
      <c r="I937" t="s">
        <v>3976</v>
      </c>
      <c r="J937" t="s">
        <v>5116</v>
      </c>
      <c r="K937" t="s">
        <v>1283</v>
      </c>
      <c r="L937" s="204">
        <v>0.05</v>
      </c>
      <c r="M937" s="112">
        <v>1129.5525</v>
      </c>
      <c r="N937" s="112">
        <v>56.477625000000003</v>
      </c>
      <c r="O937" s="204"/>
      <c r="P937" s="112"/>
      <c r="Q937" s="112"/>
      <c r="R937" s="112"/>
      <c r="S937" s="112"/>
      <c r="T937" s="112"/>
      <c r="U937" t="s">
        <v>5187</v>
      </c>
      <c r="V937" t="s">
        <v>5188</v>
      </c>
      <c r="W937" t="s">
        <v>3958</v>
      </c>
      <c r="X937" t="s">
        <v>4660</v>
      </c>
    </row>
    <row r="938" spans="1:24" x14ac:dyDescent="0.2">
      <c r="A938" t="s">
        <v>5186</v>
      </c>
      <c r="B938" t="s">
        <v>497</v>
      </c>
      <c r="C938" t="s">
        <v>1537</v>
      </c>
      <c r="D938" t="s">
        <v>24</v>
      </c>
      <c r="E938" t="s">
        <v>499</v>
      </c>
      <c r="F938" t="s">
        <v>26</v>
      </c>
      <c r="G938" s="202">
        <v>1.944</v>
      </c>
      <c r="H938">
        <v>4</v>
      </c>
      <c r="I938" t="s">
        <v>4017</v>
      </c>
      <c r="J938" t="s">
        <v>5117</v>
      </c>
      <c r="K938" t="s">
        <v>1283</v>
      </c>
      <c r="L938" s="204">
        <v>0.05</v>
      </c>
      <c r="M938" s="112">
        <v>1129.5525</v>
      </c>
      <c r="N938" s="112">
        <v>56.477625000000003</v>
      </c>
      <c r="O938" s="204"/>
      <c r="P938" s="112"/>
      <c r="Q938" s="112"/>
      <c r="R938" s="112"/>
      <c r="S938" s="112"/>
      <c r="T938" s="112"/>
      <c r="U938" t="s">
        <v>5187</v>
      </c>
      <c r="V938" t="s">
        <v>5188</v>
      </c>
      <c r="W938" t="s">
        <v>3958</v>
      </c>
      <c r="X938" t="s">
        <v>4660</v>
      </c>
    </row>
    <row r="939" spans="1:24" x14ac:dyDescent="0.2">
      <c r="A939" t="s">
        <v>5186</v>
      </c>
      <c r="B939" t="s">
        <v>497</v>
      </c>
      <c r="C939" t="s">
        <v>1537</v>
      </c>
      <c r="D939" t="s">
        <v>24</v>
      </c>
      <c r="E939" t="s">
        <v>499</v>
      </c>
      <c r="F939" t="s">
        <v>26</v>
      </c>
      <c r="G939" s="202">
        <v>1.944</v>
      </c>
      <c r="H939">
        <v>5</v>
      </c>
      <c r="I939" t="s">
        <v>3968</v>
      </c>
      <c r="J939" t="s">
        <v>3969</v>
      </c>
      <c r="K939" t="s">
        <v>26</v>
      </c>
      <c r="L939" s="204">
        <v>1</v>
      </c>
      <c r="M939" s="112"/>
      <c r="N939" s="112">
        <v>1129.5525</v>
      </c>
      <c r="O939" s="204">
        <v>0.22229201751598637</v>
      </c>
      <c r="P939" s="112">
        <v>251.09050411522617</v>
      </c>
      <c r="Q939" s="112">
        <v>1380.6430041152262</v>
      </c>
      <c r="R939" s="112">
        <v>2683.97</v>
      </c>
      <c r="S939" s="112">
        <v>2683.97</v>
      </c>
      <c r="T939" s="112">
        <v>0</v>
      </c>
      <c r="U939" t="s">
        <v>5187</v>
      </c>
      <c r="V939" t="s">
        <v>5188</v>
      </c>
      <c r="W939" t="s">
        <v>4666</v>
      </c>
      <c r="X939" t="s">
        <v>4667</v>
      </c>
    </row>
    <row r="940" spans="1:24" x14ac:dyDescent="0.2">
      <c r="A940" t="s">
        <v>5189</v>
      </c>
      <c r="B940" t="s">
        <v>500</v>
      </c>
      <c r="C940" t="s">
        <v>1538</v>
      </c>
      <c r="D940" t="s">
        <v>209</v>
      </c>
      <c r="E940" t="s">
        <v>1539</v>
      </c>
      <c r="F940" t="s">
        <v>84</v>
      </c>
      <c r="G940" s="202">
        <v>1</v>
      </c>
      <c r="H940">
        <v>1</v>
      </c>
      <c r="I940" t="s">
        <v>3954</v>
      </c>
      <c r="J940" t="s">
        <v>5112</v>
      </c>
      <c r="K940" t="s">
        <v>1283</v>
      </c>
      <c r="L940" s="204">
        <v>0.22</v>
      </c>
      <c r="M940" s="112">
        <v>4827.7950000000001</v>
      </c>
      <c r="N940" s="112">
        <v>1062.1149</v>
      </c>
      <c r="O940" s="204"/>
      <c r="P940" s="112"/>
      <c r="Q940" s="112"/>
      <c r="R940" s="112"/>
      <c r="S940" s="112"/>
      <c r="T940" s="112"/>
      <c r="U940" t="s">
        <v>4466</v>
      </c>
      <c r="V940" t="s">
        <v>5190</v>
      </c>
      <c r="W940" t="s">
        <v>3958</v>
      </c>
      <c r="X940" t="s">
        <v>4660</v>
      </c>
    </row>
    <row r="941" spans="1:24" x14ac:dyDescent="0.2">
      <c r="A941" t="s">
        <v>5189</v>
      </c>
      <c r="B941" t="s">
        <v>500</v>
      </c>
      <c r="C941" t="s">
        <v>1538</v>
      </c>
      <c r="D941" t="s">
        <v>209</v>
      </c>
      <c r="E941" t="s">
        <v>1539</v>
      </c>
      <c r="F941" t="s">
        <v>84</v>
      </c>
      <c r="G941" s="202">
        <v>1</v>
      </c>
      <c r="H941">
        <v>2</v>
      </c>
      <c r="I941" t="s">
        <v>3960</v>
      </c>
      <c r="J941" t="s">
        <v>5115</v>
      </c>
      <c r="K941" t="s">
        <v>1283</v>
      </c>
      <c r="L941" s="204">
        <v>0.68</v>
      </c>
      <c r="M941" s="112">
        <v>4827.7950000000001</v>
      </c>
      <c r="N941" s="112">
        <v>3282.9006000000004</v>
      </c>
      <c r="O941" s="204"/>
      <c r="P941" s="112"/>
      <c r="Q941" s="112"/>
      <c r="R941" s="112"/>
      <c r="S941" s="112"/>
      <c r="T941" s="112"/>
      <c r="U941" t="s">
        <v>4466</v>
      </c>
      <c r="V941" t="s">
        <v>5190</v>
      </c>
      <c r="W941" t="s">
        <v>3958</v>
      </c>
      <c r="X941" t="s">
        <v>4660</v>
      </c>
    </row>
    <row r="942" spans="1:24" x14ac:dyDescent="0.2">
      <c r="A942" t="s">
        <v>5189</v>
      </c>
      <c r="B942" t="s">
        <v>500</v>
      </c>
      <c r="C942" t="s">
        <v>1538</v>
      </c>
      <c r="D942" t="s">
        <v>209</v>
      </c>
      <c r="E942" t="s">
        <v>1539</v>
      </c>
      <c r="F942" t="s">
        <v>84</v>
      </c>
      <c r="G942" s="202">
        <v>1</v>
      </c>
      <c r="H942">
        <v>3</v>
      </c>
      <c r="I942" t="s">
        <v>3976</v>
      </c>
      <c r="J942" t="s">
        <v>5116</v>
      </c>
      <c r="K942" t="s">
        <v>1283</v>
      </c>
      <c r="L942" s="204">
        <v>0.05</v>
      </c>
      <c r="M942" s="112">
        <v>4827.7950000000001</v>
      </c>
      <c r="N942" s="112">
        <v>241.38975000000002</v>
      </c>
      <c r="O942" s="204"/>
      <c r="P942" s="112"/>
      <c r="Q942" s="112"/>
      <c r="R942" s="112"/>
      <c r="S942" s="112"/>
      <c r="T942" s="112"/>
      <c r="U942" t="s">
        <v>4466</v>
      </c>
      <c r="V942" t="s">
        <v>5190</v>
      </c>
      <c r="W942" t="s">
        <v>3958</v>
      </c>
      <c r="X942" t="s">
        <v>4660</v>
      </c>
    </row>
    <row r="943" spans="1:24" x14ac:dyDescent="0.2">
      <c r="A943" t="s">
        <v>5189</v>
      </c>
      <c r="B943" t="s">
        <v>500</v>
      </c>
      <c r="C943" t="s">
        <v>1538</v>
      </c>
      <c r="D943" t="s">
        <v>209</v>
      </c>
      <c r="E943" t="s">
        <v>1539</v>
      </c>
      <c r="F943" t="s">
        <v>84</v>
      </c>
      <c r="G943" s="202">
        <v>1</v>
      </c>
      <c r="H943">
        <v>4</v>
      </c>
      <c r="I943" t="s">
        <v>4017</v>
      </c>
      <c r="J943" t="s">
        <v>5117</v>
      </c>
      <c r="K943" t="s">
        <v>1283</v>
      </c>
      <c r="L943" s="204">
        <v>0.05</v>
      </c>
      <c r="M943" s="112">
        <v>4827.7950000000001</v>
      </c>
      <c r="N943" s="112">
        <v>241.38975000000002</v>
      </c>
      <c r="O943" s="204"/>
      <c r="P943" s="112"/>
      <c r="Q943" s="112"/>
      <c r="R943" s="112"/>
      <c r="S943" s="112"/>
      <c r="T943" s="112"/>
      <c r="U943" t="s">
        <v>4466</v>
      </c>
      <c r="V943" t="s">
        <v>5190</v>
      </c>
      <c r="W943" t="s">
        <v>3958</v>
      </c>
      <c r="X943" t="s">
        <v>4660</v>
      </c>
    </row>
    <row r="944" spans="1:24" x14ac:dyDescent="0.2">
      <c r="A944" t="s">
        <v>5189</v>
      </c>
      <c r="B944" t="s">
        <v>500</v>
      </c>
      <c r="C944" t="s">
        <v>1538</v>
      </c>
      <c r="D944" t="s">
        <v>209</v>
      </c>
      <c r="E944" t="s">
        <v>1539</v>
      </c>
      <c r="F944" t="s">
        <v>84</v>
      </c>
      <c r="G944" s="202">
        <v>1</v>
      </c>
      <c r="H944">
        <v>5</v>
      </c>
      <c r="I944" t="s">
        <v>3968</v>
      </c>
      <c r="J944" t="s">
        <v>3969</v>
      </c>
      <c r="K944" t="s">
        <v>84</v>
      </c>
      <c r="L944" s="204">
        <v>1</v>
      </c>
      <c r="M944" s="112"/>
      <c r="N944" s="112">
        <v>4827.7950000000001</v>
      </c>
      <c r="O944" s="204">
        <v>0.2222971356488832</v>
      </c>
      <c r="P944" s="112">
        <v>1073.2049999999999</v>
      </c>
      <c r="Q944" s="112">
        <v>5901</v>
      </c>
      <c r="R944" s="112">
        <v>5901</v>
      </c>
      <c r="S944" s="112">
        <v>5901</v>
      </c>
      <c r="T944" s="112">
        <v>0</v>
      </c>
      <c r="U944" t="s">
        <v>4466</v>
      </c>
      <c r="V944" t="s">
        <v>5190</v>
      </c>
      <c r="W944" t="s">
        <v>4666</v>
      </c>
      <c r="X944" t="s">
        <v>4667</v>
      </c>
    </row>
    <row r="945" spans="1:24" x14ac:dyDescent="0.2">
      <c r="A945" t="s">
        <v>5191</v>
      </c>
      <c r="B945" t="s">
        <v>1540</v>
      </c>
      <c r="C945" t="s">
        <v>1541</v>
      </c>
      <c r="D945" t="s">
        <v>335</v>
      </c>
      <c r="E945" t="s">
        <v>503</v>
      </c>
      <c r="F945" t="s">
        <v>84</v>
      </c>
      <c r="G945" s="202">
        <v>3</v>
      </c>
      <c r="H945">
        <v>1</v>
      </c>
      <c r="I945" t="s">
        <v>3954</v>
      </c>
      <c r="J945" t="s">
        <v>4110</v>
      </c>
      <c r="K945" t="s">
        <v>1283</v>
      </c>
      <c r="L945" s="204">
        <v>0.3</v>
      </c>
      <c r="M945" s="112">
        <v>132.58500000000001</v>
      </c>
      <c r="N945" s="112">
        <v>39.775500000000001</v>
      </c>
      <c r="O945" s="204"/>
      <c r="P945" s="112"/>
      <c r="Q945" s="112"/>
      <c r="R945" s="112"/>
      <c r="S945" s="112"/>
      <c r="T945" s="112"/>
      <c r="U945" t="s">
        <v>5192</v>
      </c>
      <c r="V945" t="s">
        <v>5193</v>
      </c>
      <c r="W945" t="s">
        <v>3958</v>
      </c>
      <c r="X945" t="s">
        <v>4660</v>
      </c>
    </row>
    <row r="946" spans="1:24" x14ac:dyDescent="0.2">
      <c r="A946" t="s">
        <v>5191</v>
      </c>
      <c r="B946" t="s">
        <v>1540</v>
      </c>
      <c r="C946" t="s">
        <v>1541</v>
      </c>
      <c r="D946" t="s">
        <v>335</v>
      </c>
      <c r="E946" t="s">
        <v>503</v>
      </c>
      <c r="F946" t="s">
        <v>84</v>
      </c>
      <c r="G946" s="202">
        <v>3</v>
      </c>
      <c r="H946">
        <v>2</v>
      </c>
      <c r="I946" t="s">
        <v>3960</v>
      </c>
      <c r="J946" t="s">
        <v>4113</v>
      </c>
      <c r="K946" t="s">
        <v>1283</v>
      </c>
      <c r="L946" s="204">
        <v>0.55000000000000004</v>
      </c>
      <c r="M946" s="112">
        <v>132.58500000000001</v>
      </c>
      <c r="N946" s="112">
        <v>72.921750000000017</v>
      </c>
      <c r="O946" s="204"/>
      <c r="P946" s="112"/>
      <c r="Q946" s="112"/>
      <c r="R946" s="112"/>
      <c r="S946" s="112"/>
      <c r="T946" s="112"/>
      <c r="U946" t="s">
        <v>5192</v>
      </c>
      <c r="V946" t="s">
        <v>5193</v>
      </c>
      <c r="W946" t="s">
        <v>3958</v>
      </c>
      <c r="X946" t="s">
        <v>4660</v>
      </c>
    </row>
    <row r="947" spans="1:24" x14ac:dyDescent="0.2">
      <c r="A947" t="s">
        <v>5191</v>
      </c>
      <c r="B947" t="s">
        <v>1540</v>
      </c>
      <c r="C947" t="s">
        <v>1541</v>
      </c>
      <c r="D947" t="s">
        <v>335</v>
      </c>
      <c r="E947" t="s">
        <v>503</v>
      </c>
      <c r="F947" t="s">
        <v>84</v>
      </c>
      <c r="G947" s="202">
        <v>3</v>
      </c>
      <c r="H947">
        <v>3</v>
      </c>
      <c r="I947" t="s">
        <v>3976</v>
      </c>
      <c r="J947" t="s">
        <v>4114</v>
      </c>
      <c r="K947" t="s">
        <v>1283</v>
      </c>
      <c r="L947" s="204">
        <v>0.1</v>
      </c>
      <c r="M947" s="112">
        <v>132.58500000000001</v>
      </c>
      <c r="N947" s="112">
        <v>13.258500000000002</v>
      </c>
      <c r="O947" s="204"/>
      <c r="P947" s="112"/>
      <c r="Q947" s="112"/>
      <c r="R947" s="112"/>
      <c r="S947" s="112"/>
      <c r="T947" s="112"/>
      <c r="U947" t="s">
        <v>5192</v>
      </c>
      <c r="V947" t="s">
        <v>5193</v>
      </c>
      <c r="W947" t="s">
        <v>3958</v>
      </c>
      <c r="X947" t="s">
        <v>4660</v>
      </c>
    </row>
    <row r="948" spans="1:24" x14ac:dyDescent="0.2">
      <c r="A948" t="s">
        <v>5191</v>
      </c>
      <c r="B948" t="s">
        <v>1540</v>
      </c>
      <c r="C948" t="s">
        <v>1541</v>
      </c>
      <c r="D948" t="s">
        <v>335</v>
      </c>
      <c r="E948" t="s">
        <v>503</v>
      </c>
      <c r="F948" t="s">
        <v>84</v>
      </c>
      <c r="G948" s="202">
        <v>3</v>
      </c>
      <c r="H948">
        <v>4</v>
      </c>
      <c r="I948" t="s">
        <v>4017</v>
      </c>
      <c r="J948" t="s">
        <v>4115</v>
      </c>
      <c r="K948" t="s">
        <v>1283</v>
      </c>
      <c r="L948" s="204">
        <v>0.05</v>
      </c>
      <c r="M948" s="112">
        <v>132.58500000000001</v>
      </c>
      <c r="N948" s="112">
        <v>6.6292500000000008</v>
      </c>
      <c r="O948" s="204"/>
      <c r="P948" s="112"/>
      <c r="Q948" s="112"/>
      <c r="R948" s="112"/>
      <c r="S948" s="112"/>
      <c r="T948" s="112"/>
      <c r="U948" t="s">
        <v>5192</v>
      </c>
      <c r="V948" t="s">
        <v>5193</v>
      </c>
      <c r="W948" t="s">
        <v>3958</v>
      </c>
      <c r="X948" t="s">
        <v>4660</v>
      </c>
    </row>
    <row r="949" spans="1:24" x14ac:dyDescent="0.2">
      <c r="A949" t="s">
        <v>5191</v>
      </c>
      <c r="B949" t="s">
        <v>1540</v>
      </c>
      <c r="C949" t="s">
        <v>1541</v>
      </c>
      <c r="D949" t="s">
        <v>335</v>
      </c>
      <c r="E949" t="s">
        <v>503</v>
      </c>
      <c r="F949" t="s">
        <v>84</v>
      </c>
      <c r="G949" s="202">
        <v>3</v>
      </c>
      <c r="H949">
        <v>5</v>
      </c>
      <c r="I949" t="s">
        <v>3968</v>
      </c>
      <c r="J949" t="s">
        <v>3969</v>
      </c>
      <c r="K949" t="s">
        <v>84</v>
      </c>
      <c r="L949" s="204">
        <v>1</v>
      </c>
      <c r="M949" s="112"/>
      <c r="N949" s="112">
        <v>132.58500000000001</v>
      </c>
      <c r="O949" s="204">
        <v>0.22223479277444635</v>
      </c>
      <c r="P949" s="112">
        <v>29.464999999999975</v>
      </c>
      <c r="Q949" s="112">
        <v>162.04999999999998</v>
      </c>
      <c r="R949" s="112">
        <v>486.15</v>
      </c>
      <c r="S949" s="112">
        <v>486.15</v>
      </c>
      <c r="T949" s="112">
        <v>0</v>
      </c>
      <c r="U949" t="s">
        <v>5192</v>
      </c>
      <c r="V949" t="s">
        <v>5193</v>
      </c>
      <c r="W949" t="s">
        <v>4666</v>
      </c>
      <c r="X949" t="s">
        <v>4667</v>
      </c>
    </row>
    <row r="950" spans="1:24" x14ac:dyDescent="0.2">
      <c r="A950" t="s">
        <v>5194</v>
      </c>
      <c r="B950" t="s">
        <v>506</v>
      </c>
      <c r="C950" t="s">
        <v>1542</v>
      </c>
      <c r="D950" t="s">
        <v>24</v>
      </c>
      <c r="E950" t="s">
        <v>508</v>
      </c>
      <c r="F950" t="s">
        <v>99</v>
      </c>
      <c r="G950" s="202">
        <v>27.93</v>
      </c>
      <c r="H950">
        <v>1</v>
      </c>
      <c r="I950" t="s">
        <v>3954</v>
      </c>
      <c r="J950" t="s">
        <v>5112</v>
      </c>
      <c r="K950" t="s">
        <v>1283</v>
      </c>
      <c r="L950" s="204">
        <v>0.22</v>
      </c>
      <c r="M950" s="112">
        <v>391.59000000000003</v>
      </c>
      <c r="N950" s="112">
        <v>86.149800000000013</v>
      </c>
      <c r="O950" s="204"/>
      <c r="P950" s="112"/>
      <c r="Q950" s="112"/>
      <c r="R950" s="112"/>
      <c r="S950" s="112"/>
      <c r="T950" s="112"/>
      <c r="U950" t="s">
        <v>5195</v>
      </c>
      <c r="V950" t="s">
        <v>5196</v>
      </c>
      <c r="W950" t="s">
        <v>3958</v>
      </c>
      <c r="X950" t="s">
        <v>4660</v>
      </c>
    </row>
    <row r="951" spans="1:24" x14ac:dyDescent="0.2">
      <c r="A951" t="s">
        <v>5194</v>
      </c>
      <c r="B951" t="s">
        <v>506</v>
      </c>
      <c r="C951" t="s">
        <v>1542</v>
      </c>
      <c r="D951" t="s">
        <v>24</v>
      </c>
      <c r="E951" t="s">
        <v>508</v>
      </c>
      <c r="F951" t="s">
        <v>99</v>
      </c>
      <c r="G951" s="202">
        <v>27.93</v>
      </c>
      <c r="H951">
        <v>2</v>
      </c>
      <c r="I951" t="s">
        <v>3960</v>
      </c>
      <c r="J951" t="s">
        <v>5115</v>
      </c>
      <c r="K951" t="s">
        <v>1283</v>
      </c>
      <c r="L951" s="204">
        <v>0.68</v>
      </c>
      <c r="M951" s="112">
        <v>391.59000000000003</v>
      </c>
      <c r="N951" s="112">
        <v>266.28120000000001</v>
      </c>
      <c r="O951" s="204"/>
      <c r="P951" s="112"/>
      <c r="Q951" s="112"/>
      <c r="R951" s="112"/>
      <c r="S951" s="112"/>
      <c r="T951" s="112"/>
      <c r="U951" t="s">
        <v>5195</v>
      </c>
      <c r="V951" t="s">
        <v>5196</v>
      </c>
      <c r="W951" t="s">
        <v>3958</v>
      </c>
      <c r="X951" t="s">
        <v>4660</v>
      </c>
    </row>
    <row r="952" spans="1:24" x14ac:dyDescent="0.2">
      <c r="A952" t="s">
        <v>5194</v>
      </c>
      <c r="B952" t="s">
        <v>506</v>
      </c>
      <c r="C952" t="s">
        <v>1542</v>
      </c>
      <c r="D952" t="s">
        <v>24</v>
      </c>
      <c r="E952" t="s">
        <v>508</v>
      </c>
      <c r="F952" t="s">
        <v>99</v>
      </c>
      <c r="G952" s="202">
        <v>27.93</v>
      </c>
      <c r="H952">
        <v>3</v>
      </c>
      <c r="I952" t="s">
        <v>3976</v>
      </c>
      <c r="J952" t="s">
        <v>5116</v>
      </c>
      <c r="K952" t="s">
        <v>1283</v>
      </c>
      <c r="L952" s="204">
        <v>0.05</v>
      </c>
      <c r="M952" s="112">
        <v>391.59000000000003</v>
      </c>
      <c r="N952" s="112">
        <v>19.579500000000003</v>
      </c>
      <c r="O952" s="204"/>
      <c r="P952" s="112"/>
      <c r="Q952" s="112"/>
      <c r="R952" s="112"/>
      <c r="S952" s="112"/>
      <c r="T952" s="112"/>
      <c r="U952" t="s">
        <v>5195</v>
      </c>
      <c r="V952" t="s">
        <v>5196</v>
      </c>
      <c r="W952" t="s">
        <v>3958</v>
      </c>
      <c r="X952" t="s">
        <v>4660</v>
      </c>
    </row>
    <row r="953" spans="1:24" x14ac:dyDescent="0.2">
      <c r="A953" t="s">
        <v>5194</v>
      </c>
      <c r="B953" t="s">
        <v>506</v>
      </c>
      <c r="C953" t="s">
        <v>1542</v>
      </c>
      <c r="D953" t="s">
        <v>24</v>
      </c>
      <c r="E953" t="s">
        <v>508</v>
      </c>
      <c r="F953" t="s">
        <v>99</v>
      </c>
      <c r="G953" s="202">
        <v>27.93</v>
      </c>
      <c r="H953">
        <v>4</v>
      </c>
      <c r="I953" t="s">
        <v>4017</v>
      </c>
      <c r="J953" t="s">
        <v>5117</v>
      </c>
      <c r="K953" t="s">
        <v>1283</v>
      </c>
      <c r="L953" s="204">
        <v>0.05</v>
      </c>
      <c r="M953" s="112">
        <v>391.59000000000003</v>
      </c>
      <c r="N953" s="112">
        <v>19.579500000000003</v>
      </c>
      <c r="O953" s="204"/>
      <c r="P953" s="112"/>
      <c r="Q953" s="112"/>
      <c r="R953" s="112"/>
      <c r="S953" s="112"/>
      <c r="T953" s="112"/>
      <c r="U953" t="s">
        <v>5195</v>
      </c>
      <c r="V953" t="s">
        <v>5196</v>
      </c>
      <c r="W953" t="s">
        <v>3958</v>
      </c>
      <c r="X953" t="s">
        <v>4660</v>
      </c>
    </row>
    <row r="954" spans="1:24" x14ac:dyDescent="0.2">
      <c r="A954" t="s">
        <v>5194</v>
      </c>
      <c r="B954" t="s">
        <v>506</v>
      </c>
      <c r="C954" t="s">
        <v>1542</v>
      </c>
      <c r="D954" t="s">
        <v>24</v>
      </c>
      <c r="E954" t="s">
        <v>508</v>
      </c>
      <c r="F954" t="s">
        <v>99</v>
      </c>
      <c r="G954" s="202">
        <v>27.93</v>
      </c>
      <c r="H954">
        <v>5</v>
      </c>
      <c r="I954" t="s">
        <v>3968</v>
      </c>
      <c r="J954" t="s">
        <v>3969</v>
      </c>
      <c r="K954" t="s">
        <v>99</v>
      </c>
      <c r="L954" s="204">
        <v>1</v>
      </c>
      <c r="M954" s="112"/>
      <c r="N954" s="112">
        <v>391.59000000000003</v>
      </c>
      <c r="O954" s="204">
        <v>0.22228555705951791</v>
      </c>
      <c r="P954" s="112">
        <v>87.04480128893664</v>
      </c>
      <c r="Q954" s="112">
        <v>478.63480128893667</v>
      </c>
      <c r="R954" s="112">
        <v>13368.27</v>
      </c>
      <c r="S954" s="112">
        <v>13368.27</v>
      </c>
      <c r="T954" s="112">
        <v>0</v>
      </c>
      <c r="U954" t="s">
        <v>5195</v>
      </c>
      <c r="V954" t="s">
        <v>5196</v>
      </c>
      <c r="W954" t="s">
        <v>4666</v>
      </c>
      <c r="X954" t="s">
        <v>4667</v>
      </c>
    </row>
    <row r="955" spans="1:24" x14ac:dyDescent="0.2">
      <c r="A955" t="s">
        <v>5197</v>
      </c>
      <c r="B955" t="s">
        <v>509</v>
      </c>
      <c r="C955" t="s">
        <v>1543</v>
      </c>
      <c r="D955" t="s">
        <v>335</v>
      </c>
      <c r="E955" t="s">
        <v>510</v>
      </c>
      <c r="F955" t="s">
        <v>99</v>
      </c>
      <c r="G955" s="202">
        <v>6.2030000000000003</v>
      </c>
      <c r="H955">
        <v>1</v>
      </c>
      <c r="I955" t="s">
        <v>3954</v>
      </c>
      <c r="J955" t="s">
        <v>4110</v>
      </c>
      <c r="K955" t="s">
        <v>1283</v>
      </c>
      <c r="L955" s="204">
        <v>0.3</v>
      </c>
      <c r="M955" s="112">
        <v>652.32749999999999</v>
      </c>
      <c r="N955" s="112">
        <v>195.69825</v>
      </c>
      <c r="O955" s="204"/>
      <c r="P955" s="112"/>
      <c r="Q955" s="112"/>
      <c r="R955" s="112"/>
      <c r="S955" s="112"/>
      <c r="T955" s="112"/>
      <c r="U955" t="s">
        <v>5198</v>
      </c>
      <c r="V955" t="s">
        <v>5199</v>
      </c>
      <c r="W955" t="s">
        <v>3958</v>
      </c>
      <c r="X955" t="s">
        <v>4660</v>
      </c>
    </row>
    <row r="956" spans="1:24" x14ac:dyDescent="0.2">
      <c r="A956" t="s">
        <v>5197</v>
      </c>
      <c r="B956" t="s">
        <v>509</v>
      </c>
      <c r="C956" t="s">
        <v>1543</v>
      </c>
      <c r="D956" t="s">
        <v>335</v>
      </c>
      <c r="E956" t="s">
        <v>510</v>
      </c>
      <c r="F956" t="s">
        <v>99</v>
      </c>
      <c r="G956" s="202">
        <v>6.2030000000000003</v>
      </c>
      <c r="H956">
        <v>2</v>
      </c>
      <c r="I956" t="s">
        <v>3960</v>
      </c>
      <c r="J956" t="s">
        <v>4113</v>
      </c>
      <c r="K956" t="s">
        <v>1283</v>
      </c>
      <c r="L956" s="204">
        <v>0.55000000000000004</v>
      </c>
      <c r="M956" s="112">
        <v>652.32749999999999</v>
      </c>
      <c r="N956" s="112">
        <v>358.780125</v>
      </c>
      <c r="O956" s="204"/>
      <c r="P956" s="112"/>
      <c r="Q956" s="112"/>
      <c r="R956" s="112"/>
      <c r="S956" s="112"/>
      <c r="T956" s="112"/>
      <c r="U956" t="s">
        <v>5198</v>
      </c>
      <c r="V956" t="s">
        <v>5199</v>
      </c>
      <c r="W956" t="s">
        <v>3958</v>
      </c>
      <c r="X956" t="s">
        <v>4660</v>
      </c>
    </row>
    <row r="957" spans="1:24" x14ac:dyDescent="0.2">
      <c r="A957" t="s">
        <v>5197</v>
      </c>
      <c r="B957" t="s">
        <v>509</v>
      </c>
      <c r="C957" t="s">
        <v>1543</v>
      </c>
      <c r="D957" t="s">
        <v>335</v>
      </c>
      <c r="E957" t="s">
        <v>510</v>
      </c>
      <c r="F957" t="s">
        <v>99</v>
      </c>
      <c r="G957" s="202">
        <v>6.2030000000000003</v>
      </c>
      <c r="H957">
        <v>3</v>
      </c>
      <c r="I957" t="s">
        <v>3976</v>
      </c>
      <c r="J957" t="s">
        <v>4114</v>
      </c>
      <c r="K957" t="s">
        <v>1283</v>
      </c>
      <c r="L957" s="204">
        <v>0.1</v>
      </c>
      <c r="M957" s="112">
        <v>652.32749999999999</v>
      </c>
      <c r="N957" s="112">
        <v>65.232749999999996</v>
      </c>
      <c r="O957" s="204"/>
      <c r="P957" s="112"/>
      <c r="Q957" s="112"/>
      <c r="R957" s="112"/>
      <c r="S957" s="112"/>
      <c r="T957" s="112"/>
      <c r="U957" t="s">
        <v>5198</v>
      </c>
      <c r="V957" t="s">
        <v>5199</v>
      </c>
      <c r="W957" t="s">
        <v>3958</v>
      </c>
      <c r="X957" t="s">
        <v>4660</v>
      </c>
    </row>
    <row r="958" spans="1:24" x14ac:dyDescent="0.2">
      <c r="A958" t="s">
        <v>5197</v>
      </c>
      <c r="B958" t="s">
        <v>509</v>
      </c>
      <c r="C958" t="s">
        <v>1543</v>
      </c>
      <c r="D958" t="s">
        <v>335</v>
      </c>
      <c r="E958" t="s">
        <v>510</v>
      </c>
      <c r="F958" t="s">
        <v>99</v>
      </c>
      <c r="G958" s="202">
        <v>6.2030000000000003</v>
      </c>
      <c r="H958">
        <v>4</v>
      </c>
      <c r="I958" t="s">
        <v>4017</v>
      </c>
      <c r="J958" t="s">
        <v>4115</v>
      </c>
      <c r="K958" t="s">
        <v>1283</v>
      </c>
      <c r="L958" s="204">
        <v>0.05</v>
      </c>
      <c r="M958" s="112">
        <v>652.32749999999999</v>
      </c>
      <c r="N958" s="112">
        <v>32.616374999999998</v>
      </c>
      <c r="O958" s="204"/>
      <c r="P958" s="112"/>
      <c r="Q958" s="112"/>
      <c r="R958" s="112"/>
      <c r="S958" s="112"/>
      <c r="T958" s="112"/>
      <c r="U958" t="s">
        <v>5198</v>
      </c>
      <c r="V958" t="s">
        <v>5199</v>
      </c>
      <c r="W958" t="s">
        <v>3958</v>
      </c>
      <c r="X958" t="s">
        <v>4660</v>
      </c>
    </row>
    <row r="959" spans="1:24" x14ac:dyDescent="0.2">
      <c r="A959" t="s">
        <v>5197</v>
      </c>
      <c r="B959" t="s">
        <v>509</v>
      </c>
      <c r="C959" t="s">
        <v>1543</v>
      </c>
      <c r="D959" t="s">
        <v>335</v>
      </c>
      <c r="E959" t="s">
        <v>510</v>
      </c>
      <c r="F959" t="s">
        <v>99</v>
      </c>
      <c r="G959" s="202">
        <v>6.2030000000000003</v>
      </c>
      <c r="H959">
        <v>5</v>
      </c>
      <c r="I959" t="s">
        <v>3968</v>
      </c>
      <c r="J959" t="s">
        <v>3969</v>
      </c>
      <c r="K959" t="s">
        <v>99</v>
      </c>
      <c r="L959" s="204">
        <v>1</v>
      </c>
      <c r="M959" s="112"/>
      <c r="N959" s="112">
        <v>652.32749999999999</v>
      </c>
      <c r="O959" s="204">
        <v>0.22228778667145366</v>
      </c>
      <c r="P959" s="112">
        <v>145.00443615992265</v>
      </c>
      <c r="Q959" s="112">
        <v>797.33193615992263</v>
      </c>
      <c r="R959" s="112">
        <v>4945.8500000000004</v>
      </c>
      <c r="S959" s="112">
        <v>4945.8500000000004</v>
      </c>
      <c r="T959" s="112">
        <v>0</v>
      </c>
      <c r="U959" t="s">
        <v>5198</v>
      </c>
      <c r="V959" t="s">
        <v>5199</v>
      </c>
      <c r="W959" t="s">
        <v>4666</v>
      </c>
      <c r="X959" t="s">
        <v>4667</v>
      </c>
    </row>
    <row r="960" spans="1:24" x14ac:dyDescent="0.2">
      <c r="A960" t="s">
        <v>5200</v>
      </c>
      <c r="B960" t="s">
        <v>511</v>
      </c>
      <c r="C960" t="s">
        <v>512</v>
      </c>
      <c r="D960" t="s">
        <v>209</v>
      </c>
      <c r="E960" t="s">
        <v>513</v>
      </c>
      <c r="F960" t="s">
        <v>84</v>
      </c>
      <c r="G960" s="202">
        <v>12</v>
      </c>
      <c r="H960">
        <v>1</v>
      </c>
      <c r="I960" t="s">
        <v>3954</v>
      </c>
      <c r="J960" t="s">
        <v>4823</v>
      </c>
      <c r="K960" t="s">
        <v>1283</v>
      </c>
      <c r="L960" s="204">
        <v>0.18</v>
      </c>
      <c r="M960" s="112">
        <v>285.90749999999997</v>
      </c>
      <c r="N960" s="112">
        <v>51.463349999999991</v>
      </c>
      <c r="O960" s="204"/>
      <c r="P960" s="112"/>
      <c r="Q960" s="112"/>
      <c r="R960" s="112"/>
      <c r="S960" s="112"/>
      <c r="T960" s="112"/>
      <c r="U960" t="s">
        <v>4484</v>
      </c>
      <c r="V960" t="s">
        <v>4485</v>
      </c>
      <c r="W960" t="s">
        <v>3958</v>
      </c>
      <c r="X960" t="s">
        <v>4660</v>
      </c>
    </row>
    <row r="961" spans="1:24" x14ac:dyDescent="0.2">
      <c r="A961" t="s">
        <v>5200</v>
      </c>
      <c r="B961" t="s">
        <v>511</v>
      </c>
      <c r="C961" t="s">
        <v>512</v>
      </c>
      <c r="D961" t="s">
        <v>209</v>
      </c>
      <c r="E961" t="s">
        <v>513</v>
      </c>
      <c r="F961" t="s">
        <v>84</v>
      </c>
      <c r="G961" s="202">
        <v>12</v>
      </c>
      <c r="H961">
        <v>2</v>
      </c>
      <c r="I961" t="s">
        <v>3960</v>
      </c>
      <c r="J961" t="s">
        <v>4826</v>
      </c>
      <c r="K961" t="s">
        <v>1283</v>
      </c>
      <c r="L961" s="204">
        <v>0.72</v>
      </c>
      <c r="M961" s="112">
        <v>285.90749999999997</v>
      </c>
      <c r="N961" s="112">
        <v>205.85339999999997</v>
      </c>
      <c r="O961" s="204"/>
      <c r="P961" s="112"/>
      <c r="Q961" s="112"/>
      <c r="R961" s="112"/>
      <c r="S961" s="112"/>
      <c r="T961" s="112"/>
      <c r="U961" t="s">
        <v>4484</v>
      </c>
      <c r="V961" t="s">
        <v>4485</v>
      </c>
      <c r="W961" t="s">
        <v>3958</v>
      </c>
      <c r="X961" t="s">
        <v>4660</v>
      </c>
    </row>
    <row r="962" spans="1:24" x14ac:dyDescent="0.2">
      <c r="A962" t="s">
        <v>5200</v>
      </c>
      <c r="B962" t="s">
        <v>511</v>
      </c>
      <c r="C962" t="s">
        <v>512</v>
      </c>
      <c r="D962" t="s">
        <v>209</v>
      </c>
      <c r="E962" t="s">
        <v>513</v>
      </c>
      <c r="F962" t="s">
        <v>84</v>
      </c>
      <c r="G962" s="202">
        <v>12</v>
      </c>
      <c r="H962">
        <v>3</v>
      </c>
      <c r="I962" t="s">
        <v>3976</v>
      </c>
      <c r="J962" t="s">
        <v>4827</v>
      </c>
      <c r="K962" t="s">
        <v>1283</v>
      </c>
      <c r="L962" s="204">
        <v>0.05</v>
      </c>
      <c r="M962" s="112">
        <v>285.90749999999997</v>
      </c>
      <c r="N962" s="112">
        <v>14.295375</v>
      </c>
      <c r="O962" s="204"/>
      <c r="P962" s="112"/>
      <c r="Q962" s="112"/>
      <c r="R962" s="112"/>
      <c r="S962" s="112"/>
      <c r="T962" s="112"/>
      <c r="U962" t="s">
        <v>4484</v>
      </c>
      <c r="V962" t="s">
        <v>4485</v>
      </c>
      <c r="W962" t="s">
        <v>3958</v>
      </c>
      <c r="X962" t="s">
        <v>4660</v>
      </c>
    </row>
    <row r="963" spans="1:24" x14ac:dyDescent="0.2">
      <c r="A963" t="s">
        <v>5200</v>
      </c>
      <c r="B963" t="s">
        <v>511</v>
      </c>
      <c r="C963" t="s">
        <v>512</v>
      </c>
      <c r="D963" t="s">
        <v>209</v>
      </c>
      <c r="E963" t="s">
        <v>513</v>
      </c>
      <c r="F963" t="s">
        <v>84</v>
      </c>
      <c r="G963" s="202">
        <v>12</v>
      </c>
      <c r="H963">
        <v>4</v>
      </c>
      <c r="I963" t="s">
        <v>4017</v>
      </c>
      <c r="J963" t="s">
        <v>4809</v>
      </c>
      <c r="K963" t="s">
        <v>1283</v>
      </c>
      <c r="L963" s="204">
        <v>0.05</v>
      </c>
      <c r="M963" s="112">
        <v>285.90749999999997</v>
      </c>
      <c r="N963" s="112">
        <v>14.295375</v>
      </c>
      <c r="O963" s="204"/>
      <c r="P963" s="112"/>
      <c r="Q963" s="112"/>
      <c r="R963" s="112"/>
      <c r="S963" s="112"/>
      <c r="T963" s="112"/>
      <c r="U963" t="s">
        <v>4484</v>
      </c>
      <c r="V963" t="s">
        <v>4485</v>
      </c>
      <c r="W963" t="s">
        <v>3958</v>
      </c>
      <c r="X963" t="s">
        <v>4660</v>
      </c>
    </row>
    <row r="964" spans="1:24" x14ac:dyDescent="0.2">
      <c r="A964" t="s">
        <v>5200</v>
      </c>
      <c r="B964" t="s">
        <v>511</v>
      </c>
      <c r="C964" t="s">
        <v>512</v>
      </c>
      <c r="D964" t="s">
        <v>209</v>
      </c>
      <c r="E964" t="s">
        <v>513</v>
      </c>
      <c r="F964" t="s">
        <v>84</v>
      </c>
      <c r="G964" s="202">
        <v>12</v>
      </c>
      <c r="H964">
        <v>5</v>
      </c>
      <c r="I964" t="s">
        <v>3968</v>
      </c>
      <c r="J964" t="s">
        <v>3969</v>
      </c>
      <c r="K964" t="s">
        <v>84</v>
      </c>
      <c r="L964" s="204">
        <v>1</v>
      </c>
      <c r="M964" s="112"/>
      <c r="N964" s="112">
        <v>285.90749999999997</v>
      </c>
      <c r="O964" s="204">
        <v>0.22229217491671283</v>
      </c>
      <c r="P964" s="112">
        <v>63.555000000000064</v>
      </c>
      <c r="Q964" s="112">
        <v>349.46250000000003</v>
      </c>
      <c r="R964" s="112">
        <v>4193.55</v>
      </c>
      <c r="S964" s="112">
        <v>4193.55</v>
      </c>
      <c r="T964" s="112">
        <v>0</v>
      </c>
      <c r="U964" t="s">
        <v>4484</v>
      </c>
      <c r="V964" t="s">
        <v>4485</v>
      </c>
      <c r="W964" t="s">
        <v>4666</v>
      </c>
      <c r="X964" t="s">
        <v>4667</v>
      </c>
    </row>
    <row r="965" spans="1:24" x14ac:dyDescent="0.2">
      <c r="A965" t="s">
        <v>5201</v>
      </c>
      <c r="B965" t="s">
        <v>514</v>
      </c>
      <c r="C965" t="s">
        <v>515</v>
      </c>
      <c r="D965" t="s">
        <v>209</v>
      </c>
      <c r="E965" t="s">
        <v>516</v>
      </c>
      <c r="F965" t="s">
        <v>84</v>
      </c>
      <c r="G965" s="202">
        <v>1</v>
      </c>
      <c r="H965">
        <v>1</v>
      </c>
      <c r="I965" t="s">
        <v>3954</v>
      </c>
      <c r="J965" t="s">
        <v>4804</v>
      </c>
      <c r="K965" t="s">
        <v>1283</v>
      </c>
      <c r="L965" s="204">
        <v>0.28000000000000003</v>
      </c>
      <c r="M965" s="112">
        <v>8255.91</v>
      </c>
      <c r="N965" s="112">
        <v>2311.6548000000003</v>
      </c>
      <c r="O965" s="204"/>
      <c r="P965" s="112"/>
      <c r="Q965" s="112"/>
      <c r="R965" s="112"/>
      <c r="S965" s="112"/>
      <c r="T965" s="112"/>
      <c r="U965" t="s">
        <v>4422</v>
      </c>
      <c r="V965" t="s">
        <v>4423</v>
      </c>
      <c r="W965" t="s">
        <v>3958</v>
      </c>
      <c r="X965" t="s">
        <v>4660</v>
      </c>
    </row>
    <row r="966" spans="1:24" x14ac:dyDescent="0.2">
      <c r="A966" t="s">
        <v>5201</v>
      </c>
      <c r="B966" t="s">
        <v>514</v>
      </c>
      <c r="C966" t="s">
        <v>515</v>
      </c>
      <c r="D966" t="s">
        <v>209</v>
      </c>
      <c r="E966" t="s">
        <v>516</v>
      </c>
      <c r="F966" t="s">
        <v>84</v>
      </c>
      <c r="G966" s="202">
        <v>1</v>
      </c>
      <c r="H966">
        <v>2</v>
      </c>
      <c r="I966" t="s">
        <v>3960</v>
      </c>
      <c r="J966" t="s">
        <v>4807</v>
      </c>
      <c r="K966" t="s">
        <v>1283</v>
      </c>
      <c r="L966" s="204">
        <v>0.56000000000000005</v>
      </c>
      <c r="M966" s="112">
        <v>8255.91</v>
      </c>
      <c r="N966" s="112">
        <v>4623.3096000000005</v>
      </c>
      <c r="O966" s="204"/>
      <c r="P966" s="112"/>
      <c r="Q966" s="112"/>
      <c r="R966" s="112"/>
      <c r="S966" s="112"/>
      <c r="T966" s="112"/>
      <c r="U966" t="s">
        <v>4422</v>
      </c>
      <c r="V966" t="s">
        <v>4423</v>
      </c>
      <c r="W966" t="s">
        <v>3958</v>
      </c>
      <c r="X966" t="s">
        <v>4660</v>
      </c>
    </row>
    <row r="967" spans="1:24" x14ac:dyDescent="0.2">
      <c r="A967" t="s">
        <v>5201</v>
      </c>
      <c r="B967" t="s">
        <v>514</v>
      </c>
      <c r="C967" t="s">
        <v>515</v>
      </c>
      <c r="D967" t="s">
        <v>209</v>
      </c>
      <c r="E967" t="s">
        <v>516</v>
      </c>
      <c r="F967" t="s">
        <v>84</v>
      </c>
      <c r="G967" s="202">
        <v>1</v>
      </c>
      <c r="H967">
        <v>3</v>
      </c>
      <c r="I967" t="s">
        <v>3962</v>
      </c>
      <c r="J967" t="s">
        <v>4808</v>
      </c>
      <c r="K967" t="s">
        <v>1283</v>
      </c>
      <c r="L967" s="204">
        <v>0.1</v>
      </c>
      <c r="M967" s="112">
        <v>8255.91</v>
      </c>
      <c r="N967" s="112">
        <v>825.59100000000001</v>
      </c>
      <c r="O967" s="204"/>
      <c r="P967" s="112"/>
      <c r="Q967" s="112"/>
      <c r="R967" s="112"/>
      <c r="S967" s="112"/>
      <c r="T967" s="112"/>
      <c r="U967" t="s">
        <v>4422</v>
      </c>
      <c r="V967" t="s">
        <v>4423</v>
      </c>
      <c r="W967" t="s">
        <v>3958</v>
      </c>
      <c r="X967" t="s">
        <v>4660</v>
      </c>
    </row>
    <row r="968" spans="1:24" x14ac:dyDescent="0.2">
      <c r="A968" t="s">
        <v>5201</v>
      </c>
      <c r="B968" t="s">
        <v>514</v>
      </c>
      <c r="C968" t="s">
        <v>515</v>
      </c>
      <c r="D968" t="s">
        <v>209</v>
      </c>
      <c r="E968" t="s">
        <v>516</v>
      </c>
      <c r="F968" t="s">
        <v>84</v>
      </c>
      <c r="G968" s="202">
        <v>1</v>
      </c>
      <c r="H968">
        <v>4</v>
      </c>
      <c r="I968" t="s">
        <v>4017</v>
      </c>
      <c r="J968" t="s">
        <v>4809</v>
      </c>
      <c r="K968" t="s">
        <v>1283</v>
      </c>
      <c r="L968" s="204">
        <v>0.06</v>
      </c>
      <c r="M968" s="112">
        <v>8255.91</v>
      </c>
      <c r="N968" s="112">
        <v>495.35459999999995</v>
      </c>
      <c r="O968" s="204"/>
      <c r="P968" s="112"/>
      <c r="Q968" s="112"/>
      <c r="R968" s="112"/>
      <c r="S968" s="112"/>
      <c r="T968" s="112"/>
      <c r="U968" t="s">
        <v>4422</v>
      </c>
      <c r="V968" t="s">
        <v>4423</v>
      </c>
      <c r="W968" t="s">
        <v>3958</v>
      </c>
      <c r="X968" t="s">
        <v>4660</v>
      </c>
    </row>
    <row r="969" spans="1:24" x14ac:dyDescent="0.2">
      <c r="A969" t="s">
        <v>5201</v>
      </c>
      <c r="B969" t="s">
        <v>514</v>
      </c>
      <c r="C969" t="s">
        <v>515</v>
      </c>
      <c r="D969" t="s">
        <v>209</v>
      </c>
      <c r="E969" t="s">
        <v>516</v>
      </c>
      <c r="F969" t="s">
        <v>84</v>
      </c>
      <c r="G969" s="202">
        <v>1</v>
      </c>
      <c r="H969">
        <v>5</v>
      </c>
      <c r="I969" t="s">
        <v>3968</v>
      </c>
      <c r="J969" t="s">
        <v>3969</v>
      </c>
      <c r="K969" t="s">
        <v>84</v>
      </c>
      <c r="L969" s="204">
        <v>1</v>
      </c>
      <c r="M969" s="112"/>
      <c r="N969" s="112">
        <v>8255.91</v>
      </c>
      <c r="O969" s="204">
        <v>0.22229893494478503</v>
      </c>
      <c r="P969" s="112">
        <v>1835.2800000000007</v>
      </c>
      <c r="Q969" s="112">
        <v>10091.19</v>
      </c>
      <c r="R969" s="112">
        <v>10091.19</v>
      </c>
      <c r="S969" s="112">
        <v>10091.19</v>
      </c>
      <c r="T969" s="112">
        <v>0</v>
      </c>
      <c r="U969" t="s">
        <v>4422</v>
      </c>
      <c r="V969" t="s">
        <v>4423</v>
      </c>
      <c r="W969" t="s">
        <v>4666</v>
      </c>
      <c r="X969" t="s">
        <v>4667</v>
      </c>
    </row>
    <row r="970" spans="1:24" x14ac:dyDescent="0.2">
      <c r="A970" t="s">
        <v>5202</v>
      </c>
      <c r="B970" t="s">
        <v>517</v>
      </c>
      <c r="C970" t="s">
        <v>1544</v>
      </c>
      <c r="D970" t="s">
        <v>24</v>
      </c>
      <c r="E970" t="s">
        <v>519</v>
      </c>
      <c r="F970" t="s">
        <v>26</v>
      </c>
      <c r="G970" s="202">
        <v>115.76900000000001</v>
      </c>
      <c r="H970">
        <v>1</v>
      </c>
      <c r="I970" t="s">
        <v>3954</v>
      </c>
      <c r="J970" t="s">
        <v>4992</v>
      </c>
      <c r="K970" t="s">
        <v>1283</v>
      </c>
      <c r="L970" s="204">
        <v>0.27</v>
      </c>
      <c r="M970" s="112">
        <v>712.5</v>
      </c>
      <c r="N970" s="112">
        <v>192.375</v>
      </c>
      <c r="O970" s="204"/>
      <c r="P970" s="112"/>
      <c r="Q970" s="112"/>
      <c r="R970" s="112"/>
      <c r="S970" s="112"/>
      <c r="T970" s="112"/>
      <c r="U970" t="s">
        <v>5203</v>
      </c>
      <c r="V970" t="s">
        <v>5204</v>
      </c>
      <c r="W970" t="s">
        <v>3958</v>
      </c>
      <c r="X970" t="s">
        <v>4660</v>
      </c>
    </row>
    <row r="971" spans="1:24" x14ac:dyDescent="0.2">
      <c r="A971" t="s">
        <v>5202</v>
      </c>
      <c r="B971" t="s">
        <v>517</v>
      </c>
      <c r="C971" t="s">
        <v>1544</v>
      </c>
      <c r="D971" t="s">
        <v>24</v>
      </c>
      <c r="E971" t="s">
        <v>519</v>
      </c>
      <c r="F971" t="s">
        <v>26</v>
      </c>
      <c r="G971" s="202">
        <v>115.76900000000001</v>
      </c>
      <c r="H971">
        <v>2</v>
      </c>
      <c r="I971" t="s">
        <v>3960</v>
      </c>
      <c r="J971" t="s">
        <v>4994</v>
      </c>
      <c r="K971" t="s">
        <v>1283</v>
      </c>
      <c r="L971" s="204">
        <v>0.63</v>
      </c>
      <c r="M971" s="112">
        <v>712.5</v>
      </c>
      <c r="N971" s="112">
        <v>448.875</v>
      </c>
      <c r="O971" s="204"/>
      <c r="P971" s="112"/>
      <c r="Q971" s="112"/>
      <c r="R971" s="112"/>
      <c r="S971" s="112"/>
      <c r="T971" s="112"/>
      <c r="U971" t="s">
        <v>5203</v>
      </c>
      <c r="V971" t="s">
        <v>5204</v>
      </c>
      <c r="W971" t="s">
        <v>3958</v>
      </c>
      <c r="X971" t="s">
        <v>4660</v>
      </c>
    </row>
    <row r="972" spans="1:24" x14ac:dyDescent="0.2">
      <c r="A972" t="s">
        <v>5202</v>
      </c>
      <c r="B972" t="s">
        <v>517</v>
      </c>
      <c r="C972" t="s">
        <v>1544</v>
      </c>
      <c r="D972" t="s">
        <v>24</v>
      </c>
      <c r="E972" t="s">
        <v>519</v>
      </c>
      <c r="F972" t="s">
        <v>26</v>
      </c>
      <c r="G972" s="202">
        <v>115.76900000000001</v>
      </c>
      <c r="H972">
        <v>3</v>
      </c>
      <c r="I972" t="s">
        <v>3976</v>
      </c>
      <c r="J972" t="s">
        <v>4995</v>
      </c>
      <c r="K972" t="s">
        <v>1283</v>
      </c>
      <c r="L972" s="204">
        <v>0.05</v>
      </c>
      <c r="M972" s="112">
        <v>712.5</v>
      </c>
      <c r="N972" s="112">
        <v>35.625</v>
      </c>
      <c r="O972" s="204"/>
      <c r="P972" s="112"/>
      <c r="Q972" s="112"/>
      <c r="R972" s="112"/>
      <c r="S972" s="112"/>
      <c r="T972" s="112"/>
      <c r="U972" t="s">
        <v>5203</v>
      </c>
      <c r="V972" t="s">
        <v>5204</v>
      </c>
      <c r="W972" t="s">
        <v>3958</v>
      </c>
      <c r="X972" t="s">
        <v>4660</v>
      </c>
    </row>
    <row r="973" spans="1:24" x14ac:dyDescent="0.2">
      <c r="A973" t="s">
        <v>5202</v>
      </c>
      <c r="B973" t="s">
        <v>517</v>
      </c>
      <c r="C973" t="s">
        <v>1544</v>
      </c>
      <c r="D973" t="s">
        <v>24</v>
      </c>
      <c r="E973" t="s">
        <v>519</v>
      </c>
      <c r="F973" t="s">
        <v>26</v>
      </c>
      <c r="G973" s="202">
        <v>115.76900000000001</v>
      </c>
      <c r="H973">
        <v>4</v>
      </c>
      <c r="I973" t="s">
        <v>4017</v>
      </c>
      <c r="J973" t="s">
        <v>4809</v>
      </c>
      <c r="K973" t="s">
        <v>1283</v>
      </c>
      <c r="L973" s="204">
        <v>0.05</v>
      </c>
      <c r="M973" s="112">
        <v>712.5</v>
      </c>
      <c r="N973" s="112">
        <v>35.625</v>
      </c>
      <c r="O973" s="204"/>
      <c r="P973" s="112"/>
      <c r="Q973" s="112"/>
      <c r="R973" s="112"/>
      <c r="S973" s="112"/>
      <c r="T973" s="112"/>
      <c r="U973" t="s">
        <v>5203</v>
      </c>
      <c r="V973" t="s">
        <v>5204</v>
      </c>
      <c r="W973" t="s">
        <v>3958</v>
      </c>
      <c r="X973" t="s">
        <v>4660</v>
      </c>
    </row>
    <row r="974" spans="1:24" x14ac:dyDescent="0.2">
      <c r="A974" t="s">
        <v>5202</v>
      </c>
      <c r="B974" t="s">
        <v>517</v>
      </c>
      <c r="C974" t="s">
        <v>1544</v>
      </c>
      <c r="D974" t="s">
        <v>24</v>
      </c>
      <c r="E974" t="s">
        <v>519</v>
      </c>
      <c r="F974" t="s">
        <v>26</v>
      </c>
      <c r="G974" s="202">
        <v>115.76900000000001</v>
      </c>
      <c r="H974">
        <v>5</v>
      </c>
      <c r="I974" t="s">
        <v>3968</v>
      </c>
      <c r="J974" t="s">
        <v>3969</v>
      </c>
      <c r="K974" t="s">
        <v>26</v>
      </c>
      <c r="L974" s="204">
        <v>1</v>
      </c>
      <c r="M974" s="112"/>
      <c r="N974" s="112">
        <v>712.5</v>
      </c>
      <c r="O974" s="204">
        <v>0.22229466937563047</v>
      </c>
      <c r="P974" s="112">
        <v>158.38495193013671</v>
      </c>
      <c r="Q974" s="112">
        <v>870.88495193013671</v>
      </c>
      <c r="R974" s="112">
        <v>100821.48</v>
      </c>
      <c r="S974" s="112">
        <v>100821.48</v>
      </c>
      <c r="T974" s="112">
        <v>0</v>
      </c>
      <c r="U974" t="s">
        <v>5203</v>
      </c>
      <c r="V974" t="s">
        <v>5204</v>
      </c>
      <c r="W974" t="s">
        <v>4666</v>
      </c>
      <c r="X974" t="s">
        <v>4667</v>
      </c>
    </row>
    <row r="975" spans="1:24" x14ac:dyDescent="0.2">
      <c r="A975" t="s">
        <v>5205</v>
      </c>
      <c r="B975" t="s">
        <v>520</v>
      </c>
      <c r="C975" t="s">
        <v>1545</v>
      </c>
      <c r="D975" t="s">
        <v>24</v>
      </c>
      <c r="E975" t="s">
        <v>522</v>
      </c>
      <c r="F975" t="s">
        <v>99</v>
      </c>
      <c r="G975" s="202">
        <v>5.1369999999999996</v>
      </c>
      <c r="H975">
        <v>1</v>
      </c>
      <c r="I975" t="s">
        <v>3954</v>
      </c>
      <c r="J975" t="s">
        <v>5112</v>
      </c>
      <c r="K975" t="s">
        <v>1283</v>
      </c>
      <c r="L975" s="204">
        <v>0.22</v>
      </c>
      <c r="M975" s="112">
        <v>658.6875</v>
      </c>
      <c r="N975" s="112">
        <v>144.91125</v>
      </c>
      <c r="O975" s="204"/>
      <c r="P975" s="112"/>
      <c r="Q975" s="112"/>
      <c r="R975" s="112"/>
      <c r="S975" s="112"/>
      <c r="T975" s="112"/>
      <c r="U975" t="s">
        <v>5206</v>
      </c>
      <c r="V975" t="s">
        <v>5207</v>
      </c>
      <c r="W975" t="s">
        <v>3958</v>
      </c>
      <c r="X975" t="s">
        <v>4660</v>
      </c>
    </row>
    <row r="976" spans="1:24" x14ac:dyDescent="0.2">
      <c r="A976" t="s">
        <v>5205</v>
      </c>
      <c r="B976" t="s">
        <v>520</v>
      </c>
      <c r="C976" t="s">
        <v>1545</v>
      </c>
      <c r="D976" t="s">
        <v>24</v>
      </c>
      <c r="E976" t="s">
        <v>522</v>
      </c>
      <c r="F976" t="s">
        <v>99</v>
      </c>
      <c r="G976" s="202">
        <v>5.1369999999999996</v>
      </c>
      <c r="H976">
        <v>2</v>
      </c>
      <c r="I976" t="s">
        <v>3960</v>
      </c>
      <c r="J976" t="s">
        <v>5115</v>
      </c>
      <c r="K976" t="s">
        <v>1283</v>
      </c>
      <c r="L976" s="204">
        <v>0.68</v>
      </c>
      <c r="M976" s="112">
        <v>658.6875</v>
      </c>
      <c r="N976" s="112">
        <v>447.90750000000003</v>
      </c>
      <c r="O976" s="204"/>
      <c r="P976" s="112"/>
      <c r="Q976" s="112"/>
      <c r="R976" s="112"/>
      <c r="S976" s="112"/>
      <c r="T976" s="112"/>
      <c r="U976" t="s">
        <v>5206</v>
      </c>
      <c r="V976" t="s">
        <v>5207</v>
      </c>
      <c r="W976" t="s">
        <v>3958</v>
      </c>
      <c r="X976" t="s">
        <v>4660</v>
      </c>
    </row>
    <row r="977" spans="1:24" x14ac:dyDescent="0.2">
      <c r="A977" t="s">
        <v>5205</v>
      </c>
      <c r="B977" t="s">
        <v>520</v>
      </c>
      <c r="C977" t="s">
        <v>1545</v>
      </c>
      <c r="D977" t="s">
        <v>24</v>
      </c>
      <c r="E977" t="s">
        <v>522</v>
      </c>
      <c r="F977" t="s">
        <v>99</v>
      </c>
      <c r="G977" s="202">
        <v>5.1369999999999996</v>
      </c>
      <c r="H977">
        <v>3</v>
      </c>
      <c r="I977" t="s">
        <v>3976</v>
      </c>
      <c r="J977" t="s">
        <v>5116</v>
      </c>
      <c r="K977" t="s">
        <v>1283</v>
      </c>
      <c r="L977" s="204">
        <v>0.05</v>
      </c>
      <c r="M977" s="112">
        <v>658.6875</v>
      </c>
      <c r="N977" s="112">
        <v>32.934375000000003</v>
      </c>
      <c r="O977" s="204"/>
      <c r="P977" s="112"/>
      <c r="Q977" s="112"/>
      <c r="R977" s="112"/>
      <c r="S977" s="112"/>
      <c r="T977" s="112"/>
      <c r="U977" t="s">
        <v>5206</v>
      </c>
      <c r="V977" t="s">
        <v>5207</v>
      </c>
      <c r="W977" t="s">
        <v>3958</v>
      </c>
      <c r="X977" t="s">
        <v>4660</v>
      </c>
    </row>
    <row r="978" spans="1:24" x14ac:dyDescent="0.2">
      <c r="A978" t="s">
        <v>5205</v>
      </c>
      <c r="B978" t="s">
        <v>520</v>
      </c>
      <c r="C978" t="s">
        <v>1545</v>
      </c>
      <c r="D978" t="s">
        <v>24</v>
      </c>
      <c r="E978" t="s">
        <v>522</v>
      </c>
      <c r="F978" t="s">
        <v>99</v>
      </c>
      <c r="G978" s="202">
        <v>5.1369999999999996</v>
      </c>
      <c r="H978">
        <v>4</v>
      </c>
      <c r="I978" t="s">
        <v>4017</v>
      </c>
      <c r="J978" t="s">
        <v>5117</v>
      </c>
      <c r="K978" t="s">
        <v>1283</v>
      </c>
      <c r="L978" s="204">
        <v>0.05</v>
      </c>
      <c r="M978" s="112">
        <v>658.6875</v>
      </c>
      <c r="N978" s="112">
        <v>32.934375000000003</v>
      </c>
      <c r="O978" s="204"/>
      <c r="P978" s="112"/>
      <c r="Q978" s="112"/>
      <c r="R978" s="112"/>
      <c r="S978" s="112"/>
      <c r="T978" s="112"/>
      <c r="U978" t="s">
        <v>5206</v>
      </c>
      <c r="V978" t="s">
        <v>5207</v>
      </c>
      <c r="W978" t="s">
        <v>3958</v>
      </c>
      <c r="X978" t="s">
        <v>4660</v>
      </c>
    </row>
    <row r="979" spans="1:24" x14ac:dyDescent="0.2">
      <c r="A979" t="s">
        <v>5205</v>
      </c>
      <c r="B979" t="s">
        <v>520</v>
      </c>
      <c r="C979" t="s">
        <v>1545</v>
      </c>
      <c r="D979" t="s">
        <v>24</v>
      </c>
      <c r="E979" t="s">
        <v>522</v>
      </c>
      <c r="F979" t="s">
        <v>99</v>
      </c>
      <c r="G979" s="202">
        <v>5.1369999999999996</v>
      </c>
      <c r="H979">
        <v>5</v>
      </c>
      <c r="I979" t="s">
        <v>3968</v>
      </c>
      <c r="J979" t="s">
        <v>3969</v>
      </c>
      <c r="K979" t="s">
        <v>99</v>
      </c>
      <c r="L979" s="204">
        <v>1</v>
      </c>
      <c r="M979" s="112"/>
      <c r="N979" s="112">
        <v>658.6875</v>
      </c>
      <c r="O979" s="204">
        <v>0.22229431463838289</v>
      </c>
      <c r="P979" s="112">
        <v>146.42248637336979</v>
      </c>
      <c r="Q979" s="112">
        <v>805.10998637336979</v>
      </c>
      <c r="R979" s="112">
        <v>4135.8500000000004</v>
      </c>
      <c r="S979" s="112">
        <v>4135.8500000000004</v>
      </c>
      <c r="T979" s="112">
        <v>0</v>
      </c>
      <c r="U979" t="s">
        <v>5206</v>
      </c>
      <c r="V979" t="s">
        <v>5207</v>
      </c>
      <c r="W979" t="s">
        <v>4666</v>
      </c>
      <c r="X979" t="s">
        <v>4667</v>
      </c>
    </row>
    <row r="980" spans="1:24" x14ac:dyDescent="0.2">
      <c r="A980" t="s">
        <v>5208</v>
      </c>
      <c r="B980" t="s">
        <v>523</v>
      </c>
      <c r="C980" t="s">
        <v>1546</v>
      </c>
      <c r="D980" t="s">
        <v>24</v>
      </c>
      <c r="E980" t="s">
        <v>525</v>
      </c>
      <c r="F980" t="s">
        <v>84</v>
      </c>
      <c r="G980" s="202">
        <v>120</v>
      </c>
      <c r="H980">
        <v>1</v>
      </c>
      <c r="I980" t="s">
        <v>3954</v>
      </c>
      <c r="J980" t="s">
        <v>5112</v>
      </c>
      <c r="K980" t="s">
        <v>1283</v>
      </c>
      <c r="L980" s="204">
        <v>0.22</v>
      </c>
      <c r="M980" s="112">
        <v>90.967500000000001</v>
      </c>
      <c r="N980" s="112">
        <v>20.01285</v>
      </c>
      <c r="O980" s="204"/>
      <c r="P980" s="112"/>
      <c r="Q980" s="112"/>
      <c r="R980" s="112"/>
      <c r="S980" s="112"/>
      <c r="T980" s="112"/>
      <c r="U980" t="s">
        <v>5209</v>
      </c>
      <c r="V980" t="s">
        <v>5210</v>
      </c>
      <c r="W980" t="s">
        <v>3958</v>
      </c>
      <c r="X980" t="s">
        <v>4660</v>
      </c>
    </row>
    <row r="981" spans="1:24" x14ac:dyDescent="0.2">
      <c r="A981" t="s">
        <v>5208</v>
      </c>
      <c r="B981" t="s">
        <v>523</v>
      </c>
      <c r="C981" t="s">
        <v>1546</v>
      </c>
      <c r="D981" t="s">
        <v>24</v>
      </c>
      <c r="E981" t="s">
        <v>525</v>
      </c>
      <c r="F981" t="s">
        <v>84</v>
      </c>
      <c r="G981" s="202">
        <v>120</v>
      </c>
      <c r="H981">
        <v>2</v>
      </c>
      <c r="I981" t="s">
        <v>3960</v>
      </c>
      <c r="J981" t="s">
        <v>5115</v>
      </c>
      <c r="K981" t="s">
        <v>1283</v>
      </c>
      <c r="L981" s="204">
        <v>0.68</v>
      </c>
      <c r="M981" s="112">
        <v>90.967500000000001</v>
      </c>
      <c r="N981" s="112">
        <v>61.857900000000008</v>
      </c>
      <c r="O981" s="204"/>
      <c r="P981" s="112"/>
      <c r="Q981" s="112"/>
      <c r="R981" s="112"/>
      <c r="S981" s="112"/>
      <c r="T981" s="112"/>
      <c r="U981" t="s">
        <v>5209</v>
      </c>
      <c r="V981" t="s">
        <v>5210</v>
      </c>
      <c r="W981" t="s">
        <v>3958</v>
      </c>
      <c r="X981" t="s">
        <v>4660</v>
      </c>
    </row>
    <row r="982" spans="1:24" x14ac:dyDescent="0.2">
      <c r="A982" t="s">
        <v>5208</v>
      </c>
      <c r="B982" t="s">
        <v>523</v>
      </c>
      <c r="C982" t="s">
        <v>1546</v>
      </c>
      <c r="D982" t="s">
        <v>24</v>
      </c>
      <c r="E982" t="s">
        <v>525</v>
      </c>
      <c r="F982" t="s">
        <v>84</v>
      </c>
      <c r="G982" s="202">
        <v>120</v>
      </c>
      <c r="H982">
        <v>3</v>
      </c>
      <c r="I982" t="s">
        <v>3976</v>
      </c>
      <c r="J982" t="s">
        <v>5116</v>
      </c>
      <c r="K982" t="s">
        <v>1283</v>
      </c>
      <c r="L982" s="204">
        <v>0.05</v>
      </c>
      <c r="M982" s="112">
        <v>90.967500000000001</v>
      </c>
      <c r="N982" s="112">
        <v>4.5483750000000001</v>
      </c>
      <c r="O982" s="204"/>
      <c r="P982" s="112"/>
      <c r="Q982" s="112"/>
      <c r="R982" s="112"/>
      <c r="S982" s="112"/>
      <c r="T982" s="112"/>
      <c r="U982" t="s">
        <v>5209</v>
      </c>
      <c r="V982" t="s">
        <v>5210</v>
      </c>
      <c r="W982" t="s">
        <v>3958</v>
      </c>
      <c r="X982" t="s">
        <v>4660</v>
      </c>
    </row>
    <row r="983" spans="1:24" x14ac:dyDescent="0.2">
      <c r="A983" t="s">
        <v>5208</v>
      </c>
      <c r="B983" t="s">
        <v>523</v>
      </c>
      <c r="C983" t="s">
        <v>1546</v>
      </c>
      <c r="D983" t="s">
        <v>24</v>
      </c>
      <c r="E983" t="s">
        <v>525</v>
      </c>
      <c r="F983" t="s">
        <v>84</v>
      </c>
      <c r="G983" s="202">
        <v>120</v>
      </c>
      <c r="H983">
        <v>4</v>
      </c>
      <c r="I983" t="s">
        <v>4017</v>
      </c>
      <c r="J983" t="s">
        <v>5117</v>
      </c>
      <c r="K983" t="s">
        <v>1283</v>
      </c>
      <c r="L983" s="204">
        <v>0.05</v>
      </c>
      <c r="M983" s="112">
        <v>90.967500000000001</v>
      </c>
      <c r="N983" s="112">
        <v>4.5483750000000001</v>
      </c>
      <c r="O983" s="204"/>
      <c r="P983" s="112"/>
      <c r="Q983" s="112"/>
      <c r="R983" s="112"/>
      <c r="S983" s="112"/>
      <c r="T983" s="112"/>
      <c r="U983" t="s">
        <v>5209</v>
      </c>
      <c r="V983" t="s">
        <v>5210</v>
      </c>
      <c r="W983" t="s">
        <v>3958</v>
      </c>
      <c r="X983" t="s">
        <v>4660</v>
      </c>
    </row>
    <row r="984" spans="1:24" x14ac:dyDescent="0.2">
      <c r="A984" t="s">
        <v>5208</v>
      </c>
      <c r="B984" t="s">
        <v>523</v>
      </c>
      <c r="C984" t="s">
        <v>1546</v>
      </c>
      <c r="D984" t="s">
        <v>24</v>
      </c>
      <c r="E984" t="s">
        <v>525</v>
      </c>
      <c r="F984" t="s">
        <v>84</v>
      </c>
      <c r="G984" s="202">
        <v>120</v>
      </c>
      <c r="H984">
        <v>5</v>
      </c>
      <c r="I984" t="s">
        <v>3968</v>
      </c>
      <c r="J984" t="s">
        <v>3969</v>
      </c>
      <c r="K984" t="s">
        <v>84</v>
      </c>
      <c r="L984" s="204">
        <v>1</v>
      </c>
      <c r="M984" s="112"/>
      <c r="N984" s="112">
        <v>90.967500000000001</v>
      </c>
      <c r="O984" s="204">
        <v>0.22227718690741205</v>
      </c>
      <c r="P984" s="112">
        <v>20.22</v>
      </c>
      <c r="Q984" s="112">
        <v>111.1875</v>
      </c>
      <c r="R984" s="112">
        <v>13342.5</v>
      </c>
      <c r="S984" s="112">
        <v>13342.5</v>
      </c>
      <c r="T984" s="112">
        <v>0</v>
      </c>
      <c r="U984" t="s">
        <v>5209</v>
      </c>
      <c r="V984" t="s">
        <v>5210</v>
      </c>
      <c r="W984" t="s">
        <v>4666</v>
      </c>
      <c r="X984" t="s">
        <v>4667</v>
      </c>
    </row>
    <row r="985" spans="1:24" x14ac:dyDescent="0.2">
      <c r="A985" t="s">
        <v>5211</v>
      </c>
      <c r="B985" t="s">
        <v>526</v>
      </c>
      <c r="C985" t="s">
        <v>1547</v>
      </c>
      <c r="D985" t="s">
        <v>24</v>
      </c>
      <c r="E985" t="s">
        <v>1548</v>
      </c>
      <c r="F985" t="s">
        <v>26</v>
      </c>
      <c r="G985" s="202">
        <v>20.318000000000001</v>
      </c>
      <c r="H985">
        <v>1</v>
      </c>
      <c r="I985" t="s">
        <v>3954</v>
      </c>
      <c r="J985" t="s">
        <v>4804</v>
      </c>
      <c r="K985" t="s">
        <v>1283</v>
      </c>
      <c r="L985" s="204">
        <v>0.28000000000000003</v>
      </c>
      <c r="M985" s="112">
        <v>559.31999999999994</v>
      </c>
      <c r="N985" s="112">
        <v>156.6096</v>
      </c>
      <c r="O985" s="204"/>
      <c r="P985" s="112"/>
      <c r="Q985" s="112"/>
      <c r="R985" s="112"/>
      <c r="S985" s="112"/>
      <c r="T985" s="112"/>
      <c r="U985" t="s">
        <v>5212</v>
      </c>
      <c r="V985" t="s">
        <v>5213</v>
      </c>
      <c r="W985" t="s">
        <v>3958</v>
      </c>
      <c r="X985" t="s">
        <v>4660</v>
      </c>
    </row>
    <row r="986" spans="1:24" x14ac:dyDescent="0.2">
      <c r="A986" t="s">
        <v>5211</v>
      </c>
      <c r="B986" t="s">
        <v>526</v>
      </c>
      <c r="C986" t="s">
        <v>1547</v>
      </c>
      <c r="D986" t="s">
        <v>24</v>
      </c>
      <c r="E986" t="s">
        <v>1548</v>
      </c>
      <c r="F986" t="s">
        <v>26</v>
      </c>
      <c r="G986" s="202">
        <v>20.318000000000001</v>
      </c>
      <c r="H986">
        <v>2</v>
      </c>
      <c r="I986" t="s">
        <v>3960</v>
      </c>
      <c r="J986" t="s">
        <v>4807</v>
      </c>
      <c r="K986" t="s">
        <v>1283</v>
      </c>
      <c r="L986" s="204">
        <v>0.56000000000000005</v>
      </c>
      <c r="M986" s="112">
        <v>559.31999999999994</v>
      </c>
      <c r="N986" s="112">
        <v>313.2192</v>
      </c>
      <c r="O986" s="204"/>
      <c r="P986" s="112"/>
      <c r="Q986" s="112"/>
      <c r="R986" s="112"/>
      <c r="S986" s="112"/>
      <c r="T986" s="112"/>
      <c r="U986" t="s">
        <v>5212</v>
      </c>
      <c r="V986" t="s">
        <v>5213</v>
      </c>
      <c r="W986" t="s">
        <v>3958</v>
      </c>
      <c r="X986" t="s">
        <v>4660</v>
      </c>
    </row>
    <row r="987" spans="1:24" x14ac:dyDescent="0.2">
      <c r="A987" t="s">
        <v>5211</v>
      </c>
      <c r="B987" t="s">
        <v>526</v>
      </c>
      <c r="C987" t="s">
        <v>1547</v>
      </c>
      <c r="D987" t="s">
        <v>24</v>
      </c>
      <c r="E987" t="s">
        <v>1548</v>
      </c>
      <c r="F987" t="s">
        <v>26</v>
      </c>
      <c r="G987" s="202">
        <v>20.318000000000001</v>
      </c>
      <c r="H987">
        <v>3</v>
      </c>
      <c r="I987" t="s">
        <v>3962</v>
      </c>
      <c r="J987" t="s">
        <v>4808</v>
      </c>
      <c r="K987" t="s">
        <v>1283</v>
      </c>
      <c r="L987" s="204">
        <v>0.1</v>
      </c>
      <c r="M987" s="112">
        <v>559.31999999999994</v>
      </c>
      <c r="N987" s="112">
        <v>55.931999999999995</v>
      </c>
      <c r="O987" s="204"/>
      <c r="P987" s="112"/>
      <c r="Q987" s="112"/>
      <c r="R987" s="112"/>
      <c r="S987" s="112"/>
      <c r="T987" s="112"/>
      <c r="U987" t="s">
        <v>5212</v>
      </c>
      <c r="V987" t="s">
        <v>5213</v>
      </c>
      <c r="W987" t="s">
        <v>3958</v>
      </c>
      <c r="X987" t="s">
        <v>4660</v>
      </c>
    </row>
    <row r="988" spans="1:24" x14ac:dyDescent="0.2">
      <c r="A988" t="s">
        <v>5211</v>
      </c>
      <c r="B988" t="s">
        <v>526</v>
      </c>
      <c r="C988" t="s">
        <v>1547</v>
      </c>
      <c r="D988" t="s">
        <v>24</v>
      </c>
      <c r="E988" t="s">
        <v>1548</v>
      </c>
      <c r="F988" t="s">
        <v>26</v>
      </c>
      <c r="G988" s="202">
        <v>20.318000000000001</v>
      </c>
      <c r="H988">
        <v>4</v>
      </c>
      <c r="I988" t="s">
        <v>4017</v>
      </c>
      <c r="J988" t="s">
        <v>4809</v>
      </c>
      <c r="K988" t="s">
        <v>1283</v>
      </c>
      <c r="L988" s="204">
        <v>0.06</v>
      </c>
      <c r="M988" s="112">
        <v>559.31999999999994</v>
      </c>
      <c r="N988" s="112">
        <v>33.559199999999997</v>
      </c>
      <c r="O988" s="204"/>
      <c r="P988" s="112"/>
      <c r="Q988" s="112"/>
      <c r="R988" s="112"/>
      <c r="S988" s="112"/>
      <c r="T988" s="112"/>
      <c r="U988" t="s">
        <v>5212</v>
      </c>
      <c r="V988" t="s">
        <v>5213</v>
      </c>
      <c r="W988" t="s">
        <v>3958</v>
      </c>
      <c r="X988" t="s">
        <v>4660</v>
      </c>
    </row>
    <row r="989" spans="1:24" x14ac:dyDescent="0.2">
      <c r="A989" t="s">
        <v>5211</v>
      </c>
      <c r="B989" t="s">
        <v>526</v>
      </c>
      <c r="C989" t="s">
        <v>1547</v>
      </c>
      <c r="D989" t="s">
        <v>24</v>
      </c>
      <c r="E989" t="s">
        <v>1548</v>
      </c>
      <c r="F989" t="s">
        <v>26</v>
      </c>
      <c r="G989" s="202">
        <v>20.318000000000001</v>
      </c>
      <c r="H989">
        <v>5</v>
      </c>
      <c r="I989" t="s">
        <v>3968</v>
      </c>
      <c r="J989" t="s">
        <v>3969</v>
      </c>
      <c r="K989" t="s">
        <v>26</v>
      </c>
      <c r="L989" s="204">
        <v>1</v>
      </c>
      <c r="M989" s="112"/>
      <c r="N989" s="112">
        <v>559.31999999999994</v>
      </c>
      <c r="O989" s="204">
        <v>0.22229651593373445</v>
      </c>
      <c r="P989" s="112">
        <v>124.33488729205635</v>
      </c>
      <c r="Q989" s="112">
        <v>683.65488729205629</v>
      </c>
      <c r="R989" s="112">
        <v>13890.5</v>
      </c>
      <c r="S989" s="112">
        <v>13890.5</v>
      </c>
      <c r="T989" s="112">
        <v>0</v>
      </c>
      <c r="U989" t="s">
        <v>5212</v>
      </c>
      <c r="V989" t="s">
        <v>5213</v>
      </c>
      <c r="W989" t="s">
        <v>4666</v>
      </c>
      <c r="X989" t="s">
        <v>4667</v>
      </c>
    </row>
    <row r="990" spans="1:24" x14ac:dyDescent="0.2">
      <c r="A990" t="s">
        <v>5214</v>
      </c>
      <c r="B990" t="s">
        <v>529</v>
      </c>
      <c r="C990" t="s">
        <v>1549</v>
      </c>
      <c r="D990" t="s">
        <v>56</v>
      </c>
      <c r="E990" t="s">
        <v>530</v>
      </c>
      <c r="F990" t="s">
        <v>26</v>
      </c>
      <c r="G990" s="202">
        <v>6.86</v>
      </c>
      <c r="H990">
        <v>1</v>
      </c>
      <c r="I990" t="s">
        <v>3954</v>
      </c>
      <c r="J990" t="s">
        <v>5112</v>
      </c>
      <c r="K990" t="s">
        <v>1283</v>
      </c>
      <c r="L990" s="204">
        <v>0.22</v>
      </c>
      <c r="M990" s="112">
        <v>589.77750000000003</v>
      </c>
      <c r="N990" s="112">
        <v>129.75105000000002</v>
      </c>
      <c r="O990" s="204"/>
      <c r="P990" s="112"/>
      <c r="Q990" s="112"/>
      <c r="R990" s="112"/>
      <c r="S990" s="112"/>
      <c r="T990" s="112"/>
      <c r="U990" t="s">
        <v>5215</v>
      </c>
      <c r="V990" t="s">
        <v>5216</v>
      </c>
      <c r="W990" t="s">
        <v>3958</v>
      </c>
      <c r="X990" t="s">
        <v>4660</v>
      </c>
    </row>
    <row r="991" spans="1:24" x14ac:dyDescent="0.2">
      <c r="A991" t="s">
        <v>5214</v>
      </c>
      <c r="B991" t="s">
        <v>529</v>
      </c>
      <c r="C991" t="s">
        <v>1549</v>
      </c>
      <c r="D991" t="s">
        <v>56</v>
      </c>
      <c r="E991" t="s">
        <v>530</v>
      </c>
      <c r="F991" t="s">
        <v>26</v>
      </c>
      <c r="G991" s="202">
        <v>6.86</v>
      </c>
      <c r="H991">
        <v>2</v>
      </c>
      <c r="I991" t="s">
        <v>3960</v>
      </c>
      <c r="J991" t="s">
        <v>5115</v>
      </c>
      <c r="K991" t="s">
        <v>1283</v>
      </c>
      <c r="L991" s="204">
        <v>0.68</v>
      </c>
      <c r="M991" s="112">
        <v>589.77750000000003</v>
      </c>
      <c r="N991" s="112">
        <v>401.04870000000005</v>
      </c>
      <c r="O991" s="204"/>
      <c r="P991" s="112"/>
      <c r="Q991" s="112"/>
      <c r="R991" s="112"/>
      <c r="S991" s="112"/>
      <c r="T991" s="112"/>
      <c r="U991" t="s">
        <v>5215</v>
      </c>
      <c r="V991" t="s">
        <v>5216</v>
      </c>
      <c r="W991" t="s">
        <v>3958</v>
      </c>
      <c r="X991" t="s">
        <v>4660</v>
      </c>
    </row>
    <row r="992" spans="1:24" x14ac:dyDescent="0.2">
      <c r="A992" t="s">
        <v>5214</v>
      </c>
      <c r="B992" t="s">
        <v>529</v>
      </c>
      <c r="C992" t="s">
        <v>1549</v>
      </c>
      <c r="D992" t="s">
        <v>56</v>
      </c>
      <c r="E992" t="s">
        <v>530</v>
      </c>
      <c r="F992" t="s">
        <v>26</v>
      </c>
      <c r="G992" s="202">
        <v>6.86</v>
      </c>
      <c r="H992">
        <v>3</v>
      </c>
      <c r="I992" t="s">
        <v>3976</v>
      </c>
      <c r="J992" t="s">
        <v>5116</v>
      </c>
      <c r="K992" t="s">
        <v>1283</v>
      </c>
      <c r="L992" s="204">
        <v>0.05</v>
      </c>
      <c r="M992" s="112">
        <v>589.77750000000003</v>
      </c>
      <c r="N992" s="112">
        <v>29.488875000000004</v>
      </c>
      <c r="O992" s="204"/>
      <c r="P992" s="112"/>
      <c r="Q992" s="112"/>
      <c r="R992" s="112"/>
      <c r="S992" s="112"/>
      <c r="T992" s="112"/>
      <c r="U992" t="s">
        <v>5215</v>
      </c>
      <c r="V992" t="s">
        <v>5216</v>
      </c>
      <c r="W992" t="s">
        <v>3958</v>
      </c>
      <c r="X992" t="s">
        <v>4660</v>
      </c>
    </row>
    <row r="993" spans="1:24" x14ac:dyDescent="0.2">
      <c r="A993" t="s">
        <v>5214</v>
      </c>
      <c r="B993" t="s">
        <v>529</v>
      </c>
      <c r="C993" t="s">
        <v>1549</v>
      </c>
      <c r="D993" t="s">
        <v>56</v>
      </c>
      <c r="E993" t="s">
        <v>530</v>
      </c>
      <c r="F993" t="s">
        <v>26</v>
      </c>
      <c r="G993" s="202">
        <v>6.86</v>
      </c>
      <c r="H993">
        <v>4</v>
      </c>
      <c r="I993" t="s">
        <v>4017</v>
      </c>
      <c r="J993" t="s">
        <v>5117</v>
      </c>
      <c r="K993" t="s">
        <v>1283</v>
      </c>
      <c r="L993" s="204">
        <v>0.05</v>
      </c>
      <c r="M993" s="112">
        <v>589.77750000000003</v>
      </c>
      <c r="N993" s="112">
        <v>29.488875000000004</v>
      </c>
      <c r="O993" s="204"/>
      <c r="P993" s="112"/>
      <c r="Q993" s="112"/>
      <c r="R993" s="112"/>
      <c r="S993" s="112"/>
      <c r="T993" s="112"/>
      <c r="U993" t="s">
        <v>5215</v>
      </c>
      <c r="V993" t="s">
        <v>5216</v>
      </c>
      <c r="W993" t="s">
        <v>3958</v>
      </c>
      <c r="X993" t="s">
        <v>4660</v>
      </c>
    </row>
    <row r="994" spans="1:24" x14ac:dyDescent="0.2">
      <c r="A994" t="s">
        <v>5214</v>
      </c>
      <c r="B994" t="s">
        <v>529</v>
      </c>
      <c r="C994" t="s">
        <v>1549</v>
      </c>
      <c r="D994" t="s">
        <v>56</v>
      </c>
      <c r="E994" t="s">
        <v>530</v>
      </c>
      <c r="F994" t="s">
        <v>26</v>
      </c>
      <c r="G994" s="202">
        <v>6.86</v>
      </c>
      <c r="H994">
        <v>5</v>
      </c>
      <c r="I994" t="s">
        <v>3968</v>
      </c>
      <c r="J994" t="s">
        <v>3969</v>
      </c>
      <c r="K994" t="s">
        <v>26</v>
      </c>
      <c r="L994" s="204">
        <v>1</v>
      </c>
      <c r="M994" s="112"/>
      <c r="N994" s="112">
        <v>589.77750000000003</v>
      </c>
      <c r="O994" s="204">
        <v>0.22229966326308781</v>
      </c>
      <c r="P994" s="112">
        <v>131.10733965014572</v>
      </c>
      <c r="Q994" s="112">
        <v>720.88483965014575</v>
      </c>
      <c r="R994" s="112">
        <v>4945.2700000000004</v>
      </c>
      <c r="S994" s="112">
        <v>4945.2700000000004</v>
      </c>
      <c r="T994" s="112">
        <v>0</v>
      </c>
      <c r="U994" t="s">
        <v>5215</v>
      </c>
      <c r="V994" t="s">
        <v>5216</v>
      </c>
      <c r="W994" t="s">
        <v>4666</v>
      </c>
      <c r="X994" t="s">
        <v>4667</v>
      </c>
    </row>
    <row r="995" spans="1:24" x14ac:dyDescent="0.2">
      <c r="A995" t="s">
        <v>5217</v>
      </c>
      <c r="B995" t="s">
        <v>1550</v>
      </c>
      <c r="C995" t="s">
        <v>1551</v>
      </c>
      <c r="D995" t="s">
        <v>335</v>
      </c>
      <c r="E995" t="s">
        <v>531</v>
      </c>
      <c r="F995" t="s">
        <v>26</v>
      </c>
      <c r="G995" s="202">
        <v>11.638</v>
      </c>
      <c r="H995">
        <v>1</v>
      </c>
      <c r="I995" t="s">
        <v>3954</v>
      </c>
      <c r="J995" t="s">
        <v>5112</v>
      </c>
      <c r="K995" t="s">
        <v>1283</v>
      </c>
      <c r="L995" s="204">
        <v>0.22</v>
      </c>
      <c r="M995" s="112">
        <v>720.48</v>
      </c>
      <c r="N995" s="112">
        <v>158.50560000000002</v>
      </c>
      <c r="O995" s="204"/>
      <c r="P995" s="112"/>
      <c r="Q995" s="112"/>
      <c r="R995" s="112"/>
      <c r="S995" s="112"/>
      <c r="T995" s="112"/>
      <c r="U995" t="s">
        <v>5218</v>
      </c>
      <c r="V995" t="s">
        <v>5219</v>
      </c>
      <c r="W995" t="s">
        <v>3958</v>
      </c>
      <c r="X995" t="s">
        <v>4660</v>
      </c>
    </row>
    <row r="996" spans="1:24" x14ac:dyDescent="0.2">
      <c r="A996" t="s">
        <v>5217</v>
      </c>
      <c r="B996" t="s">
        <v>1550</v>
      </c>
      <c r="C996" t="s">
        <v>1551</v>
      </c>
      <c r="D996" t="s">
        <v>335</v>
      </c>
      <c r="E996" t="s">
        <v>531</v>
      </c>
      <c r="F996" t="s">
        <v>26</v>
      </c>
      <c r="G996" s="202">
        <v>11.638</v>
      </c>
      <c r="H996">
        <v>2</v>
      </c>
      <c r="I996" t="s">
        <v>3960</v>
      </c>
      <c r="J996" t="s">
        <v>5115</v>
      </c>
      <c r="K996" t="s">
        <v>1283</v>
      </c>
      <c r="L996" s="204">
        <v>0.68</v>
      </c>
      <c r="M996" s="112">
        <v>720.48</v>
      </c>
      <c r="N996" s="112">
        <v>489.92640000000006</v>
      </c>
      <c r="O996" s="204"/>
      <c r="P996" s="112"/>
      <c r="Q996" s="112"/>
      <c r="R996" s="112"/>
      <c r="S996" s="112"/>
      <c r="T996" s="112"/>
      <c r="U996" t="s">
        <v>5218</v>
      </c>
      <c r="V996" t="s">
        <v>5219</v>
      </c>
      <c r="W996" t="s">
        <v>3958</v>
      </c>
      <c r="X996" t="s">
        <v>4660</v>
      </c>
    </row>
    <row r="997" spans="1:24" x14ac:dyDescent="0.2">
      <c r="A997" t="s">
        <v>5217</v>
      </c>
      <c r="B997" t="s">
        <v>1550</v>
      </c>
      <c r="C997" t="s">
        <v>1551</v>
      </c>
      <c r="D997" t="s">
        <v>335</v>
      </c>
      <c r="E997" t="s">
        <v>531</v>
      </c>
      <c r="F997" t="s">
        <v>26</v>
      </c>
      <c r="G997" s="202">
        <v>11.638</v>
      </c>
      <c r="H997">
        <v>3</v>
      </c>
      <c r="I997" t="s">
        <v>3976</v>
      </c>
      <c r="J997" t="s">
        <v>5116</v>
      </c>
      <c r="K997" t="s">
        <v>1283</v>
      </c>
      <c r="L997" s="204">
        <v>0.05</v>
      </c>
      <c r="M997" s="112">
        <v>720.48</v>
      </c>
      <c r="N997" s="112">
        <v>36.024000000000001</v>
      </c>
      <c r="O997" s="204"/>
      <c r="P997" s="112"/>
      <c r="Q997" s="112"/>
      <c r="R997" s="112"/>
      <c r="S997" s="112"/>
      <c r="T997" s="112"/>
      <c r="U997" t="s">
        <v>5218</v>
      </c>
      <c r="V997" t="s">
        <v>5219</v>
      </c>
      <c r="W997" t="s">
        <v>3958</v>
      </c>
      <c r="X997" t="s">
        <v>4660</v>
      </c>
    </row>
    <row r="998" spans="1:24" x14ac:dyDescent="0.2">
      <c r="A998" t="s">
        <v>5217</v>
      </c>
      <c r="B998" t="s">
        <v>1550</v>
      </c>
      <c r="C998" t="s">
        <v>1551</v>
      </c>
      <c r="D998" t="s">
        <v>335</v>
      </c>
      <c r="E998" t="s">
        <v>531</v>
      </c>
      <c r="F998" t="s">
        <v>26</v>
      </c>
      <c r="G998" s="202">
        <v>11.638</v>
      </c>
      <c r="H998">
        <v>4</v>
      </c>
      <c r="I998" t="s">
        <v>4017</v>
      </c>
      <c r="J998" t="s">
        <v>5117</v>
      </c>
      <c r="K998" t="s">
        <v>1283</v>
      </c>
      <c r="L998" s="204">
        <v>0.05</v>
      </c>
      <c r="M998" s="112">
        <v>720.48</v>
      </c>
      <c r="N998" s="112">
        <v>36.024000000000001</v>
      </c>
      <c r="O998" s="204"/>
      <c r="P998" s="112"/>
      <c r="Q998" s="112"/>
      <c r="R998" s="112"/>
      <c r="S998" s="112"/>
      <c r="T998" s="112"/>
      <c r="U998" t="s">
        <v>5218</v>
      </c>
      <c r="V998" t="s">
        <v>5219</v>
      </c>
      <c r="W998" t="s">
        <v>3958</v>
      </c>
      <c r="X998" t="s">
        <v>4660</v>
      </c>
    </row>
    <row r="999" spans="1:24" x14ac:dyDescent="0.2">
      <c r="A999" t="s">
        <v>5217</v>
      </c>
      <c r="B999" t="s">
        <v>1550</v>
      </c>
      <c r="C999" t="s">
        <v>1551</v>
      </c>
      <c r="D999" t="s">
        <v>335</v>
      </c>
      <c r="E999" t="s">
        <v>531</v>
      </c>
      <c r="F999" t="s">
        <v>26</v>
      </c>
      <c r="G999" s="202">
        <v>11.638</v>
      </c>
      <c r="H999">
        <v>5</v>
      </c>
      <c r="I999" t="s">
        <v>3968</v>
      </c>
      <c r="J999" t="s">
        <v>3969</v>
      </c>
      <c r="K999" t="s">
        <v>26</v>
      </c>
      <c r="L999" s="204">
        <v>1</v>
      </c>
      <c r="M999" s="112"/>
      <c r="N999" s="112">
        <v>720.48</v>
      </c>
      <c r="O999" s="204">
        <v>0.2222988325325268</v>
      </c>
      <c r="P999" s="112">
        <v>160.16186286303491</v>
      </c>
      <c r="Q999" s="112">
        <v>880.64186286303493</v>
      </c>
      <c r="R999" s="112">
        <v>10248.91</v>
      </c>
      <c r="S999" s="112">
        <v>10248.91</v>
      </c>
      <c r="T999" s="112">
        <v>0</v>
      </c>
      <c r="U999" t="s">
        <v>5218</v>
      </c>
      <c r="V999" t="s">
        <v>5219</v>
      </c>
      <c r="W999" t="s">
        <v>4666</v>
      </c>
      <c r="X999" t="s">
        <v>4667</v>
      </c>
    </row>
    <row r="1000" spans="1:24" x14ac:dyDescent="0.2">
      <c r="A1000" t="s">
        <v>5220</v>
      </c>
      <c r="B1000" t="s">
        <v>1552</v>
      </c>
      <c r="C1000" t="s">
        <v>1553</v>
      </c>
      <c r="D1000" t="s">
        <v>335</v>
      </c>
      <c r="E1000" t="s">
        <v>532</v>
      </c>
      <c r="F1000" t="s">
        <v>84</v>
      </c>
      <c r="G1000" s="202">
        <v>1</v>
      </c>
      <c r="H1000">
        <v>1</v>
      </c>
      <c r="I1000" t="s">
        <v>3954</v>
      </c>
      <c r="J1000" t="s">
        <v>5112</v>
      </c>
      <c r="K1000" t="s">
        <v>1283</v>
      </c>
      <c r="L1000" s="204">
        <v>0.22</v>
      </c>
      <c r="M1000" s="112">
        <v>984.24749999999995</v>
      </c>
      <c r="N1000" s="112">
        <v>216.53444999999999</v>
      </c>
      <c r="O1000" s="204"/>
      <c r="P1000" s="112"/>
      <c r="Q1000" s="112"/>
      <c r="R1000" s="112"/>
      <c r="S1000" s="112"/>
      <c r="T1000" s="112"/>
      <c r="U1000" t="s">
        <v>5221</v>
      </c>
      <c r="V1000" t="s">
        <v>5222</v>
      </c>
      <c r="W1000" t="s">
        <v>3958</v>
      </c>
      <c r="X1000" t="s">
        <v>4660</v>
      </c>
    </row>
    <row r="1001" spans="1:24" x14ac:dyDescent="0.2">
      <c r="A1001" t="s">
        <v>5220</v>
      </c>
      <c r="B1001" t="s">
        <v>1552</v>
      </c>
      <c r="C1001" t="s">
        <v>1553</v>
      </c>
      <c r="D1001" t="s">
        <v>335</v>
      </c>
      <c r="E1001" t="s">
        <v>532</v>
      </c>
      <c r="F1001" t="s">
        <v>84</v>
      </c>
      <c r="G1001" s="202">
        <v>1</v>
      </c>
      <c r="H1001">
        <v>2</v>
      </c>
      <c r="I1001" t="s">
        <v>3960</v>
      </c>
      <c r="J1001" t="s">
        <v>5115</v>
      </c>
      <c r="K1001" t="s">
        <v>1283</v>
      </c>
      <c r="L1001" s="204">
        <v>0.68</v>
      </c>
      <c r="M1001" s="112">
        <v>984.24749999999995</v>
      </c>
      <c r="N1001" s="112">
        <v>669.28830000000005</v>
      </c>
      <c r="O1001" s="204"/>
      <c r="P1001" s="112"/>
      <c r="Q1001" s="112"/>
      <c r="R1001" s="112"/>
      <c r="S1001" s="112"/>
      <c r="T1001" s="112"/>
      <c r="U1001" t="s">
        <v>5221</v>
      </c>
      <c r="V1001" t="s">
        <v>5222</v>
      </c>
      <c r="W1001" t="s">
        <v>3958</v>
      </c>
      <c r="X1001" t="s">
        <v>4660</v>
      </c>
    </row>
    <row r="1002" spans="1:24" x14ac:dyDescent="0.2">
      <c r="A1002" t="s">
        <v>5220</v>
      </c>
      <c r="B1002" t="s">
        <v>1552</v>
      </c>
      <c r="C1002" t="s">
        <v>1553</v>
      </c>
      <c r="D1002" t="s">
        <v>335</v>
      </c>
      <c r="E1002" t="s">
        <v>532</v>
      </c>
      <c r="F1002" t="s">
        <v>84</v>
      </c>
      <c r="G1002" s="202">
        <v>1</v>
      </c>
      <c r="H1002">
        <v>3</v>
      </c>
      <c r="I1002" t="s">
        <v>3976</v>
      </c>
      <c r="J1002" t="s">
        <v>5116</v>
      </c>
      <c r="K1002" t="s">
        <v>1283</v>
      </c>
      <c r="L1002" s="204">
        <v>0.05</v>
      </c>
      <c r="M1002" s="112">
        <v>984.24749999999995</v>
      </c>
      <c r="N1002" s="112">
        <v>49.212375000000002</v>
      </c>
      <c r="O1002" s="204"/>
      <c r="P1002" s="112"/>
      <c r="Q1002" s="112"/>
      <c r="R1002" s="112"/>
      <c r="S1002" s="112"/>
      <c r="T1002" s="112"/>
      <c r="U1002" t="s">
        <v>5221</v>
      </c>
      <c r="V1002" t="s">
        <v>5222</v>
      </c>
      <c r="W1002" t="s">
        <v>3958</v>
      </c>
      <c r="X1002" t="s">
        <v>4660</v>
      </c>
    </row>
    <row r="1003" spans="1:24" x14ac:dyDescent="0.2">
      <c r="A1003" t="s">
        <v>5220</v>
      </c>
      <c r="B1003" t="s">
        <v>1552</v>
      </c>
      <c r="C1003" t="s">
        <v>1553</v>
      </c>
      <c r="D1003" t="s">
        <v>335</v>
      </c>
      <c r="E1003" t="s">
        <v>532</v>
      </c>
      <c r="F1003" t="s">
        <v>84</v>
      </c>
      <c r="G1003" s="202">
        <v>1</v>
      </c>
      <c r="H1003">
        <v>4</v>
      </c>
      <c r="I1003" t="s">
        <v>4017</v>
      </c>
      <c r="J1003" t="s">
        <v>5117</v>
      </c>
      <c r="K1003" t="s">
        <v>1283</v>
      </c>
      <c r="L1003" s="204">
        <v>0.05</v>
      </c>
      <c r="M1003" s="112">
        <v>984.24749999999995</v>
      </c>
      <c r="N1003" s="112">
        <v>49.212375000000002</v>
      </c>
      <c r="O1003" s="204"/>
      <c r="P1003" s="112"/>
      <c r="Q1003" s="112"/>
      <c r="R1003" s="112"/>
      <c r="S1003" s="112"/>
      <c r="T1003" s="112"/>
      <c r="U1003" t="s">
        <v>5221</v>
      </c>
      <c r="V1003" t="s">
        <v>5222</v>
      </c>
      <c r="W1003" t="s">
        <v>3958</v>
      </c>
      <c r="X1003" t="s">
        <v>4660</v>
      </c>
    </row>
    <row r="1004" spans="1:24" x14ac:dyDescent="0.2">
      <c r="A1004" t="s">
        <v>5220</v>
      </c>
      <c r="B1004" t="s">
        <v>1552</v>
      </c>
      <c r="C1004" t="s">
        <v>1553</v>
      </c>
      <c r="D1004" t="s">
        <v>335</v>
      </c>
      <c r="E1004" t="s">
        <v>532</v>
      </c>
      <c r="F1004" t="s">
        <v>84</v>
      </c>
      <c r="G1004" s="202">
        <v>1</v>
      </c>
      <c r="H1004">
        <v>5</v>
      </c>
      <c r="I1004" t="s">
        <v>3968</v>
      </c>
      <c r="J1004" t="s">
        <v>3969</v>
      </c>
      <c r="K1004" t="s">
        <v>84</v>
      </c>
      <c r="L1004" s="204">
        <v>1</v>
      </c>
      <c r="M1004" s="112"/>
      <c r="N1004" s="112">
        <v>984.24749999999995</v>
      </c>
      <c r="O1004" s="204">
        <v>0.22229418921561916</v>
      </c>
      <c r="P1004" s="112">
        <v>218.79250000000002</v>
      </c>
      <c r="Q1004" s="112">
        <v>1203.04</v>
      </c>
      <c r="R1004" s="112">
        <v>1203.04</v>
      </c>
      <c r="S1004" s="112">
        <v>1203.04</v>
      </c>
      <c r="T1004" s="112">
        <v>0</v>
      </c>
      <c r="U1004" t="s">
        <v>5221</v>
      </c>
      <c r="V1004" t="s">
        <v>5222</v>
      </c>
      <c r="W1004" t="s">
        <v>4666</v>
      </c>
      <c r="X1004" t="s">
        <v>4667</v>
      </c>
    </row>
    <row r="1005" spans="1:24" x14ac:dyDescent="0.2">
      <c r="A1005" t="s">
        <v>5223</v>
      </c>
      <c r="B1005" t="s">
        <v>1554</v>
      </c>
      <c r="C1005" t="s">
        <v>533</v>
      </c>
      <c r="D1005" t="s">
        <v>24</v>
      </c>
      <c r="E1005" t="s">
        <v>1555</v>
      </c>
      <c r="F1005" t="s">
        <v>84</v>
      </c>
      <c r="G1005" s="202">
        <v>2</v>
      </c>
      <c r="H1005">
        <v>1</v>
      </c>
      <c r="I1005" t="s">
        <v>3954</v>
      </c>
      <c r="J1005" t="s">
        <v>5112</v>
      </c>
      <c r="K1005" t="s">
        <v>1283</v>
      </c>
      <c r="L1005" s="204">
        <v>0.22</v>
      </c>
      <c r="M1005" s="112">
        <v>37.597500000000004</v>
      </c>
      <c r="N1005" s="112">
        <v>8.2714500000000015</v>
      </c>
      <c r="O1005" s="204"/>
      <c r="P1005" s="112"/>
      <c r="Q1005" s="112"/>
      <c r="R1005" s="112"/>
      <c r="S1005" s="112"/>
      <c r="T1005" s="112"/>
      <c r="U1005" t="s">
        <v>5224</v>
      </c>
      <c r="V1005" t="s">
        <v>5225</v>
      </c>
      <c r="W1005" t="s">
        <v>3958</v>
      </c>
      <c r="X1005" t="s">
        <v>4660</v>
      </c>
    </row>
    <row r="1006" spans="1:24" x14ac:dyDescent="0.2">
      <c r="A1006" t="s">
        <v>5223</v>
      </c>
      <c r="B1006" t="s">
        <v>1554</v>
      </c>
      <c r="C1006" t="s">
        <v>533</v>
      </c>
      <c r="D1006" t="s">
        <v>24</v>
      </c>
      <c r="E1006" t="s">
        <v>1555</v>
      </c>
      <c r="F1006" t="s">
        <v>84</v>
      </c>
      <c r="G1006" s="202">
        <v>2</v>
      </c>
      <c r="H1006">
        <v>2</v>
      </c>
      <c r="I1006" t="s">
        <v>3960</v>
      </c>
      <c r="J1006" t="s">
        <v>5115</v>
      </c>
      <c r="K1006" t="s">
        <v>1283</v>
      </c>
      <c r="L1006" s="204">
        <v>0.68</v>
      </c>
      <c r="M1006" s="112">
        <v>37.597500000000004</v>
      </c>
      <c r="N1006" s="112">
        <v>25.566300000000005</v>
      </c>
      <c r="O1006" s="204"/>
      <c r="P1006" s="112"/>
      <c r="Q1006" s="112"/>
      <c r="R1006" s="112"/>
      <c r="S1006" s="112"/>
      <c r="T1006" s="112"/>
      <c r="U1006" t="s">
        <v>5224</v>
      </c>
      <c r="V1006" t="s">
        <v>5225</v>
      </c>
      <c r="W1006" t="s">
        <v>3958</v>
      </c>
      <c r="X1006" t="s">
        <v>4660</v>
      </c>
    </row>
    <row r="1007" spans="1:24" x14ac:dyDescent="0.2">
      <c r="A1007" t="s">
        <v>5223</v>
      </c>
      <c r="B1007" t="s">
        <v>1554</v>
      </c>
      <c r="C1007" t="s">
        <v>533</v>
      </c>
      <c r="D1007" t="s">
        <v>24</v>
      </c>
      <c r="E1007" t="s">
        <v>1555</v>
      </c>
      <c r="F1007" t="s">
        <v>84</v>
      </c>
      <c r="G1007" s="202">
        <v>2</v>
      </c>
      <c r="H1007">
        <v>3</v>
      </c>
      <c r="I1007" t="s">
        <v>3976</v>
      </c>
      <c r="J1007" t="s">
        <v>5116</v>
      </c>
      <c r="K1007" t="s">
        <v>1283</v>
      </c>
      <c r="L1007" s="204">
        <v>0.05</v>
      </c>
      <c r="M1007" s="112">
        <v>37.597500000000004</v>
      </c>
      <c r="N1007" s="112">
        <v>1.8798750000000002</v>
      </c>
      <c r="O1007" s="204"/>
      <c r="P1007" s="112"/>
      <c r="Q1007" s="112"/>
      <c r="R1007" s="112"/>
      <c r="S1007" s="112"/>
      <c r="T1007" s="112"/>
      <c r="U1007" t="s">
        <v>5224</v>
      </c>
      <c r="V1007" t="s">
        <v>5225</v>
      </c>
      <c r="W1007" t="s">
        <v>3958</v>
      </c>
      <c r="X1007" t="s">
        <v>4660</v>
      </c>
    </row>
    <row r="1008" spans="1:24" x14ac:dyDescent="0.2">
      <c r="A1008" t="s">
        <v>5223</v>
      </c>
      <c r="B1008" t="s">
        <v>1554</v>
      </c>
      <c r="C1008" t="s">
        <v>533</v>
      </c>
      <c r="D1008" t="s">
        <v>24</v>
      </c>
      <c r="E1008" t="s">
        <v>1555</v>
      </c>
      <c r="F1008" t="s">
        <v>84</v>
      </c>
      <c r="G1008" s="202">
        <v>2</v>
      </c>
      <c r="H1008">
        <v>4</v>
      </c>
      <c r="I1008" t="s">
        <v>4017</v>
      </c>
      <c r="J1008" t="s">
        <v>5117</v>
      </c>
      <c r="K1008" t="s">
        <v>1283</v>
      </c>
      <c r="L1008" s="204">
        <v>0.05</v>
      </c>
      <c r="M1008" s="112">
        <v>37.597500000000004</v>
      </c>
      <c r="N1008" s="112">
        <v>1.8798750000000002</v>
      </c>
      <c r="O1008" s="204"/>
      <c r="P1008" s="112"/>
      <c r="Q1008" s="112"/>
      <c r="R1008" s="112"/>
      <c r="S1008" s="112"/>
      <c r="T1008" s="112"/>
      <c r="U1008" t="s">
        <v>5224</v>
      </c>
      <c r="V1008" t="s">
        <v>5225</v>
      </c>
      <c r="W1008" t="s">
        <v>3958</v>
      </c>
      <c r="X1008" t="s">
        <v>4660</v>
      </c>
    </row>
    <row r="1009" spans="1:24" x14ac:dyDescent="0.2">
      <c r="A1009" t="s">
        <v>5223</v>
      </c>
      <c r="B1009" t="s">
        <v>1554</v>
      </c>
      <c r="C1009" t="s">
        <v>533</v>
      </c>
      <c r="D1009" t="s">
        <v>24</v>
      </c>
      <c r="E1009" t="s">
        <v>1555</v>
      </c>
      <c r="F1009" t="s">
        <v>84</v>
      </c>
      <c r="G1009" s="202">
        <v>2</v>
      </c>
      <c r="H1009">
        <v>5</v>
      </c>
      <c r="I1009" t="s">
        <v>3968</v>
      </c>
      <c r="J1009" t="s">
        <v>3969</v>
      </c>
      <c r="K1009" t="s">
        <v>84</v>
      </c>
      <c r="L1009" s="204">
        <v>1</v>
      </c>
      <c r="M1009" s="112"/>
      <c r="N1009" s="112">
        <v>37.597500000000004</v>
      </c>
      <c r="O1009" s="204">
        <v>0.22215572843939091</v>
      </c>
      <c r="P1009" s="112">
        <v>8.3524999999999991</v>
      </c>
      <c r="Q1009" s="112">
        <v>45.95</v>
      </c>
      <c r="R1009" s="112">
        <v>91.9</v>
      </c>
      <c r="S1009" s="112">
        <v>91.9</v>
      </c>
      <c r="T1009" s="112">
        <v>0</v>
      </c>
      <c r="U1009" t="s">
        <v>5224</v>
      </c>
      <c r="V1009" t="s">
        <v>5225</v>
      </c>
      <c r="W1009" t="s">
        <v>4666</v>
      </c>
      <c r="X1009" t="s">
        <v>4667</v>
      </c>
    </row>
    <row r="1010" spans="1:24" x14ac:dyDescent="0.2">
      <c r="A1010" t="s">
        <v>5226</v>
      </c>
      <c r="B1010" t="s">
        <v>537</v>
      </c>
      <c r="C1010" t="s">
        <v>538</v>
      </c>
      <c r="D1010" t="s">
        <v>209</v>
      </c>
      <c r="E1010" t="s">
        <v>539</v>
      </c>
      <c r="F1010" t="s">
        <v>540</v>
      </c>
      <c r="G1010" s="202">
        <v>30.593</v>
      </c>
      <c r="H1010">
        <v>1</v>
      </c>
      <c r="I1010" t="s">
        <v>3954</v>
      </c>
      <c r="J1010" t="s">
        <v>5227</v>
      </c>
      <c r="K1010" t="s">
        <v>1283</v>
      </c>
      <c r="L1010" s="204">
        <v>0.26</v>
      </c>
      <c r="M1010" s="112">
        <v>341.66250000000002</v>
      </c>
      <c r="N1010" s="112">
        <v>88.832250000000002</v>
      </c>
      <c r="O1010" s="204"/>
      <c r="P1010" s="112"/>
      <c r="Q1010" s="112"/>
      <c r="R1010" s="112"/>
      <c r="S1010" s="112"/>
      <c r="T1010" s="112"/>
      <c r="U1010" t="s">
        <v>4412</v>
      </c>
      <c r="V1010" t="s">
        <v>5228</v>
      </c>
      <c r="W1010" t="s">
        <v>3958</v>
      </c>
      <c r="X1010" t="s">
        <v>4660</v>
      </c>
    </row>
    <row r="1011" spans="1:24" x14ac:dyDescent="0.2">
      <c r="A1011" t="s">
        <v>5226</v>
      </c>
      <c r="B1011" t="s">
        <v>537</v>
      </c>
      <c r="C1011" t="s">
        <v>538</v>
      </c>
      <c r="D1011" t="s">
        <v>209</v>
      </c>
      <c r="E1011" t="s">
        <v>539</v>
      </c>
      <c r="F1011" t="s">
        <v>540</v>
      </c>
      <c r="G1011" s="202">
        <v>30.593</v>
      </c>
      <c r="H1011">
        <v>2</v>
      </c>
      <c r="I1011" t="s">
        <v>3960</v>
      </c>
      <c r="J1011" t="s">
        <v>5229</v>
      </c>
      <c r="K1011" t="s">
        <v>1283</v>
      </c>
      <c r="L1011" s="204">
        <v>0.64</v>
      </c>
      <c r="M1011" s="112">
        <v>341.66250000000002</v>
      </c>
      <c r="N1011" s="112">
        <v>218.66400000000002</v>
      </c>
      <c r="O1011" s="204"/>
      <c r="P1011" s="112"/>
      <c r="Q1011" s="112"/>
      <c r="R1011" s="112"/>
      <c r="S1011" s="112"/>
      <c r="T1011" s="112"/>
      <c r="U1011" t="s">
        <v>4412</v>
      </c>
      <c r="V1011" t="s">
        <v>5228</v>
      </c>
      <c r="W1011" t="s">
        <v>3958</v>
      </c>
      <c r="X1011" t="s">
        <v>4660</v>
      </c>
    </row>
    <row r="1012" spans="1:24" x14ac:dyDescent="0.2">
      <c r="A1012" t="s">
        <v>5226</v>
      </c>
      <c r="B1012" t="s">
        <v>537</v>
      </c>
      <c r="C1012" t="s">
        <v>538</v>
      </c>
      <c r="D1012" t="s">
        <v>209</v>
      </c>
      <c r="E1012" t="s">
        <v>539</v>
      </c>
      <c r="F1012" t="s">
        <v>540</v>
      </c>
      <c r="G1012" s="202">
        <v>30.593</v>
      </c>
      <c r="H1012">
        <v>3</v>
      </c>
      <c r="I1012" t="s">
        <v>3976</v>
      </c>
      <c r="J1012" t="s">
        <v>5230</v>
      </c>
      <c r="K1012" t="s">
        <v>1283</v>
      </c>
      <c r="L1012" s="204">
        <v>0.04</v>
      </c>
      <c r="M1012" s="112">
        <v>341.66250000000002</v>
      </c>
      <c r="N1012" s="112">
        <v>13.666500000000001</v>
      </c>
      <c r="O1012" s="204"/>
      <c r="P1012" s="112"/>
      <c r="Q1012" s="112"/>
      <c r="R1012" s="112"/>
      <c r="S1012" s="112"/>
      <c r="T1012" s="112"/>
      <c r="U1012" t="s">
        <v>4412</v>
      </c>
      <c r="V1012" t="s">
        <v>5228</v>
      </c>
      <c r="W1012" t="s">
        <v>3958</v>
      </c>
      <c r="X1012" t="s">
        <v>4660</v>
      </c>
    </row>
    <row r="1013" spans="1:24" x14ac:dyDescent="0.2">
      <c r="A1013" t="s">
        <v>5226</v>
      </c>
      <c r="B1013" t="s">
        <v>537</v>
      </c>
      <c r="C1013" t="s">
        <v>538</v>
      </c>
      <c r="D1013" t="s">
        <v>209</v>
      </c>
      <c r="E1013" t="s">
        <v>539</v>
      </c>
      <c r="F1013" t="s">
        <v>540</v>
      </c>
      <c r="G1013" s="202">
        <v>30.593</v>
      </c>
      <c r="H1013">
        <v>4</v>
      </c>
      <c r="I1013" t="s">
        <v>4017</v>
      </c>
      <c r="J1013" t="s">
        <v>4851</v>
      </c>
      <c r="K1013" t="s">
        <v>1283</v>
      </c>
      <c r="L1013" s="204">
        <v>0.06</v>
      </c>
      <c r="M1013" s="112">
        <v>341.66250000000002</v>
      </c>
      <c r="N1013" s="112">
        <v>20.499750000000002</v>
      </c>
      <c r="O1013" s="204"/>
      <c r="P1013" s="112"/>
      <c r="Q1013" s="112"/>
      <c r="R1013" s="112"/>
      <c r="S1013" s="112"/>
      <c r="T1013" s="112"/>
      <c r="U1013" t="s">
        <v>4412</v>
      </c>
      <c r="V1013" t="s">
        <v>5228</v>
      </c>
      <c r="W1013" t="s">
        <v>3958</v>
      </c>
      <c r="X1013" t="s">
        <v>4660</v>
      </c>
    </row>
    <row r="1014" spans="1:24" x14ac:dyDescent="0.2">
      <c r="A1014" t="s">
        <v>5226</v>
      </c>
      <c r="B1014" t="s">
        <v>537</v>
      </c>
      <c r="C1014" t="s">
        <v>538</v>
      </c>
      <c r="D1014" t="s">
        <v>209</v>
      </c>
      <c r="E1014" t="s">
        <v>539</v>
      </c>
      <c r="F1014" t="s">
        <v>540</v>
      </c>
      <c r="G1014" s="202">
        <v>30.593</v>
      </c>
      <c r="H1014">
        <v>5</v>
      </c>
      <c r="I1014" t="s">
        <v>3968</v>
      </c>
      <c r="J1014" t="s">
        <v>3969</v>
      </c>
      <c r="K1014" t="s">
        <v>540</v>
      </c>
      <c r="L1014" s="204">
        <v>1</v>
      </c>
      <c r="M1014" s="112"/>
      <c r="N1014" s="112">
        <v>341.66250000000002</v>
      </c>
      <c r="O1014" s="204">
        <v>0.22228016181646471</v>
      </c>
      <c r="P1014" s="112">
        <v>75.944795786617874</v>
      </c>
      <c r="Q1014" s="112">
        <v>417.6072957866179</v>
      </c>
      <c r="R1014" s="112">
        <v>12775.86</v>
      </c>
      <c r="S1014" s="112">
        <v>12775.86</v>
      </c>
      <c r="T1014" s="112">
        <v>0</v>
      </c>
      <c r="U1014" t="s">
        <v>4412</v>
      </c>
      <c r="V1014" t="s">
        <v>5228</v>
      </c>
      <c r="W1014" t="s">
        <v>4666</v>
      </c>
      <c r="X1014" t="s">
        <v>4667</v>
      </c>
    </row>
    <row r="1015" spans="1:24" x14ac:dyDescent="0.2">
      <c r="A1015" t="s">
        <v>5231</v>
      </c>
      <c r="B1015" t="s">
        <v>541</v>
      </c>
      <c r="C1015" t="s">
        <v>1556</v>
      </c>
      <c r="D1015" t="s">
        <v>335</v>
      </c>
      <c r="E1015" t="s">
        <v>542</v>
      </c>
      <c r="F1015" t="s">
        <v>26</v>
      </c>
      <c r="G1015" s="202">
        <v>173.72300000000001</v>
      </c>
      <c r="H1015">
        <v>1</v>
      </c>
      <c r="I1015" t="s">
        <v>3954</v>
      </c>
      <c r="J1015" t="s">
        <v>4992</v>
      </c>
      <c r="K1015" t="s">
        <v>1283</v>
      </c>
      <c r="L1015" s="204">
        <v>0.27</v>
      </c>
      <c r="M1015" s="112">
        <v>369.07500000000005</v>
      </c>
      <c r="N1015" s="112">
        <v>99.650250000000014</v>
      </c>
      <c r="O1015" s="204"/>
      <c r="P1015" s="112"/>
      <c r="Q1015" s="112"/>
      <c r="R1015" s="112"/>
      <c r="S1015" s="112"/>
      <c r="T1015" s="112"/>
      <c r="U1015" t="s">
        <v>5232</v>
      </c>
      <c r="V1015" t="s">
        <v>5233</v>
      </c>
      <c r="W1015" t="s">
        <v>3958</v>
      </c>
      <c r="X1015" t="s">
        <v>4660</v>
      </c>
    </row>
    <row r="1016" spans="1:24" x14ac:dyDescent="0.2">
      <c r="A1016" t="s">
        <v>5231</v>
      </c>
      <c r="B1016" t="s">
        <v>541</v>
      </c>
      <c r="C1016" t="s">
        <v>1556</v>
      </c>
      <c r="D1016" t="s">
        <v>335</v>
      </c>
      <c r="E1016" t="s">
        <v>542</v>
      </c>
      <c r="F1016" t="s">
        <v>26</v>
      </c>
      <c r="G1016" s="202">
        <v>173.72300000000001</v>
      </c>
      <c r="H1016">
        <v>2</v>
      </c>
      <c r="I1016" t="s">
        <v>3960</v>
      </c>
      <c r="J1016" t="s">
        <v>4994</v>
      </c>
      <c r="K1016" t="s">
        <v>1283</v>
      </c>
      <c r="L1016" s="204">
        <v>0.63</v>
      </c>
      <c r="M1016" s="112">
        <v>369.07500000000005</v>
      </c>
      <c r="N1016" s="112">
        <v>232.51725000000002</v>
      </c>
      <c r="O1016" s="204"/>
      <c r="P1016" s="112"/>
      <c r="Q1016" s="112"/>
      <c r="R1016" s="112"/>
      <c r="S1016" s="112"/>
      <c r="T1016" s="112"/>
      <c r="U1016" t="s">
        <v>5232</v>
      </c>
      <c r="V1016" t="s">
        <v>5233</v>
      </c>
      <c r="W1016" t="s">
        <v>3958</v>
      </c>
      <c r="X1016" t="s">
        <v>4660</v>
      </c>
    </row>
    <row r="1017" spans="1:24" x14ac:dyDescent="0.2">
      <c r="A1017" t="s">
        <v>5231</v>
      </c>
      <c r="B1017" t="s">
        <v>541</v>
      </c>
      <c r="C1017" t="s">
        <v>1556</v>
      </c>
      <c r="D1017" t="s">
        <v>335</v>
      </c>
      <c r="E1017" t="s">
        <v>542</v>
      </c>
      <c r="F1017" t="s">
        <v>26</v>
      </c>
      <c r="G1017" s="202">
        <v>173.72300000000001</v>
      </c>
      <c r="H1017">
        <v>3</v>
      </c>
      <c r="I1017" t="s">
        <v>3976</v>
      </c>
      <c r="J1017" t="s">
        <v>4995</v>
      </c>
      <c r="K1017" t="s">
        <v>1283</v>
      </c>
      <c r="L1017" s="204">
        <v>0.05</v>
      </c>
      <c r="M1017" s="112">
        <v>369.07500000000005</v>
      </c>
      <c r="N1017" s="112">
        <v>18.453750000000003</v>
      </c>
      <c r="O1017" s="204"/>
      <c r="P1017" s="112"/>
      <c r="Q1017" s="112"/>
      <c r="R1017" s="112"/>
      <c r="S1017" s="112"/>
      <c r="T1017" s="112"/>
      <c r="U1017" t="s">
        <v>5232</v>
      </c>
      <c r="V1017" t="s">
        <v>5233</v>
      </c>
      <c r="W1017" t="s">
        <v>3958</v>
      </c>
      <c r="X1017" t="s">
        <v>4660</v>
      </c>
    </row>
    <row r="1018" spans="1:24" x14ac:dyDescent="0.2">
      <c r="A1018" t="s">
        <v>5231</v>
      </c>
      <c r="B1018" t="s">
        <v>541</v>
      </c>
      <c r="C1018" t="s">
        <v>1556</v>
      </c>
      <c r="D1018" t="s">
        <v>335</v>
      </c>
      <c r="E1018" t="s">
        <v>542</v>
      </c>
      <c r="F1018" t="s">
        <v>26</v>
      </c>
      <c r="G1018" s="202">
        <v>173.72300000000001</v>
      </c>
      <c r="H1018">
        <v>4</v>
      </c>
      <c r="I1018" t="s">
        <v>4017</v>
      </c>
      <c r="J1018" t="s">
        <v>4809</v>
      </c>
      <c r="K1018" t="s">
        <v>1283</v>
      </c>
      <c r="L1018" s="204">
        <v>0.05</v>
      </c>
      <c r="M1018" s="112">
        <v>369.07500000000005</v>
      </c>
      <c r="N1018" s="112">
        <v>18.453750000000003</v>
      </c>
      <c r="O1018" s="204"/>
      <c r="P1018" s="112"/>
      <c r="Q1018" s="112"/>
      <c r="R1018" s="112"/>
      <c r="S1018" s="112"/>
      <c r="T1018" s="112"/>
      <c r="U1018" t="s">
        <v>5232</v>
      </c>
      <c r="V1018" t="s">
        <v>5233</v>
      </c>
      <c r="W1018" t="s">
        <v>3958</v>
      </c>
      <c r="X1018" t="s">
        <v>4660</v>
      </c>
    </row>
    <row r="1019" spans="1:24" x14ac:dyDescent="0.2">
      <c r="A1019" t="s">
        <v>5231</v>
      </c>
      <c r="B1019" t="s">
        <v>541</v>
      </c>
      <c r="C1019" t="s">
        <v>1556</v>
      </c>
      <c r="D1019" t="s">
        <v>335</v>
      </c>
      <c r="E1019" t="s">
        <v>542</v>
      </c>
      <c r="F1019" t="s">
        <v>26</v>
      </c>
      <c r="G1019" s="202">
        <v>173.72300000000001</v>
      </c>
      <c r="H1019">
        <v>5</v>
      </c>
      <c r="I1019" t="s">
        <v>3968</v>
      </c>
      <c r="J1019" t="s">
        <v>3969</v>
      </c>
      <c r="K1019" t="s">
        <v>26</v>
      </c>
      <c r="L1019" s="204">
        <v>1</v>
      </c>
      <c r="M1019" s="112"/>
      <c r="N1019" s="112">
        <v>369.07500000000005</v>
      </c>
      <c r="O1019" s="204">
        <v>0.22229213198896614</v>
      </c>
      <c r="P1019" s="112">
        <v>82.04246861382768</v>
      </c>
      <c r="Q1019" s="112">
        <v>451.11746861382773</v>
      </c>
      <c r="R1019" s="112">
        <v>78369.48</v>
      </c>
      <c r="S1019" s="112">
        <v>78369.48</v>
      </c>
      <c r="T1019" s="112">
        <v>0</v>
      </c>
      <c r="U1019" t="s">
        <v>5232</v>
      </c>
      <c r="V1019" t="s">
        <v>5233</v>
      </c>
      <c r="W1019" t="s">
        <v>4666</v>
      </c>
      <c r="X1019" t="s">
        <v>4667</v>
      </c>
    </row>
    <row r="1020" spans="1:24" x14ac:dyDescent="0.2">
      <c r="A1020" t="s">
        <v>5234</v>
      </c>
      <c r="B1020" t="s">
        <v>543</v>
      </c>
      <c r="C1020" t="s">
        <v>544</v>
      </c>
      <c r="D1020" t="s">
        <v>209</v>
      </c>
      <c r="E1020" t="s">
        <v>1557</v>
      </c>
      <c r="F1020" t="s">
        <v>99</v>
      </c>
      <c r="G1020" s="202">
        <v>322.73500000000001</v>
      </c>
      <c r="H1020">
        <v>1</v>
      </c>
      <c r="I1020" t="s">
        <v>3954</v>
      </c>
      <c r="J1020" t="s">
        <v>4110</v>
      </c>
      <c r="K1020" t="s">
        <v>1283</v>
      </c>
      <c r="L1020" s="204">
        <v>0.3</v>
      </c>
      <c r="M1020" s="112">
        <v>43.125</v>
      </c>
      <c r="N1020" s="112">
        <v>12.9375</v>
      </c>
      <c r="O1020" s="204"/>
      <c r="P1020" s="112"/>
      <c r="Q1020" s="112"/>
      <c r="R1020" s="112"/>
      <c r="S1020" s="112"/>
      <c r="T1020" s="112"/>
      <c r="U1020" t="s">
        <v>4390</v>
      </c>
      <c r="V1020" t="s">
        <v>5235</v>
      </c>
      <c r="W1020" t="s">
        <v>3958</v>
      </c>
      <c r="X1020" t="s">
        <v>4660</v>
      </c>
    </row>
    <row r="1021" spans="1:24" x14ac:dyDescent="0.2">
      <c r="A1021" t="s">
        <v>5234</v>
      </c>
      <c r="B1021" t="s">
        <v>543</v>
      </c>
      <c r="C1021" t="s">
        <v>544</v>
      </c>
      <c r="D1021" t="s">
        <v>209</v>
      </c>
      <c r="E1021" t="s">
        <v>1557</v>
      </c>
      <c r="F1021" t="s">
        <v>99</v>
      </c>
      <c r="G1021" s="202">
        <v>322.73500000000001</v>
      </c>
      <c r="H1021">
        <v>2</v>
      </c>
      <c r="I1021" t="s">
        <v>3960</v>
      </c>
      <c r="J1021" t="s">
        <v>4113</v>
      </c>
      <c r="K1021" t="s">
        <v>1283</v>
      </c>
      <c r="L1021" s="204">
        <v>0.55000000000000004</v>
      </c>
      <c r="M1021" s="112">
        <v>43.125</v>
      </c>
      <c r="N1021" s="112">
        <v>23.718750000000004</v>
      </c>
      <c r="O1021" s="204"/>
      <c r="P1021" s="112"/>
      <c r="Q1021" s="112"/>
      <c r="R1021" s="112"/>
      <c r="S1021" s="112"/>
      <c r="T1021" s="112"/>
      <c r="U1021" t="s">
        <v>4390</v>
      </c>
      <c r="V1021" t="s">
        <v>5235</v>
      </c>
      <c r="W1021" t="s">
        <v>3958</v>
      </c>
      <c r="X1021" t="s">
        <v>4660</v>
      </c>
    </row>
    <row r="1022" spans="1:24" x14ac:dyDescent="0.2">
      <c r="A1022" t="s">
        <v>5234</v>
      </c>
      <c r="B1022" t="s">
        <v>543</v>
      </c>
      <c r="C1022" t="s">
        <v>544</v>
      </c>
      <c r="D1022" t="s">
        <v>209</v>
      </c>
      <c r="E1022" t="s">
        <v>1557</v>
      </c>
      <c r="F1022" t="s">
        <v>99</v>
      </c>
      <c r="G1022" s="202">
        <v>322.73500000000001</v>
      </c>
      <c r="H1022">
        <v>3</v>
      </c>
      <c r="I1022" t="s">
        <v>3976</v>
      </c>
      <c r="J1022" t="s">
        <v>4114</v>
      </c>
      <c r="K1022" t="s">
        <v>1283</v>
      </c>
      <c r="L1022" s="204">
        <v>0.1</v>
      </c>
      <c r="M1022" s="112">
        <v>43.125</v>
      </c>
      <c r="N1022" s="112">
        <v>4.3125</v>
      </c>
      <c r="O1022" s="204"/>
      <c r="P1022" s="112"/>
      <c r="Q1022" s="112"/>
      <c r="R1022" s="112"/>
      <c r="S1022" s="112"/>
      <c r="T1022" s="112"/>
      <c r="U1022" t="s">
        <v>4390</v>
      </c>
      <c r="V1022" t="s">
        <v>5235</v>
      </c>
      <c r="W1022" t="s">
        <v>3958</v>
      </c>
      <c r="X1022" t="s">
        <v>4660</v>
      </c>
    </row>
    <row r="1023" spans="1:24" x14ac:dyDescent="0.2">
      <c r="A1023" t="s">
        <v>5234</v>
      </c>
      <c r="B1023" t="s">
        <v>543</v>
      </c>
      <c r="C1023" t="s">
        <v>544</v>
      </c>
      <c r="D1023" t="s">
        <v>209</v>
      </c>
      <c r="E1023" t="s">
        <v>1557</v>
      </c>
      <c r="F1023" t="s">
        <v>99</v>
      </c>
      <c r="G1023" s="202">
        <v>322.73500000000001</v>
      </c>
      <c r="H1023">
        <v>4</v>
      </c>
      <c r="I1023" t="s">
        <v>4017</v>
      </c>
      <c r="J1023" t="s">
        <v>4115</v>
      </c>
      <c r="K1023" t="s">
        <v>1283</v>
      </c>
      <c r="L1023" s="204">
        <v>0.05</v>
      </c>
      <c r="M1023" s="112">
        <v>43.125</v>
      </c>
      <c r="N1023" s="112">
        <v>2.15625</v>
      </c>
      <c r="O1023" s="204"/>
      <c r="P1023" s="112"/>
      <c r="Q1023" s="112"/>
      <c r="R1023" s="112"/>
      <c r="S1023" s="112"/>
      <c r="T1023" s="112"/>
      <c r="U1023" t="s">
        <v>4390</v>
      </c>
      <c r="V1023" t="s">
        <v>5235</v>
      </c>
      <c r="W1023" t="s">
        <v>3958</v>
      </c>
      <c r="X1023" t="s">
        <v>4660</v>
      </c>
    </row>
    <row r="1024" spans="1:24" x14ac:dyDescent="0.2">
      <c r="A1024" t="s">
        <v>5234</v>
      </c>
      <c r="B1024" t="s">
        <v>543</v>
      </c>
      <c r="C1024" t="s">
        <v>544</v>
      </c>
      <c r="D1024" t="s">
        <v>209</v>
      </c>
      <c r="E1024" t="s">
        <v>1557</v>
      </c>
      <c r="F1024" t="s">
        <v>99</v>
      </c>
      <c r="G1024" s="202">
        <v>322.73500000000001</v>
      </c>
      <c r="H1024">
        <v>5</v>
      </c>
      <c r="I1024" t="s">
        <v>3968</v>
      </c>
      <c r="J1024" t="s">
        <v>3969</v>
      </c>
      <c r="K1024" t="s">
        <v>99</v>
      </c>
      <c r="L1024" s="204">
        <v>1</v>
      </c>
      <c r="M1024" s="112"/>
      <c r="N1024" s="112">
        <v>43.125</v>
      </c>
      <c r="O1024" s="204">
        <v>0.22226073664331336</v>
      </c>
      <c r="P1024" s="112">
        <v>9.5849942677428857</v>
      </c>
      <c r="Q1024" s="112">
        <v>52.709994267742886</v>
      </c>
      <c r="R1024" s="112">
        <v>17011.36</v>
      </c>
      <c r="S1024" s="112">
        <v>17011.36</v>
      </c>
      <c r="T1024" s="112">
        <v>0</v>
      </c>
      <c r="U1024" t="s">
        <v>4390</v>
      </c>
      <c r="V1024" t="s">
        <v>5235</v>
      </c>
      <c r="W1024" t="s">
        <v>4666</v>
      </c>
      <c r="X1024" t="s">
        <v>4667</v>
      </c>
    </row>
    <row r="1025" spans="1:24" x14ac:dyDescent="0.2">
      <c r="A1025" t="s">
        <v>5236</v>
      </c>
      <c r="B1025" t="s">
        <v>546</v>
      </c>
      <c r="C1025" t="s">
        <v>1558</v>
      </c>
      <c r="D1025" t="s">
        <v>335</v>
      </c>
      <c r="E1025" t="s">
        <v>547</v>
      </c>
      <c r="F1025" t="s">
        <v>26</v>
      </c>
      <c r="G1025" s="202">
        <v>208.96299999999999</v>
      </c>
      <c r="H1025">
        <v>1</v>
      </c>
      <c r="I1025" t="s">
        <v>3954</v>
      </c>
      <c r="J1025" t="s">
        <v>5227</v>
      </c>
      <c r="K1025" t="s">
        <v>1283</v>
      </c>
      <c r="L1025" s="204">
        <v>0.26</v>
      </c>
      <c r="M1025" s="112">
        <v>215.715</v>
      </c>
      <c r="N1025" s="112">
        <v>56.085900000000002</v>
      </c>
      <c r="O1025" s="204"/>
      <c r="P1025" s="112"/>
      <c r="Q1025" s="112"/>
      <c r="R1025" s="112"/>
      <c r="S1025" s="112"/>
      <c r="T1025" s="112"/>
      <c r="U1025" t="s">
        <v>5237</v>
      </c>
      <c r="V1025" t="s">
        <v>5238</v>
      </c>
      <c r="W1025" t="s">
        <v>3958</v>
      </c>
      <c r="X1025" t="s">
        <v>4660</v>
      </c>
    </row>
    <row r="1026" spans="1:24" x14ac:dyDescent="0.2">
      <c r="A1026" t="s">
        <v>5236</v>
      </c>
      <c r="B1026" t="s">
        <v>546</v>
      </c>
      <c r="C1026" t="s">
        <v>1558</v>
      </c>
      <c r="D1026" t="s">
        <v>335</v>
      </c>
      <c r="E1026" t="s">
        <v>547</v>
      </c>
      <c r="F1026" t="s">
        <v>26</v>
      </c>
      <c r="G1026" s="202">
        <v>208.96299999999999</v>
      </c>
      <c r="H1026">
        <v>2</v>
      </c>
      <c r="I1026" t="s">
        <v>3960</v>
      </c>
      <c r="J1026" t="s">
        <v>5229</v>
      </c>
      <c r="K1026" t="s">
        <v>1283</v>
      </c>
      <c r="L1026" s="204">
        <v>0.64</v>
      </c>
      <c r="M1026" s="112">
        <v>215.715</v>
      </c>
      <c r="N1026" s="112">
        <v>138.05760000000001</v>
      </c>
      <c r="O1026" s="204"/>
      <c r="P1026" s="112"/>
      <c r="Q1026" s="112"/>
      <c r="R1026" s="112"/>
      <c r="S1026" s="112"/>
      <c r="T1026" s="112"/>
      <c r="U1026" t="s">
        <v>5237</v>
      </c>
      <c r="V1026" t="s">
        <v>5238</v>
      </c>
      <c r="W1026" t="s">
        <v>3958</v>
      </c>
      <c r="X1026" t="s">
        <v>4660</v>
      </c>
    </row>
    <row r="1027" spans="1:24" x14ac:dyDescent="0.2">
      <c r="A1027" t="s">
        <v>5236</v>
      </c>
      <c r="B1027" t="s">
        <v>546</v>
      </c>
      <c r="C1027" t="s">
        <v>1558</v>
      </c>
      <c r="D1027" t="s">
        <v>335</v>
      </c>
      <c r="E1027" t="s">
        <v>547</v>
      </c>
      <c r="F1027" t="s">
        <v>26</v>
      </c>
      <c r="G1027" s="202">
        <v>208.96299999999999</v>
      </c>
      <c r="H1027">
        <v>3</v>
      </c>
      <c r="I1027" t="s">
        <v>3976</v>
      </c>
      <c r="J1027" t="s">
        <v>5230</v>
      </c>
      <c r="K1027" t="s">
        <v>1283</v>
      </c>
      <c r="L1027" s="204">
        <v>0.04</v>
      </c>
      <c r="M1027" s="112">
        <v>215.715</v>
      </c>
      <c r="N1027" s="112">
        <v>8.6286000000000005</v>
      </c>
      <c r="O1027" s="204"/>
      <c r="P1027" s="112"/>
      <c r="Q1027" s="112"/>
      <c r="R1027" s="112"/>
      <c r="S1027" s="112"/>
      <c r="T1027" s="112"/>
      <c r="U1027" t="s">
        <v>5237</v>
      </c>
      <c r="V1027" t="s">
        <v>5238</v>
      </c>
      <c r="W1027" t="s">
        <v>3958</v>
      </c>
      <c r="X1027" t="s">
        <v>4660</v>
      </c>
    </row>
    <row r="1028" spans="1:24" x14ac:dyDescent="0.2">
      <c r="A1028" t="s">
        <v>5236</v>
      </c>
      <c r="B1028" t="s">
        <v>546</v>
      </c>
      <c r="C1028" t="s">
        <v>1558</v>
      </c>
      <c r="D1028" t="s">
        <v>335</v>
      </c>
      <c r="E1028" t="s">
        <v>547</v>
      </c>
      <c r="F1028" t="s">
        <v>26</v>
      </c>
      <c r="G1028" s="202">
        <v>208.96299999999999</v>
      </c>
      <c r="H1028">
        <v>4</v>
      </c>
      <c r="I1028" t="s">
        <v>4017</v>
      </c>
      <c r="J1028" t="s">
        <v>4851</v>
      </c>
      <c r="K1028" t="s">
        <v>1283</v>
      </c>
      <c r="L1028" s="204">
        <v>0.06</v>
      </c>
      <c r="M1028" s="112">
        <v>215.715</v>
      </c>
      <c r="N1028" s="112">
        <v>12.9429</v>
      </c>
      <c r="O1028" s="204"/>
      <c r="P1028" s="112"/>
      <c r="Q1028" s="112"/>
      <c r="R1028" s="112"/>
      <c r="S1028" s="112"/>
      <c r="T1028" s="112"/>
      <c r="U1028" t="s">
        <v>5237</v>
      </c>
      <c r="V1028" t="s">
        <v>5238</v>
      </c>
      <c r="W1028" t="s">
        <v>3958</v>
      </c>
      <c r="X1028" t="s">
        <v>4660</v>
      </c>
    </row>
    <row r="1029" spans="1:24" x14ac:dyDescent="0.2">
      <c r="A1029" t="s">
        <v>5236</v>
      </c>
      <c r="B1029" t="s">
        <v>546</v>
      </c>
      <c r="C1029" t="s">
        <v>1558</v>
      </c>
      <c r="D1029" t="s">
        <v>335</v>
      </c>
      <c r="E1029" t="s">
        <v>547</v>
      </c>
      <c r="F1029" t="s">
        <v>26</v>
      </c>
      <c r="G1029" s="202">
        <v>208.96299999999999</v>
      </c>
      <c r="H1029">
        <v>5</v>
      </c>
      <c r="I1029" t="s">
        <v>3968</v>
      </c>
      <c r="J1029" t="s">
        <v>3969</v>
      </c>
      <c r="K1029" t="s">
        <v>26</v>
      </c>
      <c r="L1029" s="204">
        <v>1</v>
      </c>
      <c r="M1029" s="112"/>
      <c r="N1029" s="112">
        <v>215.715</v>
      </c>
      <c r="O1029" s="204">
        <v>0.22227228779206754</v>
      </c>
      <c r="P1029" s="112">
        <v>47.947466561065852</v>
      </c>
      <c r="Q1029" s="112">
        <v>263.66246656106586</v>
      </c>
      <c r="R1029" s="112">
        <v>55095.7</v>
      </c>
      <c r="S1029" s="112">
        <v>55095.7</v>
      </c>
      <c r="T1029" s="112">
        <v>0</v>
      </c>
      <c r="U1029" t="s">
        <v>5237</v>
      </c>
      <c r="V1029" t="s">
        <v>5238</v>
      </c>
      <c r="W1029" t="s">
        <v>4666</v>
      </c>
      <c r="X1029" t="s">
        <v>4667</v>
      </c>
    </row>
    <row r="1030" spans="1:24" x14ac:dyDescent="0.2">
      <c r="A1030" t="s">
        <v>5239</v>
      </c>
      <c r="B1030" t="s">
        <v>550</v>
      </c>
      <c r="C1030" t="s">
        <v>551</v>
      </c>
      <c r="D1030" t="s">
        <v>209</v>
      </c>
      <c r="E1030" t="s">
        <v>552</v>
      </c>
      <c r="F1030" t="s">
        <v>26</v>
      </c>
      <c r="G1030" s="202">
        <v>15.467000000000001</v>
      </c>
      <c r="H1030">
        <v>1</v>
      </c>
      <c r="I1030" t="s">
        <v>3954</v>
      </c>
      <c r="J1030" t="s">
        <v>4992</v>
      </c>
      <c r="K1030" t="s">
        <v>1283</v>
      </c>
      <c r="L1030" s="204">
        <v>0.27</v>
      </c>
      <c r="M1030" s="112">
        <v>961.44749999999999</v>
      </c>
      <c r="N1030" s="112">
        <v>259.590825</v>
      </c>
      <c r="O1030" s="204"/>
      <c r="P1030" s="112"/>
      <c r="Q1030" s="112"/>
      <c r="R1030" s="112"/>
      <c r="S1030" s="112"/>
      <c r="T1030" s="112"/>
      <c r="U1030" t="s">
        <v>4386</v>
      </c>
      <c r="V1030" t="s">
        <v>5240</v>
      </c>
      <c r="W1030" t="s">
        <v>3958</v>
      </c>
      <c r="X1030" t="s">
        <v>4660</v>
      </c>
    </row>
    <row r="1031" spans="1:24" x14ac:dyDescent="0.2">
      <c r="A1031" t="s">
        <v>5239</v>
      </c>
      <c r="B1031" t="s">
        <v>550</v>
      </c>
      <c r="C1031" t="s">
        <v>551</v>
      </c>
      <c r="D1031" t="s">
        <v>209</v>
      </c>
      <c r="E1031" t="s">
        <v>552</v>
      </c>
      <c r="F1031" t="s">
        <v>26</v>
      </c>
      <c r="G1031" s="202">
        <v>15.467000000000001</v>
      </c>
      <c r="H1031">
        <v>2</v>
      </c>
      <c r="I1031" t="s">
        <v>3960</v>
      </c>
      <c r="J1031" t="s">
        <v>4994</v>
      </c>
      <c r="K1031" t="s">
        <v>1283</v>
      </c>
      <c r="L1031" s="204">
        <v>0.63</v>
      </c>
      <c r="M1031" s="112">
        <v>961.44749999999999</v>
      </c>
      <c r="N1031" s="112">
        <v>605.71192499999995</v>
      </c>
      <c r="O1031" s="204"/>
      <c r="P1031" s="112"/>
      <c r="Q1031" s="112"/>
      <c r="R1031" s="112"/>
      <c r="S1031" s="112"/>
      <c r="T1031" s="112"/>
      <c r="U1031" t="s">
        <v>4386</v>
      </c>
      <c r="V1031" t="s">
        <v>5240</v>
      </c>
      <c r="W1031" t="s">
        <v>3958</v>
      </c>
      <c r="X1031" t="s">
        <v>4660</v>
      </c>
    </row>
    <row r="1032" spans="1:24" x14ac:dyDescent="0.2">
      <c r="A1032" t="s">
        <v>5239</v>
      </c>
      <c r="B1032" t="s">
        <v>550</v>
      </c>
      <c r="C1032" t="s">
        <v>551</v>
      </c>
      <c r="D1032" t="s">
        <v>209</v>
      </c>
      <c r="E1032" t="s">
        <v>552</v>
      </c>
      <c r="F1032" t="s">
        <v>26</v>
      </c>
      <c r="G1032" s="202">
        <v>15.467000000000001</v>
      </c>
      <c r="H1032">
        <v>3</v>
      </c>
      <c r="I1032" t="s">
        <v>3976</v>
      </c>
      <c r="J1032" t="s">
        <v>4995</v>
      </c>
      <c r="K1032" t="s">
        <v>1283</v>
      </c>
      <c r="L1032" s="204">
        <v>0.05</v>
      </c>
      <c r="M1032" s="112">
        <v>961.44749999999999</v>
      </c>
      <c r="N1032" s="112">
        <v>48.072375000000001</v>
      </c>
      <c r="O1032" s="204"/>
      <c r="P1032" s="112"/>
      <c r="Q1032" s="112"/>
      <c r="R1032" s="112"/>
      <c r="S1032" s="112"/>
      <c r="T1032" s="112"/>
      <c r="U1032" t="s">
        <v>4386</v>
      </c>
      <c r="V1032" t="s">
        <v>5240</v>
      </c>
      <c r="W1032" t="s">
        <v>3958</v>
      </c>
      <c r="X1032" t="s">
        <v>4660</v>
      </c>
    </row>
    <row r="1033" spans="1:24" x14ac:dyDescent="0.2">
      <c r="A1033" t="s">
        <v>5239</v>
      </c>
      <c r="B1033" t="s">
        <v>550</v>
      </c>
      <c r="C1033" t="s">
        <v>551</v>
      </c>
      <c r="D1033" t="s">
        <v>209</v>
      </c>
      <c r="E1033" t="s">
        <v>552</v>
      </c>
      <c r="F1033" t="s">
        <v>26</v>
      </c>
      <c r="G1033" s="202">
        <v>15.467000000000001</v>
      </c>
      <c r="H1033">
        <v>4</v>
      </c>
      <c r="I1033" t="s">
        <v>4017</v>
      </c>
      <c r="J1033" t="s">
        <v>4809</v>
      </c>
      <c r="K1033" t="s">
        <v>1283</v>
      </c>
      <c r="L1033" s="204">
        <v>0.05</v>
      </c>
      <c r="M1033" s="112">
        <v>961.44749999999999</v>
      </c>
      <c r="N1033" s="112">
        <v>48.072375000000001</v>
      </c>
      <c r="O1033" s="204"/>
      <c r="P1033" s="112"/>
      <c r="Q1033" s="112"/>
      <c r="R1033" s="112"/>
      <c r="S1033" s="112"/>
      <c r="T1033" s="112"/>
      <c r="U1033" t="s">
        <v>4386</v>
      </c>
      <c r="V1033" t="s">
        <v>5240</v>
      </c>
      <c r="W1033" t="s">
        <v>3958</v>
      </c>
      <c r="X1033" t="s">
        <v>4660</v>
      </c>
    </row>
    <row r="1034" spans="1:24" x14ac:dyDescent="0.2">
      <c r="A1034" t="s">
        <v>5239</v>
      </c>
      <c r="B1034" t="s">
        <v>550</v>
      </c>
      <c r="C1034" t="s">
        <v>551</v>
      </c>
      <c r="D1034" t="s">
        <v>209</v>
      </c>
      <c r="E1034" t="s">
        <v>552</v>
      </c>
      <c r="F1034" t="s">
        <v>26</v>
      </c>
      <c r="G1034" s="202">
        <v>15.467000000000001</v>
      </c>
      <c r="H1034">
        <v>5</v>
      </c>
      <c r="I1034" t="s">
        <v>3968</v>
      </c>
      <c r="J1034" t="s">
        <v>3969</v>
      </c>
      <c r="K1034" t="s">
        <v>26</v>
      </c>
      <c r="L1034" s="204">
        <v>1</v>
      </c>
      <c r="M1034" s="112"/>
      <c r="N1034" s="112">
        <v>961.44749999999999</v>
      </c>
      <c r="O1034" s="204">
        <v>0.22229751335588399</v>
      </c>
      <c r="P1034" s="112">
        <v>213.72738847223127</v>
      </c>
      <c r="Q1034" s="112">
        <v>1175.1748884722313</v>
      </c>
      <c r="R1034" s="112">
        <v>18176.43</v>
      </c>
      <c r="S1034" s="112">
        <v>18176.43</v>
      </c>
      <c r="T1034" s="112">
        <v>0</v>
      </c>
      <c r="U1034" t="s">
        <v>4386</v>
      </c>
      <c r="V1034" t="s">
        <v>5240</v>
      </c>
      <c r="W1034" t="s">
        <v>4666</v>
      </c>
      <c r="X1034" t="s">
        <v>4667</v>
      </c>
    </row>
    <row r="1035" spans="1:24" x14ac:dyDescent="0.2">
      <c r="A1035" t="s">
        <v>5241</v>
      </c>
      <c r="B1035" t="s">
        <v>556</v>
      </c>
      <c r="C1035" t="s">
        <v>1559</v>
      </c>
      <c r="D1035" t="s">
        <v>56</v>
      </c>
      <c r="E1035" t="s">
        <v>557</v>
      </c>
      <c r="F1035" t="s">
        <v>84</v>
      </c>
      <c r="G1035" s="202">
        <v>1</v>
      </c>
      <c r="H1035">
        <v>1</v>
      </c>
      <c r="I1035" t="s">
        <v>3954</v>
      </c>
      <c r="J1035" t="s">
        <v>4110</v>
      </c>
      <c r="K1035" t="s">
        <v>1283</v>
      </c>
      <c r="L1035" s="204">
        <v>0.3</v>
      </c>
      <c r="M1035" s="112">
        <v>253.02</v>
      </c>
      <c r="N1035" s="112">
        <v>75.906000000000006</v>
      </c>
      <c r="O1035" s="204"/>
      <c r="P1035" s="112"/>
      <c r="Q1035" s="112"/>
      <c r="R1035" s="112"/>
      <c r="S1035" s="112"/>
      <c r="T1035" s="112"/>
      <c r="U1035" t="s">
        <v>5242</v>
      </c>
      <c r="V1035" t="s">
        <v>5243</v>
      </c>
      <c r="W1035" t="s">
        <v>3958</v>
      </c>
      <c r="X1035" t="s">
        <v>4660</v>
      </c>
    </row>
    <row r="1036" spans="1:24" x14ac:dyDescent="0.2">
      <c r="A1036" t="s">
        <v>5241</v>
      </c>
      <c r="B1036" t="s">
        <v>556</v>
      </c>
      <c r="C1036" t="s">
        <v>1559</v>
      </c>
      <c r="D1036" t="s">
        <v>56</v>
      </c>
      <c r="E1036" t="s">
        <v>557</v>
      </c>
      <c r="F1036" t="s">
        <v>84</v>
      </c>
      <c r="G1036" s="202">
        <v>1</v>
      </c>
      <c r="H1036">
        <v>2</v>
      </c>
      <c r="I1036" t="s">
        <v>3960</v>
      </c>
      <c r="J1036" t="s">
        <v>4113</v>
      </c>
      <c r="K1036" t="s">
        <v>1283</v>
      </c>
      <c r="L1036" s="204">
        <v>0.55000000000000004</v>
      </c>
      <c r="M1036" s="112">
        <v>253.02</v>
      </c>
      <c r="N1036" s="112">
        <v>139.16100000000003</v>
      </c>
      <c r="O1036" s="204"/>
      <c r="P1036" s="112"/>
      <c r="Q1036" s="112"/>
      <c r="R1036" s="112"/>
      <c r="S1036" s="112"/>
      <c r="T1036" s="112"/>
      <c r="U1036" t="s">
        <v>5242</v>
      </c>
      <c r="V1036" t="s">
        <v>5243</v>
      </c>
      <c r="W1036" t="s">
        <v>3958</v>
      </c>
      <c r="X1036" t="s">
        <v>4660</v>
      </c>
    </row>
    <row r="1037" spans="1:24" x14ac:dyDescent="0.2">
      <c r="A1037" t="s">
        <v>5241</v>
      </c>
      <c r="B1037" t="s">
        <v>556</v>
      </c>
      <c r="C1037" t="s">
        <v>1559</v>
      </c>
      <c r="D1037" t="s">
        <v>56</v>
      </c>
      <c r="E1037" t="s">
        <v>557</v>
      </c>
      <c r="F1037" t="s">
        <v>84</v>
      </c>
      <c r="G1037" s="202">
        <v>1</v>
      </c>
      <c r="H1037">
        <v>3</v>
      </c>
      <c r="I1037" t="s">
        <v>3976</v>
      </c>
      <c r="J1037" t="s">
        <v>4114</v>
      </c>
      <c r="K1037" t="s">
        <v>1283</v>
      </c>
      <c r="L1037" s="204">
        <v>0.1</v>
      </c>
      <c r="M1037" s="112">
        <v>253.02</v>
      </c>
      <c r="N1037" s="112">
        <v>25.302000000000003</v>
      </c>
      <c r="O1037" s="204"/>
      <c r="P1037" s="112"/>
      <c r="Q1037" s="112"/>
      <c r="R1037" s="112"/>
      <c r="S1037" s="112"/>
      <c r="T1037" s="112"/>
      <c r="U1037" t="s">
        <v>5242</v>
      </c>
      <c r="V1037" t="s">
        <v>5243</v>
      </c>
      <c r="W1037" t="s">
        <v>3958</v>
      </c>
      <c r="X1037" t="s">
        <v>4660</v>
      </c>
    </row>
    <row r="1038" spans="1:24" x14ac:dyDescent="0.2">
      <c r="A1038" t="s">
        <v>5241</v>
      </c>
      <c r="B1038" t="s">
        <v>556</v>
      </c>
      <c r="C1038" t="s">
        <v>1559</v>
      </c>
      <c r="D1038" t="s">
        <v>56</v>
      </c>
      <c r="E1038" t="s">
        <v>557</v>
      </c>
      <c r="F1038" t="s">
        <v>84</v>
      </c>
      <c r="G1038" s="202">
        <v>1</v>
      </c>
      <c r="H1038">
        <v>4</v>
      </c>
      <c r="I1038" t="s">
        <v>4017</v>
      </c>
      <c r="J1038" t="s">
        <v>4115</v>
      </c>
      <c r="K1038" t="s">
        <v>1283</v>
      </c>
      <c r="L1038" s="204">
        <v>0.05</v>
      </c>
      <c r="M1038" s="112">
        <v>253.02</v>
      </c>
      <c r="N1038" s="112">
        <v>12.651000000000002</v>
      </c>
      <c r="O1038" s="204"/>
      <c r="P1038" s="112"/>
      <c r="Q1038" s="112"/>
      <c r="R1038" s="112"/>
      <c r="S1038" s="112"/>
      <c r="T1038" s="112"/>
      <c r="U1038" t="s">
        <v>5242</v>
      </c>
      <c r="V1038" t="s">
        <v>5243</v>
      </c>
      <c r="W1038" t="s">
        <v>3958</v>
      </c>
      <c r="X1038" t="s">
        <v>4660</v>
      </c>
    </row>
    <row r="1039" spans="1:24" x14ac:dyDescent="0.2">
      <c r="A1039" t="s">
        <v>5241</v>
      </c>
      <c r="B1039" t="s">
        <v>556</v>
      </c>
      <c r="C1039" t="s">
        <v>1559</v>
      </c>
      <c r="D1039" t="s">
        <v>56</v>
      </c>
      <c r="E1039" t="s">
        <v>557</v>
      </c>
      <c r="F1039" t="s">
        <v>84</v>
      </c>
      <c r="G1039" s="202">
        <v>1</v>
      </c>
      <c r="H1039">
        <v>5</v>
      </c>
      <c r="I1039" t="s">
        <v>3968</v>
      </c>
      <c r="J1039" t="s">
        <v>3969</v>
      </c>
      <c r="K1039" t="s">
        <v>84</v>
      </c>
      <c r="L1039" s="204">
        <v>1</v>
      </c>
      <c r="M1039" s="112"/>
      <c r="N1039" s="112">
        <v>253.02</v>
      </c>
      <c r="O1039" s="204">
        <v>0.22227491897873675</v>
      </c>
      <c r="P1039" s="112">
        <v>56.239999999999981</v>
      </c>
      <c r="Q1039" s="112">
        <v>309.26</v>
      </c>
      <c r="R1039" s="112">
        <v>309.26</v>
      </c>
      <c r="S1039" s="112">
        <v>309.26</v>
      </c>
      <c r="T1039" s="112">
        <v>0</v>
      </c>
      <c r="U1039" t="s">
        <v>5242</v>
      </c>
      <c r="V1039" t="s">
        <v>5243</v>
      </c>
      <c r="W1039" t="s">
        <v>4666</v>
      </c>
      <c r="X1039" t="s">
        <v>4667</v>
      </c>
    </row>
    <row r="1040" spans="1:24" x14ac:dyDescent="0.2">
      <c r="A1040" t="s">
        <v>5244</v>
      </c>
      <c r="B1040" t="s">
        <v>558</v>
      </c>
      <c r="C1040" t="s">
        <v>1560</v>
      </c>
      <c r="D1040" t="s">
        <v>56</v>
      </c>
      <c r="E1040" t="s">
        <v>559</v>
      </c>
      <c r="F1040" t="s">
        <v>84</v>
      </c>
      <c r="G1040" s="202">
        <v>1</v>
      </c>
      <c r="H1040">
        <v>1</v>
      </c>
      <c r="I1040" t="s">
        <v>3954</v>
      </c>
      <c r="J1040" t="s">
        <v>5227</v>
      </c>
      <c r="K1040" t="s">
        <v>1283</v>
      </c>
      <c r="L1040" s="204">
        <v>0.26</v>
      </c>
      <c r="M1040" s="112">
        <v>189.36750000000001</v>
      </c>
      <c r="N1040" s="112">
        <v>49.235550000000003</v>
      </c>
      <c r="O1040" s="204"/>
      <c r="P1040" s="112"/>
      <c r="Q1040" s="112"/>
      <c r="R1040" s="112"/>
      <c r="S1040" s="112"/>
      <c r="T1040" s="112"/>
      <c r="U1040" t="s">
        <v>5245</v>
      </c>
      <c r="V1040" t="s">
        <v>5246</v>
      </c>
      <c r="W1040" t="s">
        <v>3958</v>
      </c>
      <c r="X1040" t="s">
        <v>4660</v>
      </c>
    </row>
    <row r="1041" spans="1:24" x14ac:dyDescent="0.2">
      <c r="A1041" t="s">
        <v>5244</v>
      </c>
      <c r="B1041" t="s">
        <v>558</v>
      </c>
      <c r="C1041" t="s">
        <v>1560</v>
      </c>
      <c r="D1041" t="s">
        <v>56</v>
      </c>
      <c r="E1041" t="s">
        <v>559</v>
      </c>
      <c r="F1041" t="s">
        <v>84</v>
      </c>
      <c r="G1041" s="202">
        <v>1</v>
      </c>
      <c r="H1041">
        <v>2</v>
      </c>
      <c r="I1041" t="s">
        <v>3960</v>
      </c>
      <c r="J1041" t="s">
        <v>5229</v>
      </c>
      <c r="K1041" t="s">
        <v>1283</v>
      </c>
      <c r="L1041" s="204">
        <v>0.64</v>
      </c>
      <c r="M1041" s="112">
        <v>189.36750000000001</v>
      </c>
      <c r="N1041" s="112">
        <v>121.1952</v>
      </c>
      <c r="O1041" s="204"/>
      <c r="P1041" s="112"/>
      <c r="Q1041" s="112"/>
      <c r="R1041" s="112"/>
      <c r="S1041" s="112"/>
      <c r="T1041" s="112"/>
      <c r="U1041" t="s">
        <v>5245</v>
      </c>
      <c r="V1041" t="s">
        <v>5246</v>
      </c>
      <c r="W1041" t="s">
        <v>3958</v>
      </c>
      <c r="X1041" t="s">
        <v>4660</v>
      </c>
    </row>
    <row r="1042" spans="1:24" x14ac:dyDescent="0.2">
      <c r="A1042" t="s">
        <v>5244</v>
      </c>
      <c r="B1042" t="s">
        <v>558</v>
      </c>
      <c r="C1042" t="s">
        <v>1560</v>
      </c>
      <c r="D1042" t="s">
        <v>56</v>
      </c>
      <c r="E1042" t="s">
        <v>559</v>
      </c>
      <c r="F1042" t="s">
        <v>84</v>
      </c>
      <c r="G1042" s="202">
        <v>1</v>
      </c>
      <c r="H1042">
        <v>3</v>
      </c>
      <c r="I1042" t="s">
        <v>3976</v>
      </c>
      <c r="J1042" t="s">
        <v>5230</v>
      </c>
      <c r="K1042" t="s">
        <v>1283</v>
      </c>
      <c r="L1042" s="204">
        <v>0.04</v>
      </c>
      <c r="M1042" s="112">
        <v>189.36750000000001</v>
      </c>
      <c r="N1042" s="112">
        <v>7.5747</v>
      </c>
      <c r="O1042" s="204"/>
      <c r="P1042" s="112"/>
      <c r="Q1042" s="112"/>
      <c r="R1042" s="112"/>
      <c r="S1042" s="112"/>
      <c r="T1042" s="112"/>
      <c r="U1042" t="s">
        <v>5245</v>
      </c>
      <c r="V1042" t="s">
        <v>5246</v>
      </c>
      <c r="W1042" t="s">
        <v>3958</v>
      </c>
      <c r="X1042" t="s">
        <v>4660</v>
      </c>
    </row>
    <row r="1043" spans="1:24" x14ac:dyDescent="0.2">
      <c r="A1043" t="s">
        <v>5244</v>
      </c>
      <c r="B1043" t="s">
        <v>558</v>
      </c>
      <c r="C1043" t="s">
        <v>1560</v>
      </c>
      <c r="D1043" t="s">
        <v>56</v>
      </c>
      <c r="E1043" t="s">
        <v>559</v>
      </c>
      <c r="F1043" t="s">
        <v>84</v>
      </c>
      <c r="G1043" s="202">
        <v>1</v>
      </c>
      <c r="H1043">
        <v>4</v>
      </c>
      <c r="I1043" t="s">
        <v>4017</v>
      </c>
      <c r="J1043" t="s">
        <v>4851</v>
      </c>
      <c r="K1043" t="s">
        <v>1283</v>
      </c>
      <c r="L1043" s="204">
        <v>0.06</v>
      </c>
      <c r="M1043" s="112">
        <v>189.36750000000001</v>
      </c>
      <c r="N1043" s="112">
        <v>11.36205</v>
      </c>
      <c r="O1043" s="204"/>
      <c r="P1043" s="112"/>
      <c r="Q1043" s="112"/>
      <c r="R1043" s="112"/>
      <c r="S1043" s="112"/>
      <c r="T1043" s="112"/>
      <c r="U1043" t="s">
        <v>5245</v>
      </c>
      <c r="V1043" t="s">
        <v>5246</v>
      </c>
      <c r="W1043" t="s">
        <v>3958</v>
      </c>
      <c r="X1043" t="s">
        <v>4660</v>
      </c>
    </row>
    <row r="1044" spans="1:24" x14ac:dyDescent="0.2">
      <c r="A1044" t="s">
        <v>5244</v>
      </c>
      <c r="B1044" t="s">
        <v>558</v>
      </c>
      <c r="C1044" t="s">
        <v>1560</v>
      </c>
      <c r="D1044" t="s">
        <v>56</v>
      </c>
      <c r="E1044" t="s">
        <v>559</v>
      </c>
      <c r="F1044" t="s">
        <v>84</v>
      </c>
      <c r="G1044" s="202">
        <v>1</v>
      </c>
      <c r="H1044">
        <v>5</v>
      </c>
      <c r="I1044" t="s">
        <v>3968</v>
      </c>
      <c r="J1044" t="s">
        <v>3969</v>
      </c>
      <c r="K1044" t="s">
        <v>84</v>
      </c>
      <c r="L1044" s="204">
        <v>1</v>
      </c>
      <c r="M1044" s="112"/>
      <c r="N1044" s="112">
        <v>189.36750000000001</v>
      </c>
      <c r="O1044" s="204">
        <v>0.22222662283654793</v>
      </c>
      <c r="P1044" s="112">
        <v>42.082499999999982</v>
      </c>
      <c r="Q1044" s="112">
        <v>231.45</v>
      </c>
      <c r="R1044" s="112">
        <v>231.45</v>
      </c>
      <c r="S1044" s="112">
        <v>231.45</v>
      </c>
      <c r="T1044" s="112">
        <v>0</v>
      </c>
      <c r="U1044" t="s">
        <v>5245</v>
      </c>
      <c r="V1044" t="s">
        <v>5246</v>
      </c>
      <c r="W1044" t="s">
        <v>4666</v>
      </c>
      <c r="X1044" t="s">
        <v>4667</v>
      </c>
    </row>
    <row r="1045" spans="1:24" x14ac:dyDescent="0.2">
      <c r="A1045" t="s">
        <v>5247</v>
      </c>
      <c r="B1045" t="s">
        <v>560</v>
      </c>
      <c r="C1045" t="s">
        <v>1561</v>
      </c>
      <c r="D1045" t="s">
        <v>24</v>
      </c>
      <c r="E1045" t="s">
        <v>562</v>
      </c>
      <c r="F1045" t="s">
        <v>84</v>
      </c>
      <c r="G1045" s="202">
        <v>1</v>
      </c>
      <c r="H1045">
        <v>1</v>
      </c>
      <c r="I1045" t="s">
        <v>3954</v>
      </c>
      <c r="J1045" t="s">
        <v>4804</v>
      </c>
      <c r="K1045" t="s">
        <v>1283</v>
      </c>
      <c r="L1045" s="204">
        <v>0.28000000000000003</v>
      </c>
      <c r="M1045" s="112">
        <v>442.3125</v>
      </c>
      <c r="N1045" s="112">
        <v>123.84750000000001</v>
      </c>
      <c r="O1045" s="204"/>
      <c r="P1045" s="112"/>
      <c r="Q1045" s="112"/>
      <c r="R1045" s="112"/>
      <c r="S1045" s="112"/>
      <c r="T1045" s="112"/>
      <c r="U1045" t="s">
        <v>5248</v>
      </c>
      <c r="V1045" t="s">
        <v>5249</v>
      </c>
      <c r="W1045" t="s">
        <v>3958</v>
      </c>
      <c r="X1045" t="s">
        <v>4660</v>
      </c>
    </row>
    <row r="1046" spans="1:24" x14ac:dyDescent="0.2">
      <c r="A1046" t="s">
        <v>5247</v>
      </c>
      <c r="B1046" t="s">
        <v>560</v>
      </c>
      <c r="C1046" t="s">
        <v>1561</v>
      </c>
      <c r="D1046" t="s">
        <v>24</v>
      </c>
      <c r="E1046" t="s">
        <v>562</v>
      </c>
      <c r="F1046" t="s">
        <v>84</v>
      </c>
      <c r="G1046" s="202">
        <v>1</v>
      </c>
      <c r="H1046">
        <v>2</v>
      </c>
      <c r="I1046" t="s">
        <v>3960</v>
      </c>
      <c r="J1046" t="s">
        <v>4807</v>
      </c>
      <c r="K1046" t="s">
        <v>1283</v>
      </c>
      <c r="L1046" s="204">
        <v>0.56000000000000005</v>
      </c>
      <c r="M1046" s="112">
        <v>442.3125</v>
      </c>
      <c r="N1046" s="112">
        <v>247.69500000000002</v>
      </c>
      <c r="O1046" s="204"/>
      <c r="P1046" s="112"/>
      <c r="Q1046" s="112"/>
      <c r="R1046" s="112"/>
      <c r="S1046" s="112"/>
      <c r="T1046" s="112"/>
      <c r="U1046" t="s">
        <v>5248</v>
      </c>
      <c r="V1046" t="s">
        <v>5249</v>
      </c>
      <c r="W1046" t="s">
        <v>3958</v>
      </c>
      <c r="X1046" t="s">
        <v>4660</v>
      </c>
    </row>
    <row r="1047" spans="1:24" x14ac:dyDescent="0.2">
      <c r="A1047" t="s">
        <v>5247</v>
      </c>
      <c r="B1047" t="s">
        <v>560</v>
      </c>
      <c r="C1047" t="s">
        <v>1561</v>
      </c>
      <c r="D1047" t="s">
        <v>24</v>
      </c>
      <c r="E1047" t="s">
        <v>562</v>
      </c>
      <c r="F1047" t="s">
        <v>84</v>
      </c>
      <c r="G1047" s="202">
        <v>1</v>
      </c>
      <c r="H1047">
        <v>3</v>
      </c>
      <c r="I1047" t="s">
        <v>3962</v>
      </c>
      <c r="J1047" t="s">
        <v>4808</v>
      </c>
      <c r="K1047" t="s">
        <v>1283</v>
      </c>
      <c r="L1047" s="204">
        <v>0.1</v>
      </c>
      <c r="M1047" s="112">
        <v>442.3125</v>
      </c>
      <c r="N1047" s="112">
        <v>44.231250000000003</v>
      </c>
      <c r="O1047" s="204"/>
      <c r="P1047" s="112"/>
      <c r="Q1047" s="112"/>
      <c r="R1047" s="112"/>
      <c r="S1047" s="112"/>
      <c r="T1047" s="112"/>
      <c r="U1047" t="s">
        <v>5248</v>
      </c>
      <c r="V1047" t="s">
        <v>5249</v>
      </c>
      <c r="W1047" t="s">
        <v>3958</v>
      </c>
      <c r="X1047" t="s">
        <v>4660</v>
      </c>
    </row>
    <row r="1048" spans="1:24" x14ac:dyDescent="0.2">
      <c r="A1048" t="s">
        <v>5247</v>
      </c>
      <c r="B1048" t="s">
        <v>560</v>
      </c>
      <c r="C1048" t="s">
        <v>1561</v>
      </c>
      <c r="D1048" t="s">
        <v>24</v>
      </c>
      <c r="E1048" t="s">
        <v>562</v>
      </c>
      <c r="F1048" t="s">
        <v>84</v>
      </c>
      <c r="G1048" s="202">
        <v>1</v>
      </c>
      <c r="H1048">
        <v>4</v>
      </c>
      <c r="I1048" t="s">
        <v>4017</v>
      </c>
      <c r="J1048" t="s">
        <v>4809</v>
      </c>
      <c r="K1048" t="s">
        <v>1283</v>
      </c>
      <c r="L1048" s="204">
        <v>0.06</v>
      </c>
      <c r="M1048" s="112">
        <v>442.3125</v>
      </c>
      <c r="N1048" s="112">
        <v>26.53875</v>
      </c>
      <c r="O1048" s="204"/>
      <c r="P1048" s="112"/>
      <c r="Q1048" s="112"/>
      <c r="R1048" s="112"/>
      <c r="S1048" s="112"/>
      <c r="T1048" s="112"/>
      <c r="U1048" t="s">
        <v>5248</v>
      </c>
      <c r="V1048" t="s">
        <v>5249</v>
      </c>
      <c r="W1048" t="s">
        <v>3958</v>
      </c>
      <c r="X1048" t="s">
        <v>4660</v>
      </c>
    </row>
    <row r="1049" spans="1:24" x14ac:dyDescent="0.2">
      <c r="A1049" t="s">
        <v>5247</v>
      </c>
      <c r="B1049" t="s">
        <v>560</v>
      </c>
      <c r="C1049" t="s">
        <v>1561</v>
      </c>
      <c r="D1049" t="s">
        <v>24</v>
      </c>
      <c r="E1049" t="s">
        <v>562</v>
      </c>
      <c r="F1049" t="s">
        <v>84</v>
      </c>
      <c r="G1049" s="202">
        <v>1</v>
      </c>
      <c r="H1049">
        <v>5</v>
      </c>
      <c r="I1049" t="s">
        <v>3968</v>
      </c>
      <c r="J1049" t="s">
        <v>3969</v>
      </c>
      <c r="K1049" t="s">
        <v>84</v>
      </c>
      <c r="L1049" s="204">
        <v>1</v>
      </c>
      <c r="M1049" s="112"/>
      <c r="N1049" s="112">
        <v>442.3125</v>
      </c>
      <c r="O1049" s="204">
        <v>0.22228062738448484</v>
      </c>
      <c r="P1049" s="112">
        <v>98.317499999999995</v>
      </c>
      <c r="Q1049" s="112">
        <v>540.63</v>
      </c>
      <c r="R1049" s="112">
        <v>540.63</v>
      </c>
      <c r="S1049" s="112">
        <v>540.63</v>
      </c>
      <c r="T1049" s="112">
        <v>0</v>
      </c>
      <c r="U1049" t="s">
        <v>5248</v>
      </c>
      <c r="V1049" t="s">
        <v>5249</v>
      </c>
      <c r="W1049" t="s">
        <v>4666</v>
      </c>
      <c r="X1049" t="s">
        <v>4667</v>
      </c>
    </row>
    <row r="1050" spans="1:24" x14ac:dyDescent="0.2">
      <c r="A1050" t="s">
        <v>5250</v>
      </c>
      <c r="B1050" t="s">
        <v>563</v>
      </c>
      <c r="C1050" t="s">
        <v>1562</v>
      </c>
      <c r="D1050" t="s">
        <v>56</v>
      </c>
      <c r="E1050" t="s">
        <v>564</v>
      </c>
      <c r="F1050" t="s">
        <v>84</v>
      </c>
      <c r="G1050" s="202">
        <v>3</v>
      </c>
      <c r="H1050">
        <v>1</v>
      </c>
      <c r="I1050" t="s">
        <v>3954</v>
      </c>
      <c r="J1050" t="s">
        <v>5227</v>
      </c>
      <c r="K1050" t="s">
        <v>1283</v>
      </c>
      <c r="L1050" s="204">
        <v>0.26</v>
      </c>
      <c r="M1050" s="112">
        <v>1157.2425000000001</v>
      </c>
      <c r="N1050" s="112">
        <v>300.88305000000003</v>
      </c>
      <c r="O1050" s="204"/>
      <c r="P1050" s="112"/>
      <c r="Q1050" s="112"/>
      <c r="R1050" s="112"/>
      <c r="S1050" s="112"/>
      <c r="T1050" s="112"/>
      <c r="U1050" t="s">
        <v>5251</v>
      </c>
      <c r="V1050" t="s">
        <v>5252</v>
      </c>
      <c r="W1050" t="s">
        <v>3958</v>
      </c>
      <c r="X1050" t="s">
        <v>4660</v>
      </c>
    </row>
    <row r="1051" spans="1:24" x14ac:dyDescent="0.2">
      <c r="A1051" t="s">
        <v>5250</v>
      </c>
      <c r="B1051" t="s">
        <v>563</v>
      </c>
      <c r="C1051" t="s">
        <v>1562</v>
      </c>
      <c r="D1051" t="s">
        <v>56</v>
      </c>
      <c r="E1051" t="s">
        <v>564</v>
      </c>
      <c r="F1051" t="s">
        <v>84</v>
      </c>
      <c r="G1051" s="202">
        <v>3</v>
      </c>
      <c r="H1051">
        <v>2</v>
      </c>
      <c r="I1051" t="s">
        <v>3960</v>
      </c>
      <c r="J1051" t="s">
        <v>5229</v>
      </c>
      <c r="K1051" t="s">
        <v>1283</v>
      </c>
      <c r="L1051" s="204">
        <v>0.64</v>
      </c>
      <c r="M1051" s="112">
        <v>1157.2425000000001</v>
      </c>
      <c r="N1051" s="112">
        <v>740.63520000000005</v>
      </c>
      <c r="O1051" s="204"/>
      <c r="P1051" s="112"/>
      <c r="Q1051" s="112"/>
      <c r="R1051" s="112"/>
      <c r="S1051" s="112"/>
      <c r="T1051" s="112"/>
      <c r="U1051" t="s">
        <v>5251</v>
      </c>
      <c r="V1051" t="s">
        <v>5252</v>
      </c>
      <c r="W1051" t="s">
        <v>3958</v>
      </c>
      <c r="X1051" t="s">
        <v>4660</v>
      </c>
    </row>
    <row r="1052" spans="1:24" x14ac:dyDescent="0.2">
      <c r="A1052" t="s">
        <v>5250</v>
      </c>
      <c r="B1052" t="s">
        <v>563</v>
      </c>
      <c r="C1052" t="s">
        <v>1562</v>
      </c>
      <c r="D1052" t="s">
        <v>56</v>
      </c>
      <c r="E1052" t="s">
        <v>564</v>
      </c>
      <c r="F1052" t="s">
        <v>84</v>
      </c>
      <c r="G1052" s="202">
        <v>3</v>
      </c>
      <c r="H1052">
        <v>3</v>
      </c>
      <c r="I1052" t="s">
        <v>3976</v>
      </c>
      <c r="J1052" t="s">
        <v>5230</v>
      </c>
      <c r="K1052" t="s">
        <v>1283</v>
      </c>
      <c r="L1052" s="204">
        <v>0.04</v>
      </c>
      <c r="M1052" s="112">
        <v>1157.2425000000001</v>
      </c>
      <c r="N1052" s="112">
        <v>46.289700000000003</v>
      </c>
      <c r="O1052" s="204"/>
      <c r="P1052" s="112"/>
      <c r="Q1052" s="112"/>
      <c r="R1052" s="112"/>
      <c r="S1052" s="112"/>
      <c r="T1052" s="112"/>
      <c r="U1052" t="s">
        <v>5251</v>
      </c>
      <c r="V1052" t="s">
        <v>5252</v>
      </c>
      <c r="W1052" t="s">
        <v>3958</v>
      </c>
      <c r="X1052" t="s">
        <v>4660</v>
      </c>
    </row>
    <row r="1053" spans="1:24" x14ac:dyDescent="0.2">
      <c r="A1053" t="s">
        <v>5250</v>
      </c>
      <c r="B1053" t="s">
        <v>563</v>
      </c>
      <c r="C1053" t="s">
        <v>1562</v>
      </c>
      <c r="D1053" t="s">
        <v>56</v>
      </c>
      <c r="E1053" t="s">
        <v>564</v>
      </c>
      <c r="F1053" t="s">
        <v>84</v>
      </c>
      <c r="G1053" s="202">
        <v>3</v>
      </c>
      <c r="H1053">
        <v>4</v>
      </c>
      <c r="I1053" t="s">
        <v>4017</v>
      </c>
      <c r="J1053" t="s">
        <v>4851</v>
      </c>
      <c r="K1053" t="s">
        <v>1283</v>
      </c>
      <c r="L1053" s="204">
        <v>0.06</v>
      </c>
      <c r="M1053" s="112">
        <v>1157.2425000000001</v>
      </c>
      <c r="N1053" s="112">
        <v>69.434550000000002</v>
      </c>
      <c r="O1053" s="204"/>
      <c r="P1053" s="112"/>
      <c r="Q1053" s="112"/>
      <c r="R1053" s="112"/>
      <c r="S1053" s="112"/>
      <c r="T1053" s="112"/>
      <c r="U1053" t="s">
        <v>5251</v>
      </c>
      <c r="V1053" t="s">
        <v>5252</v>
      </c>
      <c r="W1053" t="s">
        <v>3958</v>
      </c>
      <c r="X1053" t="s">
        <v>4660</v>
      </c>
    </row>
    <row r="1054" spans="1:24" x14ac:dyDescent="0.2">
      <c r="A1054" t="s">
        <v>5250</v>
      </c>
      <c r="B1054" t="s">
        <v>563</v>
      </c>
      <c r="C1054" t="s">
        <v>1562</v>
      </c>
      <c r="D1054" t="s">
        <v>56</v>
      </c>
      <c r="E1054" t="s">
        <v>564</v>
      </c>
      <c r="F1054" t="s">
        <v>84</v>
      </c>
      <c r="G1054" s="202">
        <v>3</v>
      </c>
      <c r="H1054">
        <v>5</v>
      </c>
      <c r="I1054" t="s">
        <v>3968</v>
      </c>
      <c r="J1054" t="s">
        <v>3969</v>
      </c>
      <c r="K1054" t="s">
        <v>84</v>
      </c>
      <c r="L1054" s="204">
        <v>1</v>
      </c>
      <c r="M1054" s="112"/>
      <c r="N1054" s="112">
        <v>1157.2425000000001</v>
      </c>
      <c r="O1054" s="204">
        <v>0.2222935123796439</v>
      </c>
      <c r="P1054" s="112">
        <v>257.24749999999995</v>
      </c>
      <c r="Q1054" s="112">
        <v>1414.49</v>
      </c>
      <c r="R1054" s="112">
        <v>4243.47</v>
      </c>
      <c r="S1054" s="112">
        <v>4243.47</v>
      </c>
      <c r="T1054" s="112">
        <v>0</v>
      </c>
      <c r="U1054" t="s">
        <v>5251</v>
      </c>
      <c r="V1054" t="s">
        <v>5252</v>
      </c>
      <c r="W1054" t="s">
        <v>4666</v>
      </c>
      <c r="X1054" t="s">
        <v>4667</v>
      </c>
    </row>
    <row r="1055" spans="1:24" x14ac:dyDescent="0.2">
      <c r="A1055" t="s">
        <v>5253</v>
      </c>
      <c r="B1055" t="s">
        <v>565</v>
      </c>
      <c r="C1055" t="s">
        <v>1563</v>
      </c>
      <c r="D1055" t="s">
        <v>56</v>
      </c>
      <c r="E1055" t="s">
        <v>566</v>
      </c>
      <c r="F1055" t="s">
        <v>84</v>
      </c>
      <c r="G1055" s="202">
        <v>2</v>
      </c>
      <c r="H1055">
        <v>1</v>
      </c>
      <c r="I1055" t="s">
        <v>3954</v>
      </c>
      <c r="J1055" t="s">
        <v>5227</v>
      </c>
      <c r="K1055" t="s">
        <v>1283</v>
      </c>
      <c r="L1055" s="204">
        <v>0.26</v>
      </c>
      <c r="M1055" s="112">
        <v>1229.79</v>
      </c>
      <c r="N1055" s="112">
        <v>319.74540000000002</v>
      </c>
      <c r="O1055" s="204"/>
      <c r="P1055" s="112"/>
      <c r="Q1055" s="112"/>
      <c r="R1055" s="112"/>
      <c r="S1055" s="112"/>
      <c r="T1055" s="112"/>
      <c r="U1055" t="s">
        <v>5254</v>
      </c>
      <c r="V1055" t="s">
        <v>5255</v>
      </c>
      <c r="W1055" t="s">
        <v>3958</v>
      </c>
      <c r="X1055" t="s">
        <v>4660</v>
      </c>
    </row>
    <row r="1056" spans="1:24" x14ac:dyDescent="0.2">
      <c r="A1056" t="s">
        <v>5253</v>
      </c>
      <c r="B1056" t="s">
        <v>565</v>
      </c>
      <c r="C1056" t="s">
        <v>1563</v>
      </c>
      <c r="D1056" t="s">
        <v>56</v>
      </c>
      <c r="E1056" t="s">
        <v>566</v>
      </c>
      <c r="F1056" t="s">
        <v>84</v>
      </c>
      <c r="G1056" s="202">
        <v>2</v>
      </c>
      <c r="H1056">
        <v>2</v>
      </c>
      <c r="I1056" t="s">
        <v>3960</v>
      </c>
      <c r="J1056" t="s">
        <v>5229</v>
      </c>
      <c r="K1056" t="s">
        <v>1283</v>
      </c>
      <c r="L1056" s="204">
        <v>0.64</v>
      </c>
      <c r="M1056" s="112">
        <v>1229.79</v>
      </c>
      <c r="N1056" s="112">
        <v>787.06560000000002</v>
      </c>
      <c r="O1056" s="204"/>
      <c r="P1056" s="112"/>
      <c r="Q1056" s="112"/>
      <c r="R1056" s="112"/>
      <c r="S1056" s="112"/>
      <c r="T1056" s="112"/>
      <c r="U1056" t="s">
        <v>5254</v>
      </c>
      <c r="V1056" t="s">
        <v>5255</v>
      </c>
      <c r="W1056" t="s">
        <v>3958</v>
      </c>
      <c r="X1056" t="s">
        <v>4660</v>
      </c>
    </row>
    <row r="1057" spans="1:24" x14ac:dyDescent="0.2">
      <c r="A1057" t="s">
        <v>5253</v>
      </c>
      <c r="B1057" t="s">
        <v>565</v>
      </c>
      <c r="C1057" t="s">
        <v>1563</v>
      </c>
      <c r="D1057" t="s">
        <v>56</v>
      </c>
      <c r="E1057" t="s">
        <v>566</v>
      </c>
      <c r="F1057" t="s">
        <v>84</v>
      </c>
      <c r="G1057" s="202">
        <v>2</v>
      </c>
      <c r="H1057">
        <v>3</v>
      </c>
      <c r="I1057" t="s">
        <v>3976</v>
      </c>
      <c r="J1057" t="s">
        <v>5230</v>
      </c>
      <c r="K1057" t="s">
        <v>1283</v>
      </c>
      <c r="L1057" s="204">
        <v>0.04</v>
      </c>
      <c r="M1057" s="112">
        <v>1229.79</v>
      </c>
      <c r="N1057" s="112">
        <v>49.191600000000001</v>
      </c>
      <c r="O1057" s="204"/>
      <c r="P1057" s="112"/>
      <c r="Q1057" s="112"/>
      <c r="R1057" s="112"/>
      <c r="S1057" s="112"/>
      <c r="T1057" s="112"/>
      <c r="U1057" t="s">
        <v>5254</v>
      </c>
      <c r="V1057" t="s">
        <v>5255</v>
      </c>
      <c r="W1057" t="s">
        <v>3958</v>
      </c>
      <c r="X1057" t="s">
        <v>4660</v>
      </c>
    </row>
    <row r="1058" spans="1:24" x14ac:dyDescent="0.2">
      <c r="A1058" t="s">
        <v>5253</v>
      </c>
      <c r="B1058" t="s">
        <v>565</v>
      </c>
      <c r="C1058" t="s">
        <v>1563</v>
      </c>
      <c r="D1058" t="s">
        <v>56</v>
      </c>
      <c r="E1058" t="s">
        <v>566</v>
      </c>
      <c r="F1058" t="s">
        <v>84</v>
      </c>
      <c r="G1058" s="202">
        <v>2</v>
      </c>
      <c r="H1058">
        <v>4</v>
      </c>
      <c r="I1058" t="s">
        <v>4017</v>
      </c>
      <c r="J1058" t="s">
        <v>4851</v>
      </c>
      <c r="K1058" t="s">
        <v>1283</v>
      </c>
      <c r="L1058" s="204">
        <v>0.06</v>
      </c>
      <c r="M1058" s="112">
        <v>1229.79</v>
      </c>
      <c r="N1058" s="112">
        <v>73.787399999999991</v>
      </c>
      <c r="O1058" s="204"/>
      <c r="P1058" s="112"/>
      <c r="Q1058" s="112"/>
      <c r="R1058" s="112"/>
      <c r="S1058" s="112"/>
      <c r="T1058" s="112"/>
      <c r="U1058" t="s">
        <v>5254</v>
      </c>
      <c r="V1058" t="s">
        <v>5255</v>
      </c>
      <c r="W1058" t="s">
        <v>3958</v>
      </c>
      <c r="X1058" t="s">
        <v>4660</v>
      </c>
    </row>
    <row r="1059" spans="1:24" x14ac:dyDescent="0.2">
      <c r="A1059" t="s">
        <v>5253</v>
      </c>
      <c r="B1059" t="s">
        <v>565</v>
      </c>
      <c r="C1059" t="s">
        <v>1563</v>
      </c>
      <c r="D1059" t="s">
        <v>56</v>
      </c>
      <c r="E1059" t="s">
        <v>566</v>
      </c>
      <c r="F1059" t="s">
        <v>84</v>
      </c>
      <c r="G1059" s="202">
        <v>2</v>
      </c>
      <c r="H1059">
        <v>5</v>
      </c>
      <c r="I1059" t="s">
        <v>3968</v>
      </c>
      <c r="J1059" t="s">
        <v>3969</v>
      </c>
      <c r="K1059" t="s">
        <v>84</v>
      </c>
      <c r="L1059" s="204">
        <v>1</v>
      </c>
      <c r="M1059" s="112"/>
      <c r="N1059" s="112">
        <v>1229.79</v>
      </c>
      <c r="O1059" s="204">
        <v>0.22229405020369342</v>
      </c>
      <c r="P1059" s="112">
        <v>273.375</v>
      </c>
      <c r="Q1059" s="112">
        <v>1503.165</v>
      </c>
      <c r="R1059" s="112">
        <v>3006.33</v>
      </c>
      <c r="S1059" s="112">
        <v>3006.33</v>
      </c>
      <c r="T1059" s="112">
        <v>0</v>
      </c>
      <c r="U1059" t="s">
        <v>5254</v>
      </c>
      <c r="V1059" t="s">
        <v>5255</v>
      </c>
      <c r="W1059" t="s">
        <v>4666</v>
      </c>
      <c r="X1059" t="s">
        <v>4667</v>
      </c>
    </row>
    <row r="1060" spans="1:24" x14ac:dyDescent="0.2">
      <c r="A1060" t="s">
        <v>5256</v>
      </c>
      <c r="B1060" t="s">
        <v>567</v>
      </c>
      <c r="C1060" t="s">
        <v>1564</v>
      </c>
      <c r="D1060" t="s">
        <v>56</v>
      </c>
      <c r="E1060" t="s">
        <v>1565</v>
      </c>
      <c r="F1060" t="s">
        <v>84</v>
      </c>
      <c r="G1060" s="202">
        <v>2</v>
      </c>
      <c r="H1060">
        <v>1</v>
      </c>
      <c r="I1060" t="s">
        <v>3954</v>
      </c>
      <c r="J1060" t="s">
        <v>5227</v>
      </c>
      <c r="K1060" t="s">
        <v>1283</v>
      </c>
      <c r="L1060" s="204">
        <v>0.26</v>
      </c>
      <c r="M1060" s="112">
        <v>86.842500000000001</v>
      </c>
      <c r="N1060" s="112">
        <v>22.579050000000002</v>
      </c>
      <c r="O1060" s="204"/>
      <c r="P1060" s="112"/>
      <c r="Q1060" s="112"/>
      <c r="R1060" s="112"/>
      <c r="S1060" s="112"/>
      <c r="T1060" s="112"/>
      <c r="U1060" t="s">
        <v>5257</v>
      </c>
      <c r="V1060" t="s">
        <v>5258</v>
      </c>
      <c r="W1060" t="s">
        <v>3958</v>
      </c>
      <c r="X1060" t="s">
        <v>4660</v>
      </c>
    </row>
    <row r="1061" spans="1:24" x14ac:dyDescent="0.2">
      <c r="A1061" t="s">
        <v>5256</v>
      </c>
      <c r="B1061" t="s">
        <v>567</v>
      </c>
      <c r="C1061" t="s">
        <v>1564</v>
      </c>
      <c r="D1061" t="s">
        <v>56</v>
      </c>
      <c r="E1061" t="s">
        <v>1565</v>
      </c>
      <c r="F1061" t="s">
        <v>84</v>
      </c>
      <c r="G1061" s="202">
        <v>2</v>
      </c>
      <c r="H1061">
        <v>2</v>
      </c>
      <c r="I1061" t="s">
        <v>3960</v>
      </c>
      <c r="J1061" t="s">
        <v>5229</v>
      </c>
      <c r="K1061" t="s">
        <v>1283</v>
      </c>
      <c r="L1061" s="204">
        <v>0.64</v>
      </c>
      <c r="M1061" s="112">
        <v>86.842500000000001</v>
      </c>
      <c r="N1061" s="112">
        <v>55.5792</v>
      </c>
      <c r="O1061" s="204"/>
      <c r="P1061" s="112"/>
      <c r="Q1061" s="112"/>
      <c r="R1061" s="112"/>
      <c r="S1061" s="112"/>
      <c r="T1061" s="112"/>
      <c r="U1061" t="s">
        <v>5257</v>
      </c>
      <c r="V1061" t="s">
        <v>5258</v>
      </c>
      <c r="W1061" t="s">
        <v>3958</v>
      </c>
      <c r="X1061" t="s">
        <v>4660</v>
      </c>
    </row>
    <row r="1062" spans="1:24" x14ac:dyDescent="0.2">
      <c r="A1062" t="s">
        <v>5256</v>
      </c>
      <c r="B1062" t="s">
        <v>567</v>
      </c>
      <c r="C1062" t="s">
        <v>1564</v>
      </c>
      <c r="D1062" t="s">
        <v>56</v>
      </c>
      <c r="E1062" t="s">
        <v>1565</v>
      </c>
      <c r="F1062" t="s">
        <v>84</v>
      </c>
      <c r="G1062" s="202">
        <v>2</v>
      </c>
      <c r="H1062">
        <v>3</v>
      </c>
      <c r="I1062" t="s">
        <v>3976</v>
      </c>
      <c r="J1062" t="s">
        <v>5230</v>
      </c>
      <c r="K1062" t="s">
        <v>1283</v>
      </c>
      <c r="L1062" s="204">
        <v>0.04</v>
      </c>
      <c r="M1062" s="112">
        <v>86.842500000000001</v>
      </c>
      <c r="N1062" s="112">
        <v>3.4737</v>
      </c>
      <c r="O1062" s="204"/>
      <c r="P1062" s="112"/>
      <c r="Q1062" s="112"/>
      <c r="R1062" s="112"/>
      <c r="S1062" s="112"/>
      <c r="T1062" s="112"/>
      <c r="U1062" t="s">
        <v>5257</v>
      </c>
      <c r="V1062" t="s">
        <v>5258</v>
      </c>
      <c r="W1062" t="s">
        <v>3958</v>
      </c>
      <c r="X1062" t="s">
        <v>4660</v>
      </c>
    </row>
    <row r="1063" spans="1:24" x14ac:dyDescent="0.2">
      <c r="A1063" t="s">
        <v>5256</v>
      </c>
      <c r="B1063" t="s">
        <v>567</v>
      </c>
      <c r="C1063" t="s">
        <v>1564</v>
      </c>
      <c r="D1063" t="s">
        <v>56</v>
      </c>
      <c r="E1063" t="s">
        <v>1565</v>
      </c>
      <c r="F1063" t="s">
        <v>84</v>
      </c>
      <c r="G1063" s="202">
        <v>2</v>
      </c>
      <c r="H1063">
        <v>4</v>
      </c>
      <c r="I1063" t="s">
        <v>4017</v>
      </c>
      <c r="J1063" t="s">
        <v>4851</v>
      </c>
      <c r="K1063" t="s">
        <v>1283</v>
      </c>
      <c r="L1063" s="204">
        <v>0.06</v>
      </c>
      <c r="M1063" s="112">
        <v>86.842500000000001</v>
      </c>
      <c r="N1063" s="112">
        <v>5.2105499999999996</v>
      </c>
      <c r="O1063" s="204"/>
      <c r="P1063" s="112"/>
      <c r="Q1063" s="112"/>
      <c r="R1063" s="112"/>
      <c r="S1063" s="112"/>
      <c r="T1063" s="112"/>
      <c r="U1063" t="s">
        <v>5257</v>
      </c>
      <c r="V1063" t="s">
        <v>5258</v>
      </c>
      <c r="W1063" t="s">
        <v>3958</v>
      </c>
      <c r="X1063" t="s">
        <v>4660</v>
      </c>
    </row>
    <row r="1064" spans="1:24" x14ac:dyDescent="0.2">
      <c r="A1064" t="s">
        <v>5256</v>
      </c>
      <c r="B1064" t="s">
        <v>567</v>
      </c>
      <c r="C1064" t="s">
        <v>1564</v>
      </c>
      <c r="D1064" t="s">
        <v>56</v>
      </c>
      <c r="E1064" t="s">
        <v>1565</v>
      </c>
      <c r="F1064" t="s">
        <v>84</v>
      </c>
      <c r="G1064" s="202">
        <v>2</v>
      </c>
      <c r="H1064">
        <v>5</v>
      </c>
      <c r="I1064" t="s">
        <v>3968</v>
      </c>
      <c r="J1064" t="s">
        <v>3969</v>
      </c>
      <c r="K1064" t="s">
        <v>84</v>
      </c>
      <c r="L1064" s="204">
        <v>1</v>
      </c>
      <c r="M1064" s="112"/>
      <c r="N1064" s="112">
        <v>86.842500000000001</v>
      </c>
      <c r="O1064" s="204">
        <v>0.22227020180211299</v>
      </c>
      <c r="P1064" s="112">
        <v>19.302499999999995</v>
      </c>
      <c r="Q1064" s="112">
        <v>106.145</v>
      </c>
      <c r="R1064" s="112">
        <v>212.29</v>
      </c>
      <c r="S1064" s="112">
        <v>212.29</v>
      </c>
      <c r="T1064" s="112">
        <v>0</v>
      </c>
      <c r="U1064" t="s">
        <v>5257</v>
      </c>
      <c r="V1064" t="s">
        <v>5258</v>
      </c>
      <c r="W1064" t="s">
        <v>4666</v>
      </c>
      <c r="X1064" t="s">
        <v>4667</v>
      </c>
    </row>
    <row r="1065" spans="1:24" x14ac:dyDescent="0.2">
      <c r="A1065" t="s">
        <v>5259</v>
      </c>
      <c r="B1065" t="s">
        <v>569</v>
      </c>
      <c r="C1065" t="s">
        <v>1566</v>
      </c>
      <c r="D1065" t="s">
        <v>56</v>
      </c>
      <c r="E1065" t="s">
        <v>1567</v>
      </c>
      <c r="F1065" t="s">
        <v>84</v>
      </c>
      <c r="G1065" s="202">
        <v>1</v>
      </c>
      <c r="H1065">
        <v>1</v>
      </c>
      <c r="I1065" t="s">
        <v>3954</v>
      </c>
      <c r="J1065" t="s">
        <v>5227</v>
      </c>
      <c r="K1065" t="s">
        <v>1283</v>
      </c>
      <c r="L1065" s="204">
        <v>0.26</v>
      </c>
      <c r="M1065" s="112">
        <v>216.78750000000002</v>
      </c>
      <c r="N1065" s="112">
        <v>56.364750000000008</v>
      </c>
      <c r="O1065" s="204"/>
      <c r="P1065" s="112"/>
      <c r="Q1065" s="112"/>
      <c r="R1065" s="112"/>
      <c r="S1065" s="112"/>
      <c r="T1065" s="112"/>
      <c r="U1065" t="s">
        <v>5260</v>
      </c>
      <c r="V1065" t="s">
        <v>5261</v>
      </c>
      <c r="W1065" t="s">
        <v>3958</v>
      </c>
      <c r="X1065" t="s">
        <v>4660</v>
      </c>
    </row>
    <row r="1066" spans="1:24" x14ac:dyDescent="0.2">
      <c r="A1066" t="s">
        <v>5259</v>
      </c>
      <c r="B1066" t="s">
        <v>569</v>
      </c>
      <c r="C1066" t="s">
        <v>1566</v>
      </c>
      <c r="D1066" t="s">
        <v>56</v>
      </c>
      <c r="E1066" t="s">
        <v>1567</v>
      </c>
      <c r="F1066" t="s">
        <v>84</v>
      </c>
      <c r="G1066" s="202">
        <v>1</v>
      </c>
      <c r="H1066">
        <v>2</v>
      </c>
      <c r="I1066" t="s">
        <v>3960</v>
      </c>
      <c r="J1066" t="s">
        <v>5229</v>
      </c>
      <c r="K1066" t="s">
        <v>1283</v>
      </c>
      <c r="L1066" s="204">
        <v>0.64</v>
      </c>
      <c r="M1066" s="112">
        <v>216.78750000000002</v>
      </c>
      <c r="N1066" s="112">
        <v>138.74400000000003</v>
      </c>
      <c r="O1066" s="204"/>
      <c r="P1066" s="112"/>
      <c r="Q1066" s="112"/>
      <c r="R1066" s="112"/>
      <c r="S1066" s="112"/>
      <c r="T1066" s="112"/>
      <c r="U1066" t="s">
        <v>5260</v>
      </c>
      <c r="V1066" t="s">
        <v>5261</v>
      </c>
      <c r="W1066" t="s">
        <v>3958</v>
      </c>
      <c r="X1066" t="s">
        <v>4660</v>
      </c>
    </row>
    <row r="1067" spans="1:24" x14ac:dyDescent="0.2">
      <c r="A1067" t="s">
        <v>5259</v>
      </c>
      <c r="B1067" t="s">
        <v>569</v>
      </c>
      <c r="C1067" t="s">
        <v>1566</v>
      </c>
      <c r="D1067" t="s">
        <v>56</v>
      </c>
      <c r="E1067" t="s">
        <v>1567</v>
      </c>
      <c r="F1067" t="s">
        <v>84</v>
      </c>
      <c r="G1067" s="202">
        <v>1</v>
      </c>
      <c r="H1067">
        <v>3</v>
      </c>
      <c r="I1067" t="s">
        <v>3976</v>
      </c>
      <c r="J1067" t="s">
        <v>5230</v>
      </c>
      <c r="K1067" t="s">
        <v>1283</v>
      </c>
      <c r="L1067" s="204">
        <v>0.04</v>
      </c>
      <c r="M1067" s="112">
        <v>216.78750000000002</v>
      </c>
      <c r="N1067" s="112">
        <v>8.6715000000000018</v>
      </c>
      <c r="O1067" s="204"/>
      <c r="P1067" s="112"/>
      <c r="Q1067" s="112"/>
      <c r="R1067" s="112"/>
      <c r="S1067" s="112"/>
      <c r="T1067" s="112"/>
      <c r="U1067" t="s">
        <v>5260</v>
      </c>
      <c r="V1067" t="s">
        <v>5261</v>
      </c>
      <c r="W1067" t="s">
        <v>3958</v>
      </c>
      <c r="X1067" t="s">
        <v>4660</v>
      </c>
    </row>
    <row r="1068" spans="1:24" x14ac:dyDescent="0.2">
      <c r="A1068" t="s">
        <v>5259</v>
      </c>
      <c r="B1068" t="s">
        <v>569</v>
      </c>
      <c r="C1068" t="s">
        <v>1566</v>
      </c>
      <c r="D1068" t="s">
        <v>56</v>
      </c>
      <c r="E1068" t="s">
        <v>1567</v>
      </c>
      <c r="F1068" t="s">
        <v>84</v>
      </c>
      <c r="G1068" s="202">
        <v>1</v>
      </c>
      <c r="H1068">
        <v>4</v>
      </c>
      <c r="I1068" t="s">
        <v>4017</v>
      </c>
      <c r="J1068" t="s">
        <v>4851</v>
      </c>
      <c r="K1068" t="s">
        <v>1283</v>
      </c>
      <c r="L1068" s="204">
        <v>0.06</v>
      </c>
      <c r="M1068" s="112">
        <v>216.78750000000002</v>
      </c>
      <c r="N1068" s="112">
        <v>13.007250000000001</v>
      </c>
      <c r="O1068" s="204"/>
      <c r="P1068" s="112"/>
      <c r="Q1068" s="112"/>
      <c r="R1068" s="112"/>
      <c r="S1068" s="112"/>
      <c r="T1068" s="112"/>
      <c r="U1068" t="s">
        <v>5260</v>
      </c>
      <c r="V1068" t="s">
        <v>5261</v>
      </c>
      <c r="W1068" t="s">
        <v>3958</v>
      </c>
      <c r="X1068" t="s">
        <v>4660</v>
      </c>
    </row>
    <row r="1069" spans="1:24" x14ac:dyDescent="0.2">
      <c r="A1069" t="s">
        <v>5259</v>
      </c>
      <c r="B1069" t="s">
        <v>569</v>
      </c>
      <c r="C1069" t="s">
        <v>1566</v>
      </c>
      <c r="D1069" t="s">
        <v>56</v>
      </c>
      <c r="E1069" t="s">
        <v>1567</v>
      </c>
      <c r="F1069" t="s">
        <v>84</v>
      </c>
      <c r="G1069" s="202">
        <v>1</v>
      </c>
      <c r="H1069">
        <v>5</v>
      </c>
      <c r="I1069" t="s">
        <v>3968</v>
      </c>
      <c r="J1069" t="s">
        <v>3969</v>
      </c>
      <c r="K1069" t="s">
        <v>84</v>
      </c>
      <c r="L1069" s="204">
        <v>1</v>
      </c>
      <c r="M1069" s="112"/>
      <c r="N1069" s="112">
        <v>216.78750000000002</v>
      </c>
      <c r="O1069" s="204">
        <v>0.22225681831286392</v>
      </c>
      <c r="P1069" s="112">
        <v>48.182500000000005</v>
      </c>
      <c r="Q1069" s="112">
        <v>264.97000000000003</v>
      </c>
      <c r="R1069" s="112">
        <v>264.97000000000003</v>
      </c>
      <c r="S1069" s="112">
        <v>264.97000000000003</v>
      </c>
      <c r="T1069" s="112">
        <v>0</v>
      </c>
      <c r="U1069" t="s">
        <v>5260</v>
      </c>
      <c r="V1069" t="s">
        <v>5261</v>
      </c>
      <c r="W1069" t="s">
        <v>4666</v>
      </c>
      <c r="X1069" t="s">
        <v>4667</v>
      </c>
    </row>
    <row r="1070" spans="1:24" x14ac:dyDescent="0.2">
      <c r="A1070" t="s">
        <v>5262</v>
      </c>
      <c r="B1070" t="s">
        <v>571</v>
      </c>
      <c r="C1070" t="s">
        <v>1568</v>
      </c>
      <c r="D1070" t="s">
        <v>56</v>
      </c>
      <c r="E1070" t="s">
        <v>572</v>
      </c>
      <c r="F1070" t="s">
        <v>84</v>
      </c>
      <c r="G1070" s="202">
        <v>1</v>
      </c>
      <c r="H1070">
        <v>1</v>
      </c>
      <c r="I1070" t="s">
        <v>3954</v>
      </c>
      <c r="J1070" t="s">
        <v>4823</v>
      </c>
      <c r="K1070" t="s">
        <v>1283</v>
      </c>
      <c r="L1070" s="204">
        <v>0.18</v>
      </c>
      <c r="M1070" s="112">
        <v>19.837499999999999</v>
      </c>
      <c r="N1070" s="112">
        <v>3.5707499999999994</v>
      </c>
      <c r="O1070" s="204"/>
      <c r="P1070" s="112"/>
      <c r="Q1070" s="112"/>
      <c r="R1070" s="112"/>
      <c r="S1070" s="112"/>
      <c r="T1070" s="112"/>
      <c r="U1070" t="s">
        <v>5263</v>
      </c>
      <c r="V1070" t="s">
        <v>5264</v>
      </c>
      <c r="W1070" t="s">
        <v>3958</v>
      </c>
      <c r="X1070" t="s">
        <v>4660</v>
      </c>
    </row>
    <row r="1071" spans="1:24" x14ac:dyDescent="0.2">
      <c r="A1071" t="s">
        <v>5262</v>
      </c>
      <c r="B1071" t="s">
        <v>571</v>
      </c>
      <c r="C1071" t="s">
        <v>1568</v>
      </c>
      <c r="D1071" t="s">
        <v>56</v>
      </c>
      <c r="E1071" t="s">
        <v>572</v>
      </c>
      <c r="F1071" t="s">
        <v>84</v>
      </c>
      <c r="G1071" s="202">
        <v>1</v>
      </c>
      <c r="H1071">
        <v>2</v>
      </c>
      <c r="I1071" t="s">
        <v>3960</v>
      </c>
      <c r="J1071" t="s">
        <v>4826</v>
      </c>
      <c r="K1071" t="s">
        <v>1283</v>
      </c>
      <c r="L1071" s="204">
        <v>0.72</v>
      </c>
      <c r="M1071" s="112">
        <v>19.837499999999999</v>
      </c>
      <c r="N1071" s="112">
        <v>14.282999999999998</v>
      </c>
      <c r="O1071" s="204"/>
      <c r="P1071" s="112"/>
      <c r="Q1071" s="112"/>
      <c r="R1071" s="112"/>
      <c r="S1071" s="112"/>
      <c r="T1071" s="112"/>
      <c r="U1071" t="s">
        <v>5263</v>
      </c>
      <c r="V1071" t="s">
        <v>5264</v>
      </c>
      <c r="W1071" t="s">
        <v>3958</v>
      </c>
      <c r="X1071" t="s">
        <v>4660</v>
      </c>
    </row>
    <row r="1072" spans="1:24" x14ac:dyDescent="0.2">
      <c r="A1072" t="s">
        <v>5262</v>
      </c>
      <c r="B1072" t="s">
        <v>571</v>
      </c>
      <c r="C1072" t="s">
        <v>1568</v>
      </c>
      <c r="D1072" t="s">
        <v>56</v>
      </c>
      <c r="E1072" t="s">
        <v>572</v>
      </c>
      <c r="F1072" t="s">
        <v>84</v>
      </c>
      <c r="G1072" s="202">
        <v>1</v>
      </c>
      <c r="H1072">
        <v>3</v>
      </c>
      <c r="I1072" t="s">
        <v>3976</v>
      </c>
      <c r="J1072" t="s">
        <v>4827</v>
      </c>
      <c r="K1072" t="s">
        <v>1283</v>
      </c>
      <c r="L1072" s="204">
        <v>0.05</v>
      </c>
      <c r="M1072" s="112">
        <v>19.837499999999999</v>
      </c>
      <c r="N1072" s="112">
        <v>0.99187499999999995</v>
      </c>
      <c r="O1072" s="204"/>
      <c r="P1072" s="112"/>
      <c r="Q1072" s="112"/>
      <c r="R1072" s="112"/>
      <c r="S1072" s="112"/>
      <c r="T1072" s="112"/>
      <c r="U1072" t="s">
        <v>5263</v>
      </c>
      <c r="V1072" t="s">
        <v>5264</v>
      </c>
      <c r="W1072" t="s">
        <v>3958</v>
      </c>
      <c r="X1072" t="s">
        <v>4660</v>
      </c>
    </row>
    <row r="1073" spans="1:24" x14ac:dyDescent="0.2">
      <c r="A1073" t="s">
        <v>5262</v>
      </c>
      <c r="B1073" t="s">
        <v>571</v>
      </c>
      <c r="C1073" t="s">
        <v>1568</v>
      </c>
      <c r="D1073" t="s">
        <v>56</v>
      </c>
      <c r="E1073" t="s">
        <v>572</v>
      </c>
      <c r="F1073" t="s">
        <v>84</v>
      </c>
      <c r="G1073" s="202">
        <v>1</v>
      </c>
      <c r="H1073">
        <v>4</v>
      </c>
      <c r="I1073" t="s">
        <v>4017</v>
      </c>
      <c r="J1073" t="s">
        <v>4809</v>
      </c>
      <c r="K1073" t="s">
        <v>1283</v>
      </c>
      <c r="L1073" s="204">
        <v>0.05</v>
      </c>
      <c r="M1073" s="112">
        <v>19.837499999999999</v>
      </c>
      <c r="N1073" s="112">
        <v>0.99187499999999995</v>
      </c>
      <c r="O1073" s="204"/>
      <c r="P1073" s="112"/>
      <c r="Q1073" s="112"/>
      <c r="R1073" s="112"/>
      <c r="S1073" s="112"/>
      <c r="T1073" s="112"/>
      <c r="U1073" t="s">
        <v>5263</v>
      </c>
      <c r="V1073" t="s">
        <v>5264</v>
      </c>
      <c r="W1073" t="s">
        <v>3958</v>
      </c>
      <c r="X1073" t="s">
        <v>4660</v>
      </c>
    </row>
    <row r="1074" spans="1:24" x14ac:dyDescent="0.2">
      <c r="A1074" t="s">
        <v>5262</v>
      </c>
      <c r="B1074" t="s">
        <v>571</v>
      </c>
      <c r="C1074" t="s">
        <v>1568</v>
      </c>
      <c r="D1074" t="s">
        <v>56</v>
      </c>
      <c r="E1074" t="s">
        <v>572</v>
      </c>
      <c r="F1074" t="s">
        <v>84</v>
      </c>
      <c r="G1074" s="202">
        <v>1</v>
      </c>
      <c r="H1074">
        <v>5</v>
      </c>
      <c r="I1074" t="s">
        <v>3968</v>
      </c>
      <c r="J1074" t="s">
        <v>3969</v>
      </c>
      <c r="K1074" t="s">
        <v>84</v>
      </c>
      <c r="L1074" s="204">
        <v>1</v>
      </c>
      <c r="M1074" s="112"/>
      <c r="N1074" s="112">
        <v>19.837499999999999</v>
      </c>
      <c r="O1074" s="204">
        <v>0.22192816635160684</v>
      </c>
      <c r="P1074" s="112">
        <v>4.4024999999999999</v>
      </c>
      <c r="Q1074" s="112">
        <v>24.24</v>
      </c>
      <c r="R1074" s="112">
        <v>24.24</v>
      </c>
      <c r="S1074" s="112">
        <v>24.24</v>
      </c>
      <c r="T1074" s="112">
        <v>0</v>
      </c>
      <c r="U1074" t="s">
        <v>5263</v>
      </c>
      <c r="V1074" t="s">
        <v>5264</v>
      </c>
      <c r="W1074" t="s">
        <v>4666</v>
      </c>
      <c r="X1074" t="s">
        <v>4667</v>
      </c>
    </row>
    <row r="1075" spans="1:24" x14ac:dyDescent="0.2">
      <c r="A1075" t="s">
        <v>5265</v>
      </c>
      <c r="B1075" t="s">
        <v>573</v>
      </c>
      <c r="C1075" t="s">
        <v>1569</v>
      </c>
      <c r="D1075" t="s">
        <v>56</v>
      </c>
      <c r="E1075" t="s">
        <v>574</v>
      </c>
      <c r="F1075" t="s">
        <v>99</v>
      </c>
      <c r="G1075" s="202">
        <v>12.1</v>
      </c>
      <c r="H1075">
        <v>1</v>
      </c>
      <c r="I1075" t="s">
        <v>3954</v>
      </c>
      <c r="J1075" t="s">
        <v>5227</v>
      </c>
      <c r="K1075" t="s">
        <v>1283</v>
      </c>
      <c r="L1075" s="204">
        <v>0.26</v>
      </c>
      <c r="M1075" s="112">
        <v>27.022500000000001</v>
      </c>
      <c r="N1075" s="112">
        <v>7.0258500000000002</v>
      </c>
      <c r="O1075" s="204"/>
      <c r="P1075" s="112"/>
      <c r="Q1075" s="112"/>
      <c r="R1075" s="112"/>
      <c r="S1075" s="112"/>
      <c r="T1075" s="112"/>
      <c r="U1075" t="s">
        <v>5266</v>
      </c>
      <c r="V1075" t="s">
        <v>5267</v>
      </c>
      <c r="W1075" t="s">
        <v>3958</v>
      </c>
      <c r="X1075" t="s">
        <v>4660</v>
      </c>
    </row>
    <row r="1076" spans="1:24" x14ac:dyDescent="0.2">
      <c r="A1076" t="s">
        <v>5265</v>
      </c>
      <c r="B1076" t="s">
        <v>573</v>
      </c>
      <c r="C1076" t="s">
        <v>1569</v>
      </c>
      <c r="D1076" t="s">
        <v>56</v>
      </c>
      <c r="E1076" t="s">
        <v>574</v>
      </c>
      <c r="F1076" t="s">
        <v>99</v>
      </c>
      <c r="G1076" s="202">
        <v>12.1</v>
      </c>
      <c r="H1076">
        <v>2</v>
      </c>
      <c r="I1076" t="s">
        <v>3960</v>
      </c>
      <c r="J1076" t="s">
        <v>5229</v>
      </c>
      <c r="K1076" t="s">
        <v>1283</v>
      </c>
      <c r="L1076" s="204">
        <v>0.64</v>
      </c>
      <c r="M1076" s="112">
        <v>27.022500000000001</v>
      </c>
      <c r="N1076" s="112">
        <v>17.2944</v>
      </c>
      <c r="O1076" s="204"/>
      <c r="P1076" s="112"/>
      <c r="Q1076" s="112"/>
      <c r="R1076" s="112"/>
      <c r="S1076" s="112"/>
      <c r="T1076" s="112"/>
      <c r="U1076" t="s">
        <v>5266</v>
      </c>
      <c r="V1076" t="s">
        <v>5267</v>
      </c>
      <c r="W1076" t="s">
        <v>3958</v>
      </c>
      <c r="X1076" t="s">
        <v>4660</v>
      </c>
    </row>
    <row r="1077" spans="1:24" x14ac:dyDescent="0.2">
      <c r="A1077" t="s">
        <v>5265</v>
      </c>
      <c r="B1077" t="s">
        <v>573</v>
      </c>
      <c r="C1077" t="s">
        <v>1569</v>
      </c>
      <c r="D1077" t="s">
        <v>56</v>
      </c>
      <c r="E1077" t="s">
        <v>574</v>
      </c>
      <c r="F1077" t="s">
        <v>99</v>
      </c>
      <c r="G1077" s="202">
        <v>12.1</v>
      </c>
      <c r="H1077">
        <v>3</v>
      </c>
      <c r="I1077" t="s">
        <v>3976</v>
      </c>
      <c r="J1077" t="s">
        <v>5230</v>
      </c>
      <c r="K1077" t="s">
        <v>1283</v>
      </c>
      <c r="L1077" s="204">
        <v>0.04</v>
      </c>
      <c r="M1077" s="112">
        <v>27.022500000000001</v>
      </c>
      <c r="N1077" s="112">
        <v>1.0809</v>
      </c>
      <c r="O1077" s="204"/>
      <c r="P1077" s="112"/>
      <c r="Q1077" s="112"/>
      <c r="R1077" s="112"/>
      <c r="S1077" s="112"/>
      <c r="T1077" s="112"/>
      <c r="U1077" t="s">
        <v>5266</v>
      </c>
      <c r="V1077" t="s">
        <v>5267</v>
      </c>
      <c r="W1077" t="s">
        <v>3958</v>
      </c>
      <c r="X1077" t="s">
        <v>4660</v>
      </c>
    </row>
    <row r="1078" spans="1:24" x14ac:dyDescent="0.2">
      <c r="A1078" t="s">
        <v>5265</v>
      </c>
      <c r="B1078" t="s">
        <v>573</v>
      </c>
      <c r="C1078" t="s">
        <v>1569</v>
      </c>
      <c r="D1078" t="s">
        <v>56</v>
      </c>
      <c r="E1078" t="s">
        <v>574</v>
      </c>
      <c r="F1078" t="s">
        <v>99</v>
      </c>
      <c r="G1078" s="202">
        <v>12.1</v>
      </c>
      <c r="H1078">
        <v>4</v>
      </c>
      <c r="I1078" t="s">
        <v>4017</v>
      </c>
      <c r="J1078" t="s">
        <v>4851</v>
      </c>
      <c r="K1078" t="s">
        <v>1283</v>
      </c>
      <c r="L1078" s="204">
        <v>0.06</v>
      </c>
      <c r="M1078" s="112">
        <v>27.022500000000001</v>
      </c>
      <c r="N1078" s="112">
        <v>1.6213500000000001</v>
      </c>
      <c r="O1078" s="204"/>
      <c r="P1078" s="112"/>
      <c r="Q1078" s="112"/>
      <c r="R1078" s="112"/>
      <c r="S1078" s="112"/>
      <c r="T1078" s="112"/>
      <c r="U1078" t="s">
        <v>5266</v>
      </c>
      <c r="V1078" t="s">
        <v>5267</v>
      </c>
      <c r="W1078" t="s">
        <v>3958</v>
      </c>
      <c r="X1078" t="s">
        <v>4660</v>
      </c>
    </row>
    <row r="1079" spans="1:24" x14ac:dyDescent="0.2">
      <c r="A1079" t="s">
        <v>5265</v>
      </c>
      <c r="B1079" t="s">
        <v>573</v>
      </c>
      <c r="C1079" t="s">
        <v>1569</v>
      </c>
      <c r="D1079" t="s">
        <v>56</v>
      </c>
      <c r="E1079" t="s">
        <v>574</v>
      </c>
      <c r="F1079" t="s">
        <v>99</v>
      </c>
      <c r="G1079" s="202">
        <v>12.1</v>
      </c>
      <c r="H1079">
        <v>5</v>
      </c>
      <c r="I1079" t="s">
        <v>3968</v>
      </c>
      <c r="J1079" t="s">
        <v>3969</v>
      </c>
      <c r="K1079" t="s">
        <v>99</v>
      </c>
      <c r="L1079" s="204">
        <v>1</v>
      </c>
      <c r="M1079" s="112"/>
      <c r="N1079" s="112">
        <v>27.022500000000001</v>
      </c>
      <c r="O1079" s="204">
        <v>0.22203030991162076</v>
      </c>
      <c r="P1079" s="112">
        <v>5.9998140495867744</v>
      </c>
      <c r="Q1079" s="112">
        <v>33.022314049586775</v>
      </c>
      <c r="R1079" s="112">
        <v>399.57</v>
      </c>
      <c r="S1079" s="112">
        <v>399.57</v>
      </c>
      <c r="T1079" s="112">
        <v>0</v>
      </c>
      <c r="U1079" t="s">
        <v>5266</v>
      </c>
      <c r="V1079" t="s">
        <v>5267</v>
      </c>
      <c r="W1079" t="s">
        <v>4666</v>
      </c>
      <c r="X1079" t="s">
        <v>4667</v>
      </c>
    </row>
    <row r="1080" spans="1:24" x14ac:dyDescent="0.2">
      <c r="A1080" t="s">
        <v>5268</v>
      </c>
      <c r="B1080" t="s">
        <v>1570</v>
      </c>
      <c r="C1080" t="s">
        <v>1571</v>
      </c>
      <c r="D1080" t="s">
        <v>56</v>
      </c>
      <c r="E1080" t="s">
        <v>575</v>
      </c>
      <c r="F1080" t="s">
        <v>99</v>
      </c>
      <c r="G1080" s="202">
        <v>0.3</v>
      </c>
      <c r="H1080">
        <v>1</v>
      </c>
      <c r="I1080" t="s">
        <v>3954</v>
      </c>
      <c r="J1080" t="s">
        <v>5227</v>
      </c>
      <c r="K1080" t="s">
        <v>1283</v>
      </c>
      <c r="L1080" s="204">
        <v>0.26</v>
      </c>
      <c r="M1080" s="112">
        <v>23.557500000000001</v>
      </c>
      <c r="N1080" s="112">
        <v>6.1249500000000001</v>
      </c>
      <c r="O1080" s="204"/>
      <c r="P1080" s="112"/>
      <c r="Q1080" s="112"/>
      <c r="R1080" s="112"/>
      <c r="S1080" s="112"/>
      <c r="T1080" s="112"/>
      <c r="U1080" t="s">
        <v>5269</v>
      </c>
      <c r="V1080" t="s">
        <v>5270</v>
      </c>
      <c r="W1080" t="s">
        <v>3958</v>
      </c>
      <c r="X1080" t="s">
        <v>4660</v>
      </c>
    </row>
    <row r="1081" spans="1:24" x14ac:dyDescent="0.2">
      <c r="A1081" t="s">
        <v>5268</v>
      </c>
      <c r="B1081" t="s">
        <v>1570</v>
      </c>
      <c r="C1081" t="s">
        <v>1571</v>
      </c>
      <c r="D1081" t="s">
        <v>56</v>
      </c>
      <c r="E1081" t="s">
        <v>575</v>
      </c>
      <c r="F1081" t="s">
        <v>99</v>
      </c>
      <c r="G1081" s="202">
        <v>0.3</v>
      </c>
      <c r="H1081">
        <v>2</v>
      </c>
      <c r="I1081" t="s">
        <v>3960</v>
      </c>
      <c r="J1081" t="s">
        <v>5229</v>
      </c>
      <c r="K1081" t="s">
        <v>1283</v>
      </c>
      <c r="L1081" s="204">
        <v>0.64</v>
      </c>
      <c r="M1081" s="112">
        <v>23.557500000000001</v>
      </c>
      <c r="N1081" s="112">
        <v>15.0768</v>
      </c>
      <c r="O1081" s="204"/>
      <c r="P1081" s="112"/>
      <c r="Q1081" s="112"/>
      <c r="R1081" s="112"/>
      <c r="S1081" s="112"/>
      <c r="T1081" s="112"/>
      <c r="U1081" t="s">
        <v>5269</v>
      </c>
      <c r="V1081" t="s">
        <v>5270</v>
      </c>
      <c r="W1081" t="s">
        <v>3958</v>
      </c>
      <c r="X1081" t="s">
        <v>4660</v>
      </c>
    </row>
    <row r="1082" spans="1:24" x14ac:dyDescent="0.2">
      <c r="A1082" t="s">
        <v>5268</v>
      </c>
      <c r="B1082" t="s">
        <v>1570</v>
      </c>
      <c r="C1082" t="s">
        <v>1571</v>
      </c>
      <c r="D1082" t="s">
        <v>56</v>
      </c>
      <c r="E1082" t="s">
        <v>575</v>
      </c>
      <c r="F1082" t="s">
        <v>99</v>
      </c>
      <c r="G1082" s="202">
        <v>0.3</v>
      </c>
      <c r="H1082">
        <v>3</v>
      </c>
      <c r="I1082" t="s">
        <v>3976</v>
      </c>
      <c r="J1082" t="s">
        <v>5230</v>
      </c>
      <c r="K1082" t="s">
        <v>1283</v>
      </c>
      <c r="L1082" s="204">
        <v>0.04</v>
      </c>
      <c r="M1082" s="112">
        <v>23.557500000000001</v>
      </c>
      <c r="N1082" s="112">
        <v>0.94230000000000003</v>
      </c>
      <c r="O1082" s="204"/>
      <c r="P1082" s="112"/>
      <c r="Q1082" s="112"/>
      <c r="R1082" s="112"/>
      <c r="S1082" s="112"/>
      <c r="T1082" s="112"/>
      <c r="U1082" t="s">
        <v>5269</v>
      </c>
      <c r="V1082" t="s">
        <v>5270</v>
      </c>
      <c r="W1082" t="s">
        <v>3958</v>
      </c>
      <c r="X1082" t="s">
        <v>4660</v>
      </c>
    </row>
    <row r="1083" spans="1:24" x14ac:dyDescent="0.2">
      <c r="A1083" t="s">
        <v>5268</v>
      </c>
      <c r="B1083" t="s">
        <v>1570</v>
      </c>
      <c r="C1083" t="s">
        <v>1571</v>
      </c>
      <c r="D1083" t="s">
        <v>56</v>
      </c>
      <c r="E1083" t="s">
        <v>575</v>
      </c>
      <c r="F1083" t="s">
        <v>99</v>
      </c>
      <c r="G1083" s="202">
        <v>0.3</v>
      </c>
      <c r="H1083">
        <v>4</v>
      </c>
      <c r="I1083" t="s">
        <v>4017</v>
      </c>
      <c r="J1083" t="s">
        <v>4851</v>
      </c>
      <c r="K1083" t="s">
        <v>1283</v>
      </c>
      <c r="L1083" s="204">
        <v>0.06</v>
      </c>
      <c r="M1083" s="112">
        <v>23.557500000000001</v>
      </c>
      <c r="N1083" s="112">
        <v>1.4134500000000001</v>
      </c>
      <c r="O1083" s="204"/>
      <c r="P1083" s="112"/>
      <c r="Q1083" s="112"/>
      <c r="R1083" s="112"/>
      <c r="S1083" s="112"/>
      <c r="T1083" s="112"/>
      <c r="U1083" t="s">
        <v>5269</v>
      </c>
      <c r="V1083" t="s">
        <v>5270</v>
      </c>
      <c r="W1083" t="s">
        <v>3958</v>
      </c>
      <c r="X1083" t="s">
        <v>4660</v>
      </c>
    </row>
    <row r="1084" spans="1:24" x14ac:dyDescent="0.2">
      <c r="A1084" t="s">
        <v>5268</v>
      </c>
      <c r="B1084" t="s">
        <v>1570</v>
      </c>
      <c r="C1084" t="s">
        <v>1571</v>
      </c>
      <c r="D1084" t="s">
        <v>56</v>
      </c>
      <c r="E1084" t="s">
        <v>575</v>
      </c>
      <c r="F1084" t="s">
        <v>99</v>
      </c>
      <c r="G1084" s="202">
        <v>0.3</v>
      </c>
      <c r="H1084">
        <v>5</v>
      </c>
      <c r="I1084" t="s">
        <v>3968</v>
      </c>
      <c r="J1084" t="s">
        <v>3969</v>
      </c>
      <c r="K1084" t="s">
        <v>99</v>
      </c>
      <c r="L1084" s="204">
        <v>1</v>
      </c>
      <c r="M1084" s="112"/>
      <c r="N1084" s="112">
        <v>23.557500000000001</v>
      </c>
      <c r="O1084" s="204">
        <v>0.22112561463086777</v>
      </c>
      <c r="P1084" s="112">
        <v>5.2091666666666683</v>
      </c>
      <c r="Q1084" s="112">
        <v>28.766666666666669</v>
      </c>
      <c r="R1084" s="112">
        <v>8.6300000000000008</v>
      </c>
      <c r="S1084" s="112">
        <v>8.6300000000000008</v>
      </c>
      <c r="T1084" s="112">
        <v>0</v>
      </c>
      <c r="U1084" t="s">
        <v>5269</v>
      </c>
      <c r="V1084" t="s">
        <v>5270</v>
      </c>
      <c r="W1084" t="s">
        <v>4666</v>
      </c>
      <c r="X1084" t="s">
        <v>4667</v>
      </c>
    </row>
    <row r="1085" spans="1:24" x14ac:dyDescent="0.2">
      <c r="A1085" t="s">
        <v>5271</v>
      </c>
      <c r="B1085" t="s">
        <v>1572</v>
      </c>
      <c r="C1085" t="s">
        <v>1573</v>
      </c>
      <c r="D1085" t="s">
        <v>56</v>
      </c>
      <c r="E1085" t="s">
        <v>576</v>
      </c>
      <c r="F1085" t="s">
        <v>99</v>
      </c>
      <c r="G1085" s="202">
        <v>109.7</v>
      </c>
      <c r="H1085">
        <v>1</v>
      </c>
      <c r="I1085" t="s">
        <v>3954</v>
      </c>
      <c r="J1085" t="s">
        <v>5227</v>
      </c>
      <c r="K1085" t="s">
        <v>1283</v>
      </c>
      <c r="L1085" s="204">
        <v>0.26</v>
      </c>
      <c r="M1085" s="112">
        <v>31.740000000000002</v>
      </c>
      <c r="N1085" s="112">
        <v>8.2524000000000015</v>
      </c>
      <c r="O1085" s="204"/>
      <c r="P1085" s="112"/>
      <c r="Q1085" s="112"/>
      <c r="R1085" s="112"/>
      <c r="S1085" s="112"/>
      <c r="T1085" s="112"/>
      <c r="U1085" t="s">
        <v>5272</v>
      </c>
      <c r="V1085" t="s">
        <v>5273</v>
      </c>
      <c r="W1085" t="s">
        <v>3958</v>
      </c>
      <c r="X1085" t="s">
        <v>4660</v>
      </c>
    </row>
    <row r="1086" spans="1:24" x14ac:dyDescent="0.2">
      <c r="A1086" t="s">
        <v>5271</v>
      </c>
      <c r="B1086" t="s">
        <v>1572</v>
      </c>
      <c r="C1086" t="s">
        <v>1573</v>
      </c>
      <c r="D1086" t="s">
        <v>56</v>
      </c>
      <c r="E1086" t="s">
        <v>576</v>
      </c>
      <c r="F1086" t="s">
        <v>99</v>
      </c>
      <c r="G1086" s="202">
        <v>109.7</v>
      </c>
      <c r="H1086">
        <v>2</v>
      </c>
      <c r="I1086" t="s">
        <v>3960</v>
      </c>
      <c r="J1086" t="s">
        <v>5229</v>
      </c>
      <c r="K1086" t="s">
        <v>1283</v>
      </c>
      <c r="L1086" s="204">
        <v>0.64</v>
      </c>
      <c r="M1086" s="112">
        <v>31.740000000000002</v>
      </c>
      <c r="N1086" s="112">
        <v>20.313600000000001</v>
      </c>
      <c r="O1086" s="204"/>
      <c r="P1086" s="112"/>
      <c r="Q1086" s="112"/>
      <c r="R1086" s="112"/>
      <c r="S1086" s="112"/>
      <c r="T1086" s="112"/>
      <c r="U1086" t="s">
        <v>5272</v>
      </c>
      <c r="V1086" t="s">
        <v>5273</v>
      </c>
      <c r="W1086" t="s">
        <v>3958</v>
      </c>
      <c r="X1086" t="s">
        <v>4660</v>
      </c>
    </row>
    <row r="1087" spans="1:24" x14ac:dyDescent="0.2">
      <c r="A1087" t="s">
        <v>5271</v>
      </c>
      <c r="B1087" t="s">
        <v>1572</v>
      </c>
      <c r="C1087" t="s">
        <v>1573</v>
      </c>
      <c r="D1087" t="s">
        <v>56</v>
      </c>
      <c r="E1087" t="s">
        <v>576</v>
      </c>
      <c r="F1087" t="s">
        <v>99</v>
      </c>
      <c r="G1087" s="202">
        <v>109.7</v>
      </c>
      <c r="H1087">
        <v>3</v>
      </c>
      <c r="I1087" t="s">
        <v>3976</v>
      </c>
      <c r="J1087" t="s">
        <v>5230</v>
      </c>
      <c r="K1087" t="s">
        <v>1283</v>
      </c>
      <c r="L1087" s="204">
        <v>0.04</v>
      </c>
      <c r="M1087" s="112">
        <v>31.740000000000002</v>
      </c>
      <c r="N1087" s="112">
        <v>1.2696000000000001</v>
      </c>
      <c r="O1087" s="204"/>
      <c r="P1087" s="112"/>
      <c r="Q1087" s="112"/>
      <c r="R1087" s="112"/>
      <c r="S1087" s="112"/>
      <c r="T1087" s="112"/>
      <c r="U1087" t="s">
        <v>5272</v>
      </c>
      <c r="V1087" t="s">
        <v>5273</v>
      </c>
      <c r="W1087" t="s">
        <v>3958</v>
      </c>
      <c r="X1087" t="s">
        <v>4660</v>
      </c>
    </row>
    <row r="1088" spans="1:24" x14ac:dyDescent="0.2">
      <c r="A1088" t="s">
        <v>5271</v>
      </c>
      <c r="B1088" t="s">
        <v>1572</v>
      </c>
      <c r="C1088" t="s">
        <v>1573</v>
      </c>
      <c r="D1088" t="s">
        <v>56</v>
      </c>
      <c r="E1088" t="s">
        <v>576</v>
      </c>
      <c r="F1088" t="s">
        <v>99</v>
      </c>
      <c r="G1088" s="202">
        <v>109.7</v>
      </c>
      <c r="H1088">
        <v>4</v>
      </c>
      <c r="I1088" t="s">
        <v>4017</v>
      </c>
      <c r="J1088" t="s">
        <v>4851</v>
      </c>
      <c r="K1088" t="s">
        <v>1283</v>
      </c>
      <c r="L1088" s="204">
        <v>0.06</v>
      </c>
      <c r="M1088" s="112">
        <v>31.740000000000002</v>
      </c>
      <c r="N1088" s="112">
        <v>1.9044000000000001</v>
      </c>
      <c r="O1088" s="204"/>
      <c r="P1088" s="112"/>
      <c r="Q1088" s="112"/>
      <c r="R1088" s="112"/>
      <c r="S1088" s="112"/>
      <c r="T1088" s="112"/>
      <c r="U1088" t="s">
        <v>5272</v>
      </c>
      <c r="V1088" t="s">
        <v>5273</v>
      </c>
      <c r="W1088" t="s">
        <v>3958</v>
      </c>
      <c r="X1088" t="s">
        <v>4660</v>
      </c>
    </row>
    <row r="1089" spans="1:24" x14ac:dyDescent="0.2">
      <c r="A1089" t="s">
        <v>5271</v>
      </c>
      <c r="B1089" t="s">
        <v>1572</v>
      </c>
      <c r="C1089" t="s">
        <v>1573</v>
      </c>
      <c r="D1089" t="s">
        <v>56</v>
      </c>
      <c r="E1089" t="s">
        <v>576</v>
      </c>
      <c r="F1089" t="s">
        <v>99</v>
      </c>
      <c r="G1089" s="202">
        <v>109.7</v>
      </c>
      <c r="H1089">
        <v>5</v>
      </c>
      <c r="I1089" t="s">
        <v>3968</v>
      </c>
      <c r="J1089" t="s">
        <v>3969</v>
      </c>
      <c r="K1089" t="s">
        <v>99</v>
      </c>
      <c r="L1089" s="204">
        <v>1</v>
      </c>
      <c r="M1089" s="112"/>
      <c r="N1089" s="112">
        <v>31.740000000000002</v>
      </c>
      <c r="O1089" s="204">
        <v>0.22211634066443442</v>
      </c>
      <c r="P1089" s="112">
        <v>7.0499726526891493</v>
      </c>
      <c r="Q1089" s="112">
        <v>38.789972652689151</v>
      </c>
      <c r="R1089" s="112">
        <v>4255.26</v>
      </c>
      <c r="S1089" s="112">
        <v>4255.26</v>
      </c>
      <c r="T1089" s="112">
        <v>0</v>
      </c>
      <c r="U1089" t="s">
        <v>5272</v>
      </c>
      <c r="V1089" t="s">
        <v>5273</v>
      </c>
      <c r="W1089" t="s">
        <v>4666</v>
      </c>
      <c r="X1089" t="s">
        <v>4667</v>
      </c>
    </row>
    <row r="1090" spans="1:24" x14ac:dyDescent="0.2">
      <c r="A1090" t="s">
        <v>5274</v>
      </c>
      <c r="B1090" t="s">
        <v>1574</v>
      </c>
      <c r="C1090" t="s">
        <v>1575</v>
      </c>
      <c r="D1090" t="s">
        <v>56</v>
      </c>
      <c r="E1090" t="s">
        <v>577</v>
      </c>
      <c r="F1090" t="s">
        <v>99</v>
      </c>
      <c r="G1090" s="202">
        <v>39.700000000000003</v>
      </c>
      <c r="H1090">
        <v>1</v>
      </c>
      <c r="I1090" t="s">
        <v>3954</v>
      </c>
      <c r="J1090" t="s">
        <v>5227</v>
      </c>
      <c r="K1090" t="s">
        <v>1283</v>
      </c>
      <c r="L1090" s="204">
        <v>0.26</v>
      </c>
      <c r="M1090" s="112">
        <v>23.865000000000002</v>
      </c>
      <c r="N1090" s="112">
        <v>6.2049000000000003</v>
      </c>
      <c r="O1090" s="204"/>
      <c r="P1090" s="112"/>
      <c r="Q1090" s="112"/>
      <c r="R1090" s="112"/>
      <c r="S1090" s="112"/>
      <c r="T1090" s="112"/>
      <c r="U1090" t="s">
        <v>5275</v>
      </c>
      <c r="V1090" t="s">
        <v>5276</v>
      </c>
      <c r="W1090" t="s">
        <v>3958</v>
      </c>
      <c r="X1090" t="s">
        <v>4660</v>
      </c>
    </row>
    <row r="1091" spans="1:24" x14ac:dyDescent="0.2">
      <c r="A1091" t="s">
        <v>5274</v>
      </c>
      <c r="B1091" t="s">
        <v>1574</v>
      </c>
      <c r="C1091" t="s">
        <v>1575</v>
      </c>
      <c r="D1091" t="s">
        <v>56</v>
      </c>
      <c r="E1091" t="s">
        <v>577</v>
      </c>
      <c r="F1091" t="s">
        <v>99</v>
      </c>
      <c r="G1091" s="202">
        <v>39.700000000000003</v>
      </c>
      <c r="H1091">
        <v>2</v>
      </c>
      <c r="I1091" t="s">
        <v>3960</v>
      </c>
      <c r="J1091" t="s">
        <v>5229</v>
      </c>
      <c r="K1091" t="s">
        <v>1283</v>
      </c>
      <c r="L1091" s="204">
        <v>0.64</v>
      </c>
      <c r="M1091" s="112">
        <v>23.865000000000002</v>
      </c>
      <c r="N1091" s="112">
        <v>15.273600000000002</v>
      </c>
      <c r="O1091" s="204"/>
      <c r="P1091" s="112"/>
      <c r="Q1091" s="112"/>
      <c r="R1091" s="112"/>
      <c r="S1091" s="112"/>
      <c r="T1091" s="112"/>
      <c r="U1091" t="s">
        <v>5275</v>
      </c>
      <c r="V1091" t="s">
        <v>5276</v>
      </c>
      <c r="W1091" t="s">
        <v>3958</v>
      </c>
      <c r="X1091" t="s">
        <v>4660</v>
      </c>
    </row>
    <row r="1092" spans="1:24" x14ac:dyDescent="0.2">
      <c r="A1092" t="s">
        <v>5274</v>
      </c>
      <c r="B1092" t="s">
        <v>1574</v>
      </c>
      <c r="C1092" t="s">
        <v>1575</v>
      </c>
      <c r="D1092" t="s">
        <v>56</v>
      </c>
      <c r="E1092" t="s">
        <v>577</v>
      </c>
      <c r="F1092" t="s">
        <v>99</v>
      </c>
      <c r="G1092" s="202">
        <v>39.700000000000003</v>
      </c>
      <c r="H1092">
        <v>3</v>
      </c>
      <c r="I1092" t="s">
        <v>3976</v>
      </c>
      <c r="J1092" t="s">
        <v>5230</v>
      </c>
      <c r="K1092" t="s">
        <v>1283</v>
      </c>
      <c r="L1092" s="204">
        <v>0.04</v>
      </c>
      <c r="M1092" s="112">
        <v>23.865000000000002</v>
      </c>
      <c r="N1092" s="112">
        <v>0.95460000000000012</v>
      </c>
      <c r="O1092" s="204"/>
      <c r="P1092" s="112"/>
      <c r="Q1092" s="112"/>
      <c r="R1092" s="112"/>
      <c r="S1092" s="112"/>
      <c r="T1092" s="112"/>
      <c r="U1092" t="s">
        <v>5275</v>
      </c>
      <c r="V1092" t="s">
        <v>5276</v>
      </c>
      <c r="W1092" t="s">
        <v>3958</v>
      </c>
      <c r="X1092" t="s">
        <v>4660</v>
      </c>
    </row>
    <row r="1093" spans="1:24" x14ac:dyDescent="0.2">
      <c r="A1093" t="s">
        <v>5274</v>
      </c>
      <c r="B1093" t="s">
        <v>1574</v>
      </c>
      <c r="C1093" t="s">
        <v>1575</v>
      </c>
      <c r="D1093" t="s">
        <v>56</v>
      </c>
      <c r="E1093" t="s">
        <v>577</v>
      </c>
      <c r="F1093" t="s">
        <v>99</v>
      </c>
      <c r="G1093" s="202">
        <v>39.700000000000003</v>
      </c>
      <c r="H1093">
        <v>4</v>
      </c>
      <c r="I1093" t="s">
        <v>4017</v>
      </c>
      <c r="J1093" t="s">
        <v>4851</v>
      </c>
      <c r="K1093" t="s">
        <v>1283</v>
      </c>
      <c r="L1093" s="204">
        <v>0.06</v>
      </c>
      <c r="M1093" s="112">
        <v>23.865000000000002</v>
      </c>
      <c r="N1093" s="112">
        <v>1.4319000000000002</v>
      </c>
      <c r="O1093" s="204"/>
      <c r="P1093" s="112"/>
      <c r="Q1093" s="112"/>
      <c r="R1093" s="112"/>
      <c r="S1093" s="112"/>
      <c r="T1093" s="112"/>
      <c r="U1093" t="s">
        <v>5275</v>
      </c>
      <c r="V1093" t="s">
        <v>5276</v>
      </c>
      <c r="W1093" t="s">
        <v>3958</v>
      </c>
      <c r="X1093" t="s">
        <v>4660</v>
      </c>
    </row>
    <row r="1094" spans="1:24" x14ac:dyDescent="0.2">
      <c r="A1094" t="s">
        <v>5274</v>
      </c>
      <c r="B1094" t="s">
        <v>1574</v>
      </c>
      <c r="C1094" t="s">
        <v>1575</v>
      </c>
      <c r="D1094" t="s">
        <v>56</v>
      </c>
      <c r="E1094" t="s">
        <v>577</v>
      </c>
      <c r="F1094" t="s">
        <v>99</v>
      </c>
      <c r="G1094" s="202">
        <v>39.700000000000003</v>
      </c>
      <c r="H1094">
        <v>5</v>
      </c>
      <c r="I1094" t="s">
        <v>3968</v>
      </c>
      <c r="J1094" t="s">
        <v>3969</v>
      </c>
      <c r="K1094" t="s">
        <v>99</v>
      </c>
      <c r="L1094" s="204">
        <v>1</v>
      </c>
      <c r="M1094" s="112"/>
      <c r="N1094" s="112">
        <v>23.865000000000002</v>
      </c>
      <c r="O1094" s="204">
        <v>0.22217701269895018</v>
      </c>
      <c r="P1094" s="112">
        <v>5.302254408060449</v>
      </c>
      <c r="Q1094" s="112">
        <v>29.167254408060451</v>
      </c>
      <c r="R1094" s="112">
        <v>1157.94</v>
      </c>
      <c r="S1094" s="112">
        <v>1157.94</v>
      </c>
      <c r="T1094" s="112">
        <v>0</v>
      </c>
      <c r="U1094" t="s">
        <v>5275</v>
      </c>
      <c r="V1094" t="s">
        <v>5276</v>
      </c>
      <c r="W1094" t="s">
        <v>4666</v>
      </c>
      <c r="X1094" t="s">
        <v>4667</v>
      </c>
    </row>
    <row r="1095" spans="1:24" x14ac:dyDescent="0.2">
      <c r="A1095" t="s">
        <v>5277</v>
      </c>
      <c r="B1095" t="s">
        <v>1576</v>
      </c>
      <c r="C1095" t="s">
        <v>1577</v>
      </c>
      <c r="D1095" t="s">
        <v>56</v>
      </c>
      <c r="E1095" t="s">
        <v>1578</v>
      </c>
      <c r="F1095" t="s">
        <v>84</v>
      </c>
      <c r="G1095" s="202">
        <v>1</v>
      </c>
      <c r="H1095">
        <v>1</v>
      </c>
      <c r="I1095" t="s">
        <v>3954</v>
      </c>
      <c r="J1095" t="s">
        <v>5227</v>
      </c>
      <c r="K1095" t="s">
        <v>1283</v>
      </c>
      <c r="L1095" s="204">
        <v>0.26</v>
      </c>
      <c r="M1095" s="112">
        <v>27.787499999999998</v>
      </c>
      <c r="N1095" s="112">
        <v>7.2247499999999993</v>
      </c>
      <c r="O1095" s="204"/>
      <c r="P1095" s="112"/>
      <c r="Q1095" s="112"/>
      <c r="R1095" s="112"/>
      <c r="S1095" s="112"/>
      <c r="T1095" s="112"/>
      <c r="U1095" t="s">
        <v>5278</v>
      </c>
      <c r="V1095" t="s">
        <v>5279</v>
      </c>
      <c r="W1095" t="s">
        <v>3958</v>
      </c>
      <c r="X1095" t="s">
        <v>4660</v>
      </c>
    </row>
    <row r="1096" spans="1:24" x14ac:dyDescent="0.2">
      <c r="A1096" t="s">
        <v>5277</v>
      </c>
      <c r="B1096" t="s">
        <v>1576</v>
      </c>
      <c r="C1096" t="s">
        <v>1577</v>
      </c>
      <c r="D1096" t="s">
        <v>56</v>
      </c>
      <c r="E1096" t="s">
        <v>1578</v>
      </c>
      <c r="F1096" t="s">
        <v>84</v>
      </c>
      <c r="G1096" s="202">
        <v>1</v>
      </c>
      <c r="H1096">
        <v>2</v>
      </c>
      <c r="I1096" t="s">
        <v>3960</v>
      </c>
      <c r="J1096" t="s">
        <v>5229</v>
      </c>
      <c r="K1096" t="s">
        <v>1283</v>
      </c>
      <c r="L1096" s="204">
        <v>0.64</v>
      </c>
      <c r="M1096" s="112">
        <v>27.787499999999998</v>
      </c>
      <c r="N1096" s="112">
        <v>17.783999999999999</v>
      </c>
      <c r="O1096" s="204"/>
      <c r="P1096" s="112"/>
      <c r="Q1096" s="112"/>
      <c r="R1096" s="112"/>
      <c r="S1096" s="112"/>
      <c r="T1096" s="112"/>
      <c r="U1096" t="s">
        <v>5278</v>
      </c>
      <c r="V1096" t="s">
        <v>5279</v>
      </c>
      <c r="W1096" t="s">
        <v>3958</v>
      </c>
      <c r="X1096" t="s">
        <v>4660</v>
      </c>
    </row>
    <row r="1097" spans="1:24" x14ac:dyDescent="0.2">
      <c r="A1097" t="s">
        <v>5277</v>
      </c>
      <c r="B1097" t="s">
        <v>1576</v>
      </c>
      <c r="C1097" t="s">
        <v>1577</v>
      </c>
      <c r="D1097" t="s">
        <v>56</v>
      </c>
      <c r="E1097" t="s">
        <v>1578</v>
      </c>
      <c r="F1097" t="s">
        <v>84</v>
      </c>
      <c r="G1097" s="202">
        <v>1</v>
      </c>
      <c r="H1097">
        <v>3</v>
      </c>
      <c r="I1097" t="s">
        <v>3976</v>
      </c>
      <c r="J1097" t="s">
        <v>5230</v>
      </c>
      <c r="K1097" t="s">
        <v>1283</v>
      </c>
      <c r="L1097" s="204">
        <v>0.04</v>
      </c>
      <c r="M1097" s="112">
        <v>27.787499999999998</v>
      </c>
      <c r="N1097" s="112">
        <v>1.1114999999999999</v>
      </c>
      <c r="O1097" s="204"/>
      <c r="P1097" s="112"/>
      <c r="Q1097" s="112"/>
      <c r="R1097" s="112"/>
      <c r="S1097" s="112"/>
      <c r="T1097" s="112"/>
      <c r="U1097" t="s">
        <v>5278</v>
      </c>
      <c r="V1097" t="s">
        <v>5279</v>
      </c>
      <c r="W1097" t="s">
        <v>3958</v>
      </c>
      <c r="X1097" t="s">
        <v>4660</v>
      </c>
    </row>
    <row r="1098" spans="1:24" x14ac:dyDescent="0.2">
      <c r="A1098" t="s">
        <v>5277</v>
      </c>
      <c r="B1098" t="s">
        <v>1576</v>
      </c>
      <c r="C1098" t="s">
        <v>1577</v>
      </c>
      <c r="D1098" t="s">
        <v>56</v>
      </c>
      <c r="E1098" t="s">
        <v>1578</v>
      </c>
      <c r="F1098" t="s">
        <v>84</v>
      </c>
      <c r="G1098" s="202">
        <v>1</v>
      </c>
      <c r="H1098">
        <v>4</v>
      </c>
      <c r="I1098" t="s">
        <v>4017</v>
      </c>
      <c r="J1098" t="s">
        <v>4851</v>
      </c>
      <c r="K1098" t="s">
        <v>1283</v>
      </c>
      <c r="L1098" s="204">
        <v>0.06</v>
      </c>
      <c r="M1098" s="112">
        <v>27.787499999999998</v>
      </c>
      <c r="N1098" s="112">
        <v>1.6672499999999999</v>
      </c>
      <c r="O1098" s="204"/>
      <c r="P1098" s="112"/>
      <c r="Q1098" s="112"/>
      <c r="R1098" s="112"/>
      <c r="S1098" s="112"/>
      <c r="T1098" s="112"/>
      <c r="U1098" t="s">
        <v>5278</v>
      </c>
      <c r="V1098" t="s">
        <v>5279</v>
      </c>
      <c r="W1098" t="s">
        <v>3958</v>
      </c>
      <c r="X1098" t="s">
        <v>4660</v>
      </c>
    </row>
    <row r="1099" spans="1:24" x14ac:dyDescent="0.2">
      <c r="A1099" t="s">
        <v>5277</v>
      </c>
      <c r="B1099" t="s">
        <v>1576</v>
      </c>
      <c r="C1099" t="s">
        <v>1577</v>
      </c>
      <c r="D1099" t="s">
        <v>56</v>
      </c>
      <c r="E1099" t="s">
        <v>1578</v>
      </c>
      <c r="F1099" t="s">
        <v>84</v>
      </c>
      <c r="G1099" s="202">
        <v>1</v>
      </c>
      <c r="H1099">
        <v>5</v>
      </c>
      <c r="I1099" t="s">
        <v>3968</v>
      </c>
      <c r="J1099" t="s">
        <v>3969</v>
      </c>
      <c r="K1099" t="s">
        <v>84</v>
      </c>
      <c r="L1099" s="204">
        <v>1</v>
      </c>
      <c r="M1099" s="112"/>
      <c r="N1099" s="112">
        <v>27.787499999999998</v>
      </c>
      <c r="O1099" s="204">
        <v>0.22213225371120116</v>
      </c>
      <c r="P1099" s="112">
        <v>6.172500000000003</v>
      </c>
      <c r="Q1099" s="112">
        <v>33.96</v>
      </c>
      <c r="R1099" s="112">
        <v>33.96</v>
      </c>
      <c r="S1099" s="112">
        <v>33.96</v>
      </c>
      <c r="T1099" s="112">
        <v>0</v>
      </c>
      <c r="U1099" t="s">
        <v>5278</v>
      </c>
      <c r="V1099" t="s">
        <v>5279</v>
      </c>
      <c r="W1099" t="s">
        <v>4666</v>
      </c>
      <c r="X1099" t="s">
        <v>4667</v>
      </c>
    </row>
    <row r="1100" spans="1:24" x14ac:dyDescent="0.2">
      <c r="A1100" t="s">
        <v>5280</v>
      </c>
      <c r="B1100" t="s">
        <v>1579</v>
      </c>
      <c r="C1100" t="s">
        <v>1580</v>
      </c>
      <c r="D1100" t="s">
        <v>56</v>
      </c>
      <c r="E1100" t="s">
        <v>579</v>
      </c>
      <c r="F1100" t="s">
        <v>84</v>
      </c>
      <c r="G1100" s="202">
        <v>1</v>
      </c>
      <c r="H1100">
        <v>1</v>
      </c>
      <c r="I1100" t="s">
        <v>3954</v>
      </c>
      <c r="J1100" t="s">
        <v>5227</v>
      </c>
      <c r="K1100" t="s">
        <v>1283</v>
      </c>
      <c r="L1100" s="204">
        <v>0.26</v>
      </c>
      <c r="M1100" s="112">
        <v>33.532499999999999</v>
      </c>
      <c r="N1100" s="112">
        <v>8.7184500000000007</v>
      </c>
      <c r="O1100" s="204"/>
      <c r="P1100" s="112"/>
      <c r="Q1100" s="112"/>
      <c r="R1100" s="112"/>
      <c r="S1100" s="112"/>
      <c r="T1100" s="112"/>
      <c r="U1100" t="s">
        <v>5281</v>
      </c>
      <c r="V1100" t="s">
        <v>5282</v>
      </c>
      <c r="W1100" t="s">
        <v>3958</v>
      </c>
      <c r="X1100" t="s">
        <v>4660</v>
      </c>
    </row>
    <row r="1101" spans="1:24" x14ac:dyDescent="0.2">
      <c r="A1101" t="s">
        <v>5280</v>
      </c>
      <c r="B1101" t="s">
        <v>1579</v>
      </c>
      <c r="C1101" t="s">
        <v>1580</v>
      </c>
      <c r="D1101" t="s">
        <v>56</v>
      </c>
      <c r="E1101" t="s">
        <v>579</v>
      </c>
      <c r="F1101" t="s">
        <v>84</v>
      </c>
      <c r="G1101" s="202">
        <v>1</v>
      </c>
      <c r="H1101">
        <v>2</v>
      </c>
      <c r="I1101" t="s">
        <v>3960</v>
      </c>
      <c r="J1101" t="s">
        <v>5229</v>
      </c>
      <c r="K1101" t="s">
        <v>1283</v>
      </c>
      <c r="L1101" s="204">
        <v>0.64</v>
      </c>
      <c r="M1101" s="112">
        <v>33.532499999999999</v>
      </c>
      <c r="N1101" s="112">
        <v>21.460799999999999</v>
      </c>
      <c r="O1101" s="204"/>
      <c r="P1101" s="112"/>
      <c r="Q1101" s="112"/>
      <c r="R1101" s="112"/>
      <c r="S1101" s="112"/>
      <c r="T1101" s="112"/>
      <c r="U1101" t="s">
        <v>5281</v>
      </c>
      <c r="V1101" t="s">
        <v>5282</v>
      </c>
      <c r="W1101" t="s">
        <v>3958</v>
      </c>
      <c r="X1101" t="s">
        <v>4660</v>
      </c>
    </row>
    <row r="1102" spans="1:24" x14ac:dyDescent="0.2">
      <c r="A1102" t="s">
        <v>5280</v>
      </c>
      <c r="B1102" t="s">
        <v>1579</v>
      </c>
      <c r="C1102" t="s">
        <v>1580</v>
      </c>
      <c r="D1102" t="s">
        <v>56</v>
      </c>
      <c r="E1102" t="s">
        <v>579</v>
      </c>
      <c r="F1102" t="s">
        <v>84</v>
      </c>
      <c r="G1102" s="202">
        <v>1</v>
      </c>
      <c r="H1102">
        <v>3</v>
      </c>
      <c r="I1102" t="s">
        <v>3976</v>
      </c>
      <c r="J1102" t="s">
        <v>5230</v>
      </c>
      <c r="K1102" t="s">
        <v>1283</v>
      </c>
      <c r="L1102" s="204">
        <v>0.04</v>
      </c>
      <c r="M1102" s="112">
        <v>33.532499999999999</v>
      </c>
      <c r="N1102" s="112">
        <v>1.3412999999999999</v>
      </c>
      <c r="O1102" s="204"/>
      <c r="P1102" s="112"/>
      <c r="Q1102" s="112"/>
      <c r="R1102" s="112"/>
      <c r="S1102" s="112"/>
      <c r="T1102" s="112"/>
      <c r="U1102" t="s">
        <v>5281</v>
      </c>
      <c r="V1102" t="s">
        <v>5282</v>
      </c>
      <c r="W1102" t="s">
        <v>3958</v>
      </c>
      <c r="X1102" t="s">
        <v>4660</v>
      </c>
    </row>
    <row r="1103" spans="1:24" x14ac:dyDescent="0.2">
      <c r="A1103" t="s">
        <v>5280</v>
      </c>
      <c r="B1103" t="s">
        <v>1579</v>
      </c>
      <c r="C1103" t="s">
        <v>1580</v>
      </c>
      <c r="D1103" t="s">
        <v>56</v>
      </c>
      <c r="E1103" t="s">
        <v>579</v>
      </c>
      <c r="F1103" t="s">
        <v>84</v>
      </c>
      <c r="G1103" s="202">
        <v>1</v>
      </c>
      <c r="H1103">
        <v>4</v>
      </c>
      <c r="I1103" t="s">
        <v>4017</v>
      </c>
      <c r="J1103" t="s">
        <v>4851</v>
      </c>
      <c r="K1103" t="s">
        <v>1283</v>
      </c>
      <c r="L1103" s="204">
        <v>0.06</v>
      </c>
      <c r="M1103" s="112">
        <v>33.532499999999999</v>
      </c>
      <c r="N1103" s="112">
        <v>2.0119499999999997</v>
      </c>
      <c r="O1103" s="204"/>
      <c r="P1103" s="112"/>
      <c r="Q1103" s="112"/>
      <c r="R1103" s="112"/>
      <c r="S1103" s="112"/>
      <c r="T1103" s="112"/>
      <c r="U1103" t="s">
        <v>5281</v>
      </c>
      <c r="V1103" t="s">
        <v>5282</v>
      </c>
      <c r="W1103" t="s">
        <v>3958</v>
      </c>
      <c r="X1103" t="s">
        <v>4660</v>
      </c>
    </row>
    <row r="1104" spans="1:24" x14ac:dyDescent="0.2">
      <c r="A1104" t="s">
        <v>5280</v>
      </c>
      <c r="B1104" t="s">
        <v>1579</v>
      </c>
      <c r="C1104" t="s">
        <v>1580</v>
      </c>
      <c r="D1104" t="s">
        <v>56</v>
      </c>
      <c r="E1104" t="s">
        <v>579</v>
      </c>
      <c r="F1104" t="s">
        <v>84</v>
      </c>
      <c r="G1104" s="202">
        <v>1</v>
      </c>
      <c r="H1104">
        <v>5</v>
      </c>
      <c r="I1104" t="s">
        <v>3968</v>
      </c>
      <c r="J1104" t="s">
        <v>3969</v>
      </c>
      <c r="K1104" t="s">
        <v>84</v>
      </c>
      <c r="L1104" s="204">
        <v>1</v>
      </c>
      <c r="M1104" s="112"/>
      <c r="N1104" s="112">
        <v>33.532499999999999</v>
      </c>
      <c r="O1104" s="204">
        <v>0.22209796466114962</v>
      </c>
      <c r="P1104" s="112">
        <v>7.447499999999998</v>
      </c>
      <c r="Q1104" s="112">
        <v>40.98</v>
      </c>
      <c r="R1104" s="112">
        <v>40.98</v>
      </c>
      <c r="S1104" s="112">
        <v>40.98</v>
      </c>
      <c r="T1104" s="112">
        <v>0</v>
      </c>
      <c r="U1104" t="s">
        <v>5281</v>
      </c>
      <c r="V1104" t="s">
        <v>5282</v>
      </c>
      <c r="W1104" t="s">
        <v>4666</v>
      </c>
      <c r="X1104" t="s">
        <v>4667</v>
      </c>
    </row>
    <row r="1105" spans="1:24" x14ac:dyDescent="0.2">
      <c r="A1105" t="s">
        <v>5283</v>
      </c>
      <c r="B1105" t="s">
        <v>1581</v>
      </c>
      <c r="C1105" t="s">
        <v>1582</v>
      </c>
      <c r="D1105" t="s">
        <v>56</v>
      </c>
      <c r="E1105" t="s">
        <v>580</v>
      </c>
      <c r="F1105" t="s">
        <v>84</v>
      </c>
      <c r="G1105" s="202">
        <v>8</v>
      </c>
      <c r="H1105">
        <v>1</v>
      </c>
      <c r="I1105" t="s">
        <v>3954</v>
      </c>
      <c r="J1105" t="s">
        <v>5227</v>
      </c>
      <c r="K1105" t="s">
        <v>1283</v>
      </c>
      <c r="L1105" s="204">
        <v>0.26</v>
      </c>
      <c r="M1105" s="112">
        <v>49.987500000000004</v>
      </c>
      <c r="N1105" s="112">
        <v>12.996750000000002</v>
      </c>
      <c r="O1105" s="204"/>
      <c r="P1105" s="112"/>
      <c r="Q1105" s="112"/>
      <c r="R1105" s="112"/>
      <c r="S1105" s="112"/>
      <c r="T1105" s="112"/>
      <c r="U1105" t="s">
        <v>5284</v>
      </c>
      <c r="V1105" t="s">
        <v>5285</v>
      </c>
      <c r="W1105" t="s">
        <v>3958</v>
      </c>
      <c r="X1105" t="s">
        <v>4660</v>
      </c>
    </row>
    <row r="1106" spans="1:24" x14ac:dyDescent="0.2">
      <c r="A1106" t="s">
        <v>5283</v>
      </c>
      <c r="B1106" t="s">
        <v>1581</v>
      </c>
      <c r="C1106" t="s">
        <v>1582</v>
      </c>
      <c r="D1106" t="s">
        <v>56</v>
      </c>
      <c r="E1106" t="s">
        <v>580</v>
      </c>
      <c r="F1106" t="s">
        <v>84</v>
      </c>
      <c r="G1106" s="202">
        <v>8</v>
      </c>
      <c r="H1106">
        <v>2</v>
      </c>
      <c r="I1106" t="s">
        <v>3960</v>
      </c>
      <c r="J1106" t="s">
        <v>5229</v>
      </c>
      <c r="K1106" t="s">
        <v>1283</v>
      </c>
      <c r="L1106" s="204">
        <v>0.64</v>
      </c>
      <c r="M1106" s="112">
        <v>49.987500000000004</v>
      </c>
      <c r="N1106" s="112">
        <v>31.992000000000004</v>
      </c>
      <c r="O1106" s="204"/>
      <c r="P1106" s="112"/>
      <c r="Q1106" s="112"/>
      <c r="R1106" s="112"/>
      <c r="S1106" s="112"/>
      <c r="T1106" s="112"/>
      <c r="U1106" t="s">
        <v>5284</v>
      </c>
      <c r="V1106" t="s">
        <v>5285</v>
      </c>
      <c r="W1106" t="s">
        <v>3958</v>
      </c>
      <c r="X1106" t="s">
        <v>4660</v>
      </c>
    </row>
    <row r="1107" spans="1:24" x14ac:dyDescent="0.2">
      <c r="A1107" t="s">
        <v>5283</v>
      </c>
      <c r="B1107" t="s">
        <v>1581</v>
      </c>
      <c r="C1107" t="s">
        <v>1582</v>
      </c>
      <c r="D1107" t="s">
        <v>56</v>
      </c>
      <c r="E1107" t="s">
        <v>580</v>
      </c>
      <c r="F1107" t="s">
        <v>84</v>
      </c>
      <c r="G1107" s="202">
        <v>8</v>
      </c>
      <c r="H1107">
        <v>3</v>
      </c>
      <c r="I1107" t="s">
        <v>3976</v>
      </c>
      <c r="J1107" t="s">
        <v>5230</v>
      </c>
      <c r="K1107" t="s">
        <v>1283</v>
      </c>
      <c r="L1107" s="204">
        <v>0.04</v>
      </c>
      <c r="M1107" s="112">
        <v>49.987500000000004</v>
      </c>
      <c r="N1107" s="112">
        <v>1.9995000000000003</v>
      </c>
      <c r="O1107" s="204"/>
      <c r="P1107" s="112"/>
      <c r="Q1107" s="112"/>
      <c r="R1107" s="112"/>
      <c r="S1107" s="112"/>
      <c r="T1107" s="112"/>
      <c r="U1107" t="s">
        <v>5284</v>
      </c>
      <c r="V1107" t="s">
        <v>5285</v>
      </c>
      <c r="W1107" t="s">
        <v>3958</v>
      </c>
      <c r="X1107" t="s">
        <v>4660</v>
      </c>
    </row>
    <row r="1108" spans="1:24" x14ac:dyDescent="0.2">
      <c r="A1108" t="s">
        <v>5283</v>
      </c>
      <c r="B1108" t="s">
        <v>1581</v>
      </c>
      <c r="C1108" t="s">
        <v>1582</v>
      </c>
      <c r="D1108" t="s">
        <v>56</v>
      </c>
      <c r="E1108" t="s">
        <v>580</v>
      </c>
      <c r="F1108" t="s">
        <v>84</v>
      </c>
      <c r="G1108" s="202">
        <v>8</v>
      </c>
      <c r="H1108">
        <v>4</v>
      </c>
      <c r="I1108" t="s">
        <v>4017</v>
      </c>
      <c r="J1108" t="s">
        <v>4851</v>
      </c>
      <c r="K1108" t="s">
        <v>1283</v>
      </c>
      <c r="L1108" s="204">
        <v>0.06</v>
      </c>
      <c r="M1108" s="112">
        <v>49.987500000000004</v>
      </c>
      <c r="N1108" s="112">
        <v>2.99925</v>
      </c>
      <c r="O1108" s="204"/>
      <c r="P1108" s="112"/>
      <c r="Q1108" s="112"/>
      <c r="R1108" s="112"/>
      <c r="S1108" s="112"/>
      <c r="T1108" s="112"/>
      <c r="U1108" t="s">
        <v>5284</v>
      </c>
      <c r="V1108" t="s">
        <v>5285</v>
      </c>
      <c r="W1108" t="s">
        <v>3958</v>
      </c>
      <c r="X1108" t="s">
        <v>4660</v>
      </c>
    </row>
    <row r="1109" spans="1:24" x14ac:dyDescent="0.2">
      <c r="A1109" t="s">
        <v>5283</v>
      </c>
      <c r="B1109" t="s">
        <v>1581</v>
      </c>
      <c r="C1109" t="s">
        <v>1582</v>
      </c>
      <c r="D1109" t="s">
        <v>56</v>
      </c>
      <c r="E1109" t="s">
        <v>580</v>
      </c>
      <c r="F1109" t="s">
        <v>84</v>
      </c>
      <c r="G1109" s="202">
        <v>8</v>
      </c>
      <c r="H1109">
        <v>5</v>
      </c>
      <c r="I1109" t="s">
        <v>3968</v>
      </c>
      <c r="J1109" t="s">
        <v>3969</v>
      </c>
      <c r="K1109" t="s">
        <v>84</v>
      </c>
      <c r="L1109" s="204">
        <v>1</v>
      </c>
      <c r="M1109" s="112"/>
      <c r="N1109" s="112">
        <v>49.987500000000004</v>
      </c>
      <c r="O1109" s="204">
        <v>0.22220555138784692</v>
      </c>
      <c r="P1109" s="112">
        <v>11.107499999999995</v>
      </c>
      <c r="Q1109" s="112">
        <v>61.094999999999999</v>
      </c>
      <c r="R1109" s="112">
        <v>488.76</v>
      </c>
      <c r="S1109" s="112">
        <v>488.76</v>
      </c>
      <c r="T1109" s="112">
        <v>0</v>
      </c>
      <c r="U1109" t="s">
        <v>5284</v>
      </c>
      <c r="V1109" t="s">
        <v>5285</v>
      </c>
      <c r="W1109" t="s">
        <v>4666</v>
      </c>
      <c r="X1109" t="s">
        <v>4667</v>
      </c>
    </row>
    <row r="1110" spans="1:24" x14ac:dyDescent="0.2">
      <c r="A1110" t="s">
        <v>5286</v>
      </c>
      <c r="B1110" t="s">
        <v>1583</v>
      </c>
      <c r="C1110" t="s">
        <v>1584</v>
      </c>
      <c r="D1110" t="s">
        <v>56</v>
      </c>
      <c r="E1110" t="s">
        <v>654</v>
      </c>
      <c r="F1110" t="s">
        <v>84</v>
      </c>
      <c r="G1110" s="202">
        <v>2</v>
      </c>
      <c r="H1110">
        <v>1</v>
      </c>
      <c r="I1110" t="s">
        <v>3954</v>
      </c>
      <c r="J1110" t="s">
        <v>5227</v>
      </c>
      <c r="K1110" t="s">
        <v>1283</v>
      </c>
      <c r="L1110" s="204">
        <v>0.26</v>
      </c>
      <c r="M1110" s="112">
        <v>69.84</v>
      </c>
      <c r="N1110" s="112">
        <v>18.1584</v>
      </c>
      <c r="O1110" s="204"/>
      <c r="P1110" s="112"/>
      <c r="Q1110" s="112"/>
      <c r="R1110" s="112"/>
      <c r="S1110" s="112"/>
      <c r="T1110" s="112"/>
      <c r="U1110" t="s">
        <v>5287</v>
      </c>
      <c r="V1110" t="s">
        <v>5288</v>
      </c>
      <c r="W1110" t="s">
        <v>3958</v>
      </c>
      <c r="X1110" t="s">
        <v>4660</v>
      </c>
    </row>
    <row r="1111" spans="1:24" x14ac:dyDescent="0.2">
      <c r="A1111" t="s">
        <v>5286</v>
      </c>
      <c r="B1111" t="s">
        <v>1583</v>
      </c>
      <c r="C1111" t="s">
        <v>1584</v>
      </c>
      <c r="D1111" t="s">
        <v>56</v>
      </c>
      <c r="E1111" t="s">
        <v>654</v>
      </c>
      <c r="F1111" t="s">
        <v>84</v>
      </c>
      <c r="G1111" s="202">
        <v>2</v>
      </c>
      <c r="H1111">
        <v>2</v>
      </c>
      <c r="I1111" t="s">
        <v>3960</v>
      </c>
      <c r="J1111" t="s">
        <v>5229</v>
      </c>
      <c r="K1111" t="s">
        <v>1283</v>
      </c>
      <c r="L1111" s="204">
        <v>0.64</v>
      </c>
      <c r="M1111" s="112">
        <v>69.84</v>
      </c>
      <c r="N1111" s="112">
        <v>44.697600000000001</v>
      </c>
      <c r="O1111" s="204"/>
      <c r="P1111" s="112"/>
      <c r="Q1111" s="112"/>
      <c r="R1111" s="112"/>
      <c r="S1111" s="112"/>
      <c r="T1111" s="112"/>
      <c r="U1111" t="s">
        <v>5287</v>
      </c>
      <c r="V1111" t="s">
        <v>5288</v>
      </c>
      <c r="W1111" t="s">
        <v>3958</v>
      </c>
      <c r="X1111" t="s">
        <v>4660</v>
      </c>
    </row>
    <row r="1112" spans="1:24" x14ac:dyDescent="0.2">
      <c r="A1112" t="s">
        <v>5286</v>
      </c>
      <c r="B1112" t="s">
        <v>1583</v>
      </c>
      <c r="C1112" t="s">
        <v>1584</v>
      </c>
      <c r="D1112" t="s">
        <v>56</v>
      </c>
      <c r="E1112" t="s">
        <v>654</v>
      </c>
      <c r="F1112" t="s">
        <v>84</v>
      </c>
      <c r="G1112" s="202">
        <v>2</v>
      </c>
      <c r="H1112">
        <v>3</v>
      </c>
      <c r="I1112" t="s">
        <v>3976</v>
      </c>
      <c r="J1112" t="s">
        <v>5230</v>
      </c>
      <c r="K1112" t="s">
        <v>1283</v>
      </c>
      <c r="L1112" s="204">
        <v>0.04</v>
      </c>
      <c r="M1112" s="112">
        <v>69.84</v>
      </c>
      <c r="N1112" s="112">
        <v>2.7936000000000001</v>
      </c>
      <c r="O1112" s="204"/>
      <c r="P1112" s="112"/>
      <c r="Q1112" s="112"/>
      <c r="R1112" s="112"/>
      <c r="S1112" s="112"/>
      <c r="T1112" s="112"/>
      <c r="U1112" t="s">
        <v>5287</v>
      </c>
      <c r="V1112" t="s">
        <v>5288</v>
      </c>
      <c r="W1112" t="s">
        <v>3958</v>
      </c>
      <c r="X1112" t="s">
        <v>4660</v>
      </c>
    </row>
    <row r="1113" spans="1:24" x14ac:dyDescent="0.2">
      <c r="A1113" t="s">
        <v>5286</v>
      </c>
      <c r="B1113" t="s">
        <v>1583</v>
      </c>
      <c r="C1113" t="s">
        <v>1584</v>
      </c>
      <c r="D1113" t="s">
        <v>56</v>
      </c>
      <c r="E1113" t="s">
        <v>654</v>
      </c>
      <c r="F1113" t="s">
        <v>84</v>
      </c>
      <c r="G1113" s="202">
        <v>2</v>
      </c>
      <c r="H1113">
        <v>4</v>
      </c>
      <c r="I1113" t="s">
        <v>4017</v>
      </c>
      <c r="J1113" t="s">
        <v>4851</v>
      </c>
      <c r="K1113" t="s">
        <v>1283</v>
      </c>
      <c r="L1113" s="204">
        <v>0.06</v>
      </c>
      <c r="M1113" s="112">
        <v>69.84</v>
      </c>
      <c r="N1113" s="112">
        <v>4.1904000000000003</v>
      </c>
      <c r="O1113" s="204"/>
      <c r="P1113" s="112"/>
      <c r="Q1113" s="112"/>
      <c r="R1113" s="112"/>
      <c r="S1113" s="112"/>
      <c r="T1113" s="112"/>
      <c r="U1113" t="s">
        <v>5287</v>
      </c>
      <c r="V1113" t="s">
        <v>5288</v>
      </c>
      <c r="W1113" t="s">
        <v>3958</v>
      </c>
      <c r="X1113" t="s">
        <v>4660</v>
      </c>
    </row>
    <row r="1114" spans="1:24" x14ac:dyDescent="0.2">
      <c r="A1114" t="s">
        <v>5286</v>
      </c>
      <c r="B1114" t="s">
        <v>1583</v>
      </c>
      <c r="C1114" t="s">
        <v>1584</v>
      </c>
      <c r="D1114" t="s">
        <v>56</v>
      </c>
      <c r="E1114" t="s">
        <v>654</v>
      </c>
      <c r="F1114" t="s">
        <v>84</v>
      </c>
      <c r="G1114" s="202">
        <v>2</v>
      </c>
      <c r="H1114">
        <v>5</v>
      </c>
      <c r="I1114" t="s">
        <v>3968</v>
      </c>
      <c r="J1114" t="s">
        <v>3969</v>
      </c>
      <c r="K1114" t="s">
        <v>84</v>
      </c>
      <c r="L1114" s="204">
        <v>1</v>
      </c>
      <c r="M1114" s="112"/>
      <c r="N1114" s="112">
        <v>69.84</v>
      </c>
      <c r="O1114" s="204">
        <v>0.22229381443298957</v>
      </c>
      <c r="P1114" s="112">
        <v>15.524999999999991</v>
      </c>
      <c r="Q1114" s="112">
        <v>85.364999999999995</v>
      </c>
      <c r="R1114" s="112">
        <v>170.73</v>
      </c>
      <c r="S1114" s="112">
        <v>170.73</v>
      </c>
      <c r="T1114" s="112">
        <v>0</v>
      </c>
      <c r="U1114" t="s">
        <v>5287</v>
      </c>
      <c r="V1114" t="s">
        <v>5288</v>
      </c>
      <c r="W1114" t="s">
        <v>4666</v>
      </c>
      <c r="X1114" t="s">
        <v>4667</v>
      </c>
    </row>
    <row r="1115" spans="1:24" x14ac:dyDescent="0.2">
      <c r="A1115" t="s">
        <v>5289</v>
      </c>
      <c r="B1115" t="s">
        <v>1585</v>
      </c>
      <c r="C1115" t="s">
        <v>1586</v>
      </c>
      <c r="D1115" t="s">
        <v>56</v>
      </c>
      <c r="E1115" t="s">
        <v>582</v>
      </c>
      <c r="F1115" t="s">
        <v>84</v>
      </c>
      <c r="G1115" s="202">
        <v>1</v>
      </c>
      <c r="H1115">
        <v>1</v>
      </c>
      <c r="I1115" t="s">
        <v>3954</v>
      </c>
      <c r="J1115" t="s">
        <v>5227</v>
      </c>
      <c r="K1115" t="s">
        <v>1283</v>
      </c>
      <c r="L1115" s="204">
        <v>0.26</v>
      </c>
      <c r="M1115" s="112">
        <v>17.085000000000001</v>
      </c>
      <c r="N1115" s="112">
        <v>4.4420999999999999</v>
      </c>
      <c r="O1115" s="204"/>
      <c r="P1115" s="112"/>
      <c r="Q1115" s="112"/>
      <c r="R1115" s="112"/>
      <c r="S1115" s="112"/>
      <c r="T1115" s="112"/>
      <c r="U1115" t="s">
        <v>5290</v>
      </c>
      <c r="V1115" t="s">
        <v>5291</v>
      </c>
      <c r="W1115" t="s">
        <v>3958</v>
      </c>
      <c r="X1115" t="s">
        <v>4660</v>
      </c>
    </row>
    <row r="1116" spans="1:24" x14ac:dyDescent="0.2">
      <c r="A1116" t="s">
        <v>5289</v>
      </c>
      <c r="B1116" t="s">
        <v>1585</v>
      </c>
      <c r="C1116" t="s">
        <v>1586</v>
      </c>
      <c r="D1116" t="s">
        <v>56</v>
      </c>
      <c r="E1116" t="s">
        <v>582</v>
      </c>
      <c r="F1116" t="s">
        <v>84</v>
      </c>
      <c r="G1116" s="202">
        <v>1</v>
      </c>
      <c r="H1116">
        <v>2</v>
      </c>
      <c r="I1116" t="s">
        <v>3960</v>
      </c>
      <c r="J1116" t="s">
        <v>5229</v>
      </c>
      <c r="K1116" t="s">
        <v>1283</v>
      </c>
      <c r="L1116" s="204">
        <v>0.64</v>
      </c>
      <c r="M1116" s="112">
        <v>17.085000000000001</v>
      </c>
      <c r="N1116" s="112">
        <v>10.9344</v>
      </c>
      <c r="O1116" s="204"/>
      <c r="P1116" s="112"/>
      <c r="Q1116" s="112"/>
      <c r="R1116" s="112"/>
      <c r="S1116" s="112"/>
      <c r="T1116" s="112"/>
      <c r="U1116" t="s">
        <v>5290</v>
      </c>
      <c r="V1116" t="s">
        <v>5291</v>
      </c>
      <c r="W1116" t="s">
        <v>3958</v>
      </c>
      <c r="X1116" t="s">
        <v>4660</v>
      </c>
    </row>
    <row r="1117" spans="1:24" x14ac:dyDescent="0.2">
      <c r="A1117" t="s">
        <v>5289</v>
      </c>
      <c r="B1117" t="s">
        <v>1585</v>
      </c>
      <c r="C1117" t="s">
        <v>1586</v>
      </c>
      <c r="D1117" t="s">
        <v>56</v>
      </c>
      <c r="E1117" t="s">
        <v>582</v>
      </c>
      <c r="F1117" t="s">
        <v>84</v>
      </c>
      <c r="G1117" s="202">
        <v>1</v>
      </c>
      <c r="H1117">
        <v>3</v>
      </c>
      <c r="I1117" t="s">
        <v>3976</v>
      </c>
      <c r="J1117" t="s">
        <v>5230</v>
      </c>
      <c r="K1117" t="s">
        <v>1283</v>
      </c>
      <c r="L1117" s="204">
        <v>0.04</v>
      </c>
      <c r="M1117" s="112">
        <v>17.085000000000001</v>
      </c>
      <c r="N1117" s="112">
        <v>0.68340000000000001</v>
      </c>
      <c r="O1117" s="204"/>
      <c r="P1117" s="112"/>
      <c r="Q1117" s="112"/>
      <c r="R1117" s="112"/>
      <c r="S1117" s="112"/>
      <c r="T1117" s="112"/>
      <c r="U1117" t="s">
        <v>5290</v>
      </c>
      <c r="V1117" t="s">
        <v>5291</v>
      </c>
      <c r="W1117" t="s">
        <v>3958</v>
      </c>
      <c r="X1117" t="s">
        <v>4660</v>
      </c>
    </row>
    <row r="1118" spans="1:24" x14ac:dyDescent="0.2">
      <c r="A1118" t="s">
        <v>5289</v>
      </c>
      <c r="B1118" t="s">
        <v>1585</v>
      </c>
      <c r="C1118" t="s">
        <v>1586</v>
      </c>
      <c r="D1118" t="s">
        <v>56</v>
      </c>
      <c r="E1118" t="s">
        <v>582</v>
      </c>
      <c r="F1118" t="s">
        <v>84</v>
      </c>
      <c r="G1118" s="202">
        <v>1</v>
      </c>
      <c r="H1118">
        <v>4</v>
      </c>
      <c r="I1118" t="s">
        <v>4017</v>
      </c>
      <c r="J1118" t="s">
        <v>4851</v>
      </c>
      <c r="K1118" t="s">
        <v>1283</v>
      </c>
      <c r="L1118" s="204">
        <v>0.06</v>
      </c>
      <c r="M1118" s="112">
        <v>17.085000000000001</v>
      </c>
      <c r="N1118" s="112">
        <v>1.0251000000000001</v>
      </c>
      <c r="O1118" s="204"/>
      <c r="P1118" s="112"/>
      <c r="Q1118" s="112"/>
      <c r="R1118" s="112"/>
      <c r="S1118" s="112"/>
      <c r="T1118" s="112"/>
      <c r="U1118" t="s">
        <v>5290</v>
      </c>
      <c r="V1118" t="s">
        <v>5291</v>
      </c>
      <c r="W1118" t="s">
        <v>3958</v>
      </c>
      <c r="X1118" t="s">
        <v>4660</v>
      </c>
    </row>
    <row r="1119" spans="1:24" x14ac:dyDescent="0.2">
      <c r="A1119" t="s">
        <v>5289</v>
      </c>
      <c r="B1119" t="s">
        <v>1585</v>
      </c>
      <c r="C1119" t="s">
        <v>1586</v>
      </c>
      <c r="D1119" t="s">
        <v>56</v>
      </c>
      <c r="E1119" t="s">
        <v>582</v>
      </c>
      <c r="F1119" t="s">
        <v>84</v>
      </c>
      <c r="G1119" s="202">
        <v>1</v>
      </c>
      <c r="H1119">
        <v>5</v>
      </c>
      <c r="I1119" t="s">
        <v>3968</v>
      </c>
      <c r="J1119" t="s">
        <v>3969</v>
      </c>
      <c r="K1119" t="s">
        <v>84</v>
      </c>
      <c r="L1119" s="204">
        <v>1</v>
      </c>
      <c r="M1119" s="112"/>
      <c r="N1119" s="112">
        <v>17.085000000000001</v>
      </c>
      <c r="O1119" s="204">
        <v>0.2221246707638278</v>
      </c>
      <c r="P1119" s="112">
        <v>3.7949999999999982</v>
      </c>
      <c r="Q1119" s="112">
        <v>20.88</v>
      </c>
      <c r="R1119" s="112">
        <v>20.88</v>
      </c>
      <c r="S1119" s="112">
        <v>20.88</v>
      </c>
      <c r="T1119" s="112">
        <v>0</v>
      </c>
      <c r="U1119" t="s">
        <v>5290</v>
      </c>
      <c r="V1119" t="s">
        <v>5291</v>
      </c>
      <c r="W1119" t="s">
        <v>4666</v>
      </c>
      <c r="X1119" t="s">
        <v>4667</v>
      </c>
    </row>
    <row r="1120" spans="1:24" x14ac:dyDescent="0.2">
      <c r="A1120" t="s">
        <v>5292</v>
      </c>
      <c r="B1120" t="s">
        <v>1587</v>
      </c>
      <c r="C1120" t="s">
        <v>1588</v>
      </c>
      <c r="D1120" t="s">
        <v>56</v>
      </c>
      <c r="E1120" t="s">
        <v>583</v>
      </c>
      <c r="F1120" t="s">
        <v>84</v>
      </c>
      <c r="G1120" s="202">
        <v>3</v>
      </c>
      <c r="H1120">
        <v>1</v>
      </c>
      <c r="I1120" t="s">
        <v>3954</v>
      </c>
      <c r="J1120" t="s">
        <v>5227</v>
      </c>
      <c r="K1120" t="s">
        <v>1283</v>
      </c>
      <c r="L1120" s="204">
        <v>0.26</v>
      </c>
      <c r="M1120" s="112">
        <v>4.7324999999999999</v>
      </c>
      <c r="N1120" s="112">
        <v>1.23045</v>
      </c>
      <c r="O1120" s="204"/>
      <c r="P1120" s="112"/>
      <c r="Q1120" s="112"/>
      <c r="R1120" s="112"/>
      <c r="S1120" s="112"/>
      <c r="T1120" s="112"/>
      <c r="U1120" t="s">
        <v>5293</v>
      </c>
      <c r="V1120" t="s">
        <v>5294</v>
      </c>
      <c r="W1120" t="s">
        <v>3958</v>
      </c>
      <c r="X1120" t="s">
        <v>4660</v>
      </c>
    </row>
    <row r="1121" spans="1:24" x14ac:dyDescent="0.2">
      <c r="A1121" t="s">
        <v>5292</v>
      </c>
      <c r="B1121" t="s">
        <v>1587</v>
      </c>
      <c r="C1121" t="s">
        <v>1588</v>
      </c>
      <c r="D1121" t="s">
        <v>56</v>
      </c>
      <c r="E1121" t="s">
        <v>583</v>
      </c>
      <c r="F1121" t="s">
        <v>84</v>
      </c>
      <c r="G1121" s="202">
        <v>3</v>
      </c>
      <c r="H1121">
        <v>2</v>
      </c>
      <c r="I1121" t="s">
        <v>3960</v>
      </c>
      <c r="J1121" t="s">
        <v>5229</v>
      </c>
      <c r="K1121" t="s">
        <v>1283</v>
      </c>
      <c r="L1121" s="204">
        <v>0.64</v>
      </c>
      <c r="M1121" s="112">
        <v>4.7324999999999999</v>
      </c>
      <c r="N1121" s="112">
        <v>3.0287999999999999</v>
      </c>
      <c r="O1121" s="204"/>
      <c r="P1121" s="112"/>
      <c r="Q1121" s="112"/>
      <c r="R1121" s="112"/>
      <c r="S1121" s="112"/>
      <c r="T1121" s="112"/>
      <c r="U1121" t="s">
        <v>5293</v>
      </c>
      <c r="V1121" t="s">
        <v>5294</v>
      </c>
      <c r="W1121" t="s">
        <v>3958</v>
      </c>
      <c r="X1121" t="s">
        <v>4660</v>
      </c>
    </row>
    <row r="1122" spans="1:24" x14ac:dyDescent="0.2">
      <c r="A1122" t="s">
        <v>5292</v>
      </c>
      <c r="B1122" t="s">
        <v>1587</v>
      </c>
      <c r="C1122" t="s">
        <v>1588</v>
      </c>
      <c r="D1122" t="s">
        <v>56</v>
      </c>
      <c r="E1122" t="s">
        <v>583</v>
      </c>
      <c r="F1122" t="s">
        <v>84</v>
      </c>
      <c r="G1122" s="202">
        <v>3</v>
      </c>
      <c r="H1122">
        <v>3</v>
      </c>
      <c r="I1122" t="s">
        <v>3976</v>
      </c>
      <c r="J1122" t="s">
        <v>5230</v>
      </c>
      <c r="K1122" t="s">
        <v>1283</v>
      </c>
      <c r="L1122" s="204">
        <v>0.04</v>
      </c>
      <c r="M1122" s="112">
        <v>4.7324999999999999</v>
      </c>
      <c r="N1122" s="112">
        <v>0.1893</v>
      </c>
      <c r="O1122" s="204"/>
      <c r="P1122" s="112"/>
      <c r="Q1122" s="112"/>
      <c r="R1122" s="112"/>
      <c r="S1122" s="112"/>
      <c r="T1122" s="112"/>
      <c r="U1122" t="s">
        <v>5293</v>
      </c>
      <c r="V1122" t="s">
        <v>5294</v>
      </c>
      <c r="W1122" t="s">
        <v>3958</v>
      </c>
      <c r="X1122" t="s">
        <v>4660</v>
      </c>
    </row>
    <row r="1123" spans="1:24" x14ac:dyDescent="0.2">
      <c r="A1123" t="s">
        <v>5292</v>
      </c>
      <c r="B1123" t="s">
        <v>1587</v>
      </c>
      <c r="C1123" t="s">
        <v>1588</v>
      </c>
      <c r="D1123" t="s">
        <v>56</v>
      </c>
      <c r="E1123" t="s">
        <v>583</v>
      </c>
      <c r="F1123" t="s">
        <v>84</v>
      </c>
      <c r="G1123" s="202">
        <v>3</v>
      </c>
      <c r="H1123">
        <v>4</v>
      </c>
      <c r="I1123" t="s">
        <v>4017</v>
      </c>
      <c r="J1123" t="s">
        <v>4851</v>
      </c>
      <c r="K1123" t="s">
        <v>1283</v>
      </c>
      <c r="L1123" s="204">
        <v>0.06</v>
      </c>
      <c r="M1123" s="112">
        <v>4.7324999999999999</v>
      </c>
      <c r="N1123" s="112">
        <v>0.28394999999999998</v>
      </c>
      <c r="O1123" s="204"/>
      <c r="P1123" s="112"/>
      <c r="Q1123" s="112"/>
      <c r="R1123" s="112"/>
      <c r="S1123" s="112"/>
      <c r="T1123" s="112"/>
      <c r="U1123" t="s">
        <v>5293</v>
      </c>
      <c r="V1123" t="s">
        <v>5294</v>
      </c>
      <c r="W1123" t="s">
        <v>3958</v>
      </c>
      <c r="X1123" t="s">
        <v>4660</v>
      </c>
    </row>
    <row r="1124" spans="1:24" x14ac:dyDescent="0.2">
      <c r="A1124" t="s">
        <v>5292</v>
      </c>
      <c r="B1124" t="s">
        <v>1587</v>
      </c>
      <c r="C1124" t="s">
        <v>1588</v>
      </c>
      <c r="D1124" t="s">
        <v>56</v>
      </c>
      <c r="E1124" t="s">
        <v>583</v>
      </c>
      <c r="F1124" t="s">
        <v>84</v>
      </c>
      <c r="G1124" s="202">
        <v>3</v>
      </c>
      <c r="H1124">
        <v>5</v>
      </c>
      <c r="I1124" t="s">
        <v>3968</v>
      </c>
      <c r="J1124" t="s">
        <v>3969</v>
      </c>
      <c r="K1124" t="s">
        <v>84</v>
      </c>
      <c r="L1124" s="204">
        <v>1</v>
      </c>
      <c r="M1124" s="112"/>
      <c r="N1124" s="112">
        <v>4.7324999999999999</v>
      </c>
      <c r="O1124" s="204">
        <v>0.22134178552562078</v>
      </c>
      <c r="P1124" s="112">
        <v>1.0475000000000003</v>
      </c>
      <c r="Q1124" s="112">
        <v>5.78</v>
      </c>
      <c r="R1124" s="112">
        <v>17.34</v>
      </c>
      <c r="S1124" s="112">
        <v>17.34</v>
      </c>
      <c r="T1124" s="112">
        <v>0</v>
      </c>
      <c r="U1124" t="s">
        <v>5293</v>
      </c>
      <c r="V1124" t="s">
        <v>5294</v>
      </c>
      <c r="W1124" t="s">
        <v>4666</v>
      </c>
      <c r="X1124" t="s">
        <v>4667</v>
      </c>
    </row>
    <row r="1125" spans="1:24" x14ac:dyDescent="0.2">
      <c r="A1125" t="s">
        <v>5295</v>
      </c>
      <c r="B1125" t="s">
        <v>1589</v>
      </c>
      <c r="C1125" t="s">
        <v>1590</v>
      </c>
      <c r="D1125" t="s">
        <v>56</v>
      </c>
      <c r="E1125" t="s">
        <v>584</v>
      </c>
      <c r="F1125" t="s">
        <v>84</v>
      </c>
      <c r="G1125" s="202">
        <v>1</v>
      </c>
      <c r="H1125">
        <v>1</v>
      </c>
      <c r="I1125" t="s">
        <v>3954</v>
      </c>
      <c r="J1125" t="s">
        <v>5227</v>
      </c>
      <c r="K1125" t="s">
        <v>1283</v>
      </c>
      <c r="L1125" s="204">
        <v>0.26</v>
      </c>
      <c r="M1125" s="112">
        <v>5.9850000000000003</v>
      </c>
      <c r="N1125" s="112">
        <v>1.5561</v>
      </c>
      <c r="O1125" s="204"/>
      <c r="P1125" s="112"/>
      <c r="Q1125" s="112"/>
      <c r="R1125" s="112"/>
      <c r="S1125" s="112"/>
      <c r="T1125" s="112"/>
      <c r="U1125" t="s">
        <v>5296</v>
      </c>
      <c r="V1125" t="s">
        <v>5297</v>
      </c>
      <c r="W1125" t="s">
        <v>3958</v>
      </c>
      <c r="X1125" t="s">
        <v>4660</v>
      </c>
    </row>
    <row r="1126" spans="1:24" x14ac:dyDescent="0.2">
      <c r="A1126" t="s">
        <v>5295</v>
      </c>
      <c r="B1126" t="s">
        <v>1589</v>
      </c>
      <c r="C1126" t="s">
        <v>1590</v>
      </c>
      <c r="D1126" t="s">
        <v>56</v>
      </c>
      <c r="E1126" t="s">
        <v>584</v>
      </c>
      <c r="F1126" t="s">
        <v>84</v>
      </c>
      <c r="G1126" s="202">
        <v>1</v>
      </c>
      <c r="H1126">
        <v>2</v>
      </c>
      <c r="I1126" t="s">
        <v>3960</v>
      </c>
      <c r="J1126" t="s">
        <v>5229</v>
      </c>
      <c r="K1126" t="s">
        <v>1283</v>
      </c>
      <c r="L1126" s="204">
        <v>0.64</v>
      </c>
      <c r="M1126" s="112">
        <v>5.9850000000000003</v>
      </c>
      <c r="N1126" s="112">
        <v>3.8304000000000005</v>
      </c>
      <c r="O1126" s="204"/>
      <c r="P1126" s="112"/>
      <c r="Q1126" s="112"/>
      <c r="R1126" s="112"/>
      <c r="S1126" s="112"/>
      <c r="T1126" s="112"/>
      <c r="U1126" t="s">
        <v>5296</v>
      </c>
      <c r="V1126" t="s">
        <v>5297</v>
      </c>
      <c r="W1126" t="s">
        <v>3958</v>
      </c>
      <c r="X1126" t="s">
        <v>4660</v>
      </c>
    </row>
    <row r="1127" spans="1:24" x14ac:dyDescent="0.2">
      <c r="A1127" t="s">
        <v>5295</v>
      </c>
      <c r="B1127" t="s">
        <v>1589</v>
      </c>
      <c r="C1127" t="s">
        <v>1590</v>
      </c>
      <c r="D1127" t="s">
        <v>56</v>
      </c>
      <c r="E1127" t="s">
        <v>584</v>
      </c>
      <c r="F1127" t="s">
        <v>84</v>
      </c>
      <c r="G1127" s="202">
        <v>1</v>
      </c>
      <c r="H1127">
        <v>3</v>
      </c>
      <c r="I1127" t="s">
        <v>3976</v>
      </c>
      <c r="J1127" t="s">
        <v>5230</v>
      </c>
      <c r="K1127" t="s">
        <v>1283</v>
      </c>
      <c r="L1127" s="204">
        <v>0.04</v>
      </c>
      <c r="M1127" s="112">
        <v>5.9850000000000003</v>
      </c>
      <c r="N1127" s="112">
        <v>0.23940000000000003</v>
      </c>
      <c r="O1127" s="204"/>
      <c r="P1127" s="112"/>
      <c r="Q1127" s="112"/>
      <c r="R1127" s="112"/>
      <c r="S1127" s="112"/>
      <c r="T1127" s="112"/>
      <c r="U1127" t="s">
        <v>5296</v>
      </c>
      <c r="V1127" t="s">
        <v>5297</v>
      </c>
      <c r="W1127" t="s">
        <v>3958</v>
      </c>
      <c r="X1127" t="s">
        <v>4660</v>
      </c>
    </row>
    <row r="1128" spans="1:24" x14ac:dyDescent="0.2">
      <c r="A1128" t="s">
        <v>5295</v>
      </c>
      <c r="B1128" t="s">
        <v>1589</v>
      </c>
      <c r="C1128" t="s">
        <v>1590</v>
      </c>
      <c r="D1128" t="s">
        <v>56</v>
      </c>
      <c r="E1128" t="s">
        <v>584</v>
      </c>
      <c r="F1128" t="s">
        <v>84</v>
      </c>
      <c r="G1128" s="202">
        <v>1</v>
      </c>
      <c r="H1128">
        <v>4</v>
      </c>
      <c r="I1128" t="s">
        <v>4017</v>
      </c>
      <c r="J1128" t="s">
        <v>4851</v>
      </c>
      <c r="K1128" t="s">
        <v>1283</v>
      </c>
      <c r="L1128" s="204">
        <v>0.06</v>
      </c>
      <c r="M1128" s="112">
        <v>5.9850000000000003</v>
      </c>
      <c r="N1128" s="112">
        <v>0.35910000000000003</v>
      </c>
      <c r="O1128" s="204"/>
      <c r="P1128" s="112"/>
      <c r="Q1128" s="112"/>
      <c r="R1128" s="112"/>
      <c r="S1128" s="112"/>
      <c r="T1128" s="112"/>
      <c r="U1128" t="s">
        <v>5296</v>
      </c>
      <c r="V1128" t="s">
        <v>5297</v>
      </c>
      <c r="W1128" t="s">
        <v>3958</v>
      </c>
      <c r="X1128" t="s">
        <v>4660</v>
      </c>
    </row>
    <row r="1129" spans="1:24" x14ac:dyDescent="0.2">
      <c r="A1129" t="s">
        <v>5295</v>
      </c>
      <c r="B1129" t="s">
        <v>1589</v>
      </c>
      <c r="C1129" t="s">
        <v>1590</v>
      </c>
      <c r="D1129" t="s">
        <v>56</v>
      </c>
      <c r="E1129" t="s">
        <v>584</v>
      </c>
      <c r="F1129" t="s">
        <v>84</v>
      </c>
      <c r="G1129" s="202">
        <v>1</v>
      </c>
      <c r="H1129">
        <v>5</v>
      </c>
      <c r="I1129" t="s">
        <v>3968</v>
      </c>
      <c r="J1129" t="s">
        <v>3969</v>
      </c>
      <c r="K1129" t="s">
        <v>84</v>
      </c>
      <c r="L1129" s="204">
        <v>1</v>
      </c>
      <c r="M1129" s="112"/>
      <c r="N1129" s="112">
        <v>5.9850000000000003</v>
      </c>
      <c r="O1129" s="204">
        <v>0.22138680033416858</v>
      </c>
      <c r="P1129" s="112">
        <v>1.3249999999999993</v>
      </c>
      <c r="Q1129" s="112">
        <v>7.31</v>
      </c>
      <c r="R1129" s="112">
        <v>7.31</v>
      </c>
      <c r="S1129" s="112">
        <v>7.31</v>
      </c>
      <c r="T1129" s="112">
        <v>0</v>
      </c>
      <c r="U1129" t="s">
        <v>5296</v>
      </c>
      <c r="V1129" t="s">
        <v>5297</v>
      </c>
      <c r="W1129" t="s">
        <v>4666</v>
      </c>
      <c r="X1129" t="s">
        <v>4667</v>
      </c>
    </row>
    <row r="1130" spans="1:24" x14ac:dyDescent="0.2">
      <c r="A1130" t="s">
        <v>5298</v>
      </c>
      <c r="B1130" t="s">
        <v>1591</v>
      </c>
      <c r="C1130" t="s">
        <v>1592</v>
      </c>
      <c r="D1130" t="s">
        <v>56</v>
      </c>
      <c r="E1130" t="s">
        <v>1593</v>
      </c>
      <c r="F1130" t="s">
        <v>84</v>
      </c>
      <c r="G1130" s="202">
        <v>2</v>
      </c>
      <c r="H1130">
        <v>1</v>
      </c>
      <c r="I1130" t="s">
        <v>3954</v>
      </c>
      <c r="J1130" t="s">
        <v>5227</v>
      </c>
      <c r="K1130" t="s">
        <v>1283</v>
      </c>
      <c r="L1130" s="204">
        <v>0.26</v>
      </c>
      <c r="M1130" s="112">
        <v>12.315000000000001</v>
      </c>
      <c r="N1130" s="112">
        <v>3.2019000000000006</v>
      </c>
      <c r="O1130" s="204"/>
      <c r="P1130" s="112"/>
      <c r="Q1130" s="112"/>
      <c r="R1130" s="112"/>
      <c r="S1130" s="112"/>
      <c r="T1130" s="112"/>
      <c r="U1130" t="s">
        <v>5299</v>
      </c>
      <c r="V1130" t="s">
        <v>5300</v>
      </c>
      <c r="W1130" t="s">
        <v>3958</v>
      </c>
      <c r="X1130" t="s">
        <v>4660</v>
      </c>
    </row>
    <row r="1131" spans="1:24" x14ac:dyDescent="0.2">
      <c r="A1131" t="s">
        <v>5298</v>
      </c>
      <c r="B1131" t="s">
        <v>1591</v>
      </c>
      <c r="C1131" t="s">
        <v>1592</v>
      </c>
      <c r="D1131" t="s">
        <v>56</v>
      </c>
      <c r="E1131" t="s">
        <v>1593</v>
      </c>
      <c r="F1131" t="s">
        <v>84</v>
      </c>
      <c r="G1131" s="202">
        <v>2</v>
      </c>
      <c r="H1131">
        <v>2</v>
      </c>
      <c r="I1131" t="s">
        <v>3960</v>
      </c>
      <c r="J1131" t="s">
        <v>5229</v>
      </c>
      <c r="K1131" t="s">
        <v>1283</v>
      </c>
      <c r="L1131" s="204">
        <v>0.64</v>
      </c>
      <c r="M1131" s="112">
        <v>12.315000000000001</v>
      </c>
      <c r="N1131" s="112">
        <v>7.8816000000000006</v>
      </c>
      <c r="O1131" s="204"/>
      <c r="P1131" s="112"/>
      <c r="Q1131" s="112"/>
      <c r="R1131" s="112"/>
      <c r="S1131" s="112"/>
      <c r="T1131" s="112"/>
      <c r="U1131" t="s">
        <v>5299</v>
      </c>
      <c r="V1131" t="s">
        <v>5300</v>
      </c>
      <c r="W1131" t="s">
        <v>3958</v>
      </c>
      <c r="X1131" t="s">
        <v>4660</v>
      </c>
    </row>
    <row r="1132" spans="1:24" x14ac:dyDescent="0.2">
      <c r="A1132" t="s">
        <v>5298</v>
      </c>
      <c r="B1132" t="s">
        <v>1591</v>
      </c>
      <c r="C1132" t="s">
        <v>1592</v>
      </c>
      <c r="D1132" t="s">
        <v>56</v>
      </c>
      <c r="E1132" t="s">
        <v>1593</v>
      </c>
      <c r="F1132" t="s">
        <v>84</v>
      </c>
      <c r="G1132" s="202">
        <v>2</v>
      </c>
      <c r="H1132">
        <v>3</v>
      </c>
      <c r="I1132" t="s">
        <v>3976</v>
      </c>
      <c r="J1132" t="s">
        <v>5230</v>
      </c>
      <c r="K1132" t="s">
        <v>1283</v>
      </c>
      <c r="L1132" s="204">
        <v>0.04</v>
      </c>
      <c r="M1132" s="112">
        <v>12.315000000000001</v>
      </c>
      <c r="N1132" s="112">
        <v>0.49260000000000004</v>
      </c>
      <c r="O1132" s="204"/>
      <c r="P1132" s="112"/>
      <c r="Q1132" s="112"/>
      <c r="R1132" s="112"/>
      <c r="S1132" s="112"/>
      <c r="T1132" s="112"/>
      <c r="U1132" t="s">
        <v>5299</v>
      </c>
      <c r="V1132" t="s">
        <v>5300</v>
      </c>
      <c r="W1132" t="s">
        <v>3958</v>
      </c>
      <c r="X1132" t="s">
        <v>4660</v>
      </c>
    </row>
    <row r="1133" spans="1:24" x14ac:dyDescent="0.2">
      <c r="A1133" t="s">
        <v>5298</v>
      </c>
      <c r="B1133" t="s">
        <v>1591</v>
      </c>
      <c r="C1133" t="s">
        <v>1592</v>
      </c>
      <c r="D1133" t="s">
        <v>56</v>
      </c>
      <c r="E1133" t="s">
        <v>1593</v>
      </c>
      <c r="F1133" t="s">
        <v>84</v>
      </c>
      <c r="G1133" s="202">
        <v>2</v>
      </c>
      <c r="H1133">
        <v>4</v>
      </c>
      <c r="I1133" t="s">
        <v>4017</v>
      </c>
      <c r="J1133" t="s">
        <v>4851</v>
      </c>
      <c r="K1133" t="s">
        <v>1283</v>
      </c>
      <c r="L1133" s="204">
        <v>0.06</v>
      </c>
      <c r="M1133" s="112">
        <v>12.315000000000001</v>
      </c>
      <c r="N1133" s="112">
        <v>0.7389</v>
      </c>
      <c r="O1133" s="204"/>
      <c r="P1133" s="112"/>
      <c r="Q1133" s="112"/>
      <c r="R1133" s="112"/>
      <c r="S1133" s="112"/>
      <c r="T1133" s="112"/>
      <c r="U1133" t="s">
        <v>5299</v>
      </c>
      <c r="V1133" t="s">
        <v>5300</v>
      </c>
      <c r="W1133" t="s">
        <v>3958</v>
      </c>
      <c r="X1133" t="s">
        <v>4660</v>
      </c>
    </row>
    <row r="1134" spans="1:24" x14ac:dyDescent="0.2">
      <c r="A1134" t="s">
        <v>5298</v>
      </c>
      <c r="B1134" t="s">
        <v>1591</v>
      </c>
      <c r="C1134" t="s">
        <v>1592</v>
      </c>
      <c r="D1134" t="s">
        <v>56</v>
      </c>
      <c r="E1134" t="s">
        <v>1593</v>
      </c>
      <c r="F1134" t="s">
        <v>84</v>
      </c>
      <c r="G1134" s="202">
        <v>2</v>
      </c>
      <c r="H1134">
        <v>5</v>
      </c>
      <c r="I1134" t="s">
        <v>3968</v>
      </c>
      <c r="J1134" t="s">
        <v>3969</v>
      </c>
      <c r="K1134" t="s">
        <v>84</v>
      </c>
      <c r="L1134" s="204">
        <v>1</v>
      </c>
      <c r="M1134" s="112"/>
      <c r="N1134" s="112">
        <v>12.315000000000001</v>
      </c>
      <c r="O1134" s="204">
        <v>0.22208688591148995</v>
      </c>
      <c r="P1134" s="112">
        <v>2.7349999999999994</v>
      </c>
      <c r="Q1134" s="112">
        <v>15.05</v>
      </c>
      <c r="R1134" s="112">
        <v>30.1</v>
      </c>
      <c r="S1134" s="112">
        <v>30.1</v>
      </c>
      <c r="T1134" s="112">
        <v>0</v>
      </c>
      <c r="U1134" t="s">
        <v>5299</v>
      </c>
      <c r="V1134" t="s">
        <v>5300</v>
      </c>
      <c r="W1134" t="s">
        <v>4666</v>
      </c>
      <c r="X1134" t="s">
        <v>4667</v>
      </c>
    </row>
    <row r="1135" spans="1:24" x14ac:dyDescent="0.2">
      <c r="A1135" t="s">
        <v>5301</v>
      </c>
      <c r="B1135" t="s">
        <v>1594</v>
      </c>
      <c r="C1135" t="s">
        <v>1595</v>
      </c>
      <c r="D1135" t="s">
        <v>56</v>
      </c>
      <c r="E1135" t="s">
        <v>586</v>
      </c>
      <c r="F1135" t="s">
        <v>84</v>
      </c>
      <c r="G1135" s="202">
        <v>1</v>
      </c>
      <c r="H1135">
        <v>1</v>
      </c>
      <c r="I1135" t="s">
        <v>3954</v>
      </c>
      <c r="J1135" t="s">
        <v>5227</v>
      </c>
      <c r="K1135" t="s">
        <v>1283</v>
      </c>
      <c r="L1135" s="204">
        <v>0.26</v>
      </c>
      <c r="M1135" s="112">
        <v>14.1675</v>
      </c>
      <c r="N1135" s="112">
        <v>3.6835500000000003</v>
      </c>
      <c r="O1135" s="204"/>
      <c r="P1135" s="112"/>
      <c r="Q1135" s="112"/>
      <c r="R1135" s="112"/>
      <c r="S1135" s="112"/>
      <c r="T1135" s="112"/>
      <c r="U1135" t="s">
        <v>5302</v>
      </c>
      <c r="V1135" t="s">
        <v>5303</v>
      </c>
      <c r="W1135" t="s">
        <v>3958</v>
      </c>
      <c r="X1135" t="s">
        <v>4660</v>
      </c>
    </row>
    <row r="1136" spans="1:24" x14ac:dyDescent="0.2">
      <c r="A1136" t="s">
        <v>5301</v>
      </c>
      <c r="B1136" t="s">
        <v>1594</v>
      </c>
      <c r="C1136" t="s">
        <v>1595</v>
      </c>
      <c r="D1136" t="s">
        <v>56</v>
      </c>
      <c r="E1136" t="s">
        <v>586</v>
      </c>
      <c r="F1136" t="s">
        <v>84</v>
      </c>
      <c r="G1136" s="202">
        <v>1</v>
      </c>
      <c r="H1136">
        <v>2</v>
      </c>
      <c r="I1136" t="s">
        <v>3960</v>
      </c>
      <c r="J1136" t="s">
        <v>5229</v>
      </c>
      <c r="K1136" t="s">
        <v>1283</v>
      </c>
      <c r="L1136" s="204">
        <v>0.64</v>
      </c>
      <c r="M1136" s="112">
        <v>14.1675</v>
      </c>
      <c r="N1136" s="112">
        <v>9.0671999999999997</v>
      </c>
      <c r="O1136" s="204"/>
      <c r="P1136" s="112"/>
      <c r="Q1136" s="112"/>
      <c r="R1136" s="112"/>
      <c r="S1136" s="112"/>
      <c r="T1136" s="112"/>
      <c r="U1136" t="s">
        <v>5302</v>
      </c>
      <c r="V1136" t="s">
        <v>5303</v>
      </c>
      <c r="W1136" t="s">
        <v>3958</v>
      </c>
      <c r="X1136" t="s">
        <v>4660</v>
      </c>
    </row>
    <row r="1137" spans="1:24" x14ac:dyDescent="0.2">
      <c r="A1137" t="s">
        <v>5301</v>
      </c>
      <c r="B1137" t="s">
        <v>1594</v>
      </c>
      <c r="C1137" t="s">
        <v>1595</v>
      </c>
      <c r="D1137" t="s">
        <v>56</v>
      </c>
      <c r="E1137" t="s">
        <v>586</v>
      </c>
      <c r="F1137" t="s">
        <v>84</v>
      </c>
      <c r="G1137" s="202">
        <v>1</v>
      </c>
      <c r="H1137">
        <v>3</v>
      </c>
      <c r="I1137" t="s">
        <v>3976</v>
      </c>
      <c r="J1137" t="s">
        <v>5230</v>
      </c>
      <c r="K1137" t="s">
        <v>1283</v>
      </c>
      <c r="L1137" s="204">
        <v>0.04</v>
      </c>
      <c r="M1137" s="112">
        <v>14.1675</v>
      </c>
      <c r="N1137" s="112">
        <v>0.56669999999999998</v>
      </c>
      <c r="O1137" s="204"/>
      <c r="P1137" s="112"/>
      <c r="Q1137" s="112"/>
      <c r="R1137" s="112"/>
      <c r="S1137" s="112"/>
      <c r="T1137" s="112"/>
      <c r="U1137" t="s">
        <v>5302</v>
      </c>
      <c r="V1137" t="s">
        <v>5303</v>
      </c>
      <c r="W1137" t="s">
        <v>3958</v>
      </c>
      <c r="X1137" t="s">
        <v>4660</v>
      </c>
    </row>
    <row r="1138" spans="1:24" x14ac:dyDescent="0.2">
      <c r="A1138" t="s">
        <v>5301</v>
      </c>
      <c r="B1138" t="s">
        <v>1594</v>
      </c>
      <c r="C1138" t="s">
        <v>1595</v>
      </c>
      <c r="D1138" t="s">
        <v>56</v>
      </c>
      <c r="E1138" t="s">
        <v>586</v>
      </c>
      <c r="F1138" t="s">
        <v>84</v>
      </c>
      <c r="G1138" s="202">
        <v>1</v>
      </c>
      <c r="H1138">
        <v>4</v>
      </c>
      <c r="I1138" t="s">
        <v>4017</v>
      </c>
      <c r="J1138" t="s">
        <v>4851</v>
      </c>
      <c r="K1138" t="s">
        <v>1283</v>
      </c>
      <c r="L1138" s="204">
        <v>0.06</v>
      </c>
      <c r="M1138" s="112">
        <v>14.1675</v>
      </c>
      <c r="N1138" s="112">
        <v>0.85004999999999997</v>
      </c>
      <c r="O1138" s="204"/>
      <c r="P1138" s="112"/>
      <c r="Q1138" s="112"/>
      <c r="R1138" s="112"/>
      <c r="S1138" s="112"/>
      <c r="T1138" s="112"/>
      <c r="U1138" t="s">
        <v>5302</v>
      </c>
      <c r="V1138" t="s">
        <v>5303</v>
      </c>
      <c r="W1138" t="s">
        <v>3958</v>
      </c>
      <c r="X1138" t="s">
        <v>4660</v>
      </c>
    </row>
    <row r="1139" spans="1:24" x14ac:dyDescent="0.2">
      <c r="A1139" t="s">
        <v>5301</v>
      </c>
      <c r="B1139" t="s">
        <v>1594</v>
      </c>
      <c r="C1139" t="s">
        <v>1595</v>
      </c>
      <c r="D1139" t="s">
        <v>56</v>
      </c>
      <c r="E1139" t="s">
        <v>586</v>
      </c>
      <c r="F1139" t="s">
        <v>84</v>
      </c>
      <c r="G1139" s="202">
        <v>1</v>
      </c>
      <c r="H1139">
        <v>5</v>
      </c>
      <c r="I1139" t="s">
        <v>3968</v>
      </c>
      <c r="J1139" t="s">
        <v>3969</v>
      </c>
      <c r="K1139" t="s">
        <v>84</v>
      </c>
      <c r="L1139" s="204">
        <v>1</v>
      </c>
      <c r="M1139" s="112"/>
      <c r="N1139" s="112">
        <v>14.1675</v>
      </c>
      <c r="O1139" s="204">
        <v>0.22181048173636841</v>
      </c>
      <c r="P1139" s="112">
        <v>3.1424999999999983</v>
      </c>
      <c r="Q1139" s="112">
        <v>17.309999999999999</v>
      </c>
      <c r="R1139" s="112">
        <v>17.309999999999999</v>
      </c>
      <c r="S1139" s="112">
        <v>17.309999999999999</v>
      </c>
      <c r="T1139" s="112">
        <v>0</v>
      </c>
      <c r="U1139" t="s">
        <v>5302</v>
      </c>
      <c r="V1139" t="s">
        <v>5303</v>
      </c>
      <c r="W1139" t="s">
        <v>4666</v>
      </c>
      <c r="X1139" t="s">
        <v>4667</v>
      </c>
    </row>
    <row r="1140" spans="1:24" x14ac:dyDescent="0.2">
      <c r="A1140" t="s">
        <v>5304</v>
      </c>
      <c r="B1140" t="s">
        <v>1596</v>
      </c>
      <c r="C1140" t="s">
        <v>1597</v>
      </c>
      <c r="D1140" t="s">
        <v>56</v>
      </c>
      <c r="E1140" t="s">
        <v>587</v>
      </c>
      <c r="F1140" t="s">
        <v>84</v>
      </c>
      <c r="G1140" s="202">
        <v>4</v>
      </c>
      <c r="H1140">
        <v>1</v>
      </c>
      <c r="I1140" t="s">
        <v>3954</v>
      </c>
      <c r="J1140" t="s">
        <v>5227</v>
      </c>
      <c r="K1140" t="s">
        <v>1283</v>
      </c>
      <c r="L1140" s="204">
        <v>0.26</v>
      </c>
      <c r="M1140" s="112">
        <v>9.6150000000000002</v>
      </c>
      <c r="N1140" s="112">
        <v>2.4999000000000002</v>
      </c>
      <c r="O1140" s="204"/>
      <c r="P1140" s="112"/>
      <c r="Q1140" s="112"/>
      <c r="R1140" s="112"/>
      <c r="S1140" s="112"/>
      <c r="T1140" s="112"/>
      <c r="U1140" t="s">
        <v>5305</v>
      </c>
      <c r="V1140" t="s">
        <v>5306</v>
      </c>
      <c r="W1140" t="s">
        <v>3958</v>
      </c>
      <c r="X1140" t="s">
        <v>4660</v>
      </c>
    </row>
    <row r="1141" spans="1:24" x14ac:dyDescent="0.2">
      <c r="A1141" t="s">
        <v>5304</v>
      </c>
      <c r="B1141" t="s">
        <v>1596</v>
      </c>
      <c r="C1141" t="s">
        <v>1597</v>
      </c>
      <c r="D1141" t="s">
        <v>56</v>
      </c>
      <c r="E1141" t="s">
        <v>587</v>
      </c>
      <c r="F1141" t="s">
        <v>84</v>
      </c>
      <c r="G1141" s="202">
        <v>4</v>
      </c>
      <c r="H1141">
        <v>2</v>
      </c>
      <c r="I1141" t="s">
        <v>3960</v>
      </c>
      <c r="J1141" t="s">
        <v>5229</v>
      </c>
      <c r="K1141" t="s">
        <v>1283</v>
      </c>
      <c r="L1141" s="204">
        <v>0.64</v>
      </c>
      <c r="M1141" s="112">
        <v>9.6150000000000002</v>
      </c>
      <c r="N1141" s="112">
        <v>6.1536</v>
      </c>
      <c r="O1141" s="204"/>
      <c r="P1141" s="112"/>
      <c r="Q1141" s="112"/>
      <c r="R1141" s="112"/>
      <c r="S1141" s="112"/>
      <c r="T1141" s="112"/>
      <c r="U1141" t="s">
        <v>5305</v>
      </c>
      <c r="V1141" t="s">
        <v>5306</v>
      </c>
      <c r="W1141" t="s">
        <v>3958</v>
      </c>
      <c r="X1141" t="s">
        <v>4660</v>
      </c>
    </row>
    <row r="1142" spans="1:24" x14ac:dyDescent="0.2">
      <c r="A1142" t="s">
        <v>5304</v>
      </c>
      <c r="B1142" t="s">
        <v>1596</v>
      </c>
      <c r="C1142" t="s">
        <v>1597</v>
      </c>
      <c r="D1142" t="s">
        <v>56</v>
      </c>
      <c r="E1142" t="s">
        <v>587</v>
      </c>
      <c r="F1142" t="s">
        <v>84</v>
      </c>
      <c r="G1142" s="202">
        <v>4</v>
      </c>
      <c r="H1142">
        <v>3</v>
      </c>
      <c r="I1142" t="s">
        <v>3976</v>
      </c>
      <c r="J1142" t="s">
        <v>5230</v>
      </c>
      <c r="K1142" t="s">
        <v>1283</v>
      </c>
      <c r="L1142" s="204">
        <v>0.04</v>
      </c>
      <c r="M1142" s="112">
        <v>9.6150000000000002</v>
      </c>
      <c r="N1142" s="112">
        <v>0.3846</v>
      </c>
      <c r="O1142" s="204"/>
      <c r="P1142" s="112"/>
      <c r="Q1142" s="112"/>
      <c r="R1142" s="112"/>
      <c r="S1142" s="112"/>
      <c r="T1142" s="112"/>
      <c r="U1142" t="s">
        <v>5305</v>
      </c>
      <c r="V1142" t="s">
        <v>5306</v>
      </c>
      <c r="W1142" t="s">
        <v>3958</v>
      </c>
      <c r="X1142" t="s">
        <v>4660</v>
      </c>
    </row>
    <row r="1143" spans="1:24" x14ac:dyDescent="0.2">
      <c r="A1143" t="s">
        <v>5304</v>
      </c>
      <c r="B1143" t="s">
        <v>1596</v>
      </c>
      <c r="C1143" t="s">
        <v>1597</v>
      </c>
      <c r="D1143" t="s">
        <v>56</v>
      </c>
      <c r="E1143" t="s">
        <v>587</v>
      </c>
      <c r="F1143" t="s">
        <v>84</v>
      </c>
      <c r="G1143" s="202">
        <v>4</v>
      </c>
      <c r="H1143">
        <v>4</v>
      </c>
      <c r="I1143" t="s">
        <v>4017</v>
      </c>
      <c r="J1143" t="s">
        <v>4851</v>
      </c>
      <c r="K1143" t="s">
        <v>1283</v>
      </c>
      <c r="L1143" s="204">
        <v>0.06</v>
      </c>
      <c r="M1143" s="112">
        <v>9.6150000000000002</v>
      </c>
      <c r="N1143" s="112">
        <v>0.57689999999999997</v>
      </c>
      <c r="O1143" s="204"/>
      <c r="P1143" s="112"/>
      <c r="Q1143" s="112"/>
      <c r="R1143" s="112"/>
      <c r="S1143" s="112"/>
      <c r="T1143" s="112"/>
      <c r="U1143" t="s">
        <v>5305</v>
      </c>
      <c r="V1143" t="s">
        <v>5306</v>
      </c>
      <c r="W1143" t="s">
        <v>3958</v>
      </c>
      <c r="X1143" t="s">
        <v>4660</v>
      </c>
    </row>
    <row r="1144" spans="1:24" x14ac:dyDescent="0.2">
      <c r="A1144" t="s">
        <v>5304</v>
      </c>
      <c r="B1144" t="s">
        <v>1596</v>
      </c>
      <c r="C1144" t="s">
        <v>1597</v>
      </c>
      <c r="D1144" t="s">
        <v>56</v>
      </c>
      <c r="E1144" t="s">
        <v>587</v>
      </c>
      <c r="F1144" t="s">
        <v>84</v>
      </c>
      <c r="G1144" s="202">
        <v>4</v>
      </c>
      <c r="H1144">
        <v>5</v>
      </c>
      <c r="I1144" t="s">
        <v>3968</v>
      </c>
      <c r="J1144" t="s">
        <v>3969</v>
      </c>
      <c r="K1144" t="s">
        <v>84</v>
      </c>
      <c r="L1144" s="204">
        <v>1</v>
      </c>
      <c r="M1144" s="112"/>
      <c r="N1144" s="112">
        <v>9.6150000000000002</v>
      </c>
      <c r="O1144" s="204">
        <v>0.22152886115444614</v>
      </c>
      <c r="P1144" s="112">
        <v>2.129999999999999</v>
      </c>
      <c r="Q1144" s="112">
        <v>11.744999999999999</v>
      </c>
      <c r="R1144" s="112">
        <v>46.98</v>
      </c>
      <c r="S1144" s="112">
        <v>46.98</v>
      </c>
      <c r="T1144" s="112">
        <v>0</v>
      </c>
      <c r="U1144" t="s">
        <v>5305</v>
      </c>
      <c r="V1144" t="s">
        <v>5306</v>
      </c>
      <c r="W1144" t="s">
        <v>4666</v>
      </c>
      <c r="X1144" t="s">
        <v>4667</v>
      </c>
    </row>
    <row r="1145" spans="1:24" x14ac:dyDescent="0.2">
      <c r="A1145" t="s">
        <v>5307</v>
      </c>
      <c r="B1145" t="s">
        <v>1598</v>
      </c>
      <c r="C1145" t="s">
        <v>1599</v>
      </c>
      <c r="D1145" t="s">
        <v>56</v>
      </c>
      <c r="E1145" t="s">
        <v>588</v>
      </c>
      <c r="F1145" t="s">
        <v>84</v>
      </c>
      <c r="G1145" s="202">
        <v>26</v>
      </c>
      <c r="H1145">
        <v>1</v>
      </c>
      <c r="I1145" t="s">
        <v>3954</v>
      </c>
      <c r="J1145" t="s">
        <v>5227</v>
      </c>
      <c r="K1145" t="s">
        <v>1283</v>
      </c>
      <c r="L1145" s="204">
        <v>0.26</v>
      </c>
      <c r="M1145" s="112">
        <v>12.825000000000001</v>
      </c>
      <c r="N1145" s="112">
        <v>3.3345000000000002</v>
      </c>
      <c r="O1145" s="204"/>
      <c r="P1145" s="112"/>
      <c r="Q1145" s="112"/>
      <c r="R1145" s="112"/>
      <c r="S1145" s="112"/>
      <c r="T1145" s="112"/>
      <c r="U1145" t="s">
        <v>5308</v>
      </c>
      <c r="V1145" t="s">
        <v>5309</v>
      </c>
      <c r="W1145" t="s">
        <v>3958</v>
      </c>
      <c r="X1145" t="s">
        <v>4660</v>
      </c>
    </row>
    <row r="1146" spans="1:24" x14ac:dyDescent="0.2">
      <c r="A1146" t="s">
        <v>5307</v>
      </c>
      <c r="B1146" t="s">
        <v>1598</v>
      </c>
      <c r="C1146" t="s">
        <v>1599</v>
      </c>
      <c r="D1146" t="s">
        <v>56</v>
      </c>
      <c r="E1146" t="s">
        <v>588</v>
      </c>
      <c r="F1146" t="s">
        <v>84</v>
      </c>
      <c r="G1146" s="202">
        <v>26</v>
      </c>
      <c r="H1146">
        <v>2</v>
      </c>
      <c r="I1146" t="s">
        <v>3960</v>
      </c>
      <c r="J1146" t="s">
        <v>5229</v>
      </c>
      <c r="K1146" t="s">
        <v>1283</v>
      </c>
      <c r="L1146" s="204">
        <v>0.64</v>
      </c>
      <c r="M1146" s="112">
        <v>12.825000000000001</v>
      </c>
      <c r="N1146" s="112">
        <v>8.2080000000000002</v>
      </c>
      <c r="O1146" s="204"/>
      <c r="P1146" s="112"/>
      <c r="Q1146" s="112"/>
      <c r="R1146" s="112"/>
      <c r="S1146" s="112"/>
      <c r="T1146" s="112"/>
      <c r="U1146" t="s">
        <v>5308</v>
      </c>
      <c r="V1146" t="s">
        <v>5309</v>
      </c>
      <c r="W1146" t="s">
        <v>3958</v>
      </c>
      <c r="X1146" t="s">
        <v>4660</v>
      </c>
    </row>
    <row r="1147" spans="1:24" x14ac:dyDescent="0.2">
      <c r="A1147" t="s">
        <v>5307</v>
      </c>
      <c r="B1147" t="s">
        <v>1598</v>
      </c>
      <c r="C1147" t="s">
        <v>1599</v>
      </c>
      <c r="D1147" t="s">
        <v>56</v>
      </c>
      <c r="E1147" t="s">
        <v>588</v>
      </c>
      <c r="F1147" t="s">
        <v>84</v>
      </c>
      <c r="G1147" s="202">
        <v>26</v>
      </c>
      <c r="H1147">
        <v>3</v>
      </c>
      <c r="I1147" t="s">
        <v>3976</v>
      </c>
      <c r="J1147" t="s">
        <v>5230</v>
      </c>
      <c r="K1147" t="s">
        <v>1283</v>
      </c>
      <c r="L1147" s="204">
        <v>0.04</v>
      </c>
      <c r="M1147" s="112">
        <v>12.825000000000001</v>
      </c>
      <c r="N1147" s="112">
        <v>0.51300000000000001</v>
      </c>
      <c r="O1147" s="204"/>
      <c r="P1147" s="112"/>
      <c r="Q1147" s="112"/>
      <c r="R1147" s="112"/>
      <c r="S1147" s="112"/>
      <c r="T1147" s="112"/>
      <c r="U1147" t="s">
        <v>5308</v>
      </c>
      <c r="V1147" t="s">
        <v>5309</v>
      </c>
      <c r="W1147" t="s">
        <v>3958</v>
      </c>
      <c r="X1147" t="s">
        <v>4660</v>
      </c>
    </row>
    <row r="1148" spans="1:24" x14ac:dyDescent="0.2">
      <c r="A1148" t="s">
        <v>5307</v>
      </c>
      <c r="B1148" t="s">
        <v>1598</v>
      </c>
      <c r="C1148" t="s">
        <v>1599</v>
      </c>
      <c r="D1148" t="s">
        <v>56</v>
      </c>
      <c r="E1148" t="s">
        <v>588</v>
      </c>
      <c r="F1148" t="s">
        <v>84</v>
      </c>
      <c r="G1148" s="202">
        <v>26</v>
      </c>
      <c r="H1148">
        <v>4</v>
      </c>
      <c r="I1148" t="s">
        <v>4017</v>
      </c>
      <c r="J1148" t="s">
        <v>4851</v>
      </c>
      <c r="K1148" t="s">
        <v>1283</v>
      </c>
      <c r="L1148" s="204">
        <v>0.06</v>
      </c>
      <c r="M1148" s="112">
        <v>12.825000000000001</v>
      </c>
      <c r="N1148" s="112">
        <v>0.76950000000000007</v>
      </c>
      <c r="O1148" s="204"/>
      <c r="P1148" s="112"/>
      <c r="Q1148" s="112"/>
      <c r="R1148" s="112"/>
      <c r="S1148" s="112"/>
      <c r="T1148" s="112"/>
      <c r="U1148" t="s">
        <v>5308</v>
      </c>
      <c r="V1148" t="s">
        <v>5309</v>
      </c>
      <c r="W1148" t="s">
        <v>3958</v>
      </c>
      <c r="X1148" t="s">
        <v>4660</v>
      </c>
    </row>
    <row r="1149" spans="1:24" x14ac:dyDescent="0.2">
      <c r="A1149" t="s">
        <v>5307</v>
      </c>
      <c r="B1149" t="s">
        <v>1598</v>
      </c>
      <c r="C1149" t="s">
        <v>1599</v>
      </c>
      <c r="D1149" t="s">
        <v>56</v>
      </c>
      <c r="E1149" t="s">
        <v>588</v>
      </c>
      <c r="F1149" t="s">
        <v>84</v>
      </c>
      <c r="G1149" s="202">
        <v>26</v>
      </c>
      <c r="H1149">
        <v>5</v>
      </c>
      <c r="I1149" t="s">
        <v>3968</v>
      </c>
      <c r="J1149" t="s">
        <v>3969</v>
      </c>
      <c r="K1149" t="s">
        <v>84</v>
      </c>
      <c r="L1149" s="204">
        <v>1</v>
      </c>
      <c r="M1149" s="112"/>
      <c r="N1149" s="112">
        <v>12.825000000000001</v>
      </c>
      <c r="O1149" s="204">
        <v>0.2222222222222221</v>
      </c>
      <c r="P1149" s="112">
        <v>2.8499999999999996</v>
      </c>
      <c r="Q1149" s="112">
        <v>15.675000000000001</v>
      </c>
      <c r="R1149" s="112">
        <v>407.55</v>
      </c>
      <c r="S1149" s="112">
        <v>407.55</v>
      </c>
      <c r="T1149" s="112">
        <v>0</v>
      </c>
      <c r="U1149" t="s">
        <v>5308</v>
      </c>
      <c r="V1149" t="s">
        <v>5309</v>
      </c>
      <c r="W1149" t="s">
        <v>4666</v>
      </c>
      <c r="X1149" t="s">
        <v>4667</v>
      </c>
    </row>
    <row r="1150" spans="1:24" x14ac:dyDescent="0.2">
      <c r="A1150" t="s">
        <v>5310</v>
      </c>
      <c r="B1150" t="s">
        <v>1600</v>
      </c>
      <c r="C1150" t="s">
        <v>1601</v>
      </c>
      <c r="D1150" t="s">
        <v>56</v>
      </c>
      <c r="E1150" t="s">
        <v>589</v>
      </c>
      <c r="F1150" t="s">
        <v>84</v>
      </c>
      <c r="G1150" s="202">
        <v>2</v>
      </c>
      <c r="H1150">
        <v>1</v>
      </c>
      <c r="I1150" t="s">
        <v>3954</v>
      </c>
      <c r="J1150" t="s">
        <v>5227</v>
      </c>
      <c r="K1150" t="s">
        <v>1283</v>
      </c>
      <c r="L1150" s="204">
        <v>0.26</v>
      </c>
      <c r="M1150" s="112">
        <v>16.447499999999998</v>
      </c>
      <c r="N1150" s="112">
        <v>4.2763499999999999</v>
      </c>
      <c r="O1150" s="204"/>
      <c r="P1150" s="112"/>
      <c r="Q1150" s="112"/>
      <c r="R1150" s="112"/>
      <c r="S1150" s="112"/>
      <c r="T1150" s="112"/>
      <c r="U1150" t="s">
        <v>5311</v>
      </c>
      <c r="V1150" t="s">
        <v>5312</v>
      </c>
      <c r="W1150" t="s">
        <v>3958</v>
      </c>
      <c r="X1150" t="s">
        <v>4660</v>
      </c>
    </row>
    <row r="1151" spans="1:24" x14ac:dyDescent="0.2">
      <c r="A1151" t="s">
        <v>5310</v>
      </c>
      <c r="B1151" t="s">
        <v>1600</v>
      </c>
      <c r="C1151" t="s">
        <v>1601</v>
      </c>
      <c r="D1151" t="s">
        <v>56</v>
      </c>
      <c r="E1151" t="s">
        <v>589</v>
      </c>
      <c r="F1151" t="s">
        <v>84</v>
      </c>
      <c r="G1151" s="202">
        <v>2</v>
      </c>
      <c r="H1151">
        <v>2</v>
      </c>
      <c r="I1151" t="s">
        <v>3960</v>
      </c>
      <c r="J1151" t="s">
        <v>5229</v>
      </c>
      <c r="K1151" t="s">
        <v>1283</v>
      </c>
      <c r="L1151" s="204">
        <v>0.64</v>
      </c>
      <c r="M1151" s="112">
        <v>16.447499999999998</v>
      </c>
      <c r="N1151" s="112">
        <v>10.526399999999999</v>
      </c>
      <c r="O1151" s="204"/>
      <c r="P1151" s="112"/>
      <c r="Q1151" s="112"/>
      <c r="R1151" s="112"/>
      <c r="S1151" s="112"/>
      <c r="T1151" s="112"/>
      <c r="U1151" t="s">
        <v>5311</v>
      </c>
      <c r="V1151" t="s">
        <v>5312</v>
      </c>
      <c r="W1151" t="s">
        <v>3958</v>
      </c>
      <c r="X1151" t="s">
        <v>4660</v>
      </c>
    </row>
    <row r="1152" spans="1:24" x14ac:dyDescent="0.2">
      <c r="A1152" t="s">
        <v>5310</v>
      </c>
      <c r="B1152" t="s">
        <v>1600</v>
      </c>
      <c r="C1152" t="s">
        <v>1601</v>
      </c>
      <c r="D1152" t="s">
        <v>56</v>
      </c>
      <c r="E1152" t="s">
        <v>589</v>
      </c>
      <c r="F1152" t="s">
        <v>84</v>
      </c>
      <c r="G1152" s="202">
        <v>2</v>
      </c>
      <c r="H1152">
        <v>3</v>
      </c>
      <c r="I1152" t="s">
        <v>3976</v>
      </c>
      <c r="J1152" t="s">
        <v>5230</v>
      </c>
      <c r="K1152" t="s">
        <v>1283</v>
      </c>
      <c r="L1152" s="204">
        <v>0.04</v>
      </c>
      <c r="M1152" s="112">
        <v>16.447499999999998</v>
      </c>
      <c r="N1152" s="112">
        <v>0.65789999999999993</v>
      </c>
      <c r="O1152" s="204"/>
      <c r="P1152" s="112"/>
      <c r="Q1152" s="112"/>
      <c r="R1152" s="112"/>
      <c r="S1152" s="112"/>
      <c r="T1152" s="112"/>
      <c r="U1152" t="s">
        <v>5311</v>
      </c>
      <c r="V1152" t="s">
        <v>5312</v>
      </c>
      <c r="W1152" t="s">
        <v>3958</v>
      </c>
      <c r="X1152" t="s">
        <v>4660</v>
      </c>
    </row>
    <row r="1153" spans="1:24" x14ac:dyDescent="0.2">
      <c r="A1153" t="s">
        <v>5310</v>
      </c>
      <c r="B1153" t="s">
        <v>1600</v>
      </c>
      <c r="C1153" t="s">
        <v>1601</v>
      </c>
      <c r="D1153" t="s">
        <v>56</v>
      </c>
      <c r="E1153" t="s">
        <v>589</v>
      </c>
      <c r="F1153" t="s">
        <v>84</v>
      </c>
      <c r="G1153" s="202">
        <v>2</v>
      </c>
      <c r="H1153">
        <v>4</v>
      </c>
      <c r="I1153" t="s">
        <v>4017</v>
      </c>
      <c r="J1153" t="s">
        <v>4851</v>
      </c>
      <c r="K1153" t="s">
        <v>1283</v>
      </c>
      <c r="L1153" s="204">
        <v>0.06</v>
      </c>
      <c r="M1153" s="112">
        <v>16.447499999999998</v>
      </c>
      <c r="N1153" s="112">
        <v>0.98684999999999989</v>
      </c>
      <c r="O1153" s="204"/>
      <c r="P1153" s="112"/>
      <c r="Q1153" s="112"/>
      <c r="R1153" s="112"/>
      <c r="S1153" s="112"/>
      <c r="T1153" s="112"/>
      <c r="U1153" t="s">
        <v>5311</v>
      </c>
      <c r="V1153" t="s">
        <v>5312</v>
      </c>
      <c r="W1153" t="s">
        <v>3958</v>
      </c>
      <c r="X1153" t="s">
        <v>4660</v>
      </c>
    </row>
    <row r="1154" spans="1:24" x14ac:dyDescent="0.2">
      <c r="A1154" t="s">
        <v>5310</v>
      </c>
      <c r="B1154" t="s">
        <v>1600</v>
      </c>
      <c r="C1154" t="s">
        <v>1601</v>
      </c>
      <c r="D1154" t="s">
        <v>56</v>
      </c>
      <c r="E1154" t="s">
        <v>589</v>
      </c>
      <c r="F1154" t="s">
        <v>84</v>
      </c>
      <c r="G1154" s="202">
        <v>2</v>
      </c>
      <c r="H1154">
        <v>5</v>
      </c>
      <c r="I1154" t="s">
        <v>3968</v>
      </c>
      <c r="J1154" t="s">
        <v>3969</v>
      </c>
      <c r="K1154" t="s">
        <v>84</v>
      </c>
      <c r="L1154" s="204">
        <v>1</v>
      </c>
      <c r="M1154" s="112"/>
      <c r="N1154" s="112">
        <v>16.447499999999998</v>
      </c>
      <c r="O1154" s="204">
        <v>0.22207022343821281</v>
      </c>
      <c r="P1154" s="112">
        <v>3.6525000000000034</v>
      </c>
      <c r="Q1154" s="112">
        <v>20.100000000000001</v>
      </c>
      <c r="R1154" s="112">
        <v>40.200000000000003</v>
      </c>
      <c r="S1154" s="112">
        <v>40.200000000000003</v>
      </c>
      <c r="T1154" s="112">
        <v>0</v>
      </c>
      <c r="U1154" t="s">
        <v>5311</v>
      </c>
      <c r="V1154" t="s">
        <v>5312</v>
      </c>
      <c r="W1154" t="s">
        <v>4666</v>
      </c>
      <c r="X1154" t="s">
        <v>4667</v>
      </c>
    </row>
    <row r="1155" spans="1:24" x14ac:dyDescent="0.2">
      <c r="A1155" t="s">
        <v>5313</v>
      </c>
      <c r="B1155" t="s">
        <v>1602</v>
      </c>
      <c r="C1155" t="s">
        <v>1603</v>
      </c>
      <c r="D1155" t="s">
        <v>56</v>
      </c>
      <c r="E1155" t="s">
        <v>656</v>
      </c>
      <c r="F1155" t="s">
        <v>84</v>
      </c>
      <c r="G1155" s="202">
        <v>8</v>
      </c>
      <c r="H1155">
        <v>1</v>
      </c>
      <c r="I1155" t="s">
        <v>3954</v>
      </c>
      <c r="J1155" t="s">
        <v>5227</v>
      </c>
      <c r="K1155" t="s">
        <v>1283</v>
      </c>
      <c r="L1155" s="204">
        <v>0.26</v>
      </c>
      <c r="M1155" s="112">
        <v>18.502500000000001</v>
      </c>
      <c r="N1155" s="112">
        <v>4.8106500000000008</v>
      </c>
      <c r="O1155" s="204"/>
      <c r="P1155" s="112"/>
      <c r="Q1155" s="112"/>
      <c r="R1155" s="112"/>
      <c r="S1155" s="112"/>
      <c r="T1155" s="112"/>
      <c r="U1155" t="s">
        <v>5314</v>
      </c>
      <c r="V1155" t="s">
        <v>5315</v>
      </c>
      <c r="W1155" t="s">
        <v>3958</v>
      </c>
      <c r="X1155" t="s">
        <v>4660</v>
      </c>
    </row>
    <row r="1156" spans="1:24" x14ac:dyDescent="0.2">
      <c r="A1156" t="s">
        <v>5313</v>
      </c>
      <c r="B1156" t="s">
        <v>1602</v>
      </c>
      <c r="C1156" t="s">
        <v>1603</v>
      </c>
      <c r="D1156" t="s">
        <v>56</v>
      </c>
      <c r="E1156" t="s">
        <v>656</v>
      </c>
      <c r="F1156" t="s">
        <v>84</v>
      </c>
      <c r="G1156" s="202">
        <v>8</v>
      </c>
      <c r="H1156">
        <v>2</v>
      </c>
      <c r="I1156" t="s">
        <v>3960</v>
      </c>
      <c r="J1156" t="s">
        <v>5229</v>
      </c>
      <c r="K1156" t="s">
        <v>1283</v>
      </c>
      <c r="L1156" s="204">
        <v>0.64</v>
      </c>
      <c r="M1156" s="112">
        <v>18.502500000000001</v>
      </c>
      <c r="N1156" s="112">
        <v>11.841600000000001</v>
      </c>
      <c r="O1156" s="204"/>
      <c r="P1156" s="112"/>
      <c r="Q1156" s="112"/>
      <c r="R1156" s="112"/>
      <c r="S1156" s="112"/>
      <c r="T1156" s="112"/>
      <c r="U1156" t="s">
        <v>5314</v>
      </c>
      <c r="V1156" t="s">
        <v>5315</v>
      </c>
      <c r="W1156" t="s">
        <v>3958</v>
      </c>
      <c r="X1156" t="s">
        <v>4660</v>
      </c>
    </row>
    <row r="1157" spans="1:24" x14ac:dyDescent="0.2">
      <c r="A1157" t="s">
        <v>5313</v>
      </c>
      <c r="B1157" t="s">
        <v>1602</v>
      </c>
      <c r="C1157" t="s">
        <v>1603</v>
      </c>
      <c r="D1157" t="s">
        <v>56</v>
      </c>
      <c r="E1157" t="s">
        <v>656</v>
      </c>
      <c r="F1157" t="s">
        <v>84</v>
      </c>
      <c r="G1157" s="202">
        <v>8</v>
      </c>
      <c r="H1157">
        <v>3</v>
      </c>
      <c r="I1157" t="s">
        <v>3976</v>
      </c>
      <c r="J1157" t="s">
        <v>5230</v>
      </c>
      <c r="K1157" t="s">
        <v>1283</v>
      </c>
      <c r="L1157" s="204">
        <v>0.04</v>
      </c>
      <c r="M1157" s="112">
        <v>18.502500000000001</v>
      </c>
      <c r="N1157" s="112">
        <v>0.74010000000000009</v>
      </c>
      <c r="O1157" s="204"/>
      <c r="P1157" s="112"/>
      <c r="Q1157" s="112"/>
      <c r="R1157" s="112"/>
      <c r="S1157" s="112"/>
      <c r="T1157" s="112"/>
      <c r="U1157" t="s">
        <v>5314</v>
      </c>
      <c r="V1157" t="s">
        <v>5315</v>
      </c>
      <c r="W1157" t="s">
        <v>3958</v>
      </c>
      <c r="X1157" t="s">
        <v>4660</v>
      </c>
    </row>
    <row r="1158" spans="1:24" x14ac:dyDescent="0.2">
      <c r="A1158" t="s">
        <v>5313</v>
      </c>
      <c r="B1158" t="s">
        <v>1602</v>
      </c>
      <c r="C1158" t="s">
        <v>1603</v>
      </c>
      <c r="D1158" t="s">
        <v>56</v>
      </c>
      <c r="E1158" t="s">
        <v>656</v>
      </c>
      <c r="F1158" t="s">
        <v>84</v>
      </c>
      <c r="G1158" s="202">
        <v>8</v>
      </c>
      <c r="H1158">
        <v>4</v>
      </c>
      <c r="I1158" t="s">
        <v>4017</v>
      </c>
      <c r="J1158" t="s">
        <v>4851</v>
      </c>
      <c r="K1158" t="s">
        <v>1283</v>
      </c>
      <c r="L1158" s="204">
        <v>0.06</v>
      </c>
      <c r="M1158" s="112">
        <v>18.502500000000001</v>
      </c>
      <c r="N1158" s="112">
        <v>1.11015</v>
      </c>
      <c r="O1158" s="204"/>
      <c r="P1158" s="112"/>
      <c r="Q1158" s="112"/>
      <c r="R1158" s="112"/>
      <c r="S1158" s="112"/>
      <c r="T1158" s="112"/>
      <c r="U1158" t="s">
        <v>5314</v>
      </c>
      <c r="V1158" t="s">
        <v>5315</v>
      </c>
      <c r="W1158" t="s">
        <v>3958</v>
      </c>
      <c r="X1158" t="s">
        <v>4660</v>
      </c>
    </row>
    <row r="1159" spans="1:24" x14ac:dyDescent="0.2">
      <c r="A1159" t="s">
        <v>5313</v>
      </c>
      <c r="B1159" t="s">
        <v>1602</v>
      </c>
      <c r="C1159" t="s">
        <v>1603</v>
      </c>
      <c r="D1159" t="s">
        <v>56</v>
      </c>
      <c r="E1159" t="s">
        <v>656</v>
      </c>
      <c r="F1159" t="s">
        <v>84</v>
      </c>
      <c r="G1159" s="202">
        <v>8</v>
      </c>
      <c r="H1159">
        <v>5</v>
      </c>
      <c r="I1159" t="s">
        <v>3968</v>
      </c>
      <c r="J1159" t="s">
        <v>3969</v>
      </c>
      <c r="K1159" t="s">
        <v>84</v>
      </c>
      <c r="L1159" s="204">
        <v>1</v>
      </c>
      <c r="M1159" s="112"/>
      <c r="N1159" s="112">
        <v>18.502500000000001</v>
      </c>
      <c r="O1159" s="204">
        <v>0.22213214430482364</v>
      </c>
      <c r="P1159" s="112">
        <v>4.1099999999999994</v>
      </c>
      <c r="Q1159" s="112">
        <v>22.612500000000001</v>
      </c>
      <c r="R1159" s="112">
        <v>180.9</v>
      </c>
      <c r="S1159" s="112">
        <v>180.9</v>
      </c>
      <c r="T1159" s="112">
        <v>0</v>
      </c>
      <c r="U1159" t="s">
        <v>5314</v>
      </c>
      <c r="V1159" t="s">
        <v>5315</v>
      </c>
      <c r="W1159" t="s">
        <v>4666</v>
      </c>
      <c r="X1159" t="s">
        <v>4667</v>
      </c>
    </row>
    <row r="1160" spans="1:24" x14ac:dyDescent="0.2">
      <c r="A1160" t="s">
        <v>5316</v>
      </c>
      <c r="B1160" t="s">
        <v>1604</v>
      </c>
      <c r="C1160" t="s">
        <v>1605</v>
      </c>
      <c r="D1160" t="s">
        <v>56</v>
      </c>
      <c r="E1160" t="s">
        <v>1606</v>
      </c>
      <c r="F1160" t="s">
        <v>84</v>
      </c>
      <c r="G1160" s="202">
        <v>1</v>
      </c>
      <c r="H1160">
        <v>1</v>
      </c>
      <c r="I1160" t="s">
        <v>3954</v>
      </c>
      <c r="J1160" t="s">
        <v>5227</v>
      </c>
      <c r="K1160" t="s">
        <v>1283</v>
      </c>
      <c r="L1160" s="204">
        <v>0.26</v>
      </c>
      <c r="M1160" s="112">
        <v>14.04</v>
      </c>
      <c r="N1160" s="112">
        <v>3.6503999999999999</v>
      </c>
      <c r="O1160" s="204"/>
      <c r="P1160" s="112"/>
      <c r="Q1160" s="112"/>
      <c r="R1160" s="112"/>
      <c r="S1160" s="112"/>
      <c r="T1160" s="112"/>
      <c r="U1160" t="s">
        <v>5317</v>
      </c>
      <c r="V1160" t="s">
        <v>5318</v>
      </c>
      <c r="W1160" t="s">
        <v>3958</v>
      </c>
      <c r="X1160" t="s">
        <v>4660</v>
      </c>
    </row>
    <row r="1161" spans="1:24" x14ac:dyDescent="0.2">
      <c r="A1161" t="s">
        <v>5316</v>
      </c>
      <c r="B1161" t="s">
        <v>1604</v>
      </c>
      <c r="C1161" t="s">
        <v>1605</v>
      </c>
      <c r="D1161" t="s">
        <v>56</v>
      </c>
      <c r="E1161" t="s">
        <v>1606</v>
      </c>
      <c r="F1161" t="s">
        <v>84</v>
      </c>
      <c r="G1161" s="202">
        <v>1</v>
      </c>
      <c r="H1161">
        <v>2</v>
      </c>
      <c r="I1161" t="s">
        <v>3960</v>
      </c>
      <c r="J1161" t="s">
        <v>5229</v>
      </c>
      <c r="K1161" t="s">
        <v>1283</v>
      </c>
      <c r="L1161" s="204">
        <v>0.64</v>
      </c>
      <c r="M1161" s="112">
        <v>14.04</v>
      </c>
      <c r="N1161" s="112">
        <v>8.9855999999999998</v>
      </c>
      <c r="O1161" s="204"/>
      <c r="P1161" s="112"/>
      <c r="Q1161" s="112"/>
      <c r="R1161" s="112"/>
      <c r="S1161" s="112"/>
      <c r="T1161" s="112"/>
      <c r="U1161" t="s">
        <v>5317</v>
      </c>
      <c r="V1161" t="s">
        <v>5318</v>
      </c>
      <c r="W1161" t="s">
        <v>3958</v>
      </c>
      <c r="X1161" t="s">
        <v>4660</v>
      </c>
    </row>
    <row r="1162" spans="1:24" x14ac:dyDescent="0.2">
      <c r="A1162" t="s">
        <v>5316</v>
      </c>
      <c r="B1162" t="s">
        <v>1604</v>
      </c>
      <c r="C1162" t="s">
        <v>1605</v>
      </c>
      <c r="D1162" t="s">
        <v>56</v>
      </c>
      <c r="E1162" t="s">
        <v>1606</v>
      </c>
      <c r="F1162" t="s">
        <v>84</v>
      </c>
      <c r="G1162" s="202">
        <v>1</v>
      </c>
      <c r="H1162">
        <v>3</v>
      </c>
      <c r="I1162" t="s">
        <v>3976</v>
      </c>
      <c r="J1162" t="s">
        <v>5230</v>
      </c>
      <c r="K1162" t="s">
        <v>1283</v>
      </c>
      <c r="L1162" s="204">
        <v>0.04</v>
      </c>
      <c r="M1162" s="112">
        <v>14.04</v>
      </c>
      <c r="N1162" s="112">
        <v>0.56159999999999999</v>
      </c>
      <c r="O1162" s="204"/>
      <c r="P1162" s="112"/>
      <c r="Q1162" s="112"/>
      <c r="R1162" s="112"/>
      <c r="S1162" s="112"/>
      <c r="T1162" s="112"/>
      <c r="U1162" t="s">
        <v>5317</v>
      </c>
      <c r="V1162" t="s">
        <v>5318</v>
      </c>
      <c r="W1162" t="s">
        <v>3958</v>
      </c>
      <c r="X1162" t="s">
        <v>4660</v>
      </c>
    </row>
    <row r="1163" spans="1:24" x14ac:dyDescent="0.2">
      <c r="A1163" t="s">
        <v>5316</v>
      </c>
      <c r="B1163" t="s">
        <v>1604</v>
      </c>
      <c r="C1163" t="s">
        <v>1605</v>
      </c>
      <c r="D1163" t="s">
        <v>56</v>
      </c>
      <c r="E1163" t="s">
        <v>1606</v>
      </c>
      <c r="F1163" t="s">
        <v>84</v>
      </c>
      <c r="G1163" s="202">
        <v>1</v>
      </c>
      <c r="H1163">
        <v>4</v>
      </c>
      <c r="I1163" t="s">
        <v>4017</v>
      </c>
      <c r="J1163" t="s">
        <v>4851</v>
      </c>
      <c r="K1163" t="s">
        <v>1283</v>
      </c>
      <c r="L1163" s="204">
        <v>0.06</v>
      </c>
      <c r="M1163" s="112">
        <v>14.04</v>
      </c>
      <c r="N1163" s="112">
        <v>0.84239999999999993</v>
      </c>
      <c r="O1163" s="204"/>
      <c r="P1163" s="112"/>
      <c r="Q1163" s="112"/>
      <c r="R1163" s="112"/>
      <c r="S1163" s="112"/>
      <c r="T1163" s="112"/>
      <c r="U1163" t="s">
        <v>5317</v>
      </c>
      <c r="V1163" t="s">
        <v>5318</v>
      </c>
      <c r="W1163" t="s">
        <v>3958</v>
      </c>
      <c r="X1163" t="s">
        <v>4660</v>
      </c>
    </row>
    <row r="1164" spans="1:24" x14ac:dyDescent="0.2">
      <c r="A1164" t="s">
        <v>5316</v>
      </c>
      <c r="B1164" t="s">
        <v>1604</v>
      </c>
      <c r="C1164" t="s">
        <v>1605</v>
      </c>
      <c r="D1164" t="s">
        <v>56</v>
      </c>
      <c r="E1164" t="s">
        <v>1606</v>
      </c>
      <c r="F1164" t="s">
        <v>84</v>
      </c>
      <c r="G1164" s="202">
        <v>1</v>
      </c>
      <c r="H1164">
        <v>5</v>
      </c>
      <c r="I1164" t="s">
        <v>3968</v>
      </c>
      <c r="J1164" t="s">
        <v>3969</v>
      </c>
      <c r="K1164" t="s">
        <v>84</v>
      </c>
      <c r="L1164" s="204">
        <v>1</v>
      </c>
      <c r="M1164" s="112"/>
      <c r="N1164" s="112">
        <v>14.04</v>
      </c>
      <c r="O1164" s="204">
        <v>0.22222222222222232</v>
      </c>
      <c r="P1164" s="112">
        <v>3.120000000000001</v>
      </c>
      <c r="Q1164" s="112">
        <v>17.16</v>
      </c>
      <c r="R1164" s="112">
        <v>17.16</v>
      </c>
      <c r="S1164" s="112">
        <v>17.16</v>
      </c>
      <c r="T1164" s="112">
        <v>0</v>
      </c>
      <c r="U1164" t="s">
        <v>5317</v>
      </c>
      <c r="V1164" t="s">
        <v>5318</v>
      </c>
      <c r="W1164" t="s">
        <v>4666</v>
      </c>
      <c r="X1164" t="s">
        <v>4667</v>
      </c>
    </row>
    <row r="1165" spans="1:24" x14ac:dyDescent="0.2">
      <c r="A1165" t="s">
        <v>5319</v>
      </c>
      <c r="B1165" t="s">
        <v>1607</v>
      </c>
      <c r="C1165" t="s">
        <v>1608</v>
      </c>
      <c r="D1165" t="s">
        <v>56</v>
      </c>
      <c r="E1165" t="s">
        <v>592</v>
      </c>
      <c r="F1165" t="s">
        <v>84</v>
      </c>
      <c r="G1165" s="202">
        <v>4</v>
      </c>
      <c r="H1165">
        <v>1</v>
      </c>
      <c r="I1165" t="s">
        <v>3954</v>
      </c>
      <c r="J1165" t="s">
        <v>5227</v>
      </c>
      <c r="K1165" t="s">
        <v>1283</v>
      </c>
      <c r="L1165" s="204">
        <v>0.26</v>
      </c>
      <c r="M1165" s="112">
        <v>8.58</v>
      </c>
      <c r="N1165" s="112">
        <v>2.2307999999999999</v>
      </c>
      <c r="O1165" s="204"/>
      <c r="P1165" s="112"/>
      <c r="Q1165" s="112"/>
      <c r="R1165" s="112"/>
      <c r="S1165" s="112"/>
      <c r="T1165" s="112"/>
      <c r="U1165" t="s">
        <v>5320</v>
      </c>
      <c r="V1165" t="s">
        <v>5321</v>
      </c>
      <c r="W1165" t="s">
        <v>3958</v>
      </c>
      <c r="X1165" t="s">
        <v>4660</v>
      </c>
    </row>
    <row r="1166" spans="1:24" x14ac:dyDescent="0.2">
      <c r="A1166" t="s">
        <v>5319</v>
      </c>
      <c r="B1166" t="s">
        <v>1607</v>
      </c>
      <c r="C1166" t="s">
        <v>1608</v>
      </c>
      <c r="D1166" t="s">
        <v>56</v>
      </c>
      <c r="E1166" t="s">
        <v>592</v>
      </c>
      <c r="F1166" t="s">
        <v>84</v>
      </c>
      <c r="G1166" s="202">
        <v>4</v>
      </c>
      <c r="H1166">
        <v>2</v>
      </c>
      <c r="I1166" t="s">
        <v>3960</v>
      </c>
      <c r="J1166" t="s">
        <v>5229</v>
      </c>
      <c r="K1166" t="s">
        <v>1283</v>
      </c>
      <c r="L1166" s="204">
        <v>0.64</v>
      </c>
      <c r="M1166" s="112">
        <v>8.58</v>
      </c>
      <c r="N1166" s="112">
        <v>5.4912000000000001</v>
      </c>
      <c r="O1166" s="204"/>
      <c r="P1166" s="112"/>
      <c r="Q1166" s="112"/>
      <c r="R1166" s="112"/>
      <c r="S1166" s="112"/>
      <c r="T1166" s="112"/>
      <c r="U1166" t="s">
        <v>5320</v>
      </c>
      <c r="V1166" t="s">
        <v>5321</v>
      </c>
      <c r="W1166" t="s">
        <v>3958</v>
      </c>
      <c r="X1166" t="s">
        <v>4660</v>
      </c>
    </row>
    <row r="1167" spans="1:24" x14ac:dyDescent="0.2">
      <c r="A1167" t="s">
        <v>5319</v>
      </c>
      <c r="B1167" t="s">
        <v>1607</v>
      </c>
      <c r="C1167" t="s">
        <v>1608</v>
      </c>
      <c r="D1167" t="s">
        <v>56</v>
      </c>
      <c r="E1167" t="s">
        <v>592</v>
      </c>
      <c r="F1167" t="s">
        <v>84</v>
      </c>
      <c r="G1167" s="202">
        <v>4</v>
      </c>
      <c r="H1167">
        <v>3</v>
      </c>
      <c r="I1167" t="s">
        <v>3976</v>
      </c>
      <c r="J1167" t="s">
        <v>5230</v>
      </c>
      <c r="K1167" t="s">
        <v>1283</v>
      </c>
      <c r="L1167" s="204">
        <v>0.04</v>
      </c>
      <c r="M1167" s="112">
        <v>8.58</v>
      </c>
      <c r="N1167" s="112">
        <v>0.34320000000000001</v>
      </c>
      <c r="O1167" s="204"/>
      <c r="P1167" s="112"/>
      <c r="Q1167" s="112"/>
      <c r="R1167" s="112"/>
      <c r="S1167" s="112"/>
      <c r="T1167" s="112"/>
      <c r="U1167" t="s">
        <v>5320</v>
      </c>
      <c r="V1167" t="s">
        <v>5321</v>
      </c>
      <c r="W1167" t="s">
        <v>3958</v>
      </c>
      <c r="X1167" t="s">
        <v>4660</v>
      </c>
    </row>
    <row r="1168" spans="1:24" x14ac:dyDescent="0.2">
      <c r="A1168" t="s">
        <v>5319</v>
      </c>
      <c r="B1168" t="s">
        <v>1607</v>
      </c>
      <c r="C1168" t="s">
        <v>1608</v>
      </c>
      <c r="D1168" t="s">
        <v>56</v>
      </c>
      <c r="E1168" t="s">
        <v>592</v>
      </c>
      <c r="F1168" t="s">
        <v>84</v>
      </c>
      <c r="G1168" s="202">
        <v>4</v>
      </c>
      <c r="H1168">
        <v>4</v>
      </c>
      <c r="I1168" t="s">
        <v>4017</v>
      </c>
      <c r="J1168" t="s">
        <v>4851</v>
      </c>
      <c r="K1168" t="s">
        <v>1283</v>
      </c>
      <c r="L1168" s="204">
        <v>0.06</v>
      </c>
      <c r="M1168" s="112">
        <v>8.58</v>
      </c>
      <c r="N1168" s="112">
        <v>0.51480000000000004</v>
      </c>
      <c r="O1168" s="204"/>
      <c r="P1168" s="112"/>
      <c r="Q1168" s="112"/>
      <c r="R1168" s="112"/>
      <c r="S1168" s="112"/>
      <c r="T1168" s="112"/>
      <c r="U1168" t="s">
        <v>5320</v>
      </c>
      <c r="V1168" t="s">
        <v>5321</v>
      </c>
      <c r="W1168" t="s">
        <v>3958</v>
      </c>
      <c r="X1168" t="s">
        <v>4660</v>
      </c>
    </row>
    <row r="1169" spans="1:24" x14ac:dyDescent="0.2">
      <c r="A1169" t="s">
        <v>5319</v>
      </c>
      <c r="B1169" t="s">
        <v>1607</v>
      </c>
      <c r="C1169" t="s">
        <v>1608</v>
      </c>
      <c r="D1169" t="s">
        <v>56</v>
      </c>
      <c r="E1169" t="s">
        <v>592</v>
      </c>
      <c r="F1169" t="s">
        <v>84</v>
      </c>
      <c r="G1169" s="202">
        <v>4</v>
      </c>
      <c r="H1169">
        <v>5</v>
      </c>
      <c r="I1169" t="s">
        <v>3968</v>
      </c>
      <c r="J1169" t="s">
        <v>3969</v>
      </c>
      <c r="K1169" t="s">
        <v>84</v>
      </c>
      <c r="L1169" s="204">
        <v>1</v>
      </c>
      <c r="M1169" s="112"/>
      <c r="N1169" s="112">
        <v>8.58</v>
      </c>
      <c r="O1169" s="204">
        <v>0.22202797202797186</v>
      </c>
      <c r="P1169" s="112">
        <v>1.9049999999999994</v>
      </c>
      <c r="Q1169" s="112">
        <v>10.484999999999999</v>
      </c>
      <c r="R1169" s="112">
        <v>41.94</v>
      </c>
      <c r="S1169" s="112">
        <v>41.94</v>
      </c>
      <c r="T1169" s="112">
        <v>0</v>
      </c>
      <c r="U1169" t="s">
        <v>5320</v>
      </c>
      <c r="V1169" t="s">
        <v>5321</v>
      </c>
      <c r="W1169" t="s">
        <v>4666</v>
      </c>
      <c r="X1169" t="s">
        <v>4667</v>
      </c>
    </row>
    <row r="1170" spans="1:24" x14ac:dyDescent="0.2">
      <c r="A1170" t="s">
        <v>5322</v>
      </c>
      <c r="B1170" t="s">
        <v>1609</v>
      </c>
      <c r="C1170" t="s">
        <v>1610</v>
      </c>
      <c r="D1170" t="s">
        <v>56</v>
      </c>
      <c r="E1170" t="s">
        <v>593</v>
      </c>
      <c r="F1170" t="s">
        <v>84</v>
      </c>
      <c r="G1170" s="202">
        <v>3</v>
      </c>
      <c r="H1170">
        <v>1</v>
      </c>
      <c r="I1170" t="s">
        <v>3954</v>
      </c>
      <c r="J1170" t="s">
        <v>5227</v>
      </c>
      <c r="K1170" t="s">
        <v>1283</v>
      </c>
      <c r="L1170" s="204">
        <v>0.26</v>
      </c>
      <c r="M1170" s="112">
        <v>13.919999999999998</v>
      </c>
      <c r="N1170" s="112">
        <v>3.6191999999999998</v>
      </c>
      <c r="O1170" s="204"/>
      <c r="P1170" s="112"/>
      <c r="Q1170" s="112"/>
      <c r="R1170" s="112"/>
      <c r="S1170" s="112"/>
      <c r="T1170" s="112"/>
      <c r="U1170" t="s">
        <v>5323</v>
      </c>
      <c r="V1170" t="s">
        <v>5324</v>
      </c>
      <c r="W1170" t="s">
        <v>3958</v>
      </c>
      <c r="X1170" t="s">
        <v>4660</v>
      </c>
    </row>
    <row r="1171" spans="1:24" x14ac:dyDescent="0.2">
      <c r="A1171" t="s">
        <v>5322</v>
      </c>
      <c r="B1171" t="s">
        <v>1609</v>
      </c>
      <c r="C1171" t="s">
        <v>1610</v>
      </c>
      <c r="D1171" t="s">
        <v>56</v>
      </c>
      <c r="E1171" t="s">
        <v>593</v>
      </c>
      <c r="F1171" t="s">
        <v>84</v>
      </c>
      <c r="G1171" s="202">
        <v>3</v>
      </c>
      <c r="H1171">
        <v>2</v>
      </c>
      <c r="I1171" t="s">
        <v>3960</v>
      </c>
      <c r="J1171" t="s">
        <v>5229</v>
      </c>
      <c r="K1171" t="s">
        <v>1283</v>
      </c>
      <c r="L1171" s="204">
        <v>0.64</v>
      </c>
      <c r="M1171" s="112">
        <v>13.919999999999998</v>
      </c>
      <c r="N1171" s="112">
        <v>8.9087999999999994</v>
      </c>
      <c r="O1171" s="204"/>
      <c r="P1171" s="112"/>
      <c r="Q1171" s="112"/>
      <c r="R1171" s="112"/>
      <c r="S1171" s="112"/>
      <c r="T1171" s="112"/>
      <c r="U1171" t="s">
        <v>5323</v>
      </c>
      <c r="V1171" t="s">
        <v>5324</v>
      </c>
      <c r="W1171" t="s">
        <v>3958</v>
      </c>
      <c r="X1171" t="s">
        <v>4660</v>
      </c>
    </row>
    <row r="1172" spans="1:24" x14ac:dyDescent="0.2">
      <c r="A1172" t="s">
        <v>5322</v>
      </c>
      <c r="B1172" t="s">
        <v>1609</v>
      </c>
      <c r="C1172" t="s">
        <v>1610</v>
      </c>
      <c r="D1172" t="s">
        <v>56</v>
      </c>
      <c r="E1172" t="s">
        <v>593</v>
      </c>
      <c r="F1172" t="s">
        <v>84</v>
      </c>
      <c r="G1172" s="202">
        <v>3</v>
      </c>
      <c r="H1172">
        <v>3</v>
      </c>
      <c r="I1172" t="s">
        <v>3976</v>
      </c>
      <c r="J1172" t="s">
        <v>5230</v>
      </c>
      <c r="K1172" t="s">
        <v>1283</v>
      </c>
      <c r="L1172" s="204">
        <v>0.04</v>
      </c>
      <c r="M1172" s="112">
        <v>13.919999999999998</v>
      </c>
      <c r="N1172" s="112">
        <v>0.55679999999999996</v>
      </c>
      <c r="O1172" s="204"/>
      <c r="P1172" s="112"/>
      <c r="Q1172" s="112"/>
      <c r="R1172" s="112"/>
      <c r="S1172" s="112"/>
      <c r="T1172" s="112"/>
      <c r="U1172" t="s">
        <v>5323</v>
      </c>
      <c r="V1172" t="s">
        <v>5324</v>
      </c>
      <c r="W1172" t="s">
        <v>3958</v>
      </c>
      <c r="X1172" t="s">
        <v>4660</v>
      </c>
    </row>
    <row r="1173" spans="1:24" x14ac:dyDescent="0.2">
      <c r="A1173" t="s">
        <v>5322</v>
      </c>
      <c r="B1173" t="s">
        <v>1609</v>
      </c>
      <c r="C1173" t="s">
        <v>1610</v>
      </c>
      <c r="D1173" t="s">
        <v>56</v>
      </c>
      <c r="E1173" t="s">
        <v>593</v>
      </c>
      <c r="F1173" t="s">
        <v>84</v>
      </c>
      <c r="G1173" s="202">
        <v>3</v>
      </c>
      <c r="H1173">
        <v>4</v>
      </c>
      <c r="I1173" t="s">
        <v>4017</v>
      </c>
      <c r="J1173" t="s">
        <v>4851</v>
      </c>
      <c r="K1173" t="s">
        <v>1283</v>
      </c>
      <c r="L1173" s="204">
        <v>0.06</v>
      </c>
      <c r="M1173" s="112">
        <v>13.919999999999998</v>
      </c>
      <c r="N1173" s="112">
        <v>0.83519999999999983</v>
      </c>
      <c r="O1173" s="204"/>
      <c r="P1173" s="112"/>
      <c r="Q1173" s="112"/>
      <c r="R1173" s="112"/>
      <c r="S1173" s="112"/>
      <c r="T1173" s="112"/>
      <c r="U1173" t="s">
        <v>5323</v>
      </c>
      <c r="V1173" t="s">
        <v>5324</v>
      </c>
      <c r="W1173" t="s">
        <v>3958</v>
      </c>
      <c r="X1173" t="s">
        <v>4660</v>
      </c>
    </row>
    <row r="1174" spans="1:24" x14ac:dyDescent="0.2">
      <c r="A1174" t="s">
        <v>5322</v>
      </c>
      <c r="B1174" t="s">
        <v>1609</v>
      </c>
      <c r="C1174" t="s">
        <v>1610</v>
      </c>
      <c r="D1174" t="s">
        <v>56</v>
      </c>
      <c r="E1174" t="s">
        <v>593</v>
      </c>
      <c r="F1174" t="s">
        <v>84</v>
      </c>
      <c r="G1174" s="202">
        <v>3</v>
      </c>
      <c r="H1174">
        <v>5</v>
      </c>
      <c r="I1174" t="s">
        <v>3968</v>
      </c>
      <c r="J1174" t="s">
        <v>3969</v>
      </c>
      <c r="K1174" t="s">
        <v>84</v>
      </c>
      <c r="L1174" s="204">
        <v>1</v>
      </c>
      <c r="M1174" s="112"/>
      <c r="N1174" s="112">
        <v>13.919999999999998</v>
      </c>
      <c r="O1174" s="204">
        <v>0.22198275862068995</v>
      </c>
      <c r="P1174" s="112">
        <v>3.0900000000000034</v>
      </c>
      <c r="Q1174" s="112">
        <v>17.010000000000002</v>
      </c>
      <c r="R1174" s="112">
        <v>51.03</v>
      </c>
      <c r="S1174" s="112">
        <v>51.03</v>
      </c>
      <c r="T1174" s="112">
        <v>0</v>
      </c>
      <c r="U1174" t="s">
        <v>5323</v>
      </c>
      <c r="V1174" t="s">
        <v>5324</v>
      </c>
      <c r="W1174" t="s">
        <v>4666</v>
      </c>
      <c r="X1174" t="s">
        <v>4667</v>
      </c>
    </row>
    <row r="1175" spans="1:24" x14ac:dyDescent="0.2">
      <c r="A1175" t="s">
        <v>5325</v>
      </c>
      <c r="B1175" t="s">
        <v>1611</v>
      </c>
      <c r="C1175" t="s">
        <v>1612</v>
      </c>
      <c r="D1175" t="s">
        <v>56</v>
      </c>
      <c r="E1175" t="s">
        <v>594</v>
      </c>
      <c r="F1175" t="s">
        <v>84</v>
      </c>
      <c r="G1175" s="202">
        <v>4</v>
      </c>
      <c r="H1175">
        <v>1</v>
      </c>
      <c r="I1175" t="s">
        <v>3954</v>
      </c>
      <c r="J1175" t="s">
        <v>5227</v>
      </c>
      <c r="K1175" t="s">
        <v>1283</v>
      </c>
      <c r="L1175" s="204">
        <v>0.26</v>
      </c>
      <c r="M1175" s="112">
        <v>17.737499999999997</v>
      </c>
      <c r="N1175" s="112">
        <v>4.6117499999999998</v>
      </c>
      <c r="O1175" s="204"/>
      <c r="P1175" s="112"/>
      <c r="Q1175" s="112"/>
      <c r="R1175" s="112"/>
      <c r="S1175" s="112"/>
      <c r="T1175" s="112"/>
      <c r="U1175" t="s">
        <v>5326</v>
      </c>
      <c r="V1175" t="s">
        <v>5327</v>
      </c>
      <c r="W1175" t="s">
        <v>3958</v>
      </c>
      <c r="X1175" t="s">
        <v>4660</v>
      </c>
    </row>
    <row r="1176" spans="1:24" x14ac:dyDescent="0.2">
      <c r="A1176" t="s">
        <v>5325</v>
      </c>
      <c r="B1176" t="s">
        <v>1611</v>
      </c>
      <c r="C1176" t="s">
        <v>1612</v>
      </c>
      <c r="D1176" t="s">
        <v>56</v>
      </c>
      <c r="E1176" t="s">
        <v>594</v>
      </c>
      <c r="F1176" t="s">
        <v>84</v>
      </c>
      <c r="G1176" s="202">
        <v>4</v>
      </c>
      <c r="H1176">
        <v>2</v>
      </c>
      <c r="I1176" t="s">
        <v>3960</v>
      </c>
      <c r="J1176" t="s">
        <v>5229</v>
      </c>
      <c r="K1176" t="s">
        <v>1283</v>
      </c>
      <c r="L1176" s="204">
        <v>0.64</v>
      </c>
      <c r="M1176" s="112">
        <v>17.737499999999997</v>
      </c>
      <c r="N1176" s="112">
        <v>11.351999999999999</v>
      </c>
      <c r="O1176" s="204"/>
      <c r="P1176" s="112"/>
      <c r="Q1176" s="112"/>
      <c r="R1176" s="112"/>
      <c r="S1176" s="112"/>
      <c r="T1176" s="112"/>
      <c r="U1176" t="s">
        <v>5326</v>
      </c>
      <c r="V1176" t="s">
        <v>5327</v>
      </c>
      <c r="W1176" t="s">
        <v>3958</v>
      </c>
      <c r="X1176" t="s">
        <v>4660</v>
      </c>
    </row>
    <row r="1177" spans="1:24" x14ac:dyDescent="0.2">
      <c r="A1177" t="s">
        <v>5325</v>
      </c>
      <c r="B1177" t="s">
        <v>1611</v>
      </c>
      <c r="C1177" t="s">
        <v>1612</v>
      </c>
      <c r="D1177" t="s">
        <v>56</v>
      </c>
      <c r="E1177" t="s">
        <v>594</v>
      </c>
      <c r="F1177" t="s">
        <v>84</v>
      </c>
      <c r="G1177" s="202">
        <v>4</v>
      </c>
      <c r="H1177">
        <v>3</v>
      </c>
      <c r="I1177" t="s">
        <v>3976</v>
      </c>
      <c r="J1177" t="s">
        <v>5230</v>
      </c>
      <c r="K1177" t="s">
        <v>1283</v>
      </c>
      <c r="L1177" s="204">
        <v>0.04</v>
      </c>
      <c r="M1177" s="112">
        <v>17.737499999999997</v>
      </c>
      <c r="N1177" s="112">
        <v>0.70949999999999991</v>
      </c>
      <c r="O1177" s="204"/>
      <c r="P1177" s="112"/>
      <c r="Q1177" s="112"/>
      <c r="R1177" s="112"/>
      <c r="S1177" s="112"/>
      <c r="T1177" s="112"/>
      <c r="U1177" t="s">
        <v>5326</v>
      </c>
      <c r="V1177" t="s">
        <v>5327</v>
      </c>
      <c r="W1177" t="s">
        <v>3958</v>
      </c>
      <c r="X1177" t="s">
        <v>4660</v>
      </c>
    </row>
    <row r="1178" spans="1:24" x14ac:dyDescent="0.2">
      <c r="A1178" t="s">
        <v>5325</v>
      </c>
      <c r="B1178" t="s">
        <v>1611</v>
      </c>
      <c r="C1178" t="s">
        <v>1612</v>
      </c>
      <c r="D1178" t="s">
        <v>56</v>
      </c>
      <c r="E1178" t="s">
        <v>594</v>
      </c>
      <c r="F1178" t="s">
        <v>84</v>
      </c>
      <c r="G1178" s="202">
        <v>4</v>
      </c>
      <c r="H1178">
        <v>4</v>
      </c>
      <c r="I1178" t="s">
        <v>4017</v>
      </c>
      <c r="J1178" t="s">
        <v>4851</v>
      </c>
      <c r="K1178" t="s">
        <v>1283</v>
      </c>
      <c r="L1178" s="204">
        <v>0.06</v>
      </c>
      <c r="M1178" s="112">
        <v>17.737499999999997</v>
      </c>
      <c r="N1178" s="112">
        <v>1.0642499999999997</v>
      </c>
      <c r="O1178" s="204"/>
      <c r="P1178" s="112"/>
      <c r="Q1178" s="112"/>
      <c r="R1178" s="112"/>
      <c r="S1178" s="112"/>
      <c r="T1178" s="112"/>
      <c r="U1178" t="s">
        <v>5326</v>
      </c>
      <c r="V1178" t="s">
        <v>5327</v>
      </c>
      <c r="W1178" t="s">
        <v>3958</v>
      </c>
      <c r="X1178" t="s">
        <v>4660</v>
      </c>
    </row>
    <row r="1179" spans="1:24" x14ac:dyDescent="0.2">
      <c r="A1179" t="s">
        <v>5325</v>
      </c>
      <c r="B1179" t="s">
        <v>1611</v>
      </c>
      <c r="C1179" t="s">
        <v>1612</v>
      </c>
      <c r="D1179" t="s">
        <v>56</v>
      </c>
      <c r="E1179" t="s">
        <v>594</v>
      </c>
      <c r="F1179" t="s">
        <v>84</v>
      </c>
      <c r="G1179" s="202">
        <v>4</v>
      </c>
      <c r="H1179">
        <v>5</v>
      </c>
      <c r="I1179" t="s">
        <v>3968</v>
      </c>
      <c r="J1179" t="s">
        <v>3969</v>
      </c>
      <c r="K1179" t="s">
        <v>84</v>
      </c>
      <c r="L1179" s="204">
        <v>1</v>
      </c>
      <c r="M1179" s="112"/>
      <c r="N1179" s="112">
        <v>17.737499999999997</v>
      </c>
      <c r="O1179" s="204">
        <v>0.22198731501057112</v>
      </c>
      <c r="P1179" s="112">
        <v>3.9375000000000036</v>
      </c>
      <c r="Q1179" s="112">
        <v>21.675000000000001</v>
      </c>
      <c r="R1179" s="112">
        <v>86.7</v>
      </c>
      <c r="S1179" s="112">
        <v>86.7</v>
      </c>
      <c r="T1179" s="112">
        <v>0</v>
      </c>
      <c r="U1179" t="s">
        <v>5326</v>
      </c>
      <c r="V1179" t="s">
        <v>5327</v>
      </c>
      <c r="W1179" t="s">
        <v>4666</v>
      </c>
      <c r="X1179" t="s">
        <v>4667</v>
      </c>
    </row>
    <row r="1180" spans="1:24" x14ac:dyDescent="0.2">
      <c r="A1180" t="s">
        <v>5328</v>
      </c>
      <c r="B1180" t="s">
        <v>1613</v>
      </c>
      <c r="C1180" t="s">
        <v>1614</v>
      </c>
      <c r="D1180" t="s">
        <v>56</v>
      </c>
      <c r="E1180" t="s">
        <v>595</v>
      </c>
      <c r="F1180" t="s">
        <v>84</v>
      </c>
      <c r="G1180" s="202">
        <v>1</v>
      </c>
      <c r="H1180">
        <v>1</v>
      </c>
      <c r="I1180" t="s">
        <v>3954</v>
      </c>
      <c r="J1180" t="s">
        <v>5227</v>
      </c>
      <c r="K1180" t="s">
        <v>1283</v>
      </c>
      <c r="L1180" s="204">
        <v>0.26</v>
      </c>
      <c r="M1180" s="112">
        <v>27.39</v>
      </c>
      <c r="N1180" s="112">
        <v>7.1214000000000004</v>
      </c>
      <c r="O1180" s="204"/>
      <c r="P1180" s="112"/>
      <c r="Q1180" s="112"/>
      <c r="R1180" s="112"/>
      <c r="S1180" s="112"/>
      <c r="T1180" s="112"/>
      <c r="U1180" t="s">
        <v>5329</v>
      </c>
      <c r="V1180" t="s">
        <v>5330</v>
      </c>
      <c r="W1180" t="s">
        <v>3958</v>
      </c>
      <c r="X1180" t="s">
        <v>4660</v>
      </c>
    </row>
    <row r="1181" spans="1:24" x14ac:dyDescent="0.2">
      <c r="A1181" t="s">
        <v>5328</v>
      </c>
      <c r="B1181" t="s">
        <v>1613</v>
      </c>
      <c r="C1181" t="s">
        <v>1614</v>
      </c>
      <c r="D1181" t="s">
        <v>56</v>
      </c>
      <c r="E1181" t="s">
        <v>595</v>
      </c>
      <c r="F1181" t="s">
        <v>84</v>
      </c>
      <c r="G1181" s="202">
        <v>1</v>
      </c>
      <c r="H1181">
        <v>2</v>
      </c>
      <c r="I1181" t="s">
        <v>3960</v>
      </c>
      <c r="J1181" t="s">
        <v>5229</v>
      </c>
      <c r="K1181" t="s">
        <v>1283</v>
      </c>
      <c r="L1181" s="204">
        <v>0.64</v>
      </c>
      <c r="M1181" s="112">
        <v>27.39</v>
      </c>
      <c r="N1181" s="112">
        <v>17.529600000000002</v>
      </c>
      <c r="O1181" s="204"/>
      <c r="P1181" s="112"/>
      <c r="Q1181" s="112"/>
      <c r="R1181" s="112"/>
      <c r="S1181" s="112"/>
      <c r="T1181" s="112"/>
      <c r="U1181" t="s">
        <v>5329</v>
      </c>
      <c r="V1181" t="s">
        <v>5330</v>
      </c>
      <c r="W1181" t="s">
        <v>3958</v>
      </c>
      <c r="X1181" t="s">
        <v>4660</v>
      </c>
    </row>
    <row r="1182" spans="1:24" x14ac:dyDescent="0.2">
      <c r="A1182" t="s">
        <v>5328</v>
      </c>
      <c r="B1182" t="s">
        <v>1613</v>
      </c>
      <c r="C1182" t="s">
        <v>1614</v>
      </c>
      <c r="D1182" t="s">
        <v>56</v>
      </c>
      <c r="E1182" t="s">
        <v>595</v>
      </c>
      <c r="F1182" t="s">
        <v>84</v>
      </c>
      <c r="G1182" s="202">
        <v>1</v>
      </c>
      <c r="H1182">
        <v>3</v>
      </c>
      <c r="I1182" t="s">
        <v>3976</v>
      </c>
      <c r="J1182" t="s">
        <v>5230</v>
      </c>
      <c r="K1182" t="s">
        <v>1283</v>
      </c>
      <c r="L1182" s="204">
        <v>0.04</v>
      </c>
      <c r="M1182" s="112">
        <v>27.39</v>
      </c>
      <c r="N1182" s="112">
        <v>1.0956000000000001</v>
      </c>
      <c r="O1182" s="204"/>
      <c r="P1182" s="112"/>
      <c r="Q1182" s="112"/>
      <c r="R1182" s="112"/>
      <c r="S1182" s="112"/>
      <c r="T1182" s="112"/>
      <c r="U1182" t="s">
        <v>5329</v>
      </c>
      <c r="V1182" t="s">
        <v>5330</v>
      </c>
      <c r="W1182" t="s">
        <v>3958</v>
      </c>
      <c r="X1182" t="s">
        <v>4660</v>
      </c>
    </row>
    <row r="1183" spans="1:24" x14ac:dyDescent="0.2">
      <c r="A1183" t="s">
        <v>5328</v>
      </c>
      <c r="B1183" t="s">
        <v>1613</v>
      </c>
      <c r="C1183" t="s">
        <v>1614</v>
      </c>
      <c r="D1183" t="s">
        <v>56</v>
      </c>
      <c r="E1183" t="s">
        <v>595</v>
      </c>
      <c r="F1183" t="s">
        <v>84</v>
      </c>
      <c r="G1183" s="202">
        <v>1</v>
      </c>
      <c r="H1183">
        <v>4</v>
      </c>
      <c r="I1183" t="s">
        <v>4017</v>
      </c>
      <c r="J1183" t="s">
        <v>4851</v>
      </c>
      <c r="K1183" t="s">
        <v>1283</v>
      </c>
      <c r="L1183" s="204">
        <v>0.06</v>
      </c>
      <c r="M1183" s="112">
        <v>27.39</v>
      </c>
      <c r="N1183" s="112">
        <v>1.6434</v>
      </c>
      <c r="O1183" s="204"/>
      <c r="P1183" s="112"/>
      <c r="Q1183" s="112"/>
      <c r="R1183" s="112"/>
      <c r="S1183" s="112"/>
      <c r="T1183" s="112"/>
      <c r="U1183" t="s">
        <v>5329</v>
      </c>
      <c r="V1183" t="s">
        <v>5330</v>
      </c>
      <c r="W1183" t="s">
        <v>3958</v>
      </c>
      <c r="X1183" t="s">
        <v>4660</v>
      </c>
    </row>
    <row r="1184" spans="1:24" x14ac:dyDescent="0.2">
      <c r="A1184" t="s">
        <v>5328</v>
      </c>
      <c r="B1184" t="s">
        <v>1613</v>
      </c>
      <c r="C1184" t="s">
        <v>1614</v>
      </c>
      <c r="D1184" t="s">
        <v>56</v>
      </c>
      <c r="E1184" t="s">
        <v>595</v>
      </c>
      <c r="F1184" t="s">
        <v>84</v>
      </c>
      <c r="G1184" s="202">
        <v>1</v>
      </c>
      <c r="H1184">
        <v>5</v>
      </c>
      <c r="I1184" t="s">
        <v>3968</v>
      </c>
      <c r="J1184" t="s">
        <v>3969</v>
      </c>
      <c r="K1184" t="s">
        <v>84</v>
      </c>
      <c r="L1184" s="204">
        <v>1</v>
      </c>
      <c r="M1184" s="112"/>
      <c r="N1184" s="112">
        <v>27.39</v>
      </c>
      <c r="O1184" s="204">
        <v>0.22197882438846284</v>
      </c>
      <c r="P1184" s="112">
        <v>6.0799999999999983</v>
      </c>
      <c r="Q1184" s="112">
        <v>33.47</v>
      </c>
      <c r="R1184" s="112">
        <v>33.47</v>
      </c>
      <c r="S1184" s="112">
        <v>33.47</v>
      </c>
      <c r="T1184" s="112">
        <v>0</v>
      </c>
      <c r="U1184" t="s">
        <v>5329</v>
      </c>
      <c r="V1184" t="s">
        <v>5330</v>
      </c>
      <c r="W1184" t="s">
        <v>4666</v>
      </c>
      <c r="X1184" t="s">
        <v>4667</v>
      </c>
    </row>
    <row r="1185" spans="1:24" x14ac:dyDescent="0.2">
      <c r="A1185" t="s">
        <v>5331</v>
      </c>
      <c r="B1185" t="s">
        <v>1615</v>
      </c>
      <c r="C1185" t="s">
        <v>1616</v>
      </c>
      <c r="D1185" t="s">
        <v>56</v>
      </c>
      <c r="E1185" t="s">
        <v>596</v>
      </c>
      <c r="F1185" t="s">
        <v>84</v>
      </c>
      <c r="G1185" s="202">
        <v>1</v>
      </c>
      <c r="H1185">
        <v>1</v>
      </c>
      <c r="I1185" t="s">
        <v>3954</v>
      </c>
      <c r="J1185" t="s">
        <v>5227</v>
      </c>
      <c r="K1185" t="s">
        <v>1283</v>
      </c>
      <c r="L1185" s="204">
        <v>0.26</v>
      </c>
      <c r="M1185" s="112">
        <v>25.275000000000002</v>
      </c>
      <c r="N1185" s="112">
        <v>6.5715000000000003</v>
      </c>
      <c r="O1185" s="204"/>
      <c r="P1185" s="112"/>
      <c r="Q1185" s="112"/>
      <c r="R1185" s="112"/>
      <c r="S1185" s="112"/>
      <c r="T1185" s="112"/>
      <c r="U1185" t="s">
        <v>5332</v>
      </c>
      <c r="V1185" t="s">
        <v>5333</v>
      </c>
      <c r="W1185" t="s">
        <v>3958</v>
      </c>
      <c r="X1185" t="s">
        <v>4660</v>
      </c>
    </row>
    <row r="1186" spans="1:24" x14ac:dyDescent="0.2">
      <c r="A1186" t="s">
        <v>5331</v>
      </c>
      <c r="B1186" t="s">
        <v>1615</v>
      </c>
      <c r="C1186" t="s">
        <v>1616</v>
      </c>
      <c r="D1186" t="s">
        <v>56</v>
      </c>
      <c r="E1186" t="s">
        <v>596</v>
      </c>
      <c r="F1186" t="s">
        <v>84</v>
      </c>
      <c r="G1186" s="202">
        <v>1</v>
      </c>
      <c r="H1186">
        <v>2</v>
      </c>
      <c r="I1186" t="s">
        <v>3960</v>
      </c>
      <c r="J1186" t="s">
        <v>5229</v>
      </c>
      <c r="K1186" t="s">
        <v>1283</v>
      </c>
      <c r="L1186" s="204">
        <v>0.64</v>
      </c>
      <c r="M1186" s="112">
        <v>25.275000000000002</v>
      </c>
      <c r="N1186" s="112">
        <v>16.176000000000002</v>
      </c>
      <c r="O1186" s="204"/>
      <c r="P1186" s="112"/>
      <c r="Q1186" s="112"/>
      <c r="R1186" s="112"/>
      <c r="S1186" s="112"/>
      <c r="T1186" s="112"/>
      <c r="U1186" t="s">
        <v>5332</v>
      </c>
      <c r="V1186" t="s">
        <v>5333</v>
      </c>
      <c r="W1186" t="s">
        <v>3958</v>
      </c>
      <c r="X1186" t="s">
        <v>4660</v>
      </c>
    </row>
    <row r="1187" spans="1:24" x14ac:dyDescent="0.2">
      <c r="A1187" t="s">
        <v>5331</v>
      </c>
      <c r="B1187" t="s">
        <v>1615</v>
      </c>
      <c r="C1187" t="s">
        <v>1616</v>
      </c>
      <c r="D1187" t="s">
        <v>56</v>
      </c>
      <c r="E1187" t="s">
        <v>596</v>
      </c>
      <c r="F1187" t="s">
        <v>84</v>
      </c>
      <c r="G1187" s="202">
        <v>1</v>
      </c>
      <c r="H1187">
        <v>3</v>
      </c>
      <c r="I1187" t="s">
        <v>3976</v>
      </c>
      <c r="J1187" t="s">
        <v>5230</v>
      </c>
      <c r="K1187" t="s">
        <v>1283</v>
      </c>
      <c r="L1187" s="204">
        <v>0.04</v>
      </c>
      <c r="M1187" s="112">
        <v>25.275000000000002</v>
      </c>
      <c r="N1187" s="112">
        <v>1.0110000000000001</v>
      </c>
      <c r="O1187" s="204"/>
      <c r="P1187" s="112"/>
      <c r="Q1187" s="112"/>
      <c r="R1187" s="112"/>
      <c r="S1187" s="112"/>
      <c r="T1187" s="112"/>
      <c r="U1187" t="s">
        <v>5332</v>
      </c>
      <c r="V1187" t="s">
        <v>5333</v>
      </c>
      <c r="W1187" t="s">
        <v>3958</v>
      </c>
      <c r="X1187" t="s">
        <v>4660</v>
      </c>
    </row>
    <row r="1188" spans="1:24" x14ac:dyDescent="0.2">
      <c r="A1188" t="s">
        <v>5331</v>
      </c>
      <c r="B1188" t="s">
        <v>1615</v>
      </c>
      <c r="C1188" t="s">
        <v>1616</v>
      </c>
      <c r="D1188" t="s">
        <v>56</v>
      </c>
      <c r="E1188" t="s">
        <v>596</v>
      </c>
      <c r="F1188" t="s">
        <v>84</v>
      </c>
      <c r="G1188" s="202">
        <v>1</v>
      </c>
      <c r="H1188">
        <v>4</v>
      </c>
      <c r="I1188" t="s">
        <v>4017</v>
      </c>
      <c r="J1188" t="s">
        <v>4851</v>
      </c>
      <c r="K1188" t="s">
        <v>1283</v>
      </c>
      <c r="L1188" s="204">
        <v>0.06</v>
      </c>
      <c r="M1188" s="112">
        <v>25.275000000000002</v>
      </c>
      <c r="N1188" s="112">
        <v>1.5165000000000002</v>
      </c>
      <c r="O1188" s="204"/>
      <c r="P1188" s="112"/>
      <c r="Q1188" s="112"/>
      <c r="R1188" s="112"/>
      <c r="S1188" s="112"/>
      <c r="T1188" s="112"/>
      <c r="U1188" t="s">
        <v>5332</v>
      </c>
      <c r="V1188" t="s">
        <v>5333</v>
      </c>
      <c r="W1188" t="s">
        <v>3958</v>
      </c>
      <c r="X1188" t="s">
        <v>4660</v>
      </c>
    </row>
    <row r="1189" spans="1:24" x14ac:dyDescent="0.2">
      <c r="A1189" t="s">
        <v>5331</v>
      </c>
      <c r="B1189" t="s">
        <v>1615</v>
      </c>
      <c r="C1189" t="s">
        <v>1616</v>
      </c>
      <c r="D1189" t="s">
        <v>56</v>
      </c>
      <c r="E1189" t="s">
        <v>596</v>
      </c>
      <c r="F1189" t="s">
        <v>84</v>
      </c>
      <c r="G1189" s="202">
        <v>1</v>
      </c>
      <c r="H1189">
        <v>5</v>
      </c>
      <c r="I1189" t="s">
        <v>3968</v>
      </c>
      <c r="J1189" t="s">
        <v>3969</v>
      </c>
      <c r="K1189" t="s">
        <v>84</v>
      </c>
      <c r="L1189" s="204">
        <v>1</v>
      </c>
      <c r="M1189" s="112"/>
      <c r="N1189" s="112">
        <v>25.275000000000002</v>
      </c>
      <c r="O1189" s="204">
        <v>0.22215628090998996</v>
      </c>
      <c r="P1189" s="112">
        <v>5.6149999999999984</v>
      </c>
      <c r="Q1189" s="112">
        <v>30.89</v>
      </c>
      <c r="R1189" s="112">
        <v>30.89</v>
      </c>
      <c r="S1189" s="112">
        <v>30.89</v>
      </c>
      <c r="T1189" s="112">
        <v>0</v>
      </c>
      <c r="U1189" t="s">
        <v>5332</v>
      </c>
      <c r="V1189" t="s">
        <v>5333</v>
      </c>
      <c r="W1189" t="s">
        <v>4666</v>
      </c>
      <c r="X1189" t="s">
        <v>4667</v>
      </c>
    </row>
    <row r="1190" spans="1:24" x14ac:dyDescent="0.2">
      <c r="A1190" t="s">
        <v>5334</v>
      </c>
      <c r="B1190" t="s">
        <v>1617</v>
      </c>
      <c r="C1190" t="s">
        <v>1618</v>
      </c>
      <c r="D1190" t="s">
        <v>56</v>
      </c>
      <c r="E1190" t="s">
        <v>597</v>
      </c>
      <c r="F1190" t="s">
        <v>84</v>
      </c>
      <c r="G1190" s="202">
        <v>5</v>
      </c>
      <c r="H1190">
        <v>1</v>
      </c>
      <c r="I1190" t="s">
        <v>3954</v>
      </c>
      <c r="J1190" t="s">
        <v>5227</v>
      </c>
      <c r="K1190" t="s">
        <v>1283</v>
      </c>
      <c r="L1190" s="204">
        <v>0.26</v>
      </c>
      <c r="M1190" s="112">
        <v>14.805</v>
      </c>
      <c r="N1190" s="112">
        <v>3.8492999999999999</v>
      </c>
      <c r="O1190" s="204"/>
      <c r="P1190" s="112"/>
      <c r="Q1190" s="112"/>
      <c r="R1190" s="112"/>
      <c r="S1190" s="112"/>
      <c r="T1190" s="112"/>
      <c r="U1190" t="s">
        <v>5335</v>
      </c>
      <c r="V1190" t="s">
        <v>5336</v>
      </c>
      <c r="W1190" t="s">
        <v>3958</v>
      </c>
      <c r="X1190" t="s">
        <v>4660</v>
      </c>
    </row>
    <row r="1191" spans="1:24" x14ac:dyDescent="0.2">
      <c r="A1191" t="s">
        <v>5334</v>
      </c>
      <c r="B1191" t="s">
        <v>1617</v>
      </c>
      <c r="C1191" t="s">
        <v>1618</v>
      </c>
      <c r="D1191" t="s">
        <v>56</v>
      </c>
      <c r="E1191" t="s">
        <v>597</v>
      </c>
      <c r="F1191" t="s">
        <v>84</v>
      </c>
      <c r="G1191" s="202">
        <v>5</v>
      </c>
      <c r="H1191">
        <v>2</v>
      </c>
      <c r="I1191" t="s">
        <v>3960</v>
      </c>
      <c r="J1191" t="s">
        <v>5229</v>
      </c>
      <c r="K1191" t="s">
        <v>1283</v>
      </c>
      <c r="L1191" s="204">
        <v>0.64</v>
      </c>
      <c r="M1191" s="112">
        <v>14.805</v>
      </c>
      <c r="N1191" s="112">
        <v>9.4751999999999992</v>
      </c>
      <c r="O1191" s="204"/>
      <c r="P1191" s="112"/>
      <c r="Q1191" s="112"/>
      <c r="R1191" s="112"/>
      <c r="S1191" s="112"/>
      <c r="T1191" s="112"/>
      <c r="U1191" t="s">
        <v>5335</v>
      </c>
      <c r="V1191" t="s">
        <v>5336</v>
      </c>
      <c r="W1191" t="s">
        <v>3958</v>
      </c>
      <c r="X1191" t="s">
        <v>4660</v>
      </c>
    </row>
    <row r="1192" spans="1:24" x14ac:dyDescent="0.2">
      <c r="A1192" t="s">
        <v>5334</v>
      </c>
      <c r="B1192" t="s">
        <v>1617</v>
      </c>
      <c r="C1192" t="s">
        <v>1618</v>
      </c>
      <c r="D1192" t="s">
        <v>56</v>
      </c>
      <c r="E1192" t="s">
        <v>597</v>
      </c>
      <c r="F1192" t="s">
        <v>84</v>
      </c>
      <c r="G1192" s="202">
        <v>5</v>
      </c>
      <c r="H1192">
        <v>3</v>
      </c>
      <c r="I1192" t="s">
        <v>3976</v>
      </c>
      <c r="J1192" t="s">
        <v>5230</v>
      </c>
      <c r="K1192" t="s">
        <v>1283</v>
      </c>
      <c r="L1192" s="204">
        <v>0.04</v>
      </c>
      <c r="M1192" s="112">
        <v>14.805</v>
      </c>
      <c r="N1192" s="112">
        <v>0.59219999999999995</v>
      </c>
      <c r="O1192" s="204"/>
      <c r="P1192" s="112"/>
      <c r="Q1192" s="112"/>
      <c r="R1192" s="112"/>
      <c r="S1192" s="112"/>
      <c r="T1192" s="112"/>
      <c r="U1192" t="s">
        <v>5335</v>
      </c>
      <c r="V1192" t="s">
        <v>5336</v>
      </c>
      <c r="W1192" t="s">
        <v>3958</v>
      </c>
      <c r="X1192" t="s">
        <v>4660</v>
      </c>
    </row>
    <row r="1193" spans="1:24" x14ac:dyDescent="0.2">
      <c r="A1193" t="s">
        <v>5334</v>
      </c>
      <c r="B1193" t="s">
        <v>1617</v>
      </c>
      <c r="C1193" t="s">
        <v>1618</v>
      </c>
      <c r="D1193" t="s">
        <v>56</v>
      </c>
      <c r="E1193" t="s">
        <v>597</v>
      </c>
      <c r="F1193" t="s">
        <v>84</v>
      </c>
      <c r="G1193" s="202">
        <v>5</v>
      </c>
      <c r="H1193">
        <v>4</v>
      </c>
      <c r="I1193" t="s">
        <v>4017</v>
      </c>
      <c r="J1193" t="s">
        <v>4851</v>
      </c>
      <c r="K1193" t="s">
        <v>1283</v>
      </c>
      <c r="L1193" s="204">
        <v>0.06</v>
      </c>
      <c r="M1193" s="112">
        <v>14.805</v>
      </c>
      <c r="N1193" s="112">
        <v>0.88829999999999998</v>
      </c>
      <c r="O1193" s="204"/>
      <c r="P1193" s="112"/>
      <c r="Q1193" s="112"/>
      <c r="R1193" s="112"/>
      <c r="S1193" s="112"/>
      <c r="T1193" s="112"/>
      <c r="U1193" t="s">
        <v>5335</v>
      </c>
      <c r="V1193" t="s">
        <v>5336</v>
      </c>
      <c r="W1193" t="s">
        <v>3958</v>
      </c>
      <c r="X1193" t="s">
        <v>4660</v>
      </c>
    </row>
    <row r="1194" spans="1:24" x14ac:dyDescent="0.2">
      <c r="A1194" t="s">
        <v>5334</v>
      </c>
      <c r="B1194" t="s">
        <v>1617</v>
      </c>
      <c r="C1194" t="s">
        <v>1618</v>
      </c>
      <c r="D1194" t="s">
        <v>56</v>
      </c>
      <c r="E1194" t="s">
        <v>597</v>
      </c>
      <c r="F1194" t="s">
        <v>84</v>
      </c>
      <c r="G1194" s="202">
        <v>5</v>
      </c>
      <c r="H1194">
        <v>5</v>
      </c>
      <c r="I1194" t="s">
        <v>3968</v>
      </c>
      <c r="J1194" t="s">
        <v>3969</v>
      </c>
      <c r="K1194" t="s">
        <v>84</v>
      </c>
      <c r="L1194" s="204">
        <v>1</v>
      </c>
      <c r="M1194" s="112"/>
      <c r="N1194" s="112">
        <v>14.805</v>
      </c>
      <c r="O1194" s="204">
        <v>0.22188449848024328</v>
      </c>
      <c r="P1194" s="112">
        <v>3.2850000000000001</v>
      </c>
      <c r="Q1194" s="112">
        <v>18.09</v>
      </c>
      <c r="R1194" s="112">
        <v>90.45</v>
      </c>
      <c r="S1194" s="112">
        <v>90.45</v>
      </c>
      <c r="T1194" s="112">
        <v>0</v>
      </c>
      <c r="U1194" t="s">
        <v>5335</v>
      </c>
      <c r="V1194" t="s">
        <v>5336</v>
      </c>
      <c r="W1194" t="s">
        <v>4666</v>
      </c>
      <c r="X1194" t="s">
        <v>4667</v>
      </c>
    </row>
    <row r="1195" spans="1:24" x14ac:dyDescent="0.2">
      <c r="A1195" t="s">
        <v>5337</v>
      </c>
      <c r="B1195" t="s">
        <v>1619</v>
      </c>
      <c r="C1195" t="s">
        <v>1620</v>
      </c>
      <c r="D1195" t="s">
        <v>56</v>
      </c>
      <c r="E1195" t="s">
        <v>1621</v>
      </c>
      <c r="F1195" t="s">
        <v>84</v>
      </c>
      <c r="G1195" s="202">
        <v>2</v>
      </c>
      <c r="H1195">
        <v>1</v>
      </c>
      <c r="I1195" t="s">
        <v>3954</v>
      </c>
      <c r="J1195" t="s">
        <v>5227</v>
      </c>
      <c r="K1195" t="s">
        <v>1283</v>
      </c>
      <c r="L1195" s="204">
        <v>0.26</v>
      </c>
      <c r="M1195" s="112">
        <v>25.462500000000002</v>
      </c>
      <c r="N1195" s="112">
        <v>6.6202500000000004</v>
      </c>
      <c r="O1195" s="204"/>
      <c r="P1195" s="112"/>
      <c r="Q1195" s="112"/>
      <c r="R1195" s="112"/>
      <c r="S1195" s="112"/>
      <c r="T1195" s="112"/>
      <c r="U1195" t="s">
        <v>5338</v>
      </c>
      <c r="V1195" t="s">
        <v>5339</v>
      </c>
      <c r="W1195" t="s">
        <v>3958</v>
      </c>
      <c r="X1195" t="s">
        <v>4660</v>
      </c>
    </row>
    <row r="1196" spans="1:24" x14ac:dyDescent="0.2">
      <c r="A1196" t="s">
        <v>5337</v>
      </c>
      <c r="B1196" t="s">
        <v>1619</v>
      </c>
      <c r="C1196" t="s">
        <v>1620</v>
      </c>
      <c r="D1196" t="s">
        <v>56</v>
      </c>
      <c r="E1196" t="s">
        <v>1621</v>
      </c>
      <c r="F1196" t="s">
        <v>84</v>
      </c>
      <c r="G1196" s="202">
        <v>2</v>
      </c>
      <c r="H1196">
        <v>2</v>
      </c>
      <c r="I1196" t="s">
        <v>3960</v>
      </c>
      <c r="J1196" t="s">
        <v>5229</v>
      </c>
      <c r="K1196" t="s">
        <v>1283</v>
      </c>
      <c r="L1196" s="204">
        <v>0.64</v>
      </c>
      <c r="M1196" s="112">
        <v>25.462500000000002</v>
      </c>
      <c r="N1196" s="112">
        <v>16.296000000000003</v>
      </c>
      <c r="O1196" s="204"/>
      <c r="P1196" s="112"/>
      <c r="Q1196" s="112"/>
      <c r="R1196" s="112"/>
      <c r="S1196" s="112"/>
      <c r="T1196" s="112"/>
      <c r="U1196" t="s">
        <v>5338</v>
      </c>
      <c r="V1196" t="s">
        <v>5339</v>
      </c>
      <c r="W1196" t="s">
        <v>3958</v>
      </c>
      <c r="X1196" t="s">
        <v>4660</v>
      </c>
    </row>
    <row r="1197" spans="1:24" x14ac:dyDescent="0.2">
      <c r="A1197" t="s">
        <v>5337</v>
      </c>
      <c r="B1197" t="s">
        <v>1619</v>
      </c>
      <c r="C1197" t="s">
        <v>1620</v>
      </c>
      <c r="D1197" t="s">
        <v>56</v>
      </c>
      <c r="E1197" t="s">
        <v>1621</v>
      </c>
      <c r="F1197" t="s">
        <v>84</v>
      </c>
      <c r="G1197" s="202">
        <v>2</v>
      </c>
      <c r="H1197">
        <v>3</v>
      </c>
      <c r="I1197" t="s">
        <v>3976</v>
      </c>
      <c r="J1197" t="s">
        <v>5230</v>
      </c>
      <c r="K1197" t="s">
        <v>1283</v>
      </c>
      <c r="L1197" s="204">
        <v>0.04</v>
      </c>
      <c r="M1197" s="112">
        <v>25.462500000000002</v>
      </c>
      <c r="N1197" s="112">
        <v>1.0185000000000002</v>
      </c>
      <c r="O1197" s="204"/>
      <c r="P1197" s="112"/>
      <c r="Q1197" s="112"/>
      <c r="R1197" s="112"/>
      <c r="S1197" s="112"/>
      <c r="T1197" s="112"/>
      <c r="U1197" t="s">
        <v>5338</v>
      </c>
      <c r="V1197" t="s">
        <v>5339</v>
      </c>
      <c r="W1197" t="s">
        <v>3958</v>
      </c>
      <c r="X1197" t="s">
        <v>4660</v>
      </c>
    </row>
    <row r="1198" spans="1:24" x14ac:dyDescent="0.2">
      <c r="A1198" t="s">
        <v>5337</v>
      </c>
      <c r="B1198" t="s">
        <v>1619</v>
      </c>
      <c r="C1198" t="s">
        <v>1620</v>
      </c>
      <c r="D1198" t="s">
        <v>56</v>
      </c>
      <c r="E1198" t="s">
        <v>1621</v>
      </c>
      <c r="F1198" t="s">
        <v>84</v>
      </c>
      <c r="G1198" s="202">
        <v>2</v>
      </c>
      <c r="H1198">
        <v>4</v>
      </c>
      <c r="I1198" t="s">
        <v>4017</v>
      </c>
      <c r="J1198" t="s">
        <v>4851</v>
      </c>
      <c r="K1198" t="s">
        <v>1283</v>
      </c>
      <c r="L1198" s="204">
        <v>0.06</v>
      </c>
      <c r="M1198" s="112">
        <v>25.462500000000002</v>
      </c>
      <c r="N1198" s="112">
        <v>1.5277500000000002</v>
      </c>
      <c r="O1198" s="204"/>
      <c r="P1198" s="112"/>
      <c r="Q1198" s="112"/>
      <c r="R1198" s="112"/>
      <c r="S1198" s="112"/>
      <c r="T1198" s="112"/>
      <c r="U1198" t="s">
        <v>5338</v>
      </c>
      <c r="V1198" t="s">
        <v>5339</v>
      </c>
      <c r="W1198" t="s">
        <v>3958</v>
      </c>
      <c r="X1198" t="s">
        <v>4660</v>
      </c>
    </row>
    <row r="1199" spans="1:24" x14ac:dyDescent="0.2">
      <c r="A1199" t="s">
        <v>5337</v>
      </c>
      <c r="B1199" t="s">
        <v>1619</v>
      </c>
      <c r="C1199" t="s">
        <v>1620</v>
      </c>
      <c r="D1199" t="s">
        <v>56</v>
      </c>
      <c r="E1199" t="s">
        <v>1621</v>
      </c>
      <c r="F1199" t="s">
        <v>84</v>
      </c>
      <c r="G1199" s="202">
        <v>2</v>
      </c>
      <c r="H1199">
        <v>5</v>
      </c>
      <c r="I1199" t="s">
        <v>3968</v>
      </c>
      <c r="J1199" t="s">
        <v>3969</v>
      </c>
      <c r="K1199" t="s">
        <v>84</v>
      </c>
      <c r="L1199" s="204">
        <v>1</v>
      </c>
      <c r="M1199" s="112"/>
      <c r="N1199" s="112">
        <v>25.462500000000002</v>
      </c>
      <c r="O1199" s="204">
        <v>0.2219931271477662</v>
      </c>
      <c r="P1199" s="112">
        <v>5.6524999999999963</v>
      </c>
      <c r="Q1199" s="112">
        <v>31.114999999999998</v>
      </c>
      <c r="R1199" s="112">
        <v>62.23</v>
      </c>
      <c r="S1199" s="112">
        <v>62.23</v>
      </c>
      <c r="T1199" s="112">
        <v>0</v>
      </c>
      <c r="U1199" t="s">
        <v>5338</v>
      </c>
      <c r="V1199" t="s">
        <v>5339</v>
      </c>
      <c r="W1199" t="s">
        <v>4666</v>
      </c>
      <c r="X1199" t="s">
        <v>4667</v>
      </c>
    </row>
    <row r="1200" spans="1:24" x14ac:dyDescent="0.2">
      <c r="A1200" t="s">
        <v>5340</v>
      </c>
      <c r="B1200" t="s">
        <v>1622</v>
      </c>
      <c r="C1200" t="s">
        <v>1623</v>
      </c>
      <c r="D1200" t="s">
        <v>56</v>
      </c>
      <c r="E1200" t="s">
        <v>666</v>
      </c>
      <c r="F1200" t="s">
        <v>84</v>
      </c>
      <c r="G1200" s="202">
        <v>1</v>
      </c>
      <c r="H1200">
        <v>1</v>
      </c>
      <c r="I1200" t="s">
        <v>3954</v>
      </c>
      <c r="J1200" t="s">
        <v>5227</v>
      </c>
      <c r="K1200" t="s">
        <v>1283</v>
      </c>
      <c r="L1200" s="204">
        <v>0.26</v>
      </c>
      <c r="M1200" s="112">
        <v>28.402499999999996</v>
      </c>
      <c r="N1200" s="112">
        <v>7.3846499999999997</v>
      </c>
      <c r="O1200" s="204"/>
      <c r="P1200" s="112"/>
      <c r="Q1200" s="112"/>
      <c r="R1200" s="112"/>
      <c r="S1200" s="112"/>
      <c r="T1200" s="112"/>
      <c r="U1200" t="s">
        <v>5341</v>
      </c>
      <c r="V1200" t="s">
        <v>5342</v>
      </c>
      <c r="W1200" t="s">
        <v>3958</v>
      </c>
      <c r="X1200" t="s">
        <v>4660</v>
      </c>
    </row>
    <row r="1201" spans="1:24" x14ac:dyDescent="0.2">
      <c r="A1201" t="s">
        <v>5340</v>
      </c>
      <c r="B1201" t="s">
        <v>1622</v>
      </c>
      <c r="C1201" t="s">
        <v>1623</v>
      </c>
      <c r="D1201" t="s">
        <v>56</v>
      </c>
      <c r="E1201" t="s">
        <v>666</v>
      </c>
      <c r="F1201" t="s">
        <v>84</v>
      </c>
      <c r="G1201" s="202">
        <v>1</v>
      </c>
      <c r="H1201">
        <v>2</v>
      </c>
      <c r="I1201" t="s">
        <v>3960</v>
      </c>
      <c r="J1201" t="s">
        <v>5229</v>
      </c>
      <c r="K1201" t="s">
        <v>1283</v>
      </c>
      <c r="L1201" s="204">
        <v>0.64</v>
      </c>
      <c r="M1201" s="112">
        <v>28.402499999999996</v>
      </c>
      <c r="N1201" s="112">
        <v>18.177599999999998</v>
      </c>
      <c r="O1201" s="204"/>
      <c r="P1201" s="112"/>
      <c r="Q1201" s="112"/>
      <c r="R1201" s="112"/>
      <c r="S1201" s="112"/>
      <c r="T1201" s="112"/>
      <c r="U1201" t="s">
        <v>5341</v>
      </c>
      <c r="V1201" t="s">
        <v>5342</v>
      </c>
      <c r="W1201" t="s">
        <v>3958</v>
      </c>
      <c r="X1201" t="s">
        <v>4660</v>
      </c>
    </row>
    <row r="1202" spans="1:24" x14ac:dyDescent="0.2">
      <c r="A1202" t="s">
        <v>5340</v>
      </c>
      <c r="B1202" t="s">
        <v>1622</v>
      </c>
      <c r="C1202" t="s">
        <v>1623</v>
      </c>
      <c r="D1202" t="s">
        <v>56</v>
      </c>
      <c r="E1202" t="s">
        <v>666</v>
      </c>
      <c r="F1202" t="s">
        <v>84</v>
      </c>
      <c r="G1202" s="202">
        <v>1</v>
      </c>
      <c r="H1202">
        <v>3</v>
      </c>
      <c r="I1202" t="s">
        <v>3976</v>
      </c>
      <c r="J1202" t="s">
        <v>5230</v>
      </c>
      <c r="K1202" t="s">
        <v>1283</v>
      </c>
      <c r="L1202" s="204">
        <v>0.04</v>
      </c>
      <c r="M1202" s="112">
        <v>28.402499999999996</v>
      </c>
      <c r="N1202" s="112">
        <v>1.1360999999999999</v>
      </c>
      <c r="O1202" s="204"/>
      <c r="P1202" s="112"/>
      <c r="Q1202" s="112"/>
      <c r="R1202" s="112"/>
      <c r="S1202" s="112"/>
      <c r="T1202" s="112"/>
      <c r="U1202" t="s">
        <v>5341</v>
      </c>
      <c r="V1202" t="s">
        <v>5342</v>
      </c>
      <c r="W1202" t="s">
        <v>3958</v>
      </c>
      <c r="X1202" t="s">
        <v>4660</v>
      </c>
    </row>
    <row r="1203" spans="1:24" x14ac:dyDescent="0.2">
      <c r="A1203" t="s">
        <v>5340</v>
      </c>
      <c r="B1203" t="s">
        <v>1622</v>
      </c>
      <c r="C1203" t="s">
        <v>1623</v>
      </c>
      <c r="D1203" t="s">
        <v>56</v>
      </c>
      <c r="E1203" t="s">
        <v>666</v>
      </c>
      <c r="F1203" t="s">
        <v>84</v>
      </c>
      <c r="G1203" s="202">
        <v>1</v>
      </c>
      <c r="H1203">
        <v>4</v>
      </c>
      <c r="I1203" t="s">
        <v>4017</v>
      </c>
      <c r="J1203" t="s">
        <v>4851</v>
      </c>
      <c r="K1203" t="s">
        <v>1283</v>
      </c>
      <c r="L1203" s="204">
        <v>0.06</v>
      </c>
      <c r="M1203" s="112">
        <v>28.402499999999996</v>
      </c>
      <c r="N1203" s="112">
        <v>1.7041499999999996</v>
      </c>
      <c r="O1203" s="204"/>
      <c r="P1203" s="112"/>
      <c r="Q1203" s="112"/>
      <c r="R1203" s="112"/>
      <c r="S1203" s="112"/>
      <c r="T1203" s="112"/>
      <c r="U1203" t="s">
        <v>5341</v>
      </c>
      <c r="V1203" t="s">
        <v>5342</v>
      </c>
      <c r="W1203" t="s">
        <v>3958</v>
      </c>
      <c r="X1203" t="s">
        <v>4660</v>
      </c>
    </row>
    <row r="1204" spans="1:24" x14ac:dyDescent="0.2">
      <c r="A1204" t="s">
        <v>5340</v>
      </c>
      <c r="B1204" t="s">
        <v>1622</v>
      </c>
      <c r="C1204" t="s">
        <v>1623</v>
      </c>
      <c r="D1204" t="s">
        <v>56</v>
      </c>
      <c r="E1204" t="s">
        <v>666</v>
      </c>
      <c r="F1204" t="s">
        <v>84</v>
      </c>
      <c r="G1204" s="202">
        <v>1</v>
      </c>
      <c r="H1204">
        <v>5</v>
      </c>
      <c r="I1204" t="s">
        <v>3968</v>
      </c>
      <c r="J1204" t="s">
        <v>3969</v>
      </c>
      <c r="K1204" t="s">
        <v>84</v>
      </c>
      <c r="L1204" s="204">
        <v>1</v>
      </c>
      <c r="M1204" s="112"/>
      <c r="N1204" s="112">
        <v>28.402499999999996</v>
      </c>
      <c r="O1204" s="204">
        <v>0.22207552152099308</v>
      </c>
      <c r="P1204" s="112">
        <v>6.3075000000000045</v>
      </c>
      <c r="Q1204" s="112">
        <v>34.71</v>
      </c>
      <c r="R1204" s="112">
        <v>34.71</v>
      </c>
      <c r="S1204" s="112">
        <v>34.71</v>
      </c>
      <c r="T1204" s="112">
        <v>0</v>
      </c>
      <c r="U1204" t="s">
        <v>5341</v>
      </c>
      <c r="V1204" t="s">
        <v>5342</v>
      </c>
      <c r="W1204" t="s">
        <v>4666</v>
      </c>
      <c r="X1204" t="s">
        <v>4667</v>
      </c>
    </row>
    <row r="1205" spans="1:24" x14ac:dyDescent="0.2">
      <c r="A1205" t="s">
        <v>5343</v>
      </c>
      <c r="B1205" t="s">
        <v>1624</v>
      </c>
      <c r="C1205" t="s">
        <v>600</v>
      </c>
      <c r="D1205" t="s">
        <v>209</v>
      </c>
      <c r="E1205" t="s">
        <v>601</v>
      </c>
      <c r="F1205" t="s">
        <v>84</v>
      </c>
      <c r="G1205" s="202">
        <v>1</v>
      </c>
      <c r="H1205">
        <v>1</v>
      </c>
      <c r="I1205" t="s">
        <v>3954</v>
      </c>
      <c r="J1205" t="s">
        <v>4110</v>
      </c>
      <c r="K1205" t="s">
        <v>1283</v>
      </c>
      <c r="L1205" s="204">
        <v>0.3</v>
      </c>
      <c r="M1205" s="112">
        <v>306.54000000000002</v>
      </c>
      <c r="N1205" s="112">
        <v>91.962000000000003</v>
      </c>
      <c r="O1205" s="204"/>
      <c r="P1205" s="112"/>
      <c r="Q1205" s="112"/>
      <c r="R1205" s="112"/>
      <c r="S1205" s="112"/>
      <c r="T1205" s="112"/>
      <c r="U1205" t="s">
        <v>4532</v>
      </c>
      <c r="V1205" t="s">
        <v>4533</v>
      </c>
      <c r="W1205" t="s">
        <v>3958</v>
      </c>
      <c r="X1205" t="s">
        <v>4660</v>
      </c>
    </row>
    <row r="1206" spans="1:24" x14ac:dyDescent="0.2">
      <c r="A1206" t="s">
        <v>5343</v>
      </c>
      <c r="B1206" t="s">
        <v>1624</v>
      </c>
      <c r="C1206" t="s">
        <v>600</v>
      </c>
      <c r="D1206" t="s">
        <v>209</v>
      </c>
      <c r="E1206" t="s">
        <v>601</v>
      </c>
      <c r="F1206" t="s">
        <v>84</v>
      </c>
      <c r="G1206" s="202">
        <v>1</v>
      </c>
      <c r="H1206">
        <v>2</v>
      </c>
      <c r="I1206" t="s">
        <v>3960</v>
      </c>
      <c r="J1206" t="s">
        <v>4113</v>
      </c>
      <c r="K1206" t="s">
        <v>1283</v>
      </c>
      <c r="L1206" s="204">
        <v>0.55000000000000004</v>
      </c>
      <c r="M1206" s="112">
        <v>306.54000000000002</v>
      </c>
      <c r="N1206" s="112">
        <v>168.59700000000004</v>
      </c>
      <c r="O1206" s="204"/>
      <c r="P1206" s="112"/>
      <c r="Q1206" s="112"/>
      <c r="R1206" s="112"/>
      <c r="S1206" s="112"/>
      <c r="T1206" s="112"/>
      <c r="U1206" t="s">
        <v>4532</v>
      </c>
      <c r="V1206" t="s">
        <v>4533</v>
      </c>
      <c r="W1206" t="s">
        <v>3958</v>
      </c>
      <c r="X1206" t="s">
        <v>4660</v>
      </c>
    </row>
    <row r="1207" spans="1:24" x14ac:dyDescent="0.2">
      <c r="A1207" t="s">
        <v>5343</v>
      </c>
      <c r="B1207" t="s">
        <v>1624</v>
      </c>
      <c r="C1207" t="s">
        <v>600</v>
      </c>
      <c r="D1207" t="s">
        <v>209</v>
      </c>
      <c r="E1207" t="s">
        <v>601</v>
      </c>
      <c r="F1207" t="s">
        <v>84</v>
      </c>
      <c r="G1207" s="202">
        <v>1</v>
      </c>
      <c r="H1207">
        <v>3</v>
      </c>
      <c r="I1207" t="s">
        <v>3976</v>
      </c>
      <c r="J1207" t="s">
        <v>4114</v>
      </c>
      <c r="K1207" t="s">
        <v>1283</v>
      </c>
      <c r="L1207" s="204">
        <v>0.1</v>
      </c>
      <c r="M1207" s="112">
        <v>306.54000000000002</v>
      </c>
      <c r="N1207" s="112">
        <v>30.654000000000003</v>
      </c>
      <c r="O1207" s="204"/>
      <c r="P1207" s="112"/>
      <c r="Q1207" s="112"/>
      <c r="R1207" s="112"/>
      <c r="S1207" s="112"/>
      <c r="T1207" s="112"/>
      <c r="U1207" t="s">
        <v>4532</v>
      </c>
      <c r="V1207" t="s">
        <v>4533</v>
      </c>
      <c r="W1207" t="s">
        <v>3958</v>
      </c>
      <c r="X1207" t="s">
        <v>4660</v>
      </c>
    </row>
    <row r="1208" spans="1:24" x14ac:dyDescent="0.2">
      <c r="A1208" t="s">
        <v>5343</v>
      </c>
      <c r="B1208" t="s">
        <v>1624</v>
      </c>
      <c r="C1208" t="s">
        <v>600</v>
      </c>
      <c r="D1208" t="s">
        <v>209</v>
      </c>
      <c r="E1208" t="s">
        <v>601</v>
      </c>
      <c r="F1208" t="s">
        <v>84</v>
      </c>
      <c r="G1208" s="202">
        <v>1</v>
      </c>
      <c r="H1208">
        <v>4</v>
      </c>
      <c r="I1208" t="s">
        <v>4017</v>
      </c>
      <c r="J1208" t="s">
        <v>4115</v>
      </c>
      <c r="K1208" t="s">
        <v>1283</v>
      </c>
      <c r="L1208" s="204">
        <v>0.05</v>
      </c>
      <c r="M1208" s="112">
        <v>306.54000000000002</v>
      </c>
      <c r="N1208" s="112">
        <v>15.327000000000002</v>
      </c>
      <c r="O1208" s="204"/>
      <c r="P1208" s="112"/>
      <c r="Q1208" s="112"/>
      <c r="R1208" s="112"/>
      <c r="S1208" s="112"/>
      <c r="T1208" s="112"/>
      <c r="U1208" t="s">
        <v>4532</v>
      </c>
      <c r="V1208" t="s">
        <v>4533</v>
      </c>
      <c r="W1208" t="s">
        <v>3958</v>
      </c>
      <c r="X1208" t="s">
        <v>4660</v>
      </c>
    </row>
    <row r="1209" spans="1:24" x14ac:dyDescent="0.2">
      <c r="A1209" t="s">
        <v>5343</v>
      </c>
      <c r="B1209" t="s">
        <v>1624</v>
      </c>
      <c r="C1209" t="s">
        <v>600</v>
      </c>
      <c r="D1209" t="s">
        <v>209</v>
      </c>
      <c r="E1209" t="s">
        <v>601</v>
      </c>
      <c r="F1209" t="s">
        <v>84</v>
      </c>
      <c r="G1209" s="202">
        <v>1</v>
      </c>
      <c r="H1209">
        <v>5</v>
      </c>
      <c r="I1209" t="s">
        <v>3968</v>
      </c>
      <c r="J1209" t="s">
        <v>3969</v>
      </c>
      <c r="K1209" t="s">
        <v>84</v>
      </c>
      <c r="L1209" s="204">
        <v>1</v>
      </c>
      <c r="M1209" s="112"/>
      <c r="N1209" s="112">
        <v>306.54000000000002</v>
      </c>
      <c r="O1209" s="204">
        <v>0.22225484439224896</v>
      </c>
      <c r="P1209" s="112">
        <v>68.13</v>
      </c>
      <c r="Q1209" s="112">
        <v>374.67</v>
      </c>
      <c r="R1209" s="112">
        <v>374.67</v>
      </c>
      <c r="S1209" s="112">
        <v>374.67</v>
      </c>
      <c r="T1209" s="112">
        <v>0</v>
      </c>
      <c r="U1209" t="s">
        <v>4532</v>
      </c>
      <c r="V1209" t="s">
        <v>4533</v>
      </c>
      <c r="W1209" t="s">
        <v>4666</v>
      </c>
      <c r="X1209" t="s">
        <v>4667</v>
      </c>
    </row>
    <row r="1210" spans="1:24" x14ac:dyDescent="0.2">
      <c r="A1210" t="s">
        <v>5344</v>
      </c>
      <c r="B1210" t="s">
        <v>1625</v>
      </c>
      <c r="C1210" t="s">
        <v>1626</v>
      </c>
      <c r="D1210" t="s">
        <v>56</v>
      </c>
      <c r="E1210" t="s">
        <v>1627</v>
      </c>
      <c r="F1210" t="s">
        <v>84</v>
      </c>
      <c r="G1210" s="202">
        <v>1</v>
      </c>
      <c r="H1210">
        <v>1</v>
      </c>
      <c r="I1210" t="s">
        <v>3954</v>
      </c>
      <c r="J1210" t="s">
        <v>5227</v>
      </c>
      <c r="K1210" t="s">
        <v>1283</v>
      </c>
      <c r="L1210" s="204">
        <v>0.26</v>
      </c>
      <c r="M1210" s="112">
        <v>9.4499999999999993</v>
      </c>
      <c r="N1210" s="112">
        <v>2.4569999999999999</v>
      </c>
      <c r="O1210" s="204"/>
      <c r="P1210" s="112"/>
      <c r="Q1210" s="112"/>
      <c r="R1210" s="112"/>
      <c r="S1210" s="112"/>
      <c r="T1210" s="112"/>
      <c r="U1210" t="s">
        <v>5345</v>
      </c>
      <c r="V1210" t="s">
        <v>5346</v>
      </c>
      <c r="W1210" t="s">
        <v>3958</v>
      </c>
      <c r="X1210" t="s">
        <v>4660</v>
      </c>
    </row>
    <row r="1211" spans="1:24" x14ac:dyDescent="0.2">
      <c r="A1211" t="s">
        <v>5344</v>
      </c>
      <c r="B1211" t="s">
        <v>1625</v>
      </c>
      <c r="C1211" t="s">
        <v>1626</v>
      </c>
      <c r="D1211" t="s">
        <v>56</v>
      </c>
      <c r="E1211" t="s">
        <v>1627</v>
      </c>
      <c r="F1211" t="s">
        <v>84</v>
      </c>
      <c r="G1211" s="202">
        <v>1</v>
      </c>
      <c r="H1211">
        <v>2</v>
      </c>
      <c r="I1211" t="s">
        <v>3960</v>
      </c>
      <c r="J1211" t="s">
        <v>5229</v>
      </c>
      <c r="K1211" t="s">
        <v>1283</v>
      </c>
      <c r="L1211" s="204">
        <v>0.64</v>
      </c>
      <c r="M1211" s="112">
        <v>9.4499999999999993</v>
      </c>
      <c r="N1211" s="112">
        <v>6.048</v>
      </c>
      <c r="O1211" s="204"/>
      <c r="P1211" s="112"/>
      <c r="Q1211" s="112"/>
      <c r="R1211" s="112"/>
      <c r="S1211" s="112"/>
      <c r="T1211" s="112"/>
      <c r="U1211" t="s">
        <v>5345</v>
      </c>
      <c r="V1211" t="s">
        <v>5346</v>
      </c>
      <c r="W1211" t="s">
        <v>3958</v>
      </c>
      <c r="X1211" t="s">
        <v>4660</v>
      </c>
    </row>
    <row r="1212" spans="1:24" x14ac:dyDescent="0.2">
      <c r="A1212" t="s">
        <v>5344</v>
      </c>
      <c r="B1212" t="s">
        <v>1625</v>
      </c>
      <c r="C1212" t="s">
        <v>1626</v>
      </c>
      <c r="D1212" t="s">
        <v>56</v>
      </c>
      <c r="E1212" t="s">
        <v>1627</v>
      </c>
      <c r="F1212" t="s">
        <v>84</v>
      </c>
      <c r="G1212" s="202">
        <v>1</v>
      </c>
      <c r="H1212">
        <v>3</v>
      </c>
      <c r="I1212" t="s">
        <v>3976</v>
      </c>
      <c r="J1212" t="s">
        <v>5230</v>
      </c>
      <c r="K1212" t="s">
        <v>1283</v>
      </c>
      <c r="L1212" s="204">
        <v>0.04</v>
      </c>
      <c r="M1212" s="112">
        <v>9.4499999999999993</v>
      </c>
      <c r="N1212" s="112">
        <v>0.378</v>
      </c>
      <c r="O1212" s="204"/>
      <c r="P1212" s="112"/>
      <c r="Q1212" s="112"/>
      <c r="R1212" s="112"/>
      <c r="S1212" s="112"/>
      <c r="T1212" s="112"/>
      <c r="U1212" t="s">
        <v>5345</v>
      </c>
      <c r="V1212" t="s">
        <v>5346</v>
      </c>
      <c r="W1212" t="s">
        <v>3958</v>
      </c>
      <c r="X1212" t="s">
        <v>4660</v>
      </c>
    </row>
    <row r="1213" spans="1:24" x14ac:dyDescent="0.2">
      <c r="A1213" t="s">
        <v>5344</v>
      </c>
      <c r="B1213" t="s">
        <v>1625</v>
      </c>
      <c r="C1213" t="s">
        <v>1626</v>
      </c>
      <c r="D1213" t="s">
        <v>56</v>
      </c>
      <c r="E1213" t="s">
        <v>1627</v>
      </c>
      <c r="F1213" t="s">
        <v>84</v>
      </c>
      <c r="G1213" s="202">
        <v>1</v>
      </c>
      <c r="H1213">
        <v>4</v>
      </c>
      <c r="I1213" t="s">
        <v>4017</v>
      </c>
      <c r="J1213" t="s">
        <v>4851</v>
      </c>
      <c r="K1213" t="s">
        <v>1283</v>
      </c>
      <c r="L1213" s="204">
        <v>0.06</v>
      </c>
      <c r="M1213" s="112">
        <v>9.4499999999999993</v>
      </c>
      <c r="N1213" s="112">
        <v>0.56699999999999995</v>
      </c>
      <c r="O1213" s="204"/>
      <c r="P1213" s="112"/>
      <c r="Q1213" s="112"/>
      <c r="R1213" s="112"/>
      <c r="S1213" s="112"/>
      <c r="T1213" s="112"/>
      <c r="U1213" t="s">
        <v>5345</v>
      </c>
      <c r="V1213" t="s">
        <v>5346</v>
      </c>
      <c r="W1213" t="s">
        <v>3958</v>
      </c>
      <c r="X1213" t="s">
        <v>4660</v>
      </c>
    </row>
    <row r="1214" spans="1:24" x14ac:dyDescent="0.2">
      <c r="A1214" t="s">
        <v>5344</v>
      </c>
      <c r="B1214" t="s">
        <v>1625</v>
      </c>
      <c r="C1214" t="s">
        <v>1626</v>
      </c>
      <c r="D1214" t="s">
        <v>56</v>
      </c>
      <c r="E1214" t="s">
        <v>1627</v>
      </c>
      <c r="F1214" t="s">
        <v>84</v>
      </c>
      <c r="G1214" s="202">
        <v>1</v>
      </c>
      <c r="H1214">
        <v>5</v>
      </c>
      <c r="I1214" t="s">
        <v>3968</v>
      </c>
      <c r="J1214" t="s">
        <v>3969</v>
      </c>
      <c r="K1214" t="s">
        <v>84</v>
      </c>
      <c r="L1214" s="204">
        <v>1</v>
      </c>
      <c r="M1214" s="112"/>
      <c r="N1214" s="112">
        <v>9.4499999999999993</v>
      </c>
      <c r="O1214" s="204">
        <v>0.22222222222222232</v>
      </c>
      <c r="P1214" s="112">
        <v>2.1000000000000014</v>
      </c>
      <c r="Q1214" s="112">
        <v>11.55</v>
      </c>
      <c r="R1214" s="112">
        <v>11.55</v>
      </c>
      <c r="S1214" s="112">
        <v>11.55</v>
      </c>
      <c r="T1214" s="112">
        <v>0</v>
      </c>
      <c r="U1214" t="s">
        <v>5345</v>
      </c>
      <c r="V1214" t="s">
        <v>5346</v>
      </c>
      <c r="W1214" t="s">
        <v>4666</v>
      </c>
      <c r="X1214" t="s">
        <v>4667</v>
      </c>
    </row>
    <row r="1215" spans="1:24" x14ac:dyDescent="0.2">
      <c r="A1215" t="s">
        <v>5347</v>
      </c>
      <c r="B1215" t="s">
        <v>1628</v>
      </c>
      <c r="C1215" t="s">
        <v>1629</v>
      </c>
      <c r="D1215" t="s">
        <v>56</v>
      </c>
      <c r="E1215" t="s">
        <v>1630</v>
      </c>
      <c r="F1215" t="s">
        <v>84</v>
      </c>
      <c r="G1215" s="202">
        <v>1</v>
      </c>
      <c r="H1215">
        <v>1</v>
      </c>
      <c r="I1215" t="s">
        <v>3954</v>
      </c>
      <c r="J1215" t="s">
        <v>5227</v>
      </c>
      <c r="K1215" t="s">
        <v>1283</v>
      </c>
      <c r="L1215" s="204">
        <v>0.26</v>
      </c>
      <c r="M1215" s="112">
        <v>91.710000000000008</v>
      </c>
      <c r="N1215" s="112">
        <v>23.844600000000003</v>
      </c>
      <c r="O1215" s="204"/>
      <c r="P1215" s="112"/>
      <c r="Q1215" s="112"/>
      <c r="R1215" s="112"/>
      <c r="S1215" s="112"/>
      <c r="T1215" s="112"/>
      <c r="U1215" t="s">
        <v>5348</v>
      </c>
      <c r="V1215" t="s">
        <v>5349</v>
      </c>
      <c r="W1215" t="s">
        <v>3958</v>
      </c>
      <c r="X1215" t="s">
        <v>4660</v>
      </c>
    </row>
    <row r="1216" spans="1:24" x14ac:dyDescent="0.2">
      <c r="A1216" t="s">
        <v>5347</v>
      </c>
      <c r="B1216" t="s">
        <v>1628</v>
      </c>
      <c r="C1216" t="s">
        <v>1629</v>
      </c>
      <c r="D1216" t="s">
        <v>56</v>
      </c>
      <c r="E1216" t="s">
        <v>1630</v>
      </c>
      <c r="F1216" t="s">
        <v>84</v>
      </c>
      <c r="G1216" s="202">
        <v>1</v>
      </c>
      <c r="H1216">
        <v>2</v>
      </c>
      <c r="I1216" t="s">
        <v>3960</v>
      </c>
      <c r="J1216" t="s">
        <v>5229</v>
      </c>
      <c r="K1216" t="s">
        <v>1283</v>
      </c>
      <c r="L1216" s="204">
        <v>0.64</v>
      </c>
      <c r="M1216" s="112">
        <v>91.710000000000008</v>
      </c>
      <c r="N1216" s="112">
        <v>58.694400000000009</v>
      </c>
      <c r="O1216" s="204"/>
      <c r="P1216" s="112"/>
      <c r="Q1216" s="112"/>
      <c r="R1216" s="112"/>
      <c r="S1216" s="112"/>
      <c r="T1216" s="112"/>
      <c r="U1216" t="s">
        <v>5348</v>
      </c>
      <c r="V1216" t="s">
        <v>5349</v>
      </c>
      <c r="W1216" t="s">
        <v>3958</v>
      </c>
      <c r="X1216" t="s">
        <v>4660</v>
      </c>
    </row>
    <row r="1217" spans="1:24" x14ac:dyDescent="0.2">
      <c r="A1217" t="s">
        <v>5347</v>
      </c>
      <c r="B1217" t="s">
        <v>1628</v>
      </c>
      <c r="C1217" t="s">
        <v>1629</v>
      </c>
      <c r="D1217" t="s">
        <v>56</v>
      </c>
      <c r="E1217" t="s">
        <v>1630</v>
      </c>
      <c r="F1217" t="s">
        <v>84</v>
      </c>
      <c r="G1217" s="202">
        <v>1</v>
      </c>
      <c r="H1217">
        <v>3</v>
      </c>
      <c r="I1217" t="s">
        <v>3976</v>
      </c>
      <c r="J1217" t="s">
        <v>5230</v>
      </c>
      <c r="K1217" t="s">
        <v>1283</v>
      </c>
      <c r="L1217" s="204">
        <v>0.04</v>
      </c>
      <c r="M1217" s="112">
        <v>91.710000000000008</v>
      </c>
      <c r="N1217" s="112">
        <v>3.6684000000000005</v>
      </c>
      <c r="O1217" s="204"/>
      <c r="P1217" s="112"/>
      <c r="Q1217" s="112"/>
      <c r="R1217" s="112"/>
      <c r="S1217" s="112"/>
      <c r="T1217" s="112"/>
      <c r="U1217" t="s">
        <v>5348</v>
      </c>
      <c r="V1217" t="s">
        <v>5349</v>
      </c>
      <c r="W1217" t="s">
        <v>3958</v>
      </c>
      <c r="X1217" t="s">
        <v>4660</v>
      </c>
    </row>
    <row r="1218" spans="1:24" x14ac:dyDescent="0.2">
      <c r="A1218" t="s">
        <v>5347</v>
      </c>
      <c r="B1218" t="s">
        <v>1628</v>
      </c>
      <c r="C1218" t="s">
        <v>1629</v>
      </c>
      <c r="D1218" t="s">
        <v>56</v>
      </c>
      <c r="E1218" t="s">
        <v>1630</v>
      </c>
      <c r="F1218" t="s">
        <v>84</v>
      </c>
      <c r="G1218" s="202">
        <v>1</v>
      </c>
      <c r="H1218">
        <v>4</v>
      </c>
      <c r="I1218" t="s">
        <v>4017</v>
      </c>
      <c r="J1218" t="s">
        <v>4851</v>
      </c>
      <c r="K1218" t="s">
        <v>1283</v>
      </c>
      <c r="L1218" s="204">
        <v>0.06</v>
      </c>
      <c r="M1218" s="112">
        <v>91.710000000000008</v>
      </c>
      <c r="N1218" s="112">
        <v>5.5026000000000002</v>
      </c>
      <c r="O1218" s="204"/>
      <c r="P1218" s="112"/>
      <c r="Q1218" s="112"/>
      <c r="R1218" s="112"/>
      <c r="S1218" s="112"/>
      <c r="T1218" s="112"/>
      <c r="U1218" t="s">
        <v>5348</v>
      </c>
      <c r="V1218" t="s">
        <v>5349</v>
      </c>
      <c r="W1218" t="s">
        <v>3958</v>
      </c>
      <c r="X1218" t="s">
        <v>4660</v>
      </c>
    </row>
    <row r="1219" spans="1:24" x14ac:dyDescent="0.2">
      <c r="A1219" t="s">
        <v>5347</v>
      </c>
      <c r="B1219" t="s">
        <v>1628</v>
      </c>
      <c r="C1219" t="s">
        <v>1629</v>
      </c>
      <c r="D1219" t="s">
        <v>56</v>
      </c>
      <c r="E1219" t="s">
        <v>1630</v>
      </c>
      <c r="F1219" t="s">
        <v>84</v>
      </c>
      <c r="G1219" s="202">
        <v>1</v>
      </c>
      <c r="H1219">
        <v>5</v>
      </c>
      <c r="I1219" t="s">
        <v>3968</v>
      </c>
      <c r="J1219" t="s">
        <v>3969</v>
      </c>
      <c r="K1219" t="s">
        <v>84</v>
      </c>
      <c r="L1219" s="204">
        <v>1</v>
      </c>
      <c r="M1219" s="112"/>
      <c r="N1219" s="112">
        <v>91.710000000000008</v>
      </c>
      <c r="O1219" s="204">
        <v>0.2222222222222221</v>
      </c>
      <c r="P1219" s="112">
        <v>20.379999999999995</v>
      </c>
      <c r="Q1219" s="112">
        <v>112.09</v>
      </c>
      <c r="R1219" s="112">
        <v>112.09</v>
      </c>
      <c r="S1219" s="112">
        <v>112.09</v>
      </c>
      <c r="T1219" s="112">
        <v>0</v>
      </c>
      <c r="U1219" t="s">
        <v>5348</v>
      </c>
      <c r="V1219" t="s">
        <v>5349</v>
      </c>
      <c r="W1219" t="s">
        <v>4666</v>
      </c>
      <c r="X1219" t="s">
        <v>4667</v>
      </c>
    </row>
    <row r="1220" spans="1:24" x14ac:dyDescent="0.2">
      <c r="A1220" t="s">
        <v>5350</v>
      </c>
      <c r="B1220" t="s">
        <v>1631</v>
      </c>
      <c r="C1220" t="s">
        <v>1632</v>
      </c>
      <c r="D1220" t="s">
        <v>335</v>
      </c>
      <c r="E1220" t="s">
        <v>604</v>
      </c>
      <c r="F1220" t="s">
        <v>26</v>
      </c>
      <c r="G1220" s="202">
        <v>1.08</v>
      </c>
      <c r="H1220">
        <v>1</v>
      </c>
      <c r="I1220" t="s">
        <v>3954</v>
      </c>
      <c r="J1220" t="s">
        <v>5227</v>
      </c>
      <c r="K1220" t="s">
        <v>1283</v>
      </c>
      <c r="L1220" s="204">
        <v>0.26</v>
      </c>
      <c r="M1220" s="112">
        <v>396.03749999999997</v>
      </c>
      <c r="N1220" s="112">
        <v>102.96974999999999</v>
      </c>
      <c r="O1220" s="204"/>
      <c r="P1220" s="112"/>
      <c r="Q1220" s="112"/>
      <c r="R1220" s="112"/>
      <c r="S1220" s="112"/>
      <c r="T1220" s="112"/>
      <c r="U1220" t="s">
        <v>5351</v>
      </c>
      <c r="V1220" t="s">
        <v>5352</v>
      </c>
      <c r="W1220" t="s">
        <v>3958</v>
      </c>
      <c r="X1220" t="s">
        <v>4660</v>
      </c>
    </row>
    <row r="1221" spans="1:24" x14ac:dyDescent="0.2">
      <c r="A1221" t="s">
        <v>5350</v>
      </c>
      <c r="B1221" t="s">
        <v>1631</v>
      </c>
      <c r="C1221" t="s">
        <v>1632</v>
      </c>
      <c r="D1221" t="s">
        <v>335</v>
      </c>
      <c r="E1221" t="s">
        <v>604</v>
      </c>
      <c r="F1221" t="s">
        <v>26</v>
      </c>
      <c r="G1221" s="202">
        <v>1.08</v>
      </c>
      <c r="H1221">
        <v>2</v>
      </c>
      <c r="I1221" t="s">
        <v>3960</v>
      </c>
      <c r="J1221" t="s">
        <v>5229</v>
      </c>
      <c r="K1221" t="s">
        <v>1283</v>
      </c>
      <c r="L1221" s="204">
        <v>0.64</v>
      </c>
      <c r="M1221" s="112">
        <v>396.03749999999997</v>
      </c>
      <c r="N1221" s="112">
        <v>253.46399999999997</v>
      </c>
      <c r="O1221" s="204"/>
      <c r="P1221" s="112"/>
      <c r="Q1221" s="112"/>
      <c r="R1221" s="112"/>
      <c r="S1221" s="112"/>
      <c r="T1221" s="112"/>
      <c r="U1221" t="s">
        <v>5351</v>
      </c>
      <c r="V1221" t="s">
        <v>5352</v>
      </c>
      <c r="W1221" t="s">
        <v>3958</v>
      </c>
      <c r="X1221" t="s">
        <v>4660</v>
      </c>
    </row>
    <row r="1222" spans="1:24" x14ac:dyDescent="0.2">
      <c r="A1222" t="s">
        <v>5350</v>
      </c>
      <c r="B1222" t="s">
        <v>1631</v>
      </c>
      <c r="C1222" t="s">
        <v>1632</v>
      </c>
      <c r="D1222" t="s">
        <v>335</v>
      </c>
      <c r="E1222" t="s">
        <v>604</v>
      </c>
      <c r="F1222" t="s">
        <v>26</v>
      </c>
      <c r="G1222" s="202">
        <v>1.08</v>
      </c>
      <c r="H1222">
        <v>3</v>
      </c>
      <c r="I1222" t="s">
        <v>3976</v>
      </c>
      <c r="J1222" t="s">
        <v>5230</v>
      </c>
      <c r="K1222" t="s">
        <v>1283</v>
      </c>
      <c r="L1222" s="204">
        <v>0.04</v>
      </c>
      <c r="M1222" s="112">
        <v>396.03749999999997</v>
      </c>
      <c r="N1222" s="112">
        <v>15.841499999999998</v>
      </c>
      <c r="O1222" s="204"/>
      <c r="P1222" s="112"/>
      <c r="Q1222" s="112"/>
      <c r="R1222" s="112"/>
      <c r="S1222" s="112"/>
      <c r="T1222" s="112"/>
      <c r="U1222" t="s">
        <v>5351</v>
      </c>
      <c r="V1222" t="s">
        <v>5352</v>
      </c>
      <c r="W1222" t="s">
        <v>3958</v>
      </c>
      <c r="X1222" t="s">
        <v>4660</v>
      </c>
    </row>
    <row r="1223" spans="1:24" x14ac:dyDescent="0.2">
      <c r="A1223" t="s">
        <v>5350</v>
      </c>
      <c r="B1223" t="s">
        <v>1631</v>
      </c>
      <c r="C1223" t="s">
        <v>1632</v>
      </c>
      <c r="D1223" t="s">
        <v>335</v>
      </c>
      <c r="E1223" t="s">
        <v>604</v>
      </c>
      <c r="F1223" t="s">
        <v>26</v>
      </c>
      <c r="G1223" s="202">
        <v>1.08</v>
      </c>
      <c r="H1223">
        <v>4</v>
      </c>
      <c r="I1223" t="s">
        <v>4017</v>
      </c>
      <c r="J1223" t="s">
        <v>4851</v>
      </c>
      <c r="K1223" t="s">
        <v>1283</v>
      </c>
      <c r="L1223" s="204">
        <v>0.06</v>
      </c>
      <c r="M1223" s="112">
        <v>396.03749999999997</v>
      </c>
      <c r="N1223" s="112">
        <v>23.762249999999998</v>
      </c>
      <c r="O1223" s="204"/>
      <c r="P1223" s="112"/>
      <c r="Q1223" s="112"/>
      <c r="R1223" s="112"/>
      <c r="S1223" s="112"/>
      <c r="T1223" s="112"/>
      <c r="U1223" t="s">
        <v>5351</v>
      </c>
      <c r="V1223" t="s">
        <v>5352</v>
      </c>
      <c r="W1223" t="s">
        <v>3958</v>
      </c>
      <c r="X1223" t="s">
        <v>4660</v>
      </c>
    </row>
    <row r="1224" spans="1:24" x14ac:dyDescent="0.2">
      <c r="A1224" t="s">
        <v>5350</v>
      </c>
      <c r="B1224" t="s">
        <v>1631</v>
      </c>
      <c r="C1224" t="s">
        <v>1632</v>
      </c>
      <c r="D1224" t="s">
        <v>335</v>
      </c>
      <c r="E1224" t="s">
        <v>604</v>
      </c>
      <c r="F1224" t="s">
        <v>26</v>
      </c>
      <c r="G1224" s="202">
        <v>1.08</v>
      </c>
      <c r="H1224">
        <v>5</v>
      </c>
      <c r="I1224" t="s">
        <v>3968</v>
      </c>
      <c r="J1224" t="s">
        <v>3969</v>
      </c>
      <c r="K1224" t="s">
        <v>26</v>
      </c>
      <c r="L1224" s="204">
        <v>1</v>
      </c>
      <c r="M1224" s="112"/>
      <c r="N1224" s="112">
        <v>396.03749999999997</v>
      </c>
      <c r="O1224" s="204">
        <v>0.22227015071758305</v>
      </c>
      <c r="P1224" s="112">
        <v>88.027314814814758</v>
      </c>
      <c r="Q1224" s="112">
        <v>484.06481481481472</v>
      </c>
      <c r="R1224" s="112">
        <v>522.79</v>
      </c>
      <c r="S1224" s="112">
        <v>522.79</v>
      </c>
      <c r="T1224" s="112">
        <v>0</v>
      </c>
      <c r="U1224" t="s">
        <v>5351</v>
      </c>
      <c r="V1224" t="s">
        <v>5352</v>
      </c>
      <c r="W1224" t="s">
        <v>4666</v>
      </c>
      <c r="X1224" t="s">
        <v>4667</v>
      </c>
    </row>
    <row r="1225" spans="1:24" x14ac:dyDescent="0.2">
      <c r="A1225" t="s">
        <v>5353</v>
      </c>
      <c r="B1225" t="s">
        <v>1633</v>
      </c>
      <c r="C1225" t="s">
        <v>1634</v>
      </c>
      <c r="D1225" t="s">
        <v>56</v>
      </c>
      <c r="E1225" t="s">
        <v>942</v>
      </c>
      <c r="F1225" t="s">
        <v>84</v>
      </c>
      <c r="G1225" s="202">
        <v>3</v>
      </c>
      <c r="H1225">
        <v>1</v>
      </c>
      <c r="I1225" t="s">
        <v>3954</v>
      </c>
      <c r="J1225" t="s">
        <v>4110</v>
      </c>
      <c r="K1225" t="s">
        <v>1283</v>
      </c>
      <c r="L1225" s="204">
        <v>0.3</v>
      </c>
      <c r="M1225" s="112">
        <v>118.38</v>
      </c>
      <c r="N1225" s="112">
        <v>35.513999999999996</v>
      </c>
      <c r="O1225" s="204"/>
      <c r="P1225" s="112"/>
      <c r="Q1225" s="112"/>
      <c r="R1225" s="112"/>
      <c r="S1225" s="112"/>
      <c r="T1225" s="112"/>
      <c r="U1225" t="s">
        <v>5354</v>
      </c>
      <c r="V1225" t="s">
        <v>5355</v>
      </c>
      <c r="W1225" t="s">
        <v>3958</v>
      </c>
      <c r="X1225" t="s">
        <v>4660</v>
      </c>
    </row>
    <row r="1226" spans="1:24" x14ac:dyDescent="0.2">
      <c r="A1226" t="s">
        <v>5353</v>
      </c>
      <c r="B1226" t="s">
        <v>1633</v>
      </c>
      <c r="C1226" t="s">
        <v>1634</v>
      </c>
      <c r="D1226" t="s">
        <v>56</v>
      </c>
      <c r="E1226" t="s">
        <v>942</v>
      </c>
      <c r="F1226" t="s">
        <v>84</v>
      </c>
      <c r="G1226" s="202">
        <v>3</v>
      </c>
      <c r="H1226">
        <v>2</v>
      </c>
      <c r="I1226" t="s">
        <v>3960</v>
      </c>
      <c r="J1226" t="s">
        <v>4113</v>
      </c>
      <c r="K1226" t="s">
        <v>1283</v>
      </c>
      <c r="L1226" s="204">
        <v>0.55000000000000004</v>
      </c>
      <c r="M1226" s="112">
        <v>118.38</v>
      </c>
      <c r="N1226" s="112">
        <v>65.109000000000009</v>
      </c>
      <c r="O1226" s="204"/>
      <c r="P1226" s="112"/>
      <c r="Q1226" s="112"/>
      <c r="R1226" s="112"/>
      <c r="S1226" s="112"/>
      <c r="T1226" s="112"/>
      <c r="U1226" t="s">
        <v>5354</v>
      </c>
      <c r="V1226" t="s">
        <v>5355</v>
      </c>
      <c r="W1226" t="s">
        <v>3958</v>
      </c>
      <c r="X1226" t="s">
        <v>4660</v>
      </c>
    </row>
    <row r="1227" spans="1:24" x14ac:dyDescent="0.2">
      <c r="A1227" t="s">
        <v>5353</v>
      </c>
      <c r="B1227" t="s">
        <v>1633</v>
      </c>
      <c r="C1227" t="s">
        <v>1634</v>
      </c>
      <c r="D1227" t="s">
        <v>56</v>
      </c>
      <c r="E1227" t="s">
        <v>942</v>
      </c>
      <c r="F1227" t="s">
        <v>84</v>
      </c>
      <c r="G1227" s="202">
        <v>3</v>
      </c>
      <c r="H1227">
        <v>3</v>
      </c>
      <c r="I1227" t="s">
        <v>3976</v>
      </c>
      <c r="J1227" t="s">
        <v>4114</v>
      </c>
      <c r="K1227" t="s">
        <v>1283</v>
      </c>
      <c r="L1227" s="204">
        <v>0.1</v>
      </c>
      <c r="M1227" s="112">
        <v>118.38</v>
      </c>
      <c r="N1227" s="112">
        <v>11.838000000000001</v>
      </c>
      <c r="O1227" s="204"/>
      <c r="P1227" s="112"/>
      <c r="Q1227" s="112"/>
      <c r="R1227" s="112"/>
      <c r="S1227" s="112"/>
      <c r="T1227" s="112"/>
      <c r="U1227" t="s">
        <v>5354</v>
      </c>
      <c r="V1227" t="s">
        <v>5355</v>
      </c>
      <c r="W1227" t="s">
        <v>3958</v>
      </c>
      <c r="X1227" t="s">
        <v>4660</v>
      </c>
    </row>
    <row r="1228" spans="1:24" x14ac:dyDescent="0.2">
      <c r="A1228" t="s">
        <v>5353</v>
      </c>
      <c r="B1228" t="s">
        <v>1633</v>
      </c>
      <c r="C1228" t="s">
        <v>1634</v>
      </c>
      <c r="D1228" t="s">
        <v>56</v>
      </c>
      <c r="E1228" t="s">
        <v>942</v>
      </c>
      <c r="F1228" t="s">
        <v>84</v>
      </c>
      <c r="G1228" s="202">
        <v>3</v>
      </c>
      <c r="H1228">
        <v>4</v>
      </c>
      <c r="I1228" t="s">
        <v>4017</v>
      </c>
      <c r="J1228" t="s">
        <v>4115</v>
      </c>
      <c r="K1228" t="s">
        <v>1283</v>
      </c>
      <c r="L1228" s="204">
        <v>0.05</v>
      </c>
      <c r="M1228" s="112">
        <v>118.38</v>
      </c>
      <c r="N1228" s="112">
        <v>5.9190000000000005</v>
      </c>
      <c r="O1228" s="204"/>
      <c r="P1228" s="112"/>
      <c r="Q1228" s="112"/>
      <c r="R1228" s="112"/>
      <c r="S1228" s="112"/>
      <c r="T1228" s="112"/>
      <c r="U1228" t="s">
        <v>5354</v>
      </c>
      <c r="V1228" t="s">
        <v>5355</v>
      </c>
      <c r="W1228" t="s">
        <v>3958</v>
      </c>
      <c r="X1228" t="s">
        <v>4660</v>
      </c>
    </row>
    <row r="1229" spans="1:24" x14ac:dyDescent="0.2">
      <c r="A1229" t="s">
        <v>5353</v>
      </c>
      <c r="B1229" t="s">
        <v>1633</v>
      </c>
      <c r="C1229" t="s">
        <v>1634</v>
      </c>
      <c r="D1229" t="s">
        <v>56</v>
      </c>
      <c r="E1229" t="s">
        <v>942</v>
      </c>
      <c r="F1229" t="s">
        <v>84</v>
      </c>
      <c r="G1229" s="202">
        <v>3</v>
      </c>
      <c r="H1229">
        <v>5</v>
      </c>
      <c r="I1229" t="s">
        <v>3968</v>
      </c>
      <c r="J1229" t="s">
        <v>3969</v>
      </c>
      <c r="K1229" t="s">
        <v>84</v>
      </c>
      <c r="L1229" s="204">
        <v>1</v>
      </c>
      <c r="M1229" s="112"/>
      <c r="N1229" s="112">
        <v>118.38</v>
      </c>
      <c r="O1229" s="204">
        <v>0.222250380131779</v>
      </c>
      <c r="P1229" s="112">
        <v>26.310000000000002</v>
      </c>
      <c r="Q1229" s="112">
        <v>144.69</v>
      </c>
      <c r="R1229" s="112">
        <v>434.07</v>
      </c>
      <c r="S1229" s="112">
        <v>434.07</v>
      </c>
      <c r="T1229" s="112">
        <v>0</v>
      </c>
      <c r="U1229" t="s">
        <v>5354</v>
      </c>
      <c r="V1229" t="s">
        <v>5355</v>
      </c>
      <c r="W1229" t="s">
        <v>4666</v>
      </c>
      <c r="X1229" t="s">
        <v>4667</v>
      </c>
    </row>
    <row r="1230" spans="1:24" x14ac:dyDescent="0.2">
      <c r="A1230" t="s">
        <v>5356</v>
      </c>
      <c r="B1230" t="s">
        <v>608</v>
      </c>
      <c r="C1230" t="s">
        <v>1569</v>
      </c>
      <c r="D1230" t="s">
        <v>56</v>
      </c>
      <c r="E1230" t="s">
        <v>574</v>
      </c>
      <c r="F1230" t="s">
        <v>99</v>
      </c>
      <c r="G1230" s="202">
        <v>35.6</v>
      </c>
      <c r="H1230">
        <v>1</v>
      </c>
      <c r="I1230" t="s">
        <v>3954</v>
      </c>
      <c r="J1230" t="s">
        <v>5227</v>
      </c>
      <c r="K1230" t="s">
        <v>1283</v>
      </c>
      <c r="L1230" s="204">
        <v>0.26</v>
      </c>
      <c r="M1230" s="112">
        <v>27.022500000000001</v>
      </c>
      <c r="N1230" s="112">
        <v>7.0258500000000002</v>
      </c>
      <c r="O1230" s="204"/>
      <c r="P1230" s="112"/>
      <c r="Q1230" s="112"/>
      <c r="R1230" s="112"/>
      <c r="S1230" s="112"/>
      <c r="T1230" s="112"/>
      <c r="U1230" t="s">
        <v>5266</v>
      </c>
      <c r="V1230" t="s">
        <v>5357</v>
      </c>
      <c r="W1230" t="s">
        <v>3958</v>
      </c>
      <c r="X1230" t="s">
        <v>4660</v>
      </c>
    </row>
    <row r="1231" spans="1:24" x14ac:dyDescent="0.2">
      <c r="A1231" t="s">
        <v>5356</v>
      </c>
      <c r="B1231" t="s">
        <v>608</v>
      </c>
      <c r="C1231" t="s">
        <v>1569</v>
      </c>
      <c r="D1231" t="s">
        <v>56</v>
      </c>
      <c r="E1231" t="s">
        <v>574</v>
      </c>
      <c r="F1231" t="s">
        <v>99</v>
      </c>
      <c r="G1231" s="202">
        <v>35.6</v>
      </c>
      <c r="H1231">
        <v>2</v>
      </c>
      <c r="I1231" t="s">
        <v>3960</v>
      </c>
      <c r="J1231" t="s">
        <v>5229</v>
      </c>
      <c r="K1231" t="s">
        <v>1283</v>
      </c>
      <c r="L1231" s="204">
        <v>0.64</v>
      </c>
      <c r="M1231" s="112">
        <v>27.022500000000001</v>
      </c>
      <c r="N1231" s="112">
        <v>17.2944</v>
      </c>
      <c r="O1231" s="204"/>
      <c r="P1231" s="112"/>
      <c r="Q1231" s="112"/>
      <c r="R1231" s="112"/>
      <c r="S1231" s="112"/>
      <c r="T1231" s="112"/>
      <c r="U1231" t="s">
        <v>5266</v>
      </c>
      <c r="V1231" t="s">
        <v>5357</v>
      </c>
      <c r="W1231" t="s">
        <v>3958</v>
      </c>
      <c r="X1231" t="s">
        <v>4660</v>
      </c>
    </row>
    <row r="1232" spans="1:24" x14ac:dyDescent="0.2">
      <c r="A1232" t="s">
        <v>5356</v>
      </c>
      <c r="B1232" t="s">
        <v>608</v>
      </c>
      <c r="C1232" t="s">
        <v>1569</v>
      </c>
      <c r="D1232" t="s">
        <v>56</v>
      </c>
      <c r="E1232" t="s">
        <v>574</v>
      </c>
      <c r="F1232" t="s">
        <v>99</v>
      </c>
      <c r="G1232" s="202">
        <v>35.6</v>
      </c>
      <c r="H1232">
        <v>3</v>
      </c>
      <c r="I1232" t="s">
        <v>3976</v>
      </c>
      <c r="J1232" t="s">
        <v>5230</v>
      </c>
      <c r="K1232" t="s">
        <v>1283</v>
      </c>
      <c r="L1232" s="204">
        <v>0.04</v>
      </c>
      <c r="M1232" s="112">
        <v>27.022500000000001</v>
      </c>
      <c r="N1232" s="112">
        <v>1.0809</v>
      </c>
      <c r="O1232" s="204"/>
      <c r="P1232" s="112"/>
      <c r="Q1232" s="112"/>
      <c r="R1232" s="112"/>
      <c r="S1232" s="112"/>
      <c r="T1232" s="112"/>
      <c r="U1232" t="s">
        <v>5266</v>
      </c>
      <c r="V1232" t="s">
        <v>5357</v>
      </c>
      <c r="W1232" t="s">
        <v>3958</v>
      </c>
      <c r="X1232" t="s">
        <v>4660</v>
      </c>
    </row>
    <row r="1233" spans="1:24" x14ac:dyDescent="0.2">
      <c r="A1233" t="s">
        <v>5356</v>
      </c>
      <c r="B1233" t="s">
        <v>608</v>
      </c>
      <c r="C1233" t="s">
        <v>1569</v>
      </c>
      <c r="D1233" t="s">
        <v>56</v>
      </c>
      <c r="E1233" t="s">
        <v>574</v>
      </c>
      <c r="F1233" t="s">
        <v>99</v>
      </c>
      <c r="G1233" s="202">
        <v>35.6</v>
      </c>
      <c r="H1233">
        <v>4</v>
      </c>
      <c r="I1233" t="s">
        <v>4017</v>
      </c>
      <c r="J1233" t="s">
        <v>4851</v>
      </c>
      <c r="K1233" t="s">
        <v>1283</v>
      </c>
      <c r="L1233" s="204">
        <v>0.06</v>
      </c>
      <c r="M1233" s="112">
        <v>27.022500000000001</v>
      </c>
      <c r="N1233" s="112">
        <v>1.6213500000000001</v>
      </c>
      <c r="O1233" s="204"/>
      <c r="P1233" s="112"/>
      <c r="Q1233" s="112"/>
      <c r="R1233" s="112"/>
      <c r="S1233" s="112"/>
      <c r="T1233" s="112"/>
      <c r="U1233" t="s">
        <v>5266</v>
      </c>
      <c r="V1233" t="s">
        <v>5357</v>
      </c>
      <c r="W1233" t="s">
        <v>3958</v>
      </c>
      <c r="X1233" t="s">
        <v>4660</v>
      </c>
    </row>
    <row r="1234" spans="1:24" x14ac:dyDescent="0.2">
      <c r="A1234" t="s">
        <v>5356</v>
      </c>
      <c r="B1234" t="s">
        <v>608</v>
      </c>
      <c r="C1234" t="s">
        <v>1569</v>
      </c>
      <c r="D1234" t="s">
        <v>56</v>
      </c>
      <c r="E1234" t="s">
        <v>574</v>
      </c>
      <c r="F1234" t="s">
        <v>99</v>
      </c>
      <c r="G1234" s="202">
        <v>35.6</v>
      </c>
      <c r="H1234">
        <v>5</v>
      </c>
      <c r="I1234" t="s">
        <v>3968</v>
      </c>
      <c r="J1234" t="s">
        <v>3969</v>
      </c>
      <c r="K1234" t="s">
        <v>99</v>
      </c>
      <c r="L1234" s="204">
        <v>1</v>
      </c>
      <c r="M1234" s="112"/>
      <c r="N1234" s="112">
        <v>27.022500000000001</v>
      </c>
      <c r="O1234" s="204">
        <v>0.22203615172957192</v>
      </c>
      <c r="P1234" s="112">
        <v>5.9999719101123574</v>
      </c>
      <c r="Q1234" s="112">
        <v>33.022471910112358</v>
      </c>
      <c r="R1234" s="112">
        <v>1175.5999999999999</v>
      </c>
      <c r="S1234" s="112">
        <v>1175.5999999999999</v>
      </c>
      <c r="T1234" s="112">
        <v>0</v>
      </c>
      <c r="U1234" t="s">
        <v>5266</v>
      </c>
      <c r="V1234" t="s">
        <v>5357</v>
      </c>
      <c r="W1234" t="s">
        <v>4666</v>
      </c>
      <c r="X1234" t="s">
        <v>4667</v>
      </c>
    </row>
    <row r="1235" spans="1:24" x14ac:dyDescent="0.2">
      <c r="A1235" t="s">
        <v>5358</v>
      </c>
      <c r="B1235" t="s">
        <v>609</v>
      </c>
      <c r="C1235" t="s">
        <v>1571</v>
      </c>
      <c r="D1235" t="s">
        <v>56</v>
      </c>
      <c r="E1235" t="s">
        <v>575</v>
      </c>
      <c r="F1235" t="s">
        <v>99</v>
      </c>
      <c r="G1235" s="202">
        <v>126</v>
      </c>
      <c r="H1235">
        <v>1</v>
      </c>
      <c r="I1235" t="s">
        <v>3954</v>
      </c>
      <c r="J1235" t="s">
        <v>5227</v>
      </c>
      <c r="K1235" t="s">
        <v>1283</v>
      </c>
      <c r="L1235" s="204">
        <v>0.26</v>
      </c>
      <c r="M1235" s="112">
        <v>23.557500000000001</v>
      </c>
      <c r="N1235" s="112">
        <v>6.1249500000000001</v>
      </c>
      <c r="O1235" s="204"/>
      <c r="P1235" s="112"/>
      <c r="Q1235" s="112"/>
      <c r="R1235" s="112"/>
      <c r="S1235" s="112"/>
      <c r="T1235" s="112"/>
      <c r="U1235" t="s">
        <v>5269</v>
      </c>
      <c r="V1235" t="s">
        <v>5359</v>
      </c>
      <c r="W1235" t="s">
        <v>3958</v>
      </c>
      <c r="X1235" t="s">
        <v>4660</v>
      </c>
    </row>
    <row r="1236" spans="1:24" x14ac:dyDescent="0.2">
      <c r="A1236" t="s">
        <v>5358</v>
      </c>
      <c r="B1236" t="s">
        <v>609</v>
      </c>
      <c r="C1236" t="s">
        <v>1571</v>
      </c>
      <c r="D1236" t="s">
        <v>56</v>
      </c>
      <c r="E1236" t="s">
        <v>575</v>
      </c>
      <c r="F1236" t="s">
        <v>99</v>
      </c>
      <c r="G1236" s="202">
        <v>126</v>
      </c>
      <c r="H1236">
        <v>2</v>
      </c>
      <c r="I1236" t="s">
        <v>3960</v>
      </c>
      <c r="J1236" t="s">
        <v>5229</v>
      </c>
      <c r="K1236" t="s">
        <v>1283</v>
      </c>
      <c r="L1236" s="204">
        <v>0.64</v>
      </c>
      <c r="M1236" s="112">
        <v>23.557500000000001</v>
      </c>
      <c r="N1236" s="112">
        <v>15.0768</v>
      </c>
      <c r="O1236" s="204"/>
      <c r="P1236" s="112"/>
      <c r="Q1236" s="112"/>
      <c r="R1236" s="112"/>
      <c r="S1236" s="112"/>
      <c r="T1236" s="112"/>
      <c r="U1236" t="s">
        <v>5269</v>
      </c>
      <c r="V1236" t="s">
        <v>5359</v>
      </c>
      <c r="W1236" t="s">
        <v>3958</v>
      </c>
      <c r="X1236" t="s">
        <v>4660</v>
      </c>
    </row>
    <row r="1237" spans="1:24" x14ac:dyDescent="0.2">
      <c r="A1237" t="s">
        <v>5358</v>
      </c>
      <c r="B1237" t="s">
        <v>609</v>
      </c>
      <c r="C1237" t="s">
        <v>1571</v>
      </c>
      <c r="D1237" t="s">
        <v>56</v>
      </c>
      <c r="E1237" t="s">
        <v>575</v>
      </c>
      <c r="F1237" t="s">
        <v>99</v>
      </c>
      <c r="G1237" s="202">
        <v>126</v>
      </c>
      <c r="H1237">
        <v>3</v>
      </c>
      <c r="I1237" t="s">
        <v>3976</v>
      </c>
      <c r="J1237" t="s">
        <v>5230</v>
      </c>
      <c r="K1237" t="s">
        <v>1283</v>
      </c>
      <c r="L1237" s="204">
        <v>0.04</v>
      </c>
      <c r="M1237" s="112">
        <v>23.557500000000001</v>
      </c>
      <c r="N1237" s="112">
        <v>0.94230000000000003</v>
      </c>
      <c r="O1237" s="204"/>
      <c r="P1237" s="112"/>
      <c r="Q1237" s="112"/>
      <c r="R1237" s="112"/>
      <c r="S1237" s="112"/>
      <c r="T1237" s="112"/>
      <c r="U1237" t="s">
        <v>5269</v>
      </c>
      <c r="V1237" t="s">
        <v>5359</v>
      </c>
      <c r="W1237" t="s">
        <v>3958</v>
      </c>
      <c r="X1237" t="s">
        <v>4660</v>
      </c>
    </row>
    <row r="1238" spans="1:24" x14ac:dyDescent="0.2">
      <c r="A1238" t="s">
        <v>5358</v>
      </c>
      <c r="B1238" t="s">
        <v>609</v>
      </c>
      <c r="C1238" t="s">
        <v>1571</v>
      </c>
      <c r="D1238" t="s">
        <v>56</v>
      </c>
      <c r="E1238" t="s">
        <v>575</v>
      </c>
      <c r="F1238" t="s">
        <v>99</v>
      </c>
      <c r="G1238" s="202">
        <v>126</v>
      </c>
      <c r="H1238">
        <v>4</v>
      </c>
      <c r="I1238" t="s">
        <v>4017</v>
      </c>
      <c r="J1238" t="s">
        <v>4851</v>
      </c>
      <c r="K1238" t="s">
        <v>1283</v>
      </c>
      <c r="L1238" s="204">
        <v>0.06</v>
      </c>
      <c r="M1238" s="112">
        <v>23.557500000000001</v>
      </c>
      <c r="N1238" s="112">
        <v>1.4134500000000001</v>
      </c>
      <c r="O1238" s="204"/>
      <c r="P1238" s="112"/>
      <c r="Q1238" s="112"/>
      <c r="R1238" s="112"/>
      <c r="S1238" s="112"/>
      <c r="T1238" s="112"/>
      <c r="U1238" t="s">
        <v>5269</v>
      </c>
      <c r="V1238" t="s">
        <v>5359</v>
      </c>
      <c r="W1238" t="s">
        <v>3958</v>
      </c>
      <c r="X1238" t="s">
        <v>4660</v>
      </c>
    </row>
    <row r="1239" spans="1:24" x14ac:dyDescent="0.2">
      <c r="A1239" t="s">
        <v>5358</v>
      </c>
      <c r="B1239" t="s">
        <v>609</v>
      </c>
      <c r="C1239" t="s">
        <v>1571</v>
      </c>
      <c r="D1239" t="s">
        <v>56</v>
      </c>
      <c r="E1239" t="s">
        <v>575</v>
      </c>
      <c r="F1239" t="s">
        <v>99</v>
      </c>
      <c r="G1239" s="202">
        <v>126</v>
      </c>
      <c r="H1239">
        <v>5</v>
      </c>
      <c r="I1239" t="s">
        <v>3968</v>
      </c>
      <c r="J1239" t="s">
        <v>3969</v>
      </c>
      <c r="K1239" t="s">
        <v>99</v>
      </c>
      <c r="L1239" s="204">
        <v>1</v>
      </c>
      <c r="M1239" s="112"/>
      <c r="N1239" s="112">
        <v>23.557500000000001</v>
      </c>
      <c r="O1239" s="204">
        <v>0.22222053772515404</v>
      </c>
      <c r="P1239" s="112">
        <v>5.2349603174603168</v>
      </c>
      <c r="Q1239" s="112">
        <v>28.792460317460318</v>
      </c>
      <c r="R1239" s="112">
        <v>3627.85</v>
      </c>
      <c r="S1239" s="112">
        <v>3627.85</v>
      </c>
      <c r="T1239" s="112">
        <v>0</v>
      </c>
      <c r="U1239" t="s">
        <v>5269</v>
      </c>
      <c r="V1239" t="s">
        <v>5359</v>
      </c>
      <c r="W1239" t="s">
        <v>4666</v>
      </c>
      <c r="X1239" t="s">
        <v>4667</v>
      </c>
    </row>
    <row r="1240" spans="1:24" x14ac:dyDescent="0.2">
      <c r="A1240" t="s">
        <v>5360</v>
      </c>
      <c r="B1240" t="s">
        <v>610</v>
      </c>
      <c r="C1240" t="s">
        <v>1575</v>
      </c>
      <c r="D1240" t="s">
        <v>56</v>
      </c>
      <c r="E1240" t="s">
        <v>577</v>
      </c>
      <c r="F1240" t="s">
        <v>99</v>
      </c>
      <c r="G1240" s="202">
        <v>172.4</v>
      </c>
      <c r="H1240">
        <v>1</v>
      </c>
      <c r="I1240" t="s">
        <v>3954</v>
      </c>
      <c r="J1240" t="s">
        <v>5227</v>
      </c>
      <c r="K1240" t="s">
        <v>1283</v>
      </c>
      <c r="L1240" s="204">
        <v>0.26</v>
      </c>
      <c r="M1240" s="112">
        <v>23.865000000000002</v>
      </c>
      <c r="N1240" s="112">
        <v>6.2049000000000003</v>
      </c>
      <c r="O1240" s="204"/>
      <c r="P1240" s="112"/>
      <c r="Q1240" s="112"/>
      <c r="R1240" s="112"/>
      <c r="S1240" s="112"/>
      <c r="T1240" s="112"/>
      <c r="U1240" t="s">
        <v>5275</v>
      </c>
      <c r="V1240" t="s">
        <v>5361</v>
      </c>
      <c r="W1240" t="s">
        <v>3958</v>
      </c>
      <c r="X1240" t="s">
        <v>4660</v>
      </c>
    </row>
    <row r="1241" spans="1:24" x14ac:dyDescent="0.2">
      <c r="A1241" t="s">
        <v>5360</v>
      </c>
      <c r="B1241" t="s">
        <v>610</v>
      </c>
      <c r="C1241" t="s">
        <v>1575</v>
      </c>
      <c r="D1241" t="s">
        <v>56</v>
      </c>
      <c r="E1241" t="s">
        <v>577</v>
      </c>
      <c r="F1241" t="s">
        <v>99</v>
      </c>
      <c r="G1241" s="202">
        <v>172.4</v>
      </c>
      <c r="H1241">
        <v>2</v>
      </c>
      <c r="I1241" t="s">
        <v>3960</v>
      </c>
      <c r="J1241" t="s">
        <v>5229</v>
      </c>
      <c r="K1241" t="s">
        <v>1283</v>
      </c>
      <c r="L1241" s="204">
        <v>0.64</v>
      </c>
      <c r="M1241" s="112">
        <v>23.865000000000002</v>
      </c>
      <c r="N1241" s="112">
        <v>15.273600000000002</v>
      </c>
      <c r="O1241" s="204"/>
      <c r="P1241" s="112"/>
      <c r="Q1241" s="112"/>
      <c r="R1241" s="112"/>
      <c r="S1241" s="112"/>
      <c r="T1241" s="112"/>
      <c r="U1241" t="s">
        <v>5275</v>
      </c>
      <c r="V1241" t="s">
        <v>5361</v>
      </c>
      <c r="W1241" t="s">
        <v>3958</v>
      </c>
      <c r="X1241" t="s">
        <v>4660</v>
      </c>
    </row>
    <row r="1242" spans="1:24" x14ac:dyDescent="0.2">
      <c r="A1242" t="s">
        <v>5360</v>
      </c>
      <c r="B1242" t="s">
        <v>610</v>
      </c>
      <c r="C1242" t="s">
        <v>1575</v>
      </c>
      <c r="D1242" t="s">
        <v>56</v>
      </c>
      <c r="E1242" t="s">
        <v>577</v>
      </c>
      <c r="F1242" t="s">
        <v>99</v>
      </c>
      <c r="G1242" s="202">
        <v>172.4</v>
      </c>
      <c r="H1242">
        <v>3</v>
      </c>
      <c r="I1242" t="s">
        <v>3976</v>
      </c>
      <c r="J1242" t="s">
        <v>5230</v>
      </c>
      <c r="K1242" t="s">
        <v>1283</v>
      </c>
      <c r="L1242" s="204">
        <v>0.04</v>
      </c>
      <c r="M1242" s="112">
        <v>23.865000000000002</v>
      </c>
      <c r="N1242" s="112">
        <v>0.95460000000000012</v>
      </c>
      <c r="O1242" s="204"/>
      <c r="P1242" s="112"/>
      <c r="Q1242" s="112"/>
      <c r="R1242" s="112"/>
      <c r="S1242" s="112"/>
      <c r="T1242" s="112"/>
      <c r="U1242" t="s">
        <v>5275</v>
      </c>
      <c r="V1242" t="s">
        <v>5361</v>
      </c>
      <c r="W1242" t="s">
        <v>3958</v>
      </c>
      <c r="X1242" t="s">
        <v>4660</v>
      </c>
    </row>
    <row r="1243" spans="1:24" x14ac:dyDescent="0.2">
      <c r="A1243" t="s">
        <v>5360</v>
      </c>
      <c r="B1243" t="s">
        <v>610</v>
      </c>
      <c r="C1243" t="s">
        <v>1575</v>
      </c>
      <c r="D1243" t="s">
        <v>56</v>
      </c>
      <c r="E1243" t="s">
        <v>577</v>
      </c>
      <c r="F1243" t="s">
        <v>99</v>
      </c>
      <c r="G1243" s="202">
        <v>172.4</v>
      </c>
      <c r="H1243">
        <v>4</v>
      </c>
      <c r="I1243" t="s">
        <v>4017</v>
      </c>
      <c r="J1243" t="s">
        <v>4851</v>
      </c>
      <c r="K1243" t="s">
        <v>1283</v>
      </c>
      <c r="L1243" s="204">
        <v>0.06</v>
      </c>
      <c r="M1243" s="112">
        <v>23.865000000000002</v>
      </c>
      <c r="N1243" s="112">
        <v>1.4319000000000002</v>
      </c>
      <c r="O1243" s="204"/>
      <c r="P1243" s="112"/>
      <c r="Q1243" s="112"/>
      <c r="R1243" s="112"/>
      <c r="S1243" s="112"/>
      <c r="T1243" s="112"/>
      <c r="U1243" t="s">
        <v>5275</v>
      </c>
      <c r="V1243" t="s">
        <v>5361</v>
      </c>
      <c r="W1243" t="s">
        <v>3958</v>
      </c>
      <c r="X1243" t="s">
        <v>4660</v>
      </c>
    </row>
    <row r="1244" spans="1:24" x14ac:dyDescent="0.2">
      <c r="A1244" t="s">
        <v>5360</v>
      </c>
      <c r="B1244" t="s">
        <v>610</v>
      </c>
      <c r="C1244" t="s">
        <v>1575</v>
      </c>
      <c r="D1244" t="s">
        <v>56</v>
      </c>
      <c r="E1244" t="s">
        <v>577</v>
      </c>
      <c r="F1244" t="s">
        <v>99</v>
      </c>
      <c r="G1244" s="202">
        <v>172.4</v>
      </c>
      <c r="H1244">
        <v>5</v>
      </c>
      <c r="I1244" t="s">
        <v>3968</v>
      </c>
      <c r="J1244" t="s">
        <v>3969</v>
      </c>
      <c r="K1244" t="s">
        <v>99</v>
      </c>
      <c r="L1244" s="204">
        <v>1</v>
      </c>
      <c r="M1244" s="112"/>
      <c r="N1244" s="112">
        <v>23.865000000000002</v>
      </c>
      <c r="O1244" s="204">
        <v>0.22218560221042272</v>
      </c>
      <c r="P1244" s="112">
        <v>5.3024593967517397</v>
      </c>
      <c r="Q1244" s="112">
        <v>29.167459396751742</v>
      </c>
      <c r="R1244" s="112">
        <v>5028.47</v>
      </c>
      <c r="S1244" s="112">
        <v>5028.47</v>
      </c>
      <c r="T1244" s="112">
        <v>0</v>
      </c>
      <c r="U1244" t="s">
        <v>5275</v>
      </c>
      <c r="V1244" t="s">
        <v>5361</v>
      </c>
      <c r="W1244" t="s">
        <v>4666</v>
      </c>
      <c r="X1244" t="s">
        <v>4667</v>
      </c>
    </row>
    <row r="1245" spans="1:24" x14ac:dyDescent="0.2">
      <c r="A1245" t="s">
        <v>5362</v>
      </c>
      <c r="B1245" t="s">
        <v>611</v>
      </c>
      <c r="C1245" t="s">
        <v>1635</v>
      </c>
      <c r="D1245" t="s">
        <v>56</v>
      </c>
      <c r="E1245" t="s">
        <v>612</v>
      </c>
      <c r="F1245" t="s">
        <v>84</v>
      </c>
      <c r="G1245" s="202">
        <v>2</v>
      </c>
      <c r="H1245">
        <v>1</v>
      </c>
      <c r="I1245" t="s">
        <v>3954</v>
      </c>
      <c r="J1245" t="s">
        <v>5227</v>
      </c>
      <c r="K1245" t="s">
        <v>1283</v>
      </c>
      <c r="L1245" s="204">
        <v>0.26</v>
      </c>
      <c r="M1245" s="112">
        <v>67.89</v>
      </c>
      <c r="N1245" s="112">
        <v>17.651400000000002</v>
      </c>
      <c r="O1245" s="204"/>
      <c r="P1245" s="112"/>
      <c r="Q1245" s="112"/>
      <c r="R1245" s="112"/>
      <c r="S1245" s="112"/>
      <c r="T1245" s="112"/>
      <c r="U1245" t="s">
        <v>5363</v>
      </c>
      <c r="V1245" t="s">
        <v>5364</v>
      </c>
      <c r="W1245" t="s">
        <v>3958</v>
      </c>
      <c r="X1245" t="s">
        <v>4660</v>
      </c>
    </row>
    <row r="1246" spans="1:24" x14ac:dyDescent="0.2">
      <c r="A1246" t="s">
        <v>5362</v>
      </c>
      <c r="B1246" t="s">
        <v>611</v>
      </c>
      <c r="C1246" t="s">
        <v>1635</v>
      </c>
      <c r="D1246" t="s">
        <v>56</v>
      </c>
      <c r="E1246" t="s">
        <v>612</v>
      </c>
      <c r="F1246" t="s">
        <v>84</v>
      </c>
      <c r="G1246" s="202">
        <v>2</v>
      </c>
      <c r="H1246">
        <v>2</v>
      </c>
      <c r="I1246" t="s">
        <v>3960</v>
      </c>
      <c r="J1246" t="s">
        <v>5229</v>
      </c>
      <c r="K1246" t="s">
        <v>1283</v>
      </c>
      <c r="L1246" s="204">
        <v>0.64</v>
      </c>
      <c r="M1246" s="112">
        <v>67.89</v>
      </c>
      <c r="N1246" s="112">
        <v>43.449600000000004</v>
      </c>
      <c r="O1246" s="204"/>
      <c r="P1246" s="112"/>
      <c r="Q1246" s="112"/>
      <c r="R1246" s="112"/>
      <c r="S1246" s="112"/>
      <c r="T1246" s="112"/>
      <c r="U1246" t="s">
        <v>5363</v>
      </c>
      <c r="V1246" t="s">
        <v>5364</v>
      </c>
      <c r="W1246" t="s">
        <v>3958</v>
      </c>
      <c r="X1246" t="s">
        <v>4660</v>
      </c>
    </row>
    <row r="1247" spans="1:24" x14ac:dyDescent="0.2">
      <c r="A1247" t="s">
        <v>5362</v>
      </c>
      <c r="B1247" t="s">
        <v>611</v>
      </c>
      <c r="C1247" t="s">
        <v>1635</v>
      </c>
      <c r="D1247" t="s">
        <v>56</v>
      </c>
      <c r="E1247" t="s">
        <v>612</v>
      </c>
      <c r="F1247" t="s">
        <v>84</v>
      </c>
      <c r="G1247" s="202">
        <v>2</v>
      </c>
      <c r="H1247">
        <v>3</v>
      </c>
      <c r="I1247" t="s">
        <v>3976</v>
      </c>
      <c r="J1247" t="s">
        <v>5230</v>
      </c>
      <c r="K1247" t="s">
        <v>1283</v>
      </c>
      <c r="L1247" s="204">
        <v>0.04</v>
      </c>
      <c r="M1247" s="112">
        <v>67.89</v>
      </c>
      <c r="N1247" s="112">
        <v>2.7156000000000002</v>
      </c>
      <c r="O1247" s="204"/>
      <c r="P1247" s="112"/>
      <c r="Q1247" s="112"/>
      <c r="R1247" s="112"/>
      <c r="S1247" s="112"/>
      <c r="T1247" s="112"/>
      <c r="U1247" t="s">
        <v>5363</v>
      </c>
      <c r="V1247" t="s">
        <v>5364</v>
      </c>
      <c r="W1247" t="s">
        <v>3958</v>
      </c>
      <c r="X1247" t="s">
        <v>4660</v>
      </c>
    </row>
    <row r="1248" spans="1:24" x14ac:dyDescent="0.2">
      <c r="A1248" t="s">
        <v>5362</v>
      </c>
      <c r="B1248" t="s">
        <v>611</v>
      </c>
      <c r="C1248" t="s">
        <v>1635</v>
      </c>
      <c r="D1248" t="s">
        <v>56</v>
      </c>
      <c r="E1248" t="s">
        <v>612</v>
      </c>
      <c r="F1248" t="s">
        <v>84</v>
      </c>
      <c r="G1248" s="202">
        <v>2</v>
      </c>
      <c r="H1248">
        <v>4</v>
      </c>
      <c r="I1248" t="s">
        <v>4017</v>
      </c>
      <c r="J1248" t="s">
        <v>4851</v>
      </c>
      <c r="K1248" t="s">
        <v>1283</v>
      </c>
      <c r="L1248" s="204">
        <v>0.06</v>
      </c>
      <c r="M1248" s="112">
        <v>67.89</v>
      </c>
      <c r="N1248" s="112">
        <v>4.0733999999999995</v>
      </c>
      <c r="O1248" s="204"/>
      <c r="P1248" s="112"/>
      <c r="Q1248" s="112"/>
      <c r="R1248" s="112"/>
      <c r="S1248" s="112"/>
      <c r="T1248" s="112"/>
      <c r="U1248" t="s">
        <v>5363</v>
      </c>
      <c r="V1248" t="s">
        <v>5364</v>
      </c>
      <c r="W1248" t="s">
        <v>3958</v>
      </c>
      <c r="X1248" t="s">
        <v>4660</v>
      </c>
    </row>
    <row r="1249" spans="1:24" x14ac:dyDescent="0.2">
      <c r="A1249" t="s">
        <v>5362</v>
      </c>
      <c r="B1249" t="s">
        <v>611</v>
      </c>
      <c r="C1249" t="s">
        <v>1635</v>
      </c>
      <c r="D1249" t="s">
        <v>56</v>
      </c>
      <c r="E1249" t="s">
        <v>612</v>
      </c>
      <c r="F1249" t="s">
        <v>84</v>
      </c>
      <c r="G1249" s="202">
        <v>2</v>
      </c>
      <c r="H1249">
        <v>5</v>
      </c>
      <c r="I1249" t="s">
        <v>3968</v>
      </c>
      <c r="J1249" t="s">
        <v>3969</v>
      </c>
      <c r="K1249" t="s">
        <v>84</v>
      </c>
      <c r="L1249" s="204">
        <v>1</v>
      </c>
      <c r="M1249" s="112"/>
      <c r="N1249" s="112">
        <v>67.89</v>
      </c>
      <c r="O1249" s="204">
        <v>0.2222713212549714</v>
      </c>
      <c r="P1249" s="112">
        <v>15.090000000000003</v>
      </c>
      <c r="Q1249" s="112">
        <v>82.98</v>
      </c>
      <c r="R1249" s="112">
        <v>165.96</v>
      </c>
      <c r="S1249" s="112">
        <v>165.96</v>
      </c>
      <c r="T1249" s="112">
        <v>0</v>
      </c>
      <c r="U1249" t="s">
        <v>5363</v>
      </c>
      <c r="V1249" t="s">
        <v>5364</v>
      </c>
      <c r="W1249" t="s">
        <v>4666</v>
      </c>
      <c r="X1249" t="s">
        <v>4667</v>
      </c>
    </row>
    <row r="1250" spans="1:24" x14ac:dyDescent="0.2">
      <c r="A1250" t="s">
        <v>5365</v>
      </c>
      <c r="B1250" t="s">
        <v>613</v>
      </c>
      <c r="C1250" t="s">
        <v>1584</v>
      </c>
      <c r="D1250" t="s">
        <v>56</v>
      </c>
      <c r="E1250" t="s">
        <v>654</v>
      </c>
      <c r="F1250" t="s">
        <v>84</v>
      </c>
      <c r="G1250" s="202">
        <v>5</v>
      </c>
      <c r="H1250">
        <v>1</v>
      </c>
      <c r="I1250" t="s">
        <v>3954</v>
      </c>
      <c r="J1250" t="s">
        <v>5227</v>
      </c>
      <c r="K1250" t="s">
        <v>1283</v>
      </c>
      <c r="L1250" s="204">
        <v>0.26</v>
      </c>
      <c r="M1250" s="112">
        <v>69.84</v>
      </c>
      <c r="N1250" s="112">
        <v>18.1584</v>
      </c>
      <c r="O1250" s="204"/>
      <c r="P1250" s="112"/>
      <c r="Q1250" s="112"/>
      <c r="R1250" s="112"/>
      <c r="S1250" s="112"/>
      <c r="T1250" s="112"/>
      <c r="U1250" t="s">
        <v>5287</v>
      </c>
      <c r="V1250" t="s">
        <v>5366</v>
      </c>
      <c r="W1250" t="s">
        <v>3958</v>
      </c>
      <c r="X1250" t="s">
        <v>4660</v>
      </c>
    </row>
    <row r="1251" spans="1:24" x14ac:dyDescent="0.2">
      <c r="A1251" t="s">
        <v>5365</v>
      </c>
      <c r="B1251" t="s">
        <v>613</v>
      </c>
      <c r="C1251" t="s">
        <v>1584</v>
      </c>
      <c r="D1251" t="s">
        <v>56</v>
      </c>
      <c r="E1251" t="s">
        <v>654</v>
      </c>
      <c r="F1251" t="s">
        <v>84</v>
      </c>
      <c r="G1251" s="202">
        <v>5</v>
      </c>
      <c r="H1251">
        <v>2</v>
      </c>
      <c r="I1251" t="s">
        <v>3960</v>
      </c>
      <c r="J1251" t="s">
        <v>5229</v>
      </c>
      <c r="K1251" t="s">
        <v>1283</v>
      </c>
      <c r="L1251" s="204">
        <v>0.64</v>
      </c>
      <c r="M1251" s="112">
        <v>69.84</v>
      </c>
      <c r="N1251" s="112">
        <v>44.697600000000001</v>
      </c>
      <c r="O1251" s="204"/>
      <c r="P1251" s="112"/>
      <c r="Q1251" s="112"/>
      <c r="R1251" s="112"/>
      <c r="S1251" s="112"/>
      <c r="T1251" s="112"/>
      <c r="U1251" t="s">
        <v>5287</v>
      </c>
      <c r="V1251" t="s">
        <v>5366</v>
      </c>
      <c r="W1251" t="s">
        <v>3958</v>
      </c>
      <c r="X1251" t="s">
        <v>4660</v>
      </c>
    </row>
    <row r="1252" spans="1:24" x14ac:dyDescent="0.2">
      <c r="A1252" t="s">
        <v>5365</v>
      </c>
      <c r="B1252" t="s">
        <v>613</v>
      </c>
      <c r="C1252" t="s">
        <v>1584</v>
      </c>
      <c r="D1252" t="s">
        <v>56</v>
      </c>
      <c r="E1252" t="s">
        <v>654</v>
      </c>
      <c r="F1252" t="s">
        <v>84</v>
      </c>
      <c r="G1252" s="202">
        <v>5</v>
      </c>
      <c r="H1252">
        <v>3</v>
      </c>
      <c r="I1252" t="s">
        <v>3976</v>
      </c>
      <c r="J1252" t="s">
        <v>5230</v>
      </c>
      <c r="K1252" t="s">
        <v>1283</v>
      </c>
      <c r="L1252" s="204">
        <v>0.04</v>
      </c>
      <c r="M1252" s="112">
        <v>69.84</v>
      </c>
      <c r="N1252" s="112">
        <v>2.7936000000000001</v>
      </c>
      <c r="O1252" s="204"/>
      <c r="P1252" s="112"/>
      <c r="Q1252" s="112"/>
      <c r="R1252" s="112"/>
      <c r="S1252" s="112"/>
      <c r="T1252" s="112"/>
      <c r="U1252" t="s">
        <v>5287</v>
      </c>
      <c r="V1252" t="s">
        <v>5366</v>
      </c>
      <c r="W1252" t="s">
        <v>3958</v>
      </c>
      <c r="X1252" t="s">
        <v>4660</v>
      </c>
    </row>
    <row r="1253" spans="1:24" x14ac:dyDescent="0.2">
      <c r="A1253" t="s">
        <v>5365</v>
      </c>
      <c r="B1253" t="s">
        <v>613</v>
      </c>
      <c r="C1253" t="s">
        <v>1584</v>
      </c>
      <c r="D1253" t="s">
        <v>56</v>
      </c>
      <c r="E1253" t="s">
        <v>654</v>
      </c>
      <c r="F1253" t="s">
        <v>84</v>
      </c>
      <c r="G1253" s="202">
        <v>5</v>
      </c>
      <c r="H1253">
        <v>4</v>
      </c>
      <c r="I1253" t="s">
        <v>4017</v>
      </c>
      <c r="J1253" t="s">
        <v>4851</v>
      </c>
      <c r="K1253" t="s">
        <v>1283</v>
      </c>
      <c r="L1253" s="204">
        <v>0.06</v>
      </c>
      <c r="M1253" s="112">
        <v>69.84</v>
      </c>
      <c r="N1253" s="112">
        <v>4.1904000000000003</v>
      </c>
      <c r="O1253" s="204"/>
      <c r="P1253" s="112"/>
      <c r="Q1253" s="112"/>
      <c r="R1253" s="112"/>
      <c r="S1253" s="112"/>
      <c r="T1253" s="112"/>
      <c r="U1253" t="s">
        <v>5287</v>
      </c>
      <c r="V1253" t="s">
        <v>5366</v>
      </c>
      <c r="W1253" t="s">
        <v>3958</v>
      </c>
      <c r="X1253" t="s">
        <v>4660</v>
      </c>
    </row>
    <row r="1254" spans="1:24" x14ac:dyDescent="0.2">
      <c r="A1254" t="s">
        <v>5365</v>
      </c>
      <c r="B1254" t="s">
        <v>613</v>
      </c>
      <c r="C1254" t="s">
        <v>1584</v>
      </c>
      <c r="D1254" t="s">
        <v>56</v>
      </c>
      <c r="E1254" t="s">
        <v>654</v>
      </c>
      <c r="F1254" t="s">
        <v>84</v>
      </c>
      <c r="G1254" s="202">
        <v>5</v>
      </c>
      <c r="H1254">
        <v>5</v>
      </c>
      <c r="I1254" t="s">
        <v>3968</v>
      </c>
      <c r="J1254" t="s">
        <v>3969</v>
      </c>
      <c r="K1254" t="s">
        <v>84</v>
      </c>
      <c r="L1254" s="204">
        <v>1</v>
      </c>
      <c r="M1254" s="112"/>
      <c r="N1254" s="112">
        <v>69.84</v>
      </c>
      <c r="O1254" s="204">
        <v>0.2222794959908363</v>
      </c>
      <c r="P1254" s="112">
        <v>15.524000000000001</v>
      </c>
      <c r="Q1254" s="112">
        <v>85.364000000000004</v>
      </c>
      <c r="R1254" s="112">
        <v>426.82</v>
      </c>
      <c r="S1254" s="112">
        <v>426.82</v>
      </c>
      <c r="T1254" s="112">
        <v>0</v>
      </c>
      <c r="U1254" t="s">
        <v>5287</v>
      </c>
      <c r="V1254" t="s">
        <v>5366</v>
      </c>
      <c r="W1254" t="s">
        <v>4666</v>
      </c>
      <c r="X1254" t="s">
        <v>4667</v>
      </c>
    </row>
    <row r="1255" spans="1:24" x14ac:dyDescent="0.2">
      <c r="A1255" t="s">
        <v>5367</v>
      </c>
      <c r="B1255" t="s">
        <v>614</v>
      </c>
      <c r="C1255" t="s">
        <v>1636</v>
      </c>
      <c r="D1255" t="s">
        <v>56</v>
      </c>
      <c r="E1255" t="s">
        <v>1637</v>
      </c>
      <c r="F1255" t="s">
        <v>84</v>
      </c>
      <c r="G1255" s="202">
        <v>28</v>
      </c>
      <c r="H1255">
        <v>1</v>
      </c>
      <c r="I1255" t="s">
        <v>3954</v>
      </c>
      <c r="J1255" t="s">
        <v>5227</v>
      </c>
      <c r="K1255" t="s">
        <v>1283</v>
      </c>
      <c r="L1255" s="204">
        <v>0.26</v>
      </c>
      <c r="M1255" s="112">
        <v>61.050000000000004</v>
      </c>
      <c r="N1255" s="112">
        <v>15.873000000000001</v>
      </c>
      <c r="O1255" s="204"/>
      <c r="P1255" s="112"/>
      <c r="Q1255" s="112"/>
      <c r="R1255" s="112"/>
      <c r="S1255" s="112"/>
      <c r="T1255" s="112"/>
      <c r="U1255" t="s">
        <v>5368</v>
      </c>
      <c r="V1255" t="s">
        <v>5369</v>
      </c>
      <c r="W1255" t="s">
        <v>3958</v>
      </c>
      <c r="X1255" t="s">
        <v>4660</v>
      </c>
    </row>
    <row r="1256" spans="1:24" x14ac:dyDescent="0.2">
      <c r="A1256" t="s">
        <v>5367</v>
      </c>
      <c r="B1256" t="s">
        <v>614</v>
      </c>
      <c r="C1256" t="s">
        <v>1636</v>
      </c>
      <c r="D1256" t="s">
        <v>56</v>
      </c>
      <c r="E1256" t="s">
        <v>1637</v>
      </c>
      <c r="F1256" t="s">
        <v>84</v>
      </c>
      <c r="G1256" s="202">
        <v>28</v>
      </c>
      <c r="H1256">
        <v>2</v>
      </c>
      <c r="I1256" t="s">
        <v>3960</v>
      </c>
      <c r="J1256" t="s">
        <v>5229</v>
      </c>
      <c r="K1256" t="s">
        <v>1283</v>
      </c>
      <c r="L1256" s="204">
        <v>0.64</v>
      </c>
      <c r="M1256" s="112">
        <v>61.050000000000004</v>
      </c>
      <c r="N1256" s="112">
        <v>39.072000000000003</v>
      </c>
      <c r="O1256" s="204"/>
      <c r="P1256" s="112"/>
      <c r="Q1256" s="112"/>
      <c r="R1256" s="112"/>
      <c r="S1256" s="112"/>
      <c r="T1256" s="112"/>
      <c r="U1256" t="s">
        <v>5368</v>
      </c>
      <c r="V1256" t="s">
        <v>5369</v>
      </c>
      <c r="W1256" t="s">
        <v>3958</v>
      </c>
      <c r="X1256" t="s">
        <v>4660</v>
      </c>
    </row>
    <row r="1257" spans="1:24" x14ac:dyDescent="0.2">
      <c r="A1257" t="s">
        <v>5367</v>
      </c>
      <c r="B1257" t="s">
        <v>614</v>
      </c>
      <c r="C1257" t="s">
        <v>1636</v>
      </c>
      <c r="D1257" t="s">
        <v>56</v>
      </c>
      <c r="E1257" t="s">
        <v>1637</v>
      </c>
      <c r="F1257" t="s">
        <v>84</v>
      </c>
      <c r="G1257" s="202">
        <v>28</v>
      </c>
      <c r="H1257">
        <v>3</v>
      </c>
      <c r="I1257" t="s">
        <v>3976</v>
      </c>
      <c r="J1257" t="s">
        <v>5230</v>
      </c>
      <c r="K1257" t="s">
        <v>1283</v>
      </c>
      <c r="L1257" s="204">
        <v>0.04</v>
      </c>
      <c r="M1257" s="112">
        <v>61.050000000000004</v>
      </c>
      <c r="N1257" s="112">
        <v>2.4420000000000002</v>
      </c>
      <c r="O1257" s="204"/>
      <c r="P1257" s="112"/>
      <c r="Q1257" s="112"/>
      <c r="R1257" s="112"/>
      <c r="S1257" s="112"/>
      <c r="T1257" s="112"/>
      <c r="U1257" t="s">
        <v>5368</v>
      </c>
      <c r="V1257" t="s">
        <v>5369</v>
      </c>
      <c r="W1257" t="s">
        <v>3958</v>
      </c>
      <c r="X1257" t="s">
        <v>4660</v>
      </c>
    </row>
    <row r="1258" spans="1:24" x14ac:dyDescent="0.2">
      <c r="A1258" t="s">
        <v>5367</v>
      </c>
      <c r="B1258" t="s">
        <v>614</v>
      </c>
      <c r="C1258" t="s">
        <v>1636</v>
      </c>
      <c r="D1258" t="s">
        <v>56</v>
      </c>
      <c r="E1258" t="s">
        <v>1637</v>
      </c>
      <c r="F1258" t="s">
        <v>84</v>
      </c>
      <c r="G1258" s="202">
        <v>28</v>
      </c>
      <c r="H1258">
        <v>4</v>
      </c>
      <c r="I1258" t="s">
        <v>4017</v>
      </c>
      <c r="J1258" t="s">
        <v>4851</v>
      </c>
      <c r="K1258" t="s">
        <v>1283</v>
      </c>
      <c r="L1258" s="204">
        <v>0.06</v>
      </c>
      <c r="M1258" s="112">
        <v>61.050000000000004</v>
      </c>
      <c r="N1258" s="112">
        <v>3.6630000000000003</v>
      </c>
      <c r="O1258" s="204"/>
      <c r="P1258" s="112"/>
      <c r="Q1258" s="112"/>
      <c r="R1258" s="112"/>
      <c r="S1258" s="112"/>
      <c r="T1258" s="112"/>
      <c r="U1258" t="s">
        <v>5368</v>
      </c>
      <c r="V1258" t="s">
        <v>5369</v>
      </c>
      <c r="W1258" t="s">
        <v>3958</v>
      </c>
      <c r="X1258" t="s">
        <v>4660</v>
      </c>
    </row>
    <row r="1259" spans="1:24" x14ac:dyDescent="0.2">
      <c r="A1259" t="s">
        <v>5367</v>
      </c>
      <c r="B1259" t="s">
        <v>614</v>
      </c>
      <c r="C1259" t="s">
        <v>1636</v>
      </c>
      <c r="D1259" t="s">
        <v>56</v>
      </c>
      <c r="E1259" t="s">
        <v>1637</v>
      </c>
      <c r="F1259" t="s">
        <v>84</v>
      </c>
      <c r="G1259" s="202">
        <v>28</v>
      </c>
      <c r="H1259">
        <v>5</v>
      </c>
      <c r="I1259" t="s">
        <v>3968</v>
      </c>
      <c r="J1259" t="s">
        <v>3969</v>
      </c>
      <c r="K1259" t="s">
        <v>84</v>
      </c>
      <c r="L1259" s="204">
        <v>1</v>
      </c>
      <c r="M1259" s="112"/>
      <c r="N1259" s="112">
        <v>61.050000000000004</v>
      </c>
      <c r="O1259" s="204">
        <v>0.22223587223587193</v>
      </c>
      <c r="P1259" s="112">
        <v>13.567499999999988</v>
      </c>
      <c r="Q1259" s="112">
        <v>74.617499999999993</v>
      </c>
      <c r="R1259" s="112">
        <v>2089.29</v>
      </c>
      <c r="S1259" s="112">
        <v>2089.29</v>
      </c>
      <c r="T1259" s="112">
        <v>0</v>
      </c>
      <c r="U1259" t="s">
        <v>5368</v>
      </c>
      <c r="V1259" t="s">
        <v>5369</v>
      </c>
      <c r="W1259" t="s">
        <v>4666</v>
      </c>
      <c r="X1259" t="s">
        <v>4667</v>
      </c>
    </row>
    <row r="1260" spans="1:24" x14ac:dyDescent="0.2">
      <c r="A1260" t="s">
        <v>5370</v>
      </c>
      <c r="B1260" t="s">
        <v>616</v>
      </c>
      <c r="C1260" t="s">
        <v>1638</v>
      </c>
      <c r="D1260" t="s">
        <v>56</v>
      </c>
      <c r="E1260" t="s">
        <v>1639</v>
      </c>
      <c r="F1260" t="s">
        <v>84</v>
      </c>
      <c r="G1260" s="202">
        <v>4</v>
      </c>
      <c r="H1260">
        <v>1</v>
      </c>
      <c r="I1260" t="s">
        <v>3954</v>
      </c>
      <c r="J1260" t="s">
        <v>5227</v>
      </c>
      <c r="K1260" t="s">
        <v>1283</v>
      </c>
      <c r="L1260" s="204">
        <v>0.26</v>
      </c>
      <c r="M1260" s="112">
        <v>58.252499999999998</v>
      </c>
      <c r="N1260" s="112">
        <v>15.14565</v>
      </c>
      <c r="O1260" s="204"/>
      <c r="P1260" s="112"/>
      <c r="Q1260" s="112"/>
      <c r="R1260" s="112"/>
      <c r="S1260" s="112"/>
      <c r="T1260" s="112"/>
      <c r="U1260" t="s">
        <v>5371</v>
      </c>
      <c r="V1260" t="s">
        <v>5372</v>
      </c>
      <c r="W1260" t="s">
        <v>3958</v>
      </c>
      <c r="X1260" t="s">
        <v>4660</v>
      </c>
    </row>
    <row r="1261" spans="1:24" x14ac:dyDescent="0.2">
      <c r="A1261" t="s">
        <v>5370</v>
      </c>
      <c r="B1261" t="s">
        <v>616</v>
      </c>
      <c r="C1261" t="s">
        <v>1638</v>
      </c>
      <c r="D1261" t="s">
        <v>56</v>
      </c>
      <c r="E1261" t="s">
        <v>1639</v>
      </c>
      <c r="F1261" t="s">
        <v>84</v>
      </c>
      <c r="G1261" s="202">
        <v>4</v>
      </c>
      <c r="H1261">
        <v>2</v>
      </c>
      <c r="I1261" t="s">
        <v>3960</v>
      </c>
      <c r="J1261" t="s">
        <v>5229</v>
      </c>
      <c r="K1261" t="s">
        <v>1283</v>
      </c>
      <c r="L1261" s="204">
        <v>0.64</v>
      </c>
      <c r="M1261" s="112">
        <v>58.252499999999998</v>
      </c>
      <c r="N1261" s="112">
        <v>37.281599999999997</v>
      </c>
      <c r="O1261" s="204"/>
      <c r="P1261" s="112"/>
      <c r="Q1261" s="112"/>
      <c r="R1261" s="112"/>
      <c r="S1261" s="112"/>
      <c r="T1261" s="112"/>
      <c r="U1261" t="s">
        <v>5371</v>
      </c>
      <c r="V1261" t="s">
        <v>5372</v>
      </c>
      <c r="W1261" t="s">
        <v>3958</v>
      </c>
      <c r="X1261" t="s">
        <v>4660</v>
      </c>
    </row>
    <row r="1262" spans="1:24" x14ac:dyDescent="0.2">
      <c r="A1262" t="s">
        <v>5370</v>
      </c>
      <c r="B1262" t="s">
        <v>616</v>
      </c>
      <c r="C1262" t="s">
        <v>1638</v>
      </c>
      <c r="D1262" t="s">
        <v>56</v>
      </c>
      <c r="E1262" t="s">
        <v>1639</v>
      </c>
      <c r="F1262" t="s">
        <v>84</v>
      </c>
      <c r="G1262" s="202">
        <v>4</v>
      </c>
      <c r="H1262">
        <v>3</v>
      </c>
      <c r="I1262" t="s">
        <v>3976</v>
      </c>
      <c r="J1262" t="s">
        <v>5230</v>
      </c>
      <c r="K1262" t="s">
        <v>1283</v>
      </c>
      <c r="L1262" s="204">
        <v>0.04</v>
      </c>
      <c r="M1262" s="112">
        <v>58.252499999999998</v>
      </c>
      <c r="N1262" s="112">
        <v>2.3300999999999998</v>
      </c>
      <c r="O1262" s="204"/>
      <c r="P1262" s="112"/>
      <c r="Q1262" s="112"/>
      <c r="R1262" s="112"/>
      <c r="S1262" s="112"/>
      <c r="T1262" s="112"/>
      <c r="U1262" t="s">
        <v>5371</v>
      </c>
      <c r="V1262" t="s">
        <v>5372</v>
      </c>
      <c r="W1262" t="s">
        <v>3958</v>
      </c>
      <c r="X1262" t="s">
        <v>4660</v>
      </c>
    </row>
    <row r="1263" spans="1:24" x14ac:dyDescent="0.2">
      <c r="A1263" t="s">
        <v>5370</v>
      </c>
      <c r="B1263" t="s">
        <v>616</v>
      </c>
      <c r="C1263" t="s">
        <v>1638</v>
      </c>
      <c r="D1263" t="s">
        <v>56</v>
      </c>
      <c r="E1263" t="s">
        <v>1639</v>
      </c>
      <c r="F1263" t="s">
        <v>84</v>
      </c>
      <c r="G1263" s="202">
        <v>4</v>
      </c>
      <c r="H1263">
        <v>4</v>
      </c>
      <c r="I1263" t="s">
        <v>4017</v>
      </c>
      <c r="J1263" t="s">
        <v>4851</v>
      </c>
      <c r="K1263" t="s">
        <v>1283</v>
      </c>
      <c r="L1263" s="204">
        <v>0.06</v>
      </c>
      <c r="M1263" s="112">
        <v>58.252499999999998</v>
      </c>
      <c r="N1263" s="112">
        <v>3.4951499999999998</v>
      </c>
      <c r="O1263" s="204"/>
      <c r="P1263" s="112"/>
      <c r="Q1263" s="112"/>
      <c r="R1263" s="112"/>
      <c r="S1263" s="112"/>
      <c r="T1263" s="112"/>
      <c r="U1263" t="s">
        <v>5371</v>
      </c>
      <c r="V1263" t="s">
        <v>5372</v>
      </c>
      <c r="W1263" t="s">
        <v>3958</v>
      </c>
      <c r="X1263" t="s">
        <v>4660</v>
      </c>
    </row>
    <row r="1264" spans="1:24" x14ac:dyDescent="0.2">
      <c r="A1264" t="s">
        <v>5370</v>
      </c>
      <c r="B1264" t="s">
        <v>616</v>
      </c>
      <c r="C1264" t="s">
        <v>1638</v>
      </c>
      <c r="D1264" t="s">
        <v>56</v>
      </c>
      <c r="E1264" t="s">
        <v>1639</v>
      </c>
      <c r="F1264" t="s">
        <v>84</v>
      </c>
      <c r="G1264" s="202">
        <v>4</v>
      </c>
      <c r="H1264">
        <v>5</v>
      </c>
      <c r="I1264" t="s">
        <v>3968</v>
      </c>
      <c r="J1264" t="s">
        <v>3969</v>
      </c>
      <c r="K1264" t="s">
        <v>84</v>
      </c>
      <c r="L1264" s="204">
        <v>1</v>
      </c>
      <c r="M1264" s="112"/>
      <c r="N1264" s="112">
        <v>58.252499999999998</v>
      </c>
      <c r="O1264" s="204">
        <v>0.22222222222222232</v>
      </c>
      <c r="P1264" s="112">
        <v>12.945000000000007</v>
      </c>
      <c r="Q1264" s="112">
        <v>71.197500000000005</v>
      </c>
      <c r="R1264" s="112">
        <v>284.79000000000002</v>
      </c>
      <c r="S1264" s="112">
        <v>284.79000000000002</v>
      </c>
      <c r="T1264" s="112">
        <v>0</v>
      </c>
      <c r="U1264" t="s">
        <v>5371</v>
      </c>
      <c r="V1264" t="s">
        <v>5372</v>
      </c>
      <c r="W1264" t="s">
        <v>4666</v>
      </c>
      <c r="X1264" t="s">
        <v>4667</v>
      </c>
    </row>
    <row r="1265" spans="1:24" x14ac:dyDescent="0.2">
      <c r="A1265" t="s">
        <v>5373</v>
      </c>
      <c r="B1265" t="s">
        <v>618</v>
      </c>
      <c r="C1265" t="s">
        <v>1603</v>
      </c>
      <c r="D1265" t="s">
        <v>56</v>
      </c>
      <c r="E1265" t="s">
        <v>656</v>
      </c>
      <c r="F1265" t="s">
        <v>84</v>
      </c>
      <c r="G1265" s="202">
        <v>7</v>
      </c>
      <c r="H1265">
        <v>1</v>
      </c>
      <c r="I1265" t="s">
        <v>3954</v>
      </c>
      <c r="J1265" t="s">
        <v>5227</v>
      </c>
      <c r="K1265" t="s">
        <v>1283</v>
      </c>
      <c r="L1265" s="204">
        <v>0.26</v>
      </c>
      <c r="M1265" s="112">
        <v>18.502500000000001</v>
      </c>
      <c r="N1265" s="112">
        <v>4.8106500000000008</v>
      </c>
      <c r="O1265" s="204"/>
      <c r="P1265" s="112"/>
      <c r="Q1265" s="112"/>
      <c r="R1265" s="112"/>
      <c r="S1265" s="112"/>
      <c r="T1265" s="112"/>
      <c r="U1265" t="s">
        <v>5314</v>
      </c>
      <c r="V1265" t="s">
        <v>5374</v>
      </c>
      <c r="W1265" t="s">
        <v>3958</v>
      </c>
      <c r="X1265" t="s">
        <v>4660</v>
      </c>
    </row>
    <row r="1266" spans="1:24" x14ac:dyDescent="0.2">
      <c r="A1266" t="s">
        <v>5373</v>
      </c>
      <c r="B1266" t="s">
        <v>618</v>
      </c>
      <c r="C1266" t="s">
        <v>1603</v>
      </c>
      <c r="D1266" t="s">
        <v>56</v>
      </c>
      <c r="E1266" t="s">
        <v>656</v>
      </c>
      <c r="F1266" t="s">
        <v>84</v>
      </c>
      <c r="G1266" s="202">
        <v>7</v>
      </c>
      <c r="H1266">
        <v>2</v>
      </c>
      <c r="I1266" t="s">
        <v>3960</v>
      </c>
      <c r="J1266" t="s">
        <v>5229</v>
      </c>
      <c r="K1266" t="s">
        <v>1283</v>
      </c>
      <c r="L1266" s="204">
        <v>0.64</v>
      </c>
      <c r="M1266" s="112">
        <v>18.502500000000001</v>
      </c>
      <c r="N1266" s="112">
        <v>11.841600000000001</v>
      </c>
      <c r="O1266" s="204"/>
      <c r="P1266" s="112"/>
      <c r="Q1266" s="112"/>
      <c r="R1266" s="112"/>
      <c r="S1266" s="112"/>
      <c r="T1266" s="112"/>
      <c r="U1266" t="s">
        <v>5314</v>
      </c>
      <c r="V1266" t="s">
        <v>5374</v>
      </c>
      <c r="W1266" t="s">
        <v>3958</v>
      </c>
      <c r="X1266" t="s">
        <v>4660</v>
      </c>
    </row>
    <row r="1267" spans="1:24" x14ac:dyDescent="0.2">
      <c r="A1267" t="s">
        <v>5373</v>
      </c>
      <c r="B1267" t="s">
        <v>618</v>
      </c>
      <c r="C1267" t="s">
        <v>1603</v>
      </c>
      <c r="D1267" t="s">
        <v>56</v>
      </c>
      <c r="E1267" t="s">
        <v>656</v>
      </c>
      <c r="F1267" t="s">
        <v>84</v>
      </c>
      <c r="G1267" s="202">
        <v>7</v>
      </c>
      <c r="H1267">
        <v>3</v>
      </c>
      <c r="I1267" t="s">
        <v>3976</v>
      </c>
      <c r="J1267" t="s">
        <v>5230</v>
      </c>
      <c r="K1267" t="s">
        <v>1283</v>
      </c>
      <c r="L1267" s="204">
        <v>0.04</v>
      </c>
      <c r="M1267" s="112">
        <v>18.502500000000001</v>
      </c>
      <c r="N1267" s="112">
        <v>0.74010000000000009</v>
      </c>
      <c r="O1267" s="204"/>
      <c r="P1267" s="112"/>
      <c r="Q1267" s="112"/>
      <c r="R1267" s="112"/>
      <c r="S1267" s="112"/>
      <c r="T1267" s="112"/>
      <c r="U1267" t="s">
        <v>5314</v>
      </c>
      <c r="V1267" t="s">
        <v>5374</v>
      </c>
      <c r="W1267" t="s">
        <v>3958</v>
      </c>
      <c r="X1267" t="s">
        <v>4660</v>
      </c>
    </row>
    <row r="1268" spans="1:24" x14ac:dyDescent="0.2">
      <c r="A1268" t="s">
        <v>5373</v>
      </c>
      <c r="B1268" t="s">
        <v>618</v>
      </c>
      <c r="C1268" t="s">
        <v>1603</v>
      </c>
      <c r="D1268" t="s">
        <v>56</v>
      </c>
      <c r="E1268" t="s">
        <v>656</v>
      </c>
      <c r="F1268" t="s">
        <v>84</v>
      </c>
      <c r="G1268" s="202">
        <v>7</v>
      </c>
      <c r="H1268">
        <v>4</v>
      </c>
      <c r="I1268" t="s">
        <v>4017</v>
      </c>
      <c r="J1268" t="s">
        <v>4851</v>
      </c>
      <c r="K1268" t="s">
        <v>1283</v>
      </c>
      <c r="L1268" s="204">
        <v>0.06</v>
      </c>
      <c r="M1268" s="112">
        <v>18.502500000000001</v>
      </c>
      <c r="N1268" s="112">
        <v>1.11015</v>
      </c>
      <c r="O1268" s="204"/>
      <c r="P1268" s="112"/>
      <c r="Q1268" s="112"/>
      <c r="R1268" s="112"/>
      <c r="S1268" s="112"/>
      <c r="T1268" s="112"/>
      <c r="U1268" t="s">
        <v>5314</v>
      </c>
      <c r="V1268" t="s">
        <v>5374</v>
      </c>
      <c r="W1268" t="s">
        <v>3958</v>
      </c>
      <c r="X1268" t="s">
        <v>4660</v>
      </c>
    </row>
    <row r="1269" spans="1:24" x14ac:dyDescent="0.2">
      <c r="A1269" t="s">
        <v>5373</v>
      </c>
      <c r="B1269" t="s">
        <v>618</v>
      </c>
      <c r="C1269" t="s">
        <v>1603</v>
      </c>
      <c r="D1269" t="s">
        <v>56</v>
      </c>
      <c r="E1269" t="s">
        <v>656</v>
      </c>
      <c r="F1269" t="s">
        <v>84</v>
      </c>
      <c r="G1269" s="202">
        <v>7</v>
      </c>
      <c r="H1269">
        <v>5</v>
      </c>
      <c r="I1269" t="s">
        <v>3968</v>
      </c>
      <c r="J1269" t="s">
        <v>3969</v>
      </c>
      <c r="K1269" t="s">
        <v>84</v>
      </c>
      <c r="L1269" s="204">
        <v>1</v>
      </c>
      <c r="M1269" s="112"/>
      <c r="N1269" s="112">
        <v>18.502500000000001</v>
      </c>
      <c r="O1269" s="204">
        <v>0.22207423707221019</v>
      </c>
      <c r="P1269" s="112">
        <v>4.1089285714285708</v>
      </c>
      <c r="Q1269" s="112">
        <v>22.611428571428572</v>
      </c>
      <c r="R1269" s="112">
        <v>158.28</v>
      </c>
      <c r="S1269" s="112">
        <v>158.28</v>
      </c>
      <c r="T1269" s="112">
        <v>0</v>
      </c>
      <c r="U1269" t="s">
        <v>5314</v>
      </c>
      <c r="V1269" t="s">
        <v>5374</v>
      </c>
      <c r="W1269" t="s">
        <v>4666</v>
      </c>
      <c r="X1269" t="s">
        <v>4667</v>
      </c>
    </row>
    <row r="1270" spans="1:24" x14ac:dyDescent="0.2">
      <c r="A1270" t="s">
        <v>5375</v>
      </c>
      <c r="B1270" t="s">
        <v>620</v>
      </c>
      <c r="C1270" t="s">
        <v>1640</v>
      </c>
      <c r="D1270" t="s">
        <v>56</v>
      </c>
      <c r="E1270" t="s">
        <v>621</v>
      </c>
      <c r="F1270" t="s">
        <v>84</v>
      </c>
      <c r="G1270" s="202">
        <v>8</v>
      </c>
      <c r="H1270">
        <v>1</v>
      </c>
      <c r="I1270" t="s">
        <v>3954</v>
      </c>
      <c r="J1270" t="s">
        <v>5227</v>
      </c>
      <c r="K1270" t="s">
        <v>1283</v>
      </c>
      <c r="L1270" s="204">
        <v>0.26</v>
      </c>
      <c r="M1270" s="112">
        <v>11.73</v>
      </c>
      <c r="N1270" s="112">
        <v>3.0498000000000003</v>
      </c>
      <c r="O1270" s="204"/>
      <c r="P1270" s="112"/>
      <c r="Q1270" s="112"/>
      <c r="R1270" s="112"/>
      <c r="S1270" s="112"/>
      <c r="T1270" s="112"/>
      <c r="U1270" t="s">
        <v>5376</v>
      </c>
      <c r="V1270" t="s">
        <v>5377</v>
      </c>
      <c r="W1270" t="s">
        <v>3958</v>
      </c>
      <c r="X1270" t="s">
        <v>4660</v>
      </c>
    </row>
    <row r="1271" spans="1:24" x14ac:dyDescent="0.2">
      <c r="A1271" t="s">
        <v>5375</v>
      </c>
      <c r="B1271" t="s">
        <v>620</v>
      </c>
      <c r="C1271" t="s">
        <v>1640</v>
      </c>
      <c r="D1271" t="s">
        <v>56</v>
      </c>
      <c r="E1271" t="s">
        <v>621</v>
      </c>
      <c r="F1271" t="s">
        <v>84</v>
      </c>
      <c r="G1271" s="202">
        <v>8</v>
      </c>
      <c r="H1271">
        <v>2</v>
      </c>
      <c r="I1271" t="s">
        <v>3960</v>
      </c>
      <c r="J1271" t="s">
        <v>5229</v>
      </c>
      <c r="K1271" t="s">
        <v>1283</v>
      </c>
      <c r="L1271" s="204">
        <v>0.64</v>
      </c>
      <c r="M1271" s="112">
        <v>11.73</v>
      </c>
      <c r="N1271" s="112">
        <v>7.5072000000000001</v>
      </c>
      <c r="O1271" s="204"/>
      <c r="P1271" s="112"/>
      <c r="Q1271" s="112"/>
      <c r="R1271" s="112"/>
      <c r="S1271" s="112"/>
      <c r="T1271" s="112"/>
      <c r="U1271" t="s">
        <v>5376</v>
      </c>
      <c r="V1271" t="s">
        <v>5377</v>
      </c>
      <c r="W1271" t="s">
        <v>3958</v>
      </c>
      <c r="X1271" t="s">
        <v>4660</v>
      </c>
    </row>
    <row r="1272" spans="1:24" x14ac:dyDescent="0.2">
      <c r="A1272" t="s">
        <v>5375</v>
      </c>
      <c r="B1272" t="s">
        <v>620</v>
      </c>
      <c r="C1272" t="s">
        <v>1640</v>
      </c>
      <c r="D1272" t="s">
        <v>56</v>
      </c>
      <c r="E1272" t="s">
        <v>621</v>
      </c>
      <c r="F1272" t="s">
        <v>84</v>
      </c>
      <c r="G1272" s="202">
        <v>8</v>
      </c>
      <c r="H1272">
        <v>3</v>
      </c>
      <c r="I1272" t="s">
        <v>3976</v>
      </c>
      <c r="J1272" t="s">
        <v>5230</v>
      </c>
      <c r="K1272" t="s">
        <v>1283</v>
      </c>
      <c r="L1272" s="204">
        <v>0.04</v>
      </c>
      <c r="M1272" s="112">
        <v>11.73</v>
      </c>
      <c r="N1272" s="112">
        <v>0.46920000000000001</v>
      </c>
      <c r="O1272" s="204"/>
      <c r="P1272" s="112"/>
      <c r="Q1272" s="112"/>
      <c r="R1272" s="112"/>
      <c r="S1272" s="112"/>
      <c r="T1272" s="112"/>
      <c r="U1272" t="s">
        <v>5376</v>
      </c>
      <c r="V1272" t="s">
        <v>5377</v>
      </c>
      <c r="W1272" t="s">
        <v>3958</v>
      </c>
      <c r="X1272" t="s">
        <v>4660</v>
      </c>
    </row>
    <row r="1273" spans="1:24" x14ac:dyDescent="0.2">
      <c r="A1273" t="s">
        <v>5375</v>
      </c>
      <c r="B1273" t="s">
        <v>620</v>
      </c>
      <c r="C1273" t="s">
        <v>1640</v>
      </c>
      <c r="D1273" t="s">
        <v>56</v>
      </c>
      <c r="E1273" t="s">
        <v>621</v>
      </c>
      <c r="F1273" t="s">
        <v>84</v>
      </c>
      <c r="G1273" s="202">
        <v>8</v>
      </c>
      <c r="H1273">
        <v>4</v>
      </c>
      <c r="I1273" t="s">
        <v>4017</v>
      </c>
      <c r="J1273" t="s">
        <v>4851</v>
      </c>
      <c r="K1273" t="s">
        <v>1283</v>
      </c>
      <c r="L1273" s="204">
        <v>0.06</v>
      </c>
      <c r="M1273" s="112">
        <v>11.73</v>
      </c>
      <c r="N1273" s="112">
        <v>0.70379999999999998</v>
      </c>
      <c r="O1273" s="204"/>
      <c r="P1273" s="112"/>
      <c r="Q1273" s="112"/>
      <c r="R1273" s="112"/>
      <c r="S1273" s="112"/>
      <c r="T1273" s="112"/>
      <c r="U1273" t="s">
        <v>5376</v>
      </c>
      <c r="V1273" t="s">
        <v>5377</v>
      </c>
      <c r="W1273" t="s">
        <v>3958</v>
      </c>
      <c r="X1273" t="s">
        <v>4660</v>
      </c>
    </row>
    <row r="1274" spans="1:24" x14ac:dyDescent="0.2">
      <c r="A1274" t="s">
        <v>5375</v>
      </c>
      <c r="B1274" t="s">
        <v>620</v>
      </c>
      <c r="C1274" t="s">
        <v>1640</v>
      </c>
      <c r="D1274" t="s">
        <v>56</v>
      </c>
      <c r="E1274" t="s">
        <v>621</v>
      </c>
      <c r="F1274" t="s">
        <v>84</v>
      </c>
      <c r="G1274" s="202">
        <v>8</v>
      </c>
      <c r="H1274">
        <v>5</v>
      </c>
      <c r="I1274" t="s">
        <v>3968</v>
      </c>
      <c r="J1274" t="s">
        <v>3969</v>
      </c>
      <c r="K1274" t="s">
        <v>84</v>
      </c>
      <c r="L1274" s="204">
        <v>1</v>
      </c>
      <c r="M1274" s="112"/>
      <c r="N1274" s="112">
        <v>11.73</v>
      </c>
      <c r="O1274" s="204">
        <v>0.22186700767263412</v>
      </c>
      <c r="P1274" s="112">
        <v>2.6024999999999991</v>
      </c>
      <c r="Q1274" s="112">
        <v>14.3325</v>
      </c>
      <c r="R1274" s="112">
        <v>114.66</v>
      </c>
      <c r="S1274" s="112">
        <v>114.66</v>
      </c>
      <c r="T1274" s="112">
        <v>0</v>
      </c>
      <c r="U1274" t="s">
        <v>5376</v>
      </c>
      <c r="V1274" t="s">
        <v>5377</v>
      </c>
      <c r="W1274" t="s">
        <v>4666</v>
      </c>
      <c r="X1274" t="s">
        <v>4667</v>
      </c>
    </row>
    <row r="1275" spans="1:24" x14ac:dyDescent="0.2">
      <c r="A1275" t="s">
        <v>5378</v>
      </c>
      <c r="B1275" t="s">
        <v>1641</v>
      </c>
      <c r="C1275" t="s">
        <v>1597</v>
      </c>
      <c r="D1275" t="s">
        <v>56</v>
      </c>
      <c r="E1275" t="s">
        <v>587</v>
      </c>
      <c r="F1275" t="s">
        <v>84</v>
      </c>
      <c r="G1275" s="202">
        <v>82</v>
      </c>
      <c r="H1275">
        <v>1</v>
      </c>
      <c r="I1275" t="s">
        <v>3954</v>
      </c>
      <c r="J1275" t="s">
        <v>5227</v>
      </c>
      <c r="K1275" t="s">
        <v>1283</v>
      </c>
      <c r="L1275" s="204">
        <v>0.26</v>
      </c>
      <c r="M1275" s="112">
        <v>9.6150000000000002</v>
      </c>
      <c r="N1275" s="112">
        <v>2.4999000000000002</v>
      </c>
      <c r="O1275" s="204"/>
      <c r="P1275" s="112"/>
      <c r="Q1275" s="112"/>
      <c r="R1275" s="112"/>
      <c r="S1275" s="112"/>
      <c r="T1275" s="112"/>
      <c r="U1275" t="s">
        <v>5305</v>
      </c>
      <c r="V1275" t="s">
        <v>5379</v>
      </c>
      <c r="W1275" t="s">
        <v>3958</v>
      </c>
      <c r="X1275" t="s">
        <v>4660</v>
      </c>
    </row>
    <row r="1276" spans="1:24" x14ac:dyDescent="0.2">
      <c r="A1276" t="s">
        <v>5378</v>
      </c>
      <c r="B1276" t="s">
        <v>1641</v>
      </c>
      <c r="C1276" t="s">
        <v>1597</v>
      </c>
      <c r="D1276" t="s">
        <v>56</v>
      </c>
      <c r="E1276" t="s">
        <v>587</v>
      </c>
      <c r="F1276" t="s">
        <v>84</v>
      </c>
      <c r="G1276" s="202">
        <v>82</v>
      </c>
      <c r="H1276">
        <v>2</v>
      </c>
      <c r="I1276" t="s">
        <v>3960</v>
      </c>
      <c r="J1276" t="s">
        <v>5229</v>
      </c>
      <c r="K1276" t="s">
        <v>1283</v>
      </c>
      <c r="L1276" s="204">
        <v>0.64</v>
      </c>
      <c r="M1276" s="112">
        <v>9.6150000000000002</v>
      </c>
      <c r="N1276" s="112">
        <v>6.1536</v>
      </c>
      <c r="O1276" s="204"/>
      <c r="P1276" s="112"/>
      <c r="Q1276" s="112"/>
      <c r="R1276" s="112"/>
      <c r="S1276" s="112"/>
      <c r="T1276" s="112"/>
      <c r="U1276" t="s">
        <v>5305</v>
      </c>
      <c r="V1276" t="s">
        <v>5379</v>
      </c>
      <c r="W1276" t="s">
        <v>3958</v>
      </c>
      <c r="X1276" t="s">
        <v>4660</v>
      </c>
    </row>
    <row r="1277" spans="1:24" x14ac:dyDescent="0.2">
      <c r="A1277" t="s">
        <v>5378</v>
      </c>
      <c r="B1277" t="s">
        <v>1641</v>
      </c>
      <c r="C1277" t="s">
        <v>1597</v>
      </c>
      <c r="D1277" t="s">
        <v>56</v>
      </c>
      <c r="E1277" t="s">
        <v>587</v>
      </c>
      <c r="F1277" t="s">
        <v>84</v>
      </c>
      <c r="G1277" s="202">
        <v>82</v>
      </c>
      <c r="H1277">
        <v>3</v>
      </c>
      <c r="I1277" t="s">
        <v>3976</v>
      </c>
      <c r="J1277" t="s">
        <v>5230</v>
      </c>
      <c r="K1277" t="s">
        <v>1283</v>
      </c>
      <c r="L1277" s="204">
        <v>0.04</v>
      </c>
      <c r="M1277" s="112">
        <v>9.6150000000000002</v>
      </c>
      <c r="N1277" s="112">
        <v>0.3846</v>
      </c>
      <c r="O1277" s="204"/>
      <c r="P1277" s="112"/>
      <c r="Q1277" s="112"/>
      <c r="R1277" s="112"/>
      <c r="S1277" s="112"/>
      <c r="T1277" s="112"/>
      <c r="U1277" t="s">
        <v>5305</v>
      </c>
      <c r="V1277" t="s">
        <v>5379</v>
      </c>
      <c r="W1277" t="s">
        <v>3958</v>
      </c>
      <c r="X1277" t="s">
        <v>4660</v>
      </c>
    </row>
    <row r="1278" spans="1:24" x14ac:dyDescent="0.2">
      <c r="A1278" t="s">
        <v>5378</v>
      </c>
      <c r="B1278" t="s">
        <v>1641</v>
      </c>
      <c r="C1278" t="s">
        <v>1597</v>
      </c>
      <c r="D1278" t="s">
        <v>56</v>
      </c>
      <c r="E1278" t="s">
        <v>587</v>
      </c>
      <c r="F1278" t="s">
        <v>84</v>
      </c>
      <c r="G1278" s="202">
        <v>82</v>
      </c>
      <c r="H1278">
        <v>4</v>
      </c>
      <c r="I1278" t="s">
        <v>4017</v>
      </c>
      <c r="J1278" t="s">
        <v>4851</v>
      </c>
      <c r="K1278" t="s">
        <v>1283</v>
      </c>
      <c r="L1278" s="204">
        <v>0.06</v>
      </c>
      <c r="M1278" s="112">
        <v>9.6150000000000002</v>
      </c>
      <c r="N1278" s="112">
        <v>0.57689999999999997</v>
      </c>
      <c r="O1278" s="204"/>
      <c r="P1278" s="112"/>
      <c r="Q1278" s="112"/>
      <c r="R1278" s="112"/>
      <c r="S1278" s="112"/>
      <c r="T1278" s="112"/>
      <c r="U1278" t="s">
        <v>5305</v>
      </c>
      <c r="V1278" t="s">
        <v>5379</v>
      </c>
      <c r="W1278" t="s">
        <v>3958</v>
      </c>
      <c r="X1278" t="s">
        <v>4660</v>
      </c>
    </row>
    <row r="1279" spans="1:24" x14ac:dyDescent="0.2">
      <c r="A1279" t="s">
        <v>5378</v>
      </c>
      <c r="B1279" t="s">
        <v>1641</v>
      </c>
      <c r="C1279" t="s">
        <v>1597</v>
      </c>
      <c r="D1279" t="s">
        <v>56</v>
      </c>
      <c r="E1279" t="s">
        <v>587</v>
      </c>
      <c r="F1279" t="s">
        <v>84</v>
      </c>
      <c r="G1279" s="202">
        <v>82</v>
      </c>
      <c r="H1279">
        <v>5</v>
      </c>
      <c r="I1279" t="s">
        <v>3968</v>
      </c>
      <c r="J1279" t="s">
        <v>3969</v>
      </c>
      <c r="K1279" t="s">
        <v>84</v>
      </c>
      <c r="L1279" s="204">
        <v>1</v>
      </c>
      <c r="M1279" s="112"/>
      <c r="N1279" s="112">
        <v>9.6150000000000002</v>
      </c>
      <c r="O1279" s="204">
        <v>0.22152886115444614</v>
      </c>
      <c r="P1279" s="112">
        <v>2.1300000000000008</v>
      </c>
      <c r="Q1279" s="112">
        <v>11.745000000000001</v>
      </c>
      <c r="R1279" s="112">
        <v>963.09</v>
      </c>
      <c r="S1279" s="112">
        <v>963.09</v>
      </c>
      <c r="T1279" s="112">
        <v>0</v>
      </c>
      <c r="U1279" t="s">
        <v>5305</v>
      </c>
      <c r="V1279" t="s">
        <v>5379</v>
      </c>
      <c r="W1279" t="s">
        <v>4666</v>
      </c>
      <c r="X1279" t="s">
        <v>4667</v>
      </c>
    </row>
    <row r="1280" spans="1:24" x14ac:dyDescent="0.2">
      <c r="A1280" t="s">
        <v>5380</v>
      </c>
      <c r="B1280" t="s">
        <v>1642</v>
      </c>
      <c r="C1280" t="s">
        <v>1643</v>
      </c>
      <c r="D1280" t="s">
        <v>56</v>
      </c>
      <c r="E1280" t="s">
        <v>622</v>
      </c>
      <c r="F1280" t="s">
        <v>84</v>
      </c>
      <c r="G1280" s="202">
        <v>5</v>
      </c>
      <c r="H1280">
        <v>1</v>
      </c>
      <c r="I1280" t="s">
        <v>3954</v>
      </c>
      <c r="J1280" t="s">
        <v>5227</v>
      </c>
      <c r="K1280" t="s">
        <v>1283</v>
      </c>
      <c r="L1280" s="204">
        <v>0.26</v>
      </c>
      <c r="M1280" s="112">
        <v>10.215</v>
      </c>
      <c r="N1280" s="112">
        <v>2.6558999999999999</v>
      </c>
      <c r="O1280" s="204"/>
      <c r="P1280" s="112"/>
      <c r="Q1280" s="112"/>
      <c r="R1280" s="112"/>
      <c r="S1280" s="112"/>
      <c r="T1280" s="112"/>
      <c r="U1280" t="s">
        <v>5381</v>
      </c>
      <c r="V1280" t="s">
        <v>5382</v>
      </c>
      <c r="W1280" t="s">
        <v>3958</v>
      </c>
      <c r="X1280" t="s">
        <v>4660</v>
      </c>
    </row>
    <row r="1281" spans="1:24" x14ac:dyDescent="0.2">
      <c r="A1281" t="s">
        <v>5380</v>
      </c>
      <c r="B1281" t="s">
        <v>1642</v>
      </c>
      <c r="C1281" t="s">
        <v>1643</v>
      </c>
      <c r="D1281" t="s">
        <v>56</v>
      </c>
      <c r="E1281" t="s">
        <v>622</v>
      </c>
      <c r="F1281" t="s">
        <v>84</v>
      </c>
      <c r="G1281" s="202">
        <v>5</v>
      </c>
      <c r="H1281">
        <v>2</v>
      </c>
      <c r="I1281" t="s">
        <v>3960</v>
      </c>
      <c r="J1281" t="s">
        <v>5229</v>
      </c>
      <c r="K1281" t="s">
        <v>1283</v>
      </c>
      <c r="L1281" s="204">
        <v>0.64</v>
      </c>
      <c r="M1281" s="112">
        <v>10.215</v>
      </c>
      <c r="N1281" s="112">
        <v>6.5376000000000003</v>
      </c>
      <c r="O1281" s="204"/>
      <c r="P1281" s="112"/>
      <c r="Q1281" s="112"/>
      <c r="R1281" s="112"/>
      <c r="S1281" s="112"/>
      <c r="T1281" s="112"/>
      <c r="U1281" t="s">
        <v>5381</v>
      </c>
      <c r="V1281" t="s">
        <v>5382</v>
      </c>
      <c r="W1281" t="s">
        <v>3958</v>
      </c>
      <c r="X1281" t="s">
        <v>4660</v>
      </c>
    </row>
    <row r="1282" spans="1:24" x14ac:dyDescent="0.2">
      <c r="A1282" t="s">
        <v>5380</v>
      </c>
      <c r="B1282" t="s">
        <v>1642</v>
      </c>
      <c r="C1282" t="s">
        <v>1643</v>
      </c>
      <c r="D1282" t="s">
        <v>56</v>
      </c>
      <c r="E1282" t="s">
        <v>622</v>
      </c>
      <c r="F1282" t="s">
        <v>84</v>
      </c>
      <c r="G1282" s="202">
        <v>5</v>
      </c>
      <c r="H1282">
        <v>3</v>
      </c>
      <c r="I1282" t="s">
        <v>3976</v>
      </c>
      <c r="J1282" t="s">
        <v>5230</v>
      </c>
      <c r="K1282" t="s">
        <v>1283</v>
      </c>
      <c r="L1282" s="204">
        <v>0.04</v>
      </c>
      <c r="M1282" s="112">
        <v>10.215</v>
      </c>
      <c r="N1282" s="112">
        <v>0.40860000000000002</v>
      </c>
      <c r="O1282" s="204"/>
      <c r="P1282" s="112"/>
      <c r="Q1282" s="112"/>
      <c r="R1282" s="112"/>
      <c r="S1282" s="112"/>
      <c r="T1282" s="112"/>
      <c r="U1282" t="s">
        <v>5381</v>
      </c>
      <c r="V1282" t="s">
        <v>5382</v>
      </c>
      <c r="W1282" t="s">
        <v>3958</v>
      </c>
      <c r="X1282" t="s">
        <v>4660</v>
      </c>
    </row>
    <row r="1283" spans="1:24" x14ac:dyDescent="0.2">
      <c r="A1283" t="s">
        <v>5380</v>
      </c>
      <c r="B1283" t="s">
        <v>1642</v>
      </c>
      <c r="C1283" t="s">
        <v>1643</v>
      </c>
      <c r="D1283" t="s">
        <v>56</v>
      </c>
      <c r="E1283" t="s">
        <v>622</v>
      </c>
      <c r="F1283" t="s">
        <v>84</v>
      </c>
      <c r="G1283" s="202">
        <v>5</v>
      </c>
      <c r="H1283">
        <v>4</v>
      </c>
      <c r="I1283" t="s">
        <v>4017</v>
      </c>
      <c r="J1283" t="s">
        <v>4851</v>
      </c>
      <c r="K1283" t="s">
        <v>1283</v>
      </c>
      <c r="L1283" s="204">
        <v>0.06</v>
      </c>
      <c r="M1283" s="112">
        <v>10.215</v>
      </c>
      <c r="N1283" s="112">
        <v>0.6129</v>
      </c>
      <c r="O1283" s="204"/>
      <c r="P1283" s="112"/>
      <c r="Q1283" s="112"/>
      <c r="R1283" s="112"/>
      <c r="S1283" s="112"/>
      <c r="T1283" s="112"/>
      <c r="U1283" t="s">
        <v>5381</v>
      </c>
      <c r="V1283" t="s">
        <v>5382</v>
      </c>
      <c r="W1283" t="s">
        <v>3958</v>
      </c>
      <c r="X1283" t="s">
        <v>4660</v>
      </c>
    </row>
    <row r="1284" spans="1:24" x14ac:dyDescent="0.2">
      <c r="A1284" t="s">
        <v>5380</v>
      </c>
      <c r="B1284" t="s">
        <v>1642</v>
      </c>
      <c r="C1284" t="s">
        <v>1643</v>
      </c>
      <c r="D1284" t="s">
        <v>56</v>
      </c>
      <c r="E1284" t="s">
        <v>622</v>
      </c>
      <c r="F1284" t="s">
        <v>84</v>
      </c>
      <c r="G1284" s="202">
        <v>5</v>
      </c>
      <c r="H1284">
        <v>5</v>
      </c>
      <c r="I1284" t="s">
        <v>3968</v>
      </c>
      <c r="J1284" t="s">
        <v>3969</v>
      </c>
      <c r="K1284" t="s">
        <v>84</v>
      </c>
      <c r="L1284" s="204">
        <v>1</v>
      </c>
      <c r="M1284" s="112"/>
      <c r="N1284" s="112">
        <v>10.215</v>
      </c>
      <c r="O1284" s="204">
        <v>0.22173274596182102</v>
      </c>
      <c r="P1284" s="112">
        <v>2.2650000000000006</v>
      </c>
      <c r="Q1284" s="112">
        <v>12.48</v>
      </c>
      <c r="R1284" s="112">
        <v>62.4</v>
      </c>
      <c r="S1284" s="112">
        <v>62.4</v>
      </c>
      <c r="T1284" s="112">
        <v>0</v>
      </c>
      <c r="U1284" t="s">
        <v>5381</v>
      </c>
      <c r="V1284" t="s">
        <v>5382</v>
      </c>
      <c r="W1284" t="s">
        <v>4666</v>
      </c>
      <c r="X1284" t="s">
        <v>4667</v>
      </c>
    </row>
    <row r="1285" spans="1:24" x14ac:dyDescent="0.2">
      <c r="A1285" t="s">
        <v>5383</v>
      </c>
      <c r="B1285" t="s">
        <v>1644</v>
      </c>
      <c r="C1285" t="s">
        <v>1645</v>
      </c>
      <c r="D1285" t="s">
        <v>56</v>
      </c>
      <c r="E1285" t="s">
        <v>623</v>
      </c>
      <c r="F1285" t="s">
        <v>84</v>
      </c>
      <c r="G1285" s="202">
        <v>7</v>
      </c>
      <c r="H1285">
        <v>1</v>
      </c>
      <c r="I1285" t="s">
        <v>3954</v>
      </c>
      <c r="J1285" t="s">
        <v>5227</v>
      </c>
      <c r="K1285" t="s">
        <v>1283</v>
      </c>
      <c r="L1285" s="204">
        <v>0.26</v>
      </c>
      <c r="M1285" s="112">
        <v>16.4925</v>
      </c>
      <c r="N1285" s="112">
        <v>4.2880500000000001</v>
      </c>
      <c r="O1285" s="204"/>
      <c r="P1285" s="112"/>
      <c r="Q1285" s="112"/>
      <c r="R1285" s="112"/>
      <c r="S1285" s="112"/>
      <c r="T1285" s="112"/>
      <c r="U1285" t="s">
        <v>5384</v>
      </c>
      <c r="V1285" t="s">
        <v>5385</v>
      </c>
      <c r="W1285" t="s">
        <v>3958</v>
      </c>
      <c r="X1285" t="s">
        <v>4660</v>
      </c>
    </row>
    <row r="1286" spans="1:24" x14ac:dyDescent="0.2">
      <c r="A1286" t="s">
        <v>5383</v>
      </c>
      <c r="B1286" t="s">
        <v>1644</v>
      </c>
      <c r="C1286" t="s">
        <v>1645</v>
      </c>
      <c r="D1286" t="s">
        <v>56</v>
      </c>
      <c r="E1286" t="s">
        <v>623</v>
      </c>
      <c r="F1286" t="s">
        <v>84</v>
      </c>
      <c r="G1286" s="202">
        <v>7</v>
      </c>
      <c r="H1286">
        <v>2</v>
      </c>
      <c r="I1286" t="s">
        <v>3960</v>
      </c>
      <c r="J1286" t="s">
        <v>5229</v>
      </c>
      <c r="K1286" t="s">
        <v>1283</v>
      </c>
      <c r="L1286" s="204">
        <v>0.64</v>
      </c>
      <c r="M1286" s="112">
        <v>16.4925</v>
      </c>
      <c r="N1286" s="112">
        <v>10.555199999999999</v>
      </c>
      <c r="O1286" s="204"/>
      <c r="P1286" s="112"/>
      <c r="Q1286" s="112"/>
      <c r="R1286" s="112"/>
      <c r="S1286" s="112"/>
      <c r="T1286" s="112"/>
      <c r="U1286" t="s">
        <v>5384</v>
      </c>
      <c r="V1286" t="s">
        <v>5385</v>
      </c>
      <c r="W1286" t="s">
        <v>3958</v>
      </c>
      <c r="X1286" t="s">
        <v>4660</v>
      </c>
    </row>
    <row r="1287" spans="1:24" x14ac:dyDescent="0.2">
      <c r="A1287" t="s">
        <v>5383</v>
      </c>
      <c r="B1287" t="s">
        <v>1644</v>
      </c>
      <c r="C1287" t="s">
        <v>1645</v>
      </c>
      <c r="D1287" t="s">
        <v>56</v>
      </c>
      <c r="E1287" t="s">
        <v>623</v>
      </c>
      <c r="F1287" t="s">
        <v>84</v>
      </c>
      <c r="G1287" s="202">
        <v>7</v>
      </c>
      <c r="H1287">
        <v>3</v>
      </c>
      <c r="I1287" t="s">
        <v>3976</v>
      </c>
      <c r="J1287" t="s">
        <v>5230</v>
      </c>
      <c r="K1287" t="s">
        <v>1283</v>
      </c>
      <c r="L1287" s="204">
        <v>0.04</v>
      </c>
      <c r="M1287" s="112">
        <v>16.4925</v>
      </c>
      <c r="N1287" s="112">
        <v>0.65969999999999995</v>
      </c>
      <c r="O1287" s="204"/>
      <c r="P1287" s="112"/>
      <c r="Q1287" s="112"/>
      <c r="R1287" s="112"/>
      <c r="S1287" s="112"/>
      <c r="T1287" s="112"/>
      <c r="U1287" t="s">
        <v>5384</v>
      </c>
      <c r="V1287" t="s">
        <v>5385</v>
      </c>
      <c r="W1287" t="s">
        <v>3958</v>
      </c>
      <c r="X1287" t="s">
        <v>4660</v>
      </c>
    </row>
    <row r="1288" spans="1:24" x14ac:dyDescent="0.2">
      <c r="A1288" t="s">
        <v>5383</v>
      </c>
      <c r="B1288" t="s">
        <v>1644</v>
      </c>
      <c r="C1288" t="s">
        <v>1645</v>
      </c>
      <c r="D1288" t="s">
        <v>56</v>
      </c>
      <c r="E1288" t="s">
        <v>623</v>
      </c>
      <c r="F1288" t="s">
        <v>84</v>
      </c>
      <c r="G1288" s="202">
        <v>7</v>
      </c>
      <c r="H1288">
        <v>4</v>
      </c>
      <c r="I1288" t="s">
        <v>4017</v>
      </c>
      <c r="J1288" t="s">
        <v>4851</v>
      </c>
      <c r="K1288" t="s">
        <v>1283</v>
      </c>
      <c r="L1288" s="204">
        <v>0.06</v>
      </c>
      <c r="M1288" s="112">
        <v>16.4925</v>
      </c>
      <c r="N1288" s="112">
        <v>0.98954999999999993</v>
      </c>
      <c r="O1288" s="204"/>
      <c r="P1288" s="112"/>
      <c r="Q1288" s="112"/>
      <c r="R1288" s="112"/>
      <c r="S1288" s="112"/>
      <c r="T1288" s="112"/>
      <c r="U1288" t="s">
        <v>5384</v>
      </c>
      <c r="V1288" t="s">
        <v>5385</v>
      </c>
      <c r="W1288" t="s">
        <v>3958</v>
      </c>
      <c r="X1288" t="s">
        <v>4660</v>
      </c>
    </row>
    <row r="1289" spans="1:24" x14ac:dyDescent="0.2">
      <c r="A1289" t="s">
        <v>5383</v>
      </c>
      <c r="B1289" t="s">
        <v>1644</v>
      </c>
      <c r="C1289" t="s">
        <v>1645</v>
      </c>
      <c r="D1289" t="s">
        <v>56</v>
      </c>
      <c r="E1289" t="s">
        <v>623</v>
      </c>
      <c r="F1289" t="s">
        <v>84</v>
      </c>
      <c r="G1289" s="202">
        <v>7</v>
      </c>
      <c r="H1289">
        <v>5</v>
      </c>
      <c r="I1289" t="s">
        <v>3968</v>
      </c>
      <c r="J1289" t="s">
        <v>3969</v>
      </c>
      <c r="K1289" t="s">
        <v>84</v>
      </c>
      <c r="L1289" s="204">
        <v>1</v>
      </c>
      <c r="M1289" s="112"/>
      <c r="N1289" s="112">
        <v>16.4925</v>
      </c>
      <c r="O1289" s="204">
        <v>0.22185408952121088</v>
      </c>
      <c r="P1289" s="112">
        <v>3.6589285714285715</v>
      </c>
      <c r="Q1289" s="112">
        <v>20.151428571428571</v>
      </c>
      <c r="R1289" s="112">
        <v>141.06</v>
      </c>
      <c r="S1289" s="112">
        <v>141.06</v>
      </c>
      <c r="T1289" s="112">
        <v>0</v>
      </c>
      <c r="U1289" t="s">
        <v>5384</v>
      </c>
      <c r="V1289" t="s">
        <v>5385</v>
      </c>
      <c r="W1289" t="s">
        <v>4666</v>
      </c>
      <c r="X1289" t="s">
        <v>4667</v>
      </c>
    </row>
    <row r="1290" spans="1:24" x14ac:dyDescent="0.2">
      <c r="A1290" t="s">
        <v>5386</v>
      </c>
      <c r="B1290" t="s">
        <v>1646</v>
      </c>
      <c r="C1290" t="s">
        <v>1647</v>
      </c>
      <c r="D1290" t="s">
        <v>56</v>
      </c>
      <c r="E1290" t="s">
        <v>624</v>
      </c>
      <c r="F1290" t="s">
        <v>84</v>
      </c>
      <c r="G1290" s="202">
        <v>1</v>
      </c>
      <c r="H1290">
        <v>1</v>
      </c>
      <c r="I1290" t="s">
        <v>3954</v>
      </c>
      <c r="J1290" t="s">
        <v>5227</v>
      </c>
      <c r="K1290" t="s">
        <v>1283</v>
      </c>
      <c r="L1290" s="204">
        <v>0.26</v>
      </c>
      <c r="M1290" s="112">
        <v>14.9175</v>
      </c>
      <c r="N1290" s="112">
        <v>3.8785500000000002</v>
      </c>
      <c r="O1290" s="204"/>
      <c r="P1290" s="112"/>
      <c r="Q1290" s="112"/>
      <c r="R1290" s="112"/>
      <c r="S1290" s="112"/>
      <c r="T1290" s="112"/>
      <c r="U1290" t="s">
        <v>5387</v>
      </c>
      <c r="V1290" t="s">
        <v>5388</v>
      </c>
      <c r="W1290" t="s">
        <v>3958</v>
      </c>
      <c r="X1290" t="s">
        <v>4660</v>
      </c>
    </row>
    <row r="1291" spans="1:24" x14ac:dyDescent="0.2">
      <c r="A1291" t="s">
        <v>5386</v>
      </c>
      <c r="B1291" t="s">
        <v>1646</v>
      </c>
      <c r="C1291" t="s">
        <v>1647</v>
      </c>
      <c r="D1291" t="s">
        <v>56</v>
      </c>
      <c r="E1291" t="s">
        <v>624</v>
      </c>
      <c r="F1291" t="s">
        <v>84</v>
      </c>
      <c r="G1291" s="202">
        <v>1</v>
      </c>
      <c r="H1291">
        <v>2</v>
      </c>
      <c r="I1291" t="s">
        <v>3960</v>
      </c>
      <c r="J1291" t="s">
        <v>5229</v>
      </c>
      <c r="K1291" t="s">
        <v>1283</v>
      </c>
      <c r="L1291" s="204">
        <v>0.64</v>
      </c>
      <c r="M1291" s="112">
        <v>14.9175</v>
      </c>
      <c r="N1291" s="112">
        <v>9.5472000000000001</v>
      </c>
      <c r="O1291" s="204"/>
      <c r="P1291" s="112"/>
      <c r="Q1291" s="112"/>
      <c r="R1291" s="112"/>
      <c r="S1291" s="112"/>
      <c r="T1291" s="112"/>
      <c r="U1291" t="s">
        <v>5387</v>
      </c>
      <c r="V1291" t="s">
        <v>5388</v>
      </c>
      <c r="W1291" t="s">
        <v>3958</v>
      </c>
      <c r="X1291" t="s">
        <v>4660</v>
      </c>
    </row>
    <row r="1292" spans="1:24" x14ac:dyDescent="0.2">
      <c r="A1292" t="s">
        <v>5386</v>
      </c>
      <c r="B1292" t="s">
        <v>1646</v>
      </c>
      <c r="C1292" t="s">
        <v>1647</v>
      </c>
      <c r="D1292" t="s">
        <v>56</v>
      </c>
      <c r="E1292" t="s">
        <v>624</v>
      </c>
      <c r="F1292" t="s">
        <v>84</v>
      </c>
      <c r="G1292" s="202">
        <v>1</v>
      </c>
      <c r="H1292">
        <v>3</v>
      </c>
      <c r="I1292" t="s">
        <v>3976</v>
      </c>
      <c r="J1292" t="s">
        <v>5230</v>
      </c>
      <c r="K1292" t="s">
        <v>1283</v>
      </c>
      <c r="L1292" s="204">
        <v>0.04</v>
      </c>
      <c r="M1292" s="112">
        <v>14.9175</v>
      </c>
      <c r="N1292" s="112">
        <v>0.59670000000000001</v>
      </c>
      <c r="O1292" s="204"/>
      <c r="P1292" s="112"/>
      <c r="Q1292" s="112"/>
      <c r="R1292" s="112"/>
      <c r="S1292" s="112"/>
      <c r="T1292" s="112"/>
      <c r="U1292" t="s">
        <v>5387</v>
      </c>
      <c r="V1292" t="s">
        <v>5388</v>
      </c>
      <c r="W1292" t="s">
        <v>3958</v>
      </c>
      <c r="X1292" t="s">
        <v>4660</v>
      </c>
    </row>
    <row r="1293" spans="1:24" x14ac:dyDescent="0.2">
      <c r="A1293" t="s">
        <v>5386</v>
      </c>
      <c r="B1293" t="s">
        <v>1646</v>
      </c>
      <c r="C1293" t="s">
        <v>1647</v>
      </c>
      <c r="D1293" t="s">
        <v>56</v>
      </c>
      <c r="E1293" t="s">
        <v>624</v>
      </c>
      <c r="F1293" t="s">
        <v>84</v>
      </c>
      <c r="G1293" s="202">
        <v>1</v>
      </c>
      <c r="H1293">
        <v>4</v>
      </c>
      <c r="I1293" t="s">
        <v>4017</v>
      </c>
      <c r="J1293" t="s">
        <v>4851</v>
      </c>
      <c r="K1293" t="s">
        <v>1283</v>
      </c>
      <c r="L1293" s="204">
        <v>0.06</v>
      </c>
      <c r="M1293" s="112">
        <v>14.9175</v>
      </c>
      <c r="N1293" s="112">
        <v>0.89505000000000001</v>
      </c>
      <c r="O1293" s="204"/>
      <c r="P1293" s="112"/>
      <c r="Q1293" s="112"/>
      <c r="R1293" s="112"/>
      <c r="S1293" s="112"/>
      <c r="T1293" s="112"/>
      <c r="U1293" t="s">
        <v>5387</v>
      </c>
      <c r="V1293" t="s">
        <v>5388</v>
      </c>
      <c r="W1293" t="s">
        <v>3958</v>
      </c>
      <c r="X1293" t="s">
        <v>4660</v>
      </c>
    </row>
    <row r="1294" spans="1:24" x14ac:dyDescent="0.2">
      <c r="A1294" t="s">
        <v>5386</v>
      </c>
      <c r="B1294" t="s">
        <v>1646</v>
      </c>
      <c r="C1294" t="s">
        <v>1647</v>
      </c>
      <c r="D1294" t="s">
        <v>56</v>
      </c>
      <c r="E1294" t="s">
        <v>624</v>
      </c>
      <c r="F1294" t="s">
        <v>84</v>
      </c>
      <c r="G1294" s="202">
        <v>1</v>
      </c>
      <c r="H1294">
        <v>5</v>
      </c>
      <c r="I1294" t="s">
        <v>3968</v>
      </c>
      <c r="J1294" t="s">
        <v>3969</v>
      </c>
      <c r="K1294" t="s">
        <v>84</v>
      </c>
      <c r="L1294" s="204">
        <v>1</v>
      </c>
      <c r="M1294" s="112"/>
      <c r="N1294" s="112">
        <v>14.9175</v>
      </c>
      <c r="O1294" s="204">
        <v>0.22205463381933965</v>
      </c>
      <c r="P1294" s="112">
        <v>3.3125</v>
      </c>
      <c r="Q1294" s="112">
        <v>18.23</v>
      </c>
      <c r="R1294" s="112">
        <v>18.23</v>
      </c>
      <c r="S1294" s="112">
        <v>18.23</v>
      </c>
      <c r="T1294" s="112">
        <v>0</v>
      </c>
      <c r="U1294" t="s">
        <v>5387</v>
      </c>
      <c r="V1294" t="s">
        <v>5388</v>
      </c>
      <c r="W1294" t="s">
        <v>4666</v>
      </c>
      <c r="X1294" t="s">
        <v>4667</v>
      </c>
    </row>
    <row r="1295" spans="1:24" x14ac:dyDescent="0.2">
      <c r="A1295" t="s">
        <v>5389</v>
      </c>
      <c r="B1295" t="s">
        <v>1648</v>
      </c>
      <c r="C1295" t="s">
        <v>1649</v>
      </c>
      <c r="D1295" t="s">
        <v>56</v>
      </c>
      <c r="E1295" t="s">
        <v>625</v>
      </c>
      <c r="F1295" t="s">
        <v>84</v>
      </c>
      <c r="G1295" s="202">
        <v>2</v>
      </c>
      <c r="H1295">
        <v>1</v>
      </c>
      <c r="I1295" t="s">
        <v>3954</v>
      </c>
      <c r="J1295" t="s">
        <v>5227</v>
      </c>
      <c r="K1295" t="s">
        <v>1283</v>
      </c>
      <c r="L1295" s="204">
        <v>0.26</v>
      </c>
      <c r="M1295" s="112">
        <v>21.8475</v>
      </c>
      <c r="N1295" s="112">
        <v>5.6803499999999998</v>
      </c>
      <c r="O1295" s="204"/>
      <c r="P1295" s="112"/>
      <c r="Q1295" s="112"/>
      <c r="R1295" s="112"/>
      <c r="S1295" s="112"/>
      <c r="T1295" s="112"/>
      <c r="U1295" t="s">
        <v>5390</v>
      </c>
      <c r="V1295" t="s">
        <v>5391</v>
      </c>
      <c r="W1295" t="s">
        <v>3958</v>
      </c>
      <c r="X1295" t="s">
        <v>4660</v>
      </c>
    </row>
    <row r="1296" spans="1:24" x14ac:dyDescent="0.2">
      <c r="A1296" t="s">
        <v>5389</v>
      </c>
      <c r="B1296" t="s">
        <v>1648</v>
      </c>
      <c r="C1296" t="s">
        <v>1649</v>
      </c>
      <c r="D1296" t="s">
        <v>56</v>
      </c>
      <c r="E1296" t="s">
        <v>625</v>
      </c>
      <c r="F1296" t="s">
        <v>84</v>
      </c>
      <c r="G1296" s="202">
        <v>2</v>
      </c>
      <c r="H1296">
        <v>2</v>
      </c>
      <c r="I1296" t="s">
        <v>3960</v>
      </c>
      <c r="J1296" t="s">
        <v>5229</v>
      </c>
      <c r="K1296" t="s">
        <v>1283</v>
      </c>
      <c r="L1296" s="204">
        <v>0.64</v>
      </c>
      <c r="M1296" s="112">
        <v>21.8475</v>
      </c>
      <c r="N1296" s="112">
        <v>13.9824</v>
      </c>
      <c r="O1296" s="204"/>
      <c r="P1296" s="112"/>
      <c r="Q1296" s="112"/>
      <c r="R1296" s="112"/>
      <c r="S1296" s="112"/>
      <c r="T1296" s="112"/>
      <c r="U1296" t="s">
        <v>5390</v>
      </c>
      <c r="V1296" t="s">
        <v>5391</v>
      </c>
      <c r="W1296" t="s">
        <v>3958</v>
      </c>
      <c r="X1296" t="s">
        <v>4660</v>
      </c>
    </row>
    <row r="1297" spans="1:24" x14ac:dyDescent="0.2">
      <c r="A1297" t="s">
        <v>5389</v>
      </c>
      <c r="B1297" t="s">
        <v>1648</v>
      </c>
      <c r="C1297" t="s">
        <v>1649</v>
      </c>
      <c r="D1297" t="s">
        <v>56</v>
      </c>
      <c r="E1297" t="s">
        <v>625</v>
      </c>
      <c r="F1297" t="s">
        <v>84</v>
      </c>
      <c r="G1297" s="202">
        <v>2</v>
      </c>
      <c r="H1297">
        <v>3</v>
      </c>
      <c r="I1297" t="s">
        <v>3976</v>
      </c>
      <c r="J1297" t="s">
        <v>5230</v>
      </c>
      <c r="K1297" t="s">
        <v>1283</v>
      </c>
      <c r="L1297" s="204">
        <v>0.04</v>
      </c>
      <c r="M1297" s="112">
        <v>21.8475</v>
      </c>
      <c r="N1297" s="112">
        <v>0.87390000000000001</v>
      </c>
      <c r="O1297" s="204"/>
      <c r="P1297" s="112"/>
      <c r="Q1297" s="112"/>
      <c r="R1297" s="112"/>
      <c r="S1297" s="112"/>
      <c r="T1297" s="112"/>
      <c r="U1297" t="s">
        <v>5390</v>
      </c>
      <c r="V1297" t="s">
        <v>5391</v>
      </c>
      <c r="W1297" t="s">
        <v>3958</v>
      </c>
      <c r="X1297" t="s">
        <v>4660</v>
      </c>
    </row>
    <row r="1298" spans="1:24" x14ac:dyDescent="0.2">
      <c r="A1298" t="s">
        <v>5389</v>
      </c>
      <c r="B1298" t="s">
        <v>1648</v>
      </c>
      <c r="C1298" t="s">
        <v>1649</v>
      </c>
      <c r="D1298" t="s">
        <v>56</v>
      </c>
      <c r="E1298" t="s">
        <v>625</v>
      </c>
      <c r="F1298" t="s">
        <v>84</v>
      </c>
      <c r="G1298" s="202">
        <v>2</v>
      </c>
      <c r="H1298">
        <v>4</v>
      </c>
      <c r="I1298" t="s">
        <v>4017</v>
      </c>
      <c r="J1298" t="s">
        <v>4851</v>
      </c>
      <c r="K1298" t="s">
        <v>1283</v>
      </c>
      <c r="L1298" s="204">
        <v>0.06</v>
      </c>
      <c r="M1298" s="112">
        <v>21.8475</v>
      </c>
      <c r="N1298" s="112">
        <v>1.3108500000000001</v>
      </c>
      <c r="O1298" s="204"/>
      <c r="P1298" s="112"/>
      <c r="Q1298" s="112"/>
      <c r="R1298" s="112"/>
      <c r="S1298" s="112"/>
      <c r="T1298" s="112"/>
      <c r="U1298" t="s">
        <v>5390</v>
      </c>
      <c r="V1298" t="s">
        <v>5391</v>
      </c>
      <c r="W1298" t="s">
        <v>3958</v>
      </c>
      <c r="X1298" t="s">
        <v>4660</v>
      </c>
    </row>
    <row r="1299" spans="1:24" x14ac:dyDescent="0.2">
      <c r="A1299" t="s">
        <v>5389</v>
      </c>
      <c r="B1299" t="s">
        <v>1648</v>
      </c>
      <c r="C1299" t="s">
        <v>1649</v>
      </c>
      <c r="D1299" t="s">
        <v>56</v>
      </c>
      <c r="E1299" t="s">
        <v>625</v>
      </c>
      <c r="F1299" t="s">
        <v>84</v>
      </c>
      <c r="G1299" s="202">
        <v>2</v>
      </c>
      <c r="H1299">
        <v>5</v>
      </c>
      <c r="I1299" t="s">
        <v>3968</v>
      </c>
      <c r="J1299" t="s">
        <v>3969</v>
      </c>
      <c r="K1299" t="s">
        <v>84</v>
      </c>
      <c r="L1299" s="204">
        <v>1</v>
      </c>
      <c r="M1299" s="112"/>
      <c r="N1299" s="112">
        <v>21.8475</v>
      </c>
      <c r="O1299" s="204">
        <v>0.22210779265362168</v>
      </c>
      <c r="P1299" s="112">
        <v>4.8524999999999991</v>
      </c>
      <c r="Q1299" s="112">
        <v>26.7</v>
      </c>
      <c r="R1299" s="112">
        <v>53.4</v>
      </c>
      <c r="S1299" s="112">
        <v>53.4</v>
      </c>
      <c r="T1299" s="112">
        <v>0</v>
      </c>
      <c r="U1299" t="s">
        <v>5390</v>
      </c>
      <c r="V1299" t="s">
        <v>5391</v>
      </c>
      <c r="W1299" t="s">
        <v>4666</v>
      </c>
      <c r="X1299" t="s">
        <v>4667</v>
      </c>
    </row>
    <row r="1300" spans="1:24" x14ac:dyDescent="0.2">
      <c r="A1300" t="s">
        <v>5392</v>
      </c>
      <c r="B1300" t="s">
        <v>1650</v>
      </c>
      <c r="C1300" t="s">
        <v>1610</v>
      </c>
      <c r="D1300" t="s">
        <v>56</v>
      </c>
      <c r="E1300" t="s">
        <v>593</v>
      </c>
      <c r="F1300" t="s">
        <v>84</v>
      </c>
      <c r="G1300" s="202">
        <v>6</v>
      </c>
      <c r="H1300">
        <v>1</v>
      </c>
      <c r="I1300" t="s">
        <v>3954</v>
      </c>
      <c r="J1300" t="s">
        <v>5227</v>
      </c>
      <c r="K1300" t="s">
        <v>1283</v>
      </c>
      <c r="L1300" s="204">
        <v>0.26</v>
      </c>
      <c r="M1300" s="112">
        <v>13.919999999999998</v>
      </c>
      <c r="N1300" s="112">
        <v>3.6191999999999998</v>
      </c>
      <c r="O1300" s="204"/>
      <c r="P1300" s="112"/>
      <c r="Q1300" s="112"/>
      <c r="R1300" s="112"/>
      <c r="S1300" s="112"/>
      <c r="T1300" s="112"/>
      <c r="U1300" t="s">
        <v>5323</v>
      </c>
      <c r="V1300" t="s">
        <v>5393</v>
      </c>
      <c r="W1300" t="s">
        <v>3958</v>
      </c>
      <c r="X1300" t="s">
        <v>4660</v>
      </c>
    </row>
    <row r="1301" spans="1:24" x14ac:dyDescent="0.2">
      <c r="A1301" t="s">
        <v>5392</v>
      </c>
      <c r="B1301" t="s">
        <v>1650</v>
      </c>
      <c r="C1301" t="s">
        <v>1610</v>
      </c>
      <c r="D1301" t="s">
        <v>56</v>
      </c>
      <c r="E1301" t="s">
        <v>593</v>
      </c>
      <c r="F1301" t="s">
        <v>84</v>
      </c>
      <c r="G1301" s="202">
        <v>6</v>
      </c>
      <c r="H1301">
        <v>2</v>
      </c>
      <c r="I1301" t="s">
        <v>3960</v>
      </c>
      <c r="J1301" t="s">
        <v>5229</v>
      </c>
      <c r="K1301" t="s">
        <v>1283</v>
      </c>
      <c r="L1301" s="204">
        <v>0.64</v>
      </c>
      <c r="M1301" s="112">
        <v>13.919999999999998</v>
      </c>
      <c r="N1301" s="112">
        <v>8.9087999999999994</v>
      </c>
      <c r="O1301" s="204"/>
      <c r="P1301" s="112"/>
      <c r="Q1301" s="112"/>
      <c r="R1301" s="112"/>
      <c r="S1301" s="112"/>
      <c r="T1301" s="112"/>
      <c r="U1301" t="s">
        <v>5323</v>
      </c>
      <c r="V1301" t="s">
        <v>5393</v>
      </c>
      <c r="W1301" t="s">
        <v>3958</v>
      </c>
      <c r="X1301" t="s">
        <v>4660</v>
      </c>
    </row>
    <row r="1302" spans="1:24" x14ac:dyDescent="0.2">
      <c r="A1302" t="s">
        <v>5392</v>
      </c>
      <c r="B1302" t="s">
        <v>1650</v>
      </c>
      <c r="C1302" t="s">
        <v>1610</v>
      </c>
      <c r="D1302" t="s">
        <v>56</v>
      </c>
      <c r="E1302" t="s">
        <v>593</v>
      </c>
      <c r="F1302" t="s">
        <v>84</v>
      </c>
      <c r="G1302" s="202">
        <v>6</v>
      </c>
      <c r="H1302">
        <v>3</v>
      </c>
      <c r="I1302" t="s">
        <v>3976</v>
      </c>
      <c r="J1302" t="s">
        <v>5230</v>
      </c>
      <c r="K1302" t="s">
        <v>1283</v>
      </c>
      <c r="L1302" s="204">
        <v>0.04</v>
      </c>
      <c r="M1302" s="112">
        <v>13.919999999999998</v>
      </c>
      <c r="N1302" s="112">
        <v>0.55679999999999996</v>
      </c>
      <c r="O1302" s="204"/>
      <c r="P1302" s="112"/>
      <c r="Q1302" s="112"/>
      <c r="R1302" s="112"/>
      <c r="S1302" s="112"/>
      <c r="T1302" s="112"/>
      <c r="U1302" t="s">
        <v>5323</v>
      </c>
      <c r="V1302" t="s">
        <v>5393</v>
      </c>
      <c r="W1302" t="s">
        <v>3958</v>
      </c>
      <c r="X1302" t="s">
        <v>4660</v>
      </c>
    </row>
    <row r="1303" spans="1:24" x14ac:dyDescent="0.2">
      <c r="A1303" t="s">
        <v>5392</v>
      </c>
      <c r="B1303" t="s">
        <v>1650</v>
      </c>
      <c r="C1303" t="s">
        <v>1610</v>
      </c>
      <c r="D1303" t="s">
        <v>56</v>
      </c>
      <c r="E1303" t="s">
        <v>593</v>
      </c>
      <c r="F1303" t="s">
        <v>84</v>
      </c>
      <c r="G1303" s="202">
        <v>6</v>
      </c>
      <c r="H1303">
        <v>4</v>
      </c>
      <c r="I1303" t="s">
        <v>4017</v>
      </c>
      <c r="J1303" t="s">
        <v>4851</v>
      </c>
      <c r="K1303" t="s">
        <v>1283</v>
      </c>
      <c r="L1303" s="204">
        <v>0.06</v>
      </c>
      <c r="M1303" s="112">
        <v>13.919999999999998</v>
      </c>
      <c r="N1303" s="112">
        <v>0.83519999999999983</v>
      </c>
      <c r="O1303" s="204"/>
      <c r="P1303" s="112"/>
      <c r="Q1303" s="112"/>
      <c r="R1303" s="112"/>
      <c r="S1303" s="112"/>
      <c r="T1303" s="112"/>
      <c r="U1303" t="s">
        <v>5323</v>
      </c>
      <c r="V1303" t="s">
        <v>5393</v>
      </c>
      <c r="W1303" t="s">
        <v>3958</v>
      </c>
      <c r="X1303" t="s">
        <v>4660</v>
      </c>
    </row>
    <row r="1304" spans="1:24" x14ac:dyDescent="0.2">
      <c r="A1304" t="s">
        <v>5392</v>
      </c>
      <c r="B1304" t="s">
        <v>1650</v>
      </c>
      <c r="C1304" t="s">
        <v>1610</v>
      </c>
      <c r="D1304" t="s">
        <v>56</v>
      </c>
      <c r="E1304" t="s">
        <v>593</v>
      </c>
      <c r="F1304" t="s">
        <v>84</v>
      </c>
      <c r="G1304" s="202">
        <v>6</v>
      </c>
      <c r="H1304">
        <v>5</v>
      </c>
      <c r="I1304" t="s">
        <v>3968</v>
      </c>
      <c r="J1304" t="s">
        <v>3969</v>
      </c>
      <c r="K1304" t="s">
        <v>84</v>
      </c>
      <c r="L1304" s="204">
        <v>1</v>
      </c>
      <c r="M1304" s="112"/>
      <c r="N1304" s="112">
        <v>13.919999999999998</v>
      </c>
      <c r="O1304" s="204">
        <v>0.22198275862068995</v>
      </c>
      <c r="P1304" s="112">
        <v>3.0900000000000034</v>
      </c>
      <c r="Q1304" s="112">
        <v>17.010000000000002</v>
      </c>
      <c r="R1304" s="112">
        <v>102.06</v>
      </c>
      <c r="S1304" s="112">
        <v>102.06</v>
      </c>
      <c r="T1304" s="112">
        <v>0</v>
      </c>
      <c r="U1304" t="s">
        <v>5323</v>
      </c>
      <c r="V1304" t="s">
        <v>5393</v>
      </c>
      <c r="W1304" t="s">
        <v>4666</v>
      </c>
      <c r="X1304" t="s">
        <v>4667</v>
      </c>
    </row>
    <row r="1305" spans="1:24" x14ac:dyDescent="0.2">
      <c r="A1305" t="s">
        <v>5394</v>
      </c>
      <c r="B1305" t="s">
        <v>1651</v>
      </c>
      <c r="C1305" t="s">
        <v>1652</v>
      </c>
      <c r="D1305" t="s">
        <v>56</v>
      </c>
      <c r="E1305" t="s">
        <v>626</v>
      </c>
      <c r="F1305" t="s">
        <v>84</v>
      </c>
      <c r="G1305" s="202">
        <v>1</v>
      </c>
      <c r="H1305">
        <v>1</v>
      </c>
      <c r="I1305" t="s">
        <v>3954</v>
      </c>
      <c r="J1305" t="s">
        <v>5227</v>
      </c>
      <c r="K1305" t="s">
        <v>1283</v>
      </c>
      <c r="L1305" s="204">
        <v>0.26</v>
      </c>
      <c r="M1305" s="112">
        <v>30.547499999999999</v>
      </c>
      <c r="N1305" s="112">
        <v>7.9423500000000002</v>
      </c>
      <c r="O1305" s="204"/>
      <c r="P1305" s="112"/>
      <c r="Q1305" s="112"/>
      <c r="R1305" s="112"/>
      <c r="S1305" s="112"/>
      <c r="T1305" s="112"/>
      <c r="U1305" t="s">
        <v>5395</v>
      </c>
      <c r="V1305" t="s">
        <v>5396</v>
      </c>
      <c r="W1305" t="s">
        <v>3958</v>
      </c>
      <c r="X1305" t="s">
        <v>4660</v>
      </c>
    </row>
    <row r="1306" spans="1:24" x14ac:dyDescent="0.2">
      <c r="A1306" t="s">
        <v>5394</v>
      </c>
      <c r="B1306" t="s">
        <v>1651</v>
      </c>
      <c r="C1306" t="s">
        <v>1652</v>
      </c>
      <c r="D1306" t="s">
        <v>56</v>
      </c>
      <c r="E1306" t="s">
        <v>626</v>
      </c>
      <c r="F1306" t="s">
        <v>84</v>
      </c>
      <c r="G1306" s="202">
        <v>1</v>
      </c>
      <c r="H1306">
        <v>2</v>
      </c>
      <c r="I1306" t="s">
        <v>3960</v>
      </c>
      <c r="J1306" t="s">
        <v>5229</v>
      </c>
      <c r="K1306" t="s">
        <v>1283</v>
      </c>
      <c r="L1306" s="204">
        <v>0.64</v>
      </c>
      <c r="M1306" s="112">
        <v>30.547499999999999</v>
      </c>
      <c r="N1306" s="112">
        <v>19.5504</v>
      </c>
      <c r="O1306" s="204"/>
      <c r="P1306" s="112"/>
      <c r="Q1306" s="112"/>
      <c r="R1306" s="112"/>
      <c r="S1306" s="112"/>
      <c r="T1306" s="112"/>
      <c r="U1306" t="s">
        <v>5395</v>
      </c>
      <c r="V1306" t="s">
        <v>5396</v>
      </c>
      <c r="W1306" t="s">
        <v>3958</v>
      </c>
      <c r="X1306" t="s">
        <v>4660</v>
      </c>
    </row>
    <row r="1307" spans="1:24" x14ac:dyDescent="0.2">
      <c r="A1307" t="s">
        <v>5394</v>
      </c>
      <c r="B1307" t="s">
        <v>1651</v>
      </c>
      <c r="C1307" t="s">
        <v>1652</v>
      </c>
      <c r="D1307" t="s">
        <v>56</v>
      </c>
      <c r="E1307" t="s">
        <v>626</v>
      </c>
      <c r="F1307" t="s">
        <v>84</v>
      </c>
      <c r="G1307" s="202">
        <v>1</v>
      </c>
      <c r="H1307">
        <v>3</v>
      </c>
      <c r="I1307" t="s">
        <v>3976</v>
      </c>
      <c r="J1307" t="s">
        <v>5230</v>
      </c>
      <c r="K1307" t="s">
        <v>1283</v>
      </c>
      <c r="L1307" s="204">
        <v>0.04</v>
      </c>
      <c r="M1307" s="112">
        <v>30.547499999999999</v>
      </c>
      <c r="N1307" s="112">
        <v>1.2219</v>
      </c>
      <c r="O1307" s="204"/>
      <c r="P1307" s="112"/>
      <c r="Q1307" s="112"/>
      <c r="R1307" s="112"/>
      <c r="S1307" s="112"/>
      <c r="T1307" s="112"/>
      <c r="U1307" t="s">
        <v>5395</v>
      </c>
      <c r="V1307" t="s">
        <v>5396</v>
      </c>
      <c r="W1307" t="s">
        <v>3958</v>
      </c>
      <c r="X1307" t="s">
        <v>4660</v>
      </c>
    </row>
    <row r="1308" spans="1:24" x14ac:dyDescent="0.2">
      <c r="A1308" t="s">
        <v>5394</v>
      </c>
      <c r="B1308" t="s">
        <v>1651</v>
      </c>
      <c r="C1308" t="s">
        <v>1652</v>
      </c>
      <c r="D1308" t="s">
        <v>56</v>
      </c>
      <c r="E1308" t="s">
        <v>626</v>
      </c>
      <c r="F1308" t="s">
        <v>84</v>
      </c>
      <c r="G1308" s="202">
        <v>1</v>
      </c>
      <c r="H1308">
        <v>4</v>
      </c>
      <c r="I1308" t="s">
        <v>4017</v>
      </c>
      <c r="J1308" t="s">
        <v>4851</v>
      </c>
      <c r="K1308" t="s">
        <v>1283</v>
      </c>
      <c r="L1308" s="204">
        <v>0.06</v>
      </c>
      <c r="M1308" s="112">
        <v>30.547499999999999</v>
      </c>
      <c r="N1308" s="112">
        <v>1.8328499999999999</v>
      </c>
      <c r="O1308" s="204"/>
      <c r="P1308" s="112"/>
      <c r="Q1308" s="112"/>
      <c r="R1308" s="112"/>
      <c r="S1308" s="112"/>
      <c r="T1308" s="112"/>
      <c r="U1308" t="s">
        <v>5395</v>
      </c>
      <c r="V1308" t="s">
        <v>5396</v>
      </c>
      <c r="W1308" t="s">
        <v>3958</v>
      </c>
      <c r="X1308" t="s">
        <v>4660</v>
      </c>
    </row>
    <row r="1309" spans="1:24" x14ac:dyDescent="0.2">
      <c r="A1309" t="s">
        <v>5394</v>
      </c>
      <c r="B1309" t="s">
        <v>1651</v>
      </c>
      <c r="C1309" t="s">
        <v>1652</v>
      </c>
      <c r="D1309" t="s">
        <v>56</v>
      </c>
      <c r="E1309" t="s">
        <v>626</v>
      </c>
      <c r="F1309" t="s">
        <v>84</v>
      </c>
      <c r="G1309" s="202">
        <v>1</v>
      </c>
      <c r="H1309">
        <v>5</v>
      </c>
      <c r="I1309" t="s">
        <v>3968</v>
      </c>
      <c r="J1309" t="s">
        <v>3969</v>
      </c>
      <c r="K1309" t="s">
        <v>84</v>
      </c>
      <c r="L1309" s="204">
        <v>1</v>
      </c>
      <c r="M1309" s="112"/>
      <c r="N1309" s="112">
        <v>30.547499999999999</v>
      </c>
      <c r="O1309" s="204">
        <v>0.2220312627874621</v>
      </c>
      <c r="P1309" s="112">
        <v>6.7824999999999989</v>
      </c>
      <c r="Q1309" s="112">
        <v>37.33</v>
      </c>
      <c r="R1309" s="112">
        <v>37.33</v>
      </c>
      <c r="S1309" s="112">
        <v>37.33</v>
      </c>
      <c r="T1309" s="112">
        <v>0</v>
      </c>
      <c r="U1309" t="s">
        <v>5395</v>
      </c>
      <c r="V1309" t="s">
        <v>5396</v>
      </c>
      <c r="W1309" t="s">
        <v>4666</v>
      </c>
      <c r="X1309" t="s">
        <v>4667</v>
      </c>
    </row>
    <row r="1310" spans="1:24" x14ac:dyDescent="0.2">
      <c r="A1310" t="s">
        <v>5397</v>
      </c>
      <c r="B1310" t="s">
        <v>1653</v>
      </c>
      <c r="C1310" t="s">
        <v>1654</v>
      </c>
      <c r="D1310" t="s">
        <v>56</v>
      </c>
      <c r="E1310" t="s">
        <v>627</v>
      </c>
      <c r="F1310" t="s">
        <v>84</v>
      </c>
      <c r="G1310" s="202">
        <v>23</v>
      </c>
      <c r="H1310">
        <v>1</v>
      </c>
      <c r="I1310" t="s">
        <v>3954</v>
      </c>
      <c r="J1310" t="s">
        <v>5227</v>
      </c>
      <c r="K1310" t="s">
        <v>1283</v>
      </c>
      <c r="L1310" s="204">
        <v>0.26</v>
      </c>
      <c r="M1310" s="112">
        <v>11.73</v>
      </c>
      <c r="N1310" s="112">
        <v>3.0498000000000003</v>
      </c>
      <c r="O1310" s="204"/>
      <c r="P1310" s="112"/>
      <c r="Q1310" s="112"/>
      <c r="R1310" s="112"/>
      <c r="S1310" s="112"/>
      <c r="T1310" s="112"/>
      <c r="U1310" t="s">
        <v>5398</v>
      </c>
      <c r="V1310" t="s">
        <v>5399</v>
      </c>
      <c r="W1310" t="s">
        <v>3958</v>
      </c>
      <c r="X1310" t="s">
        <v>4660</v>
      </c>
    </row>
    <row r="1311" spans="1:24" x14ac:dyDescent="0.2">
      <c r="A1311" t="s">
        <v>5397</v>
      </c>
      <c r="B1311" t="s">
        <v>1653</v>
      </c>
      <c r="C1311" t="s">
        <v>1654</v>
      </c>
      <c r="D1311" t="s">
        <v>56</v>
      </c>
      <c r="E1311" t="s">
        <v>627</v>
      </c>
      <c r="F1311" t="s">
        <v>84</v>
      </c>
      <c r="G1311" s="202">
        <v>23</v>
      </c>
      <c r="H1311">
        <v>2</v>
      </c>
      <c r="I1311" t="s">
        <v>3960</v>
      </c>
      <c r="J1311" t="s">
        <v>5229</v>
      </c>
      <c r="K1311" t="s">
        <v>1283</v>
      </c>
      <c r="L1311" s="204">
        <v>0.64</v>
      </c>
      <c r="M1311" s="112">
        <v>11.73</v>
      </c>
      <c r="N1311" s="112">
        <v>7.5072000000000001</v>
      </c>
      <c r="O1311" s="204"/>
      <c r="P1311" s="112"/>
      <c r="Q1311" s="112"/>
      <c r="R1311" s="112"/>
      <c r="S1311" s="112"/>
      <c r="T1311" s="112"/>
      <c r="U1311" t="s">
        <v>5398</v>
      </c>
      <c r="V1311" t="s">
        <v>5399</v>
      </c>
      <c r="W1311" t="s">
        <v>3958</v>
      </c>
      <c r="X1311" t="s">
        <v>4660</v>
      </c>
    </row>
    <row r="1312" spans="1:24" x14ac:dyDescent="0.2">
      <c r="A1312" t="s">
        <v>5397</v>
      </c>
      <c r="B1312" t="s">
        <v>1653</v>
      </c>
      <c r="C1312" t="s">
        <v>1654</v>
      </c>
      <c r="D1312" t="s">
        <v>56</v>
      </c>
      <c r="E1312" t="s">
        <v>627</v>
      </c>
      <c r="F1312" t="s">
        <v>84</v>
      </c>
      <c r="G1312" s="202">
        <v>23</v>
      </c>
      <c r="H1312">
        <v>3</v>
      </c>
      <c r="I1312" t="s">
        <v>3976</v>
      </c>
      <c r="J1312" t="s">
        <v>5230</v>
      </c>
      <c r="K1312" t="s">
        <v>1283</v>
      </c>
      <c r="L1312" s="204">
        <v>0.04</v>
      </c>
      <c r="M1312" s="112">
        <v>11.73</v>
      </c>
      <c r="N1312" s="112">
        <v>0.46920000000000001</v>
      </c>
      <c r="O1312" s="204"/>
      <c r="P1312" s="112"/>
      <c r="Q1312" s="112"/>
      <c r="R1312" s="112"/>
      <c r="S1312" s="112"/>
      <c r="T1312" s="112"/>
      <c r="U1312" t="s">
        <v>5398</v>
      </c>
      <c r="V1312" t="s">
        <v>5399</v>
      </c>
      <c r="W1312" t="s">
        <v>3958</v>
      </c>
      <c r="X1312" t="s">
        <v>4660</v>
      </c>
    </row>
    <row r="1313" spans="1:24" x14ac:dyDescent="0.2">
      <c r="A1313" t="s">
        <v>5397</v>
      </c>
      <c r="B1313" t="s">
        <v>1653</v>
      </c>
      <c r="C1313" t="s">
        <v>1654</v>
      </c>
      <c r="D1313" t="s">
        <v>56</v>
      </c>
      <c r="E1313" t="s">
        <v>627</v>
      </c>
      <c r="F1313" t="s">
        <v>84</v>
      </c>
      <c r="G1313" s="202">
        <v>23</v>
      </c>
      <c r="H1313">
        <v>4</v>
      </c>
      <c r="I1313" t="s">
        <v>4017</v>
      </c>
      <c r="J1313" t="s">
        <v>4851</v>
      </c>
      <c r="K1313" t="s">
        <v>1283</v>
      </c>
      <c r="L1313" s="204">
        <v>0.06</v>
      </c>
      <c r="M1313" s="112">
        <v>11.73</v>
      </c>
      <c r="N1313" s="112">
        <v>0.70379999999999998</v>
      </c>
      <c r="O1313" s="204"/>
      <c r="P1313" s="112"/>
      <c r="Q1313" s="112"/>
      <c r="R1313" s="112"/>
      <c r="S1313" s="112"/>
      <c r="T1313" s="112"/>
      <c r="U1313" t="s">
        <v>5398</v>
      </c>
      <c r="V1313" t="s">
        <v>5399</v>
      </c>
      <c r="W1313" t="s">
        <v>3958</v>
      </c>
      <c r="X1313" t="s">
        <v>4660</v>
      </c>
    </row>
    <row r="1314" spans="1:24" x14ac:dyDescent="0.2">
      <c r="A1314" t="s">
        <v>5397</v>
      </c>
      <c r="B1314" t="s">
        <v>1653</v>
      </c>
      <c r="C1314" t="s">
        <v>1654</v>
      </c>
      <c r="D1314" t="s">
        <v>56</v>
      </c>
      <c r="E1314" t="s">
        <v>627</v>
      </c>
      <c r="F1314" t="s">
        <v>84</v>
      </c>
      <c r="G1314" s="202">
        <v>23</v>
      </c>
      <c r="H1314">
        <v>5</v>
      </c>
      <c r="I1314" t="s">
        <v>3968</v>
      </c>
      <c r="J1314" t="s">
        <v>3969</v>
      </c>
      <c r="K1314" t="s">
        <v>84</v>
      </c>
      <c r="L1314" s="204">
        <v>1</v>
      </c>
      <c r="M1314" s="112"/>
      <c r="N1314" s="112">
        <v>11.73</v>
      </c>
      <c r="O1314" s="204">
        <v>0.22183920827310133</v>
      </c>
      <c r="P1314" s="112">
        <v>2.6021739130434778</v>
      </c>
      <c r="Q1314" s="112">
        <v>14.332173913043478</v>
      </c>
      <c r="R1314" s="112">
        <v>329.64</v>
      </c>
      <c r="S1314" s="112">
        <v>329.64</v>
      </c>
      <c r="T1314" s="112">
        <v>0</v>
      </c>
      <c r="U1314" t="s">
        <v>5398</v>
      </c>
      <c r="V1314" t="s">
        <v>5399</v>
      </c>
      <c r="W1314" t="s">
        <v>4666</v>
      </c>
      <c r="X1314" t="s">
        <v>4667</v>
      </c>
    </row>
    <row r="1315" spans="1:24" x14ac:dyDescent="0.2">
      <c r="A1315" t="s">
        <v>5400</v>
      </c>
      <c r="B1315" t="s">
        <v>1655</v>
      </c>
      <c r="C1315" t="s">
        <v>1656</v>
      </c>
      <c r="D1315" t="s">
        <v>56</v>
      </c>
      <c r="E1315" t="s">
        <v>628</v>
      </c>
      <c r="F1315" t="s">
        <v>84</v>
      </c>
      <c r="G1315" s="202">
        <v>28</v>
      </c>
      <c r="H1315">
        <v>1</v>
      </c>
      <c r="I1315" t="s">
        <v>3954</v>
      </c>
      <c r="J1315" t="s">
        <v>5227</v>
      </c>
      <c r="K1315" t="s">
        <v>1283</v>
      </c>
      <c r="L1315" s="204">
        <v>0.26</v>
      </c>
      <c r="M1315" s="112">
        <v>6.9674999999999994</v>
      </c>
      <c r="N1315" s="112">
        <v>1.81155</v>
      </c>
      <c r="O1315" s="204"/>
      <c r="P1315" s="112"/>
      <c r="Q1315" s="112"/>
      <c r="R1315" s="112"/>
      <c r="S1315" s="112"/>
      <c r="T1315" s="112"/>
      <c r="U1315" t="s">
        <v>5401</v>
      </c>
      <c r="V1315" t="s">
        <v>5402</v>
      </c>
      <c r="W1315" t="s">
        <v>3958</v>
      </c>
      <c r="X1315" t="s">
        <v>4660</v>
      </c>
    </row>
    <row r="1316" spans="1:24" x14ac:dyDescent="0.2">
      <c r="A1316" t="s">
        <v>5400</v>
      </c>
      <c r="B1316" t="s">
        <v>1655</v>
      </c>
      <c r="C1316" t="s">
        <v>1656</v>
      </c>
      <c r="D1316" t="s">
        <v>56</v>
      </c>
      <c r="E1316" t="s">
        <v>628</v>
      </c>
      <c r="F1316" t="s">
        <v>84</v>
      </c>
      <c r="G1316" s="202">
        <v>28</v>
      </c>
      <c r="H1316">
        <v>2</v>
      </c>
      <c r="I1316" t="s">
        <v>3960</v>
      </c>
      <c r="J1316" t="s">
        <v>5229</v>
      </c>
      <c r="K1316" t="s">
        <v>1283</v>
      </c>
      <c r="L1316" s="204">
        <v>0.64</v>
      </c>
      <c r="M1316" s="112">
        <v>6.9674999999999994</v>
      </c>
      <c r="N1316" s="112">
        <v>4.4592000000000001</v>
      </c>
      <c r="O1316" s="204"/>
      <c r="P1316" s="112"/>
      <c r="Q1316" s="112"/>
      <c r="R1316" s="112"/>
      <c r="S1316" s="112"/>
      <c r="T1316" s="112"/>
      <c r="U1316" t="s">
        <v>5401</v>
      </c>
      <c r="V1316" t="s">
        <v>5402</v>
      </c>
      <c r="W1316" t="s">
        <v>3958</v>
      </c>
      <c r="X1316" t="s">
        <v>4660</v>
      </c>
    </row>
    <row r="1317" spans="1:24" x14ac:dyDescent="0.2">
      <c r="A1317" t="s">
        <v>5400</v>
      </c>
      <c r="B1317" t="s">
        <v>1655</v>
      </c>
      <c r="C1317" t="s">
        <v>1656</v>
      </c>
      <c r="D1317" t="s">
        <v>56</v>
      </c>
      <c r="E1317" t="s">
        <v>628</v>
      </c>
      <c r="F1317" t="s">
        <v>84</v>
      </c>
      <c r="G1317" s="202">
        <v>28</v>
      </c>
      <c r="H1317">
        <v>3</v>
      </c>
      <c r="I1317" t="s">
        <v>3976</v>
      </c>
      <c r="J1317" t="s">
        <v>5230</v>
      </c>
      <c r="K1317" t="s">
        <v>1283</v>
      </c>
      <c r="L1317" s="204">
        <v>0.04</v>
      </c>
      <c r="M1317" s="112">
        <v>6.9674999999999994</v>
      </c>
      <c r="N1317" s="112">
        <v>0.2787</v>
      </c>
      <c r="O1317" s="204"/>
      <c r="P1317" s="112"/>
      <c r="Q1317" s="112"/>
      <c r="R1317" s="112"/>
      <c r="S1317" s="112"/>
      <c r="T1317" s="112"/>
      <c r="U1317" t="s">
        <v>5401</v>
      </c>
      <c r="V1317" t="s">
        <v>5402</v>
      </c>
      <c r="W1317" t="s">
        <v>3958</v>
      </c>
      <c r="X1317" t="s">
        <v>4660</v>
      </c>
    </row>
    <row r="1318" spans="1:24" x14ac:dyDescent="0.2">
      <c r="A1318" t="s">
        <v>5400</v>
      </c>
      <c r="B1318" t="s">
        <v>1655</v>
      </c>
      <c r="C1318" t="s">
        <v>1656</v>
      </c>
      <c r="D1318" t="s">
        <v>56</v>
      </c>
      <c r="E1318" t="s">
        <v>628</v>
      </c>
      <c r="F1318" t="s">
        <v>84</v>
      </c>
      <c r="G1318" s="202">
        <v>28</v>
      </c>
      <c r="H1318">
        <v>4</v>
      </c>
      <c r="I1318" t="s">
        <v>4017</v>
      </c>
      <c r="J1318" t="s">
        <v>4851</v>
      </c>
      <c r="K1318" t="s">
        <v>1283</v>
      </c>
      <c r="L1318" s="204">
        <v>0.06</v>
      </c>
      <c r="M1318" s="112">
        <v>6.9674999999999994</v>
      </c>
      <c r="N1318" s="112">
        <v>0.41804999999999992</v>
      </c>
      <c r="O1318" s="204"/>
      <c r="P1318" s="112"/>
      <c r="Q1318" s="112"/>
      <c r="R1318" s="112"/>
      <c r="S1318" s="112"/>
      <c r="T1318" s="112"/>
      <c r="U1318" t="s">
        <v>5401</v>
      </c>
      <c r="V1318" t="s">
        <v>5402</v>
      </c>
      <c r="W1318" t="s">
        <v>3958</v>
      </c>
      <c r="X1318" t="s">
        <v>4660</v>
      </c>
    </row>
    <row r="1319" spans="1:24" x14ac:dyDescent="0.2">
      <c r="A1319" t="s">
        <v>5400</v>
      </c>
      <c r="B1319" t="s">
        <v>1655</v>
      </c>
      <c r="C1319" t="s">
        <v>1656</v>
      </c>
      <c r="D1319" t="s">
        <v>56</v>
      </c>
      <c r="E1319" t="s">
        <v>628</v>
      </c>
      <c r="F1319" t="s">
        <v>84</v>
      </c>
      <c r="G1319" s="202">
        <v>28</v>
      </c>
      <c r="H1319">
        <v>5</v>
      </c>
      <c r="I1319" t="s">
        <v>3968</v>
      </c>
      <c r="J1319" t="s">
        <v>3969</v>
      </c>
      <c r="K1319" t="s">
        <v>84</v>
      </c>
      <c r="L1319" s="204">
        <v>1</v>
      </c>
      <c r="M1319" s="112"/>
      <c r="N1319" s="112">
        <v>6.9674999999999994</v>
      </c>
      <c r="O1319" s="204">
        <v>0.22174381054897752</v>
      </c>
      <c r="P1319" s="112">
        <v>1.5449999999999999</v>
      </c>
      <c r="Q1319" s="112">
        <v>8.5124999999999993</v>
      </c>
      <c r="R1319" s="112">
        <v>238.35</v>
      </c>
      <c r="S1319" s="112">
        <v>238.35</v>
      </c>
      <c r="T1319" s="112">
        <v>0</v>
      </c>
      <c r="U1319" t="s">
        <v>5401</v>
      </c>
      <c r="V1319" t="s">
        <v>5402</v>
      </c>
      <c r="W1319" t="s">
        <v>4666</v>
      </c>
      <c r="X1319" t="s">
        <v>4667</v>
      </c>
    </row>
    <row r="1320" spans="1:24" x14ac:dyDescent="0.2">
      <c r="A1320" t="s">
        <v>5403</v>
      </c>
      <c r="B1320" t="s">
        <v>1657</v>
      </c>
      <c r="C1320" t="s">
        <v>1614</v>
      </c>
      <c r="D1320" t="s">
        <v>56</v>
      </c>
      <c r="E1320" t="s">
        <v>595</v>
      </c>
      <c r="F1320" t="s">
        <v>84</v>
      </c>
      <c r="G1320" s="202">
        <v>7</v>
      </c>
      <c r="H1320">
        <v>1</v>
      </c>
      <c r="I1320" t="s">
        <v>3954</v>
      </c>
      <c r="J1320" t="s">
        <v>5227</v>
      </c>
      <c r="K1320" t="s">
        <v>1283</v>
      </c>
      <c r="L1320" s="204">
        <v>0.26</v>
      </c>
      <c r="M1320" s="112">
        <v>27.39</v>
      </c>
      <c r="N1320" s="112">
        <v>7.1214000000000004</v>
      </c>
      <c r="O1320" s="204"/>
      <c r="P1320" s="112"/>
      <c r="Q1320" s="112"/>
      <c r="R1320" s="112"/>
      <c r="S1320" s="112"/>
      <c r="T1320" s="112"/>
      <c r="U1320" t="s">
        <v>5329</v>
      </c>
      <c r="V1320" t="s">
        <v>5404</v>
      </c>
      <c r="W1320" t="s">
        <v>3958</v>
      </c>
      <c r="X1320" t="s">
        <v>4660</v>
      </c>
    </row>
    <row r="1321" spans="1:24" x14ac:dyDescent="0.2">
      <c r="A1321" t="s">
        <v>5403</v>
      </c>
      <c r="B1321" t="s">
        <v>1657</v>
      </c>
      <c r="C1321" t="s">
        <v>1614</v>
      </c>
      <c r="D1321" t="s">
        <v>56</v>
      </c>
      <c r="E1321" t="s">
        <v>595</v>
      </c>
      <c r="F1321" t="s">
        <v>84</v>
      </c>
      <c r="G1321" s="202">
        <v>7</v>
      </c>
      <c r="H1321">
        <v>2</v>
      </c>
      <c r="I1321" t="s">
        <v>3960</v>
      </c>
      <c r="J1321" t="s">
        <v>5229</v>
      </c>
      <c r="K1321" t="s">
        <v>1283</v>
      </c>
      <c r="L1321" s="204">
        <v>0.64</v>
      </c>
      <c r="M1321" s="112">
        <v>27.39</v>
      </c>
      <c r="N1321" s="112">
        <v>17.529600000000002</v>
      </c>
      <c r="O1321" s="204"/>
      <c r="P1321" s="112"/>
      <c r="Q1321" s="112"/>
      <c r="R1321" s="112"/>
      <c r="S1321" s="112"/>
      <c r="T1321" s="112"/>
      <c r="U1321" t="s">
        <v>5329</v>
      </c>
      <c r="V1321" t="s">
        <v>5404</v>
      </c>
      <c r="W1321" t="s">
        <v>3958</v>
      </c>
      <c r="X1321" t="s">
        <v>4660</v>
      </c>
    </row>
    <row r="1322" spans="1:24" x14ac:dyDescent="0.2">
      <c r="A1322" t="s">
        <v>5403</v>
      </c>
      <c r="B1322" t="s">
        <v>1657</v>
      </c>
      <c r="C1322" t="s">
        <v>1614</v>
      </c>
      <c r="D1322" t="s">
        <v>56</v>
      </c>
      <c r="E1322" t="s">
        <v>595</v>
      </c>
      <c r="F1322" t="s">
        <v>84</v>
      </c>
      <c r="G1322" s="202">
        <v>7</v>
      </c>
      <c r="H1322">
        <v>3</v>
      </c>
      <c r="I1322" t="s">
        <v>3976</v>
      </c>
      <c r="J1322" t="s">
        <v>5230</v>
      </c>
      <c r="K1322" t="s">
        <v>1283</v>
      </c>
      <c r="L1322" s="204">
        <v>0.04</v>
      </c>
      <c r="M1322" s="112">
        <v>27.39</v>
      </c>
      <c r="N1322" s="112">
        <v>1.0956000000000001</v>
      </c>
      <c r="O1322" s="204"/>
      <c r="P1322" s="112"/>
      <c r="Q1322" s="112"/>
      <c r="R1322" s="112"/>
      <c r="S1322" s="112"/>
      <c r="T1322" s="112"/>
      <c r="U1322" t="s">
        <v>5329</v>
      </c>
      <c r="V1322" t="s">
        <v>5404</v>
      </c>
      <c r="W1322" t="s">
        <v>3958</v>
      </c>
      <c r="X1322" t="s">
        <v>4660</v>
      </c>
    </row>
    <row r="1323" spans="1:24" x14ac:dyDescent="0.2">
      <c r="A1323" t="s">
        <v>5403</v>
      </c>
      <c r="B1323" t="s">
        <v>1657</v>
      </c>
      <c r="C1323" t="s">
        <v>1614</v>
      </c>
      <c r="D1323" t="s">
        <v>56</v>
      </c>
      <c r="E1323" t="s">
        <v>595</v>
      </c>
      <c r="F1323" t="s">
        <v>84</v>
      </c>
      <c r="G1323" s="202">
        <v>7</v>
      </c>
      <c r="H1323">
        <v>4</v>
      </c>
      <c r="I1323" t="s">
        <v>4017</v>
      </c>
      <c r="J1323" t="s">
        <v>4851</v>
      </c>
      <c r="K1323" t="s">
        <v>1283</v>
      </c>
      <c r="L1323" s="204">
        <v>0.06</v>
      </c>
      <c r="M1323" s="112">
        <v>27.39</v>
      </c>
      <c r="N1323" s="112">
        <v>1.6434</v>
      </c>
      <c r="O1323" s="204"/>
      <c r="P1323" s="112"/>
      <c r="Q1323" s="112"/>
      <c r="R1323" s="112"/>
      <c r="S1323" s="112"/>
      <c r="T1323" s="112"/>
      <c r="U1323" t="s">
        <v>5329</v>
      </c>
      <c r="V1323" t="s">
        <v>5404</v>
      </c>
      <c r="W1323" t="s">
        <v>3958</v>
      </c>
      <c r="X1323" t="s">
        <v>4660</v>
      </c>
    </row>
    <row r="1324" spans="1:24" x14ac:dyDescent="0.2">
      <c r="A1324" t="s">
        <v>5403</v>
      </c>
      <c r="B1324" t="s">
        <v>1657</v>
      </c>
      <c r="C1324" t="s">
        <v>1614</v>
      </c>
      <c r="D1324" t="s">
        <v>56</v>
      </c>
      <c r="E1324" t="s">
        <v>595</v>
      </c>
      <c r="F1324" t="s">
        <v>84</v>
      </c>
      <c r="G1324" s="202">
        <v>7</v>
      </c>
      <c r="H1324">
        <v>5</v>
      </c>
      <c r="I1324" t="s">
        <v>3968</v>
      </c>
      <c r="J1324" t="s">
        <v>3969</v>
      </c>
      <c r="K1324" t="s">
        <v>84</v>
      </c>
      <c r="L1324" s="204">
        <v>1</v>
      </c>
      <c r="M1324" s="112"/>
      <c r="N1324" s="112">
        <v>27.39</v>
      </c>
      <c r="O1324" s="204">
        <v>0.22203098106712571</v>
      </c>
      <c r="P1324" s="112">
        <v>6.0814285714285745</v>
      </c>
      <c r="Q1324" s="112">
        <v>33.471428571428575</v>
      </c>
      <c r="R1324" s="112">
        <v>234.3</v>
      </c>
      <c r="S1324" s="112">
        <v>234.3</v>
      </c>
      <c r="T1324" s="112">
        <v>0</v>
      </c>
      <c r="U1324" t="s">
        <v>5329</v>
      </c>
      <c r="V1324" t="s">
        <v>5404</v>
      </c>
      <c r="W1324" t="s">
        <v>4666</v>
      </c>
      <c r="X1324" t="s">
        <v>4667</v>
      </c>
    </row>
    <row r="1325" spans="1:24" x14ac:dyDescent="0.2">
      <c r="A1325" t="s">
        <v>5405</v>
      </c>
      <c r="B1325" t="s">
        <v>1658</v>
      </c>
      <c r="C1325" t="s">
        <v>1659</v>
      </c>
      <c r="D1325" t="s">
        <v>56</v>
      </c>
      <c r="E1325" t="s">
        <v>629</v>
      </c>
      <c r="F1325" t="s">
        <v>84</v>
      </c>
      <c r="G1325" s="202">
        <v>16</v>
      </c>
      <c r="H1325">
        <v>1</v>
      </c>
      <c r="I1325" t="s">
        <v>3954</v>
      </c>
      <c r="J1325" t="s">
        <v>5227</v>
      </c>
      <c r="K1325" t="s">
        <v>1283</v>
      </c>
      <c r="L1325" s="204">
        <v>0.26</v>
      </c>
      <c r="M1325" s="112">
        <v>16.634999999999998</v>
      </c>
      <c r="N1325" s="112">
        <v>4.3250999999999999</v>
      </c>
      <c r="O1325" s="204"/>
      <c r="P1325" s="112"/>
      <c r="Q1325" s="112"/>
      <c r="R1325" s="112"/>
      <c r="S1325" s="112"/>
      <c r="T1325" s="112"/>
      <c r="U1325" t="s">
        <v>5406</v>
      </c>
      <c r="V1325" t="s">
        <v>5407</v>
      </c>
      <c r="W1325" t="s">
        <v>3958</v>
      </c>
      <c r="X1325" t="s">
        <v>4660</v>
      </c>
    </row>
    <row r="1326" spans="1:24" x14ac:dyDescent="0.2">
      <c r="A1326" t="s">
        <v>5405</v>
      </c>
      <c r="B1326" t="s">
        <v>1658</v>
      </c>
      <c r="C1326" t="s">
        <v>1659</v>
      </c>
      <c r="D1326" t="s">
        <v>56</v>
      </c>
      <c r="E1326" t="s">
        <v>629</v>
      </c>
      <c r="F1326" t="s">
        <v>84</v>
      </c>
      <c r="G1326" s="202">
        <v>16</v>
      </c>
      <c r="H1326">
        <v>2</v>
      </c>
      <c r="I1326" t="s">
        <v>3960</v>
      </c>
      <c r="J1326" t="s">
        <v>5229</v>
      </c>
      <c r="K1326" t="s">
        <v>1283</v>
      </c>
      <c r="L1326" s="204">
        <v>0.64</v>
      </c>
      <c r="M1326" s="112">
        <v>16.634999999999998</v>
      </c>
      <c r="N1326" s="112">
        <v>10.646399999999998</v>
      </c>
      <c r="O1326" s="204"/>
      <c r="P1326" s="112"/>
      <c r="Q1326" s="112"/>
      <c r="R1326" s="112"/>
      <c r="S1326" s="112"/>
      <c r="T1326" s="112"/>
      <c r="U1326" t="s">
        <v>5406</v>
      </c>
      <c r="V1326" t="s">
        <v>5407</v>
      </c>
      <c r="W1326" t="s">
        <v>3958</v>
      </c>
      <c r="X1326" t="s">
        <v>4660</v>
      </c>
    </row>
    <row r="1327" spans="1:24" x14ac:dyDescent="0.2">
      <c r="A1327" t="s">
        <v>5405</v>
      </c>
      <c r="B1327" t="s">
        <v>1658</v>
      </c>
      <c r="C1327" t="s">
        <v>1659</v>
      </c>
      <c r="D1327" t="s">
        <v>56</v>
      </c>
      <c r="E1327" t="s">
        <v>629</v>
      </c>
      <c r="F1327" t="s">
        <v>84</v>
      </c>
      <c r="G1327" s="202">
        <v>16</v>
      </c>
      <c r="H1327">
        <v>3</v>
      </c>
      <c r="I1327" t="s">
        <v>3976</v>
      </c>
      <c r="J1327" t="s">
        <v>5230</v>
      </c>
      <c r="K1327" t="s">
        <v>1283</v>
      </c>
      <c r="L1327" s="204">
        <v>0.04</v>
      </c>
      <c r="M1327" s="112">
        <v>16.634999999999998</v>
      </c>
      <c r="N1327" s="112">
        <v>0.66539999999999988</v>
      </c>
      <c r="O1327" s="204"/>
      <c r="P1327" s="112"/>
      <c r="Q1327" s="112"/>
      <c r="R1327" s="112"/>
      <c r="S1327" s="112"/>
      <c r="T1327" s="112"/>
      <c r="U1327" t="s">
        <v>5406</v>
      </c>
      <c r="V1327" t="s">
        <v>5407</v>
      </c>
      <c r="W1327" t="s">
        <v>3958</v>
      </c>
      <c r="X1327" t="s">
        <v>4660</v>
      </c>
    </row>
    <row r="1328" spans="1:24" x14ac:dyDescent="0.2">
      <c r="A1328" t="s">
        <v>5405</v>
      </c>
      <c r="B1328" t="s">
        <v>1658</v>
      </c>
      <c r="C1328" t="s">
        <v>1659</v>
      </c>
      <c r="D1328" t="s">
        <v>56</v>
      </c>
      <c r="E1328" t="s">
        <v>629</v>
      </c>
      <c r="F1328" t="s">
        <v>84</v>
      </c>
      <c r="G1328" s="202">
        <v>16</v>
      </c>
      <c r="H1328">
        <v>4</v>
      </c>
      <c r="I1328" t="s">
        <v>4017</v>
      </c>
      <c r="J1328" t="s">
        <v>4851</v>
      </c>
      <c r="K1328" t="s">
        <v>1283</v>
      </c>
      <c r="L1328" s="204">
        <v>0.06</v>
      </c>
      <c r="M1328" s="112">
        <v>16.634999999999998</v>
      </c>
      <c r="N1328" s="112">
        <v>0.99809999999999988</v>
      </c>
      <c r="O1328" s="204"/>
      <c r="P1328" s="112"/>
      <c r="Q1328" s="112"/>
      <c r="R1328" s="112"/>
      <c r="S1328" s="112"/>
      <c r="T1328" s="112"/>
      <c r="U1328" t="s">
        <v>5406</v>
      </c>
      <c r="V1328" t="s">
        <v>5407</v>
      </c>
      <c r="W1328" t="s">
        <v>3958</v>
      </c>
      <c r="X1328" t="s">
        <v>4660</v>
      </c>
    </row>
    <row r="1329" spans="1:24" x14ac:dyDescent="0.2">
      <c r="A1329" t="s">
        <v>5405</v>
      </c>
      <c r="B1329" t="s">
        <v>1658</v>
      </c>
      <c r="C1329" t="s">
        <v>1659</v>
      </c>
      <c r="D1329" t="s">
        <v>56</v>
      </c>
      <c r="E1329" t="s">
        <v>629</v>
      </c>
      <c r="F1329" t="s">
        <v>84</v>
      </c>
      <c r="G1329" s="202">
        <v>16</v>
      </c>
      <c r="H1329">
        <v>5</v>
      </c>
      <c r="I1329" t="s">
        <v>3968</v>
      </c>
      <c r="J1329" t="s">
        <v>3969</v>
      </c>
      <c r="K1329" t="s">
        <v>84</v>
      </c>
      <c r="L1329" s="204">
        <v>1</v>
      </c>
      <c r="M1329" s="112"/>
      <c r="N1329" s="112">
        <v>16.634999999999998</v>
      </c>
      <c r="O1329" s="204">
        <v>0.22227231740306586</v>
      </c>
      <c r="P1329" s="112">
        <v>3.6975000000000016</v>
      </c>
      <c r="Q1329" s="112">
        <v>20.3325</v>
      </c>
      <c r="R1329" s="112">
        <v>325.32</v>
      </c>
      <c r="S1329" s="112">
        <v>325.32</v>
      </c>
      <c r="T1329" s="112">
        <v>0</v>
      </c>
      <c r="U1329" t="s">
        <v>5406</v>
      </c>
      <c r="V1329" t="s">
        <v>5407</v>
      </c>
      <c r="W1329" t="s">
        <v>4666</v>
      </c>
      <c r="X1329" t="s">
        <v>4667</v>
      </c>
    </row>
    <row r="1330" spans="1:24" x14ac:dyDescent="0.2">
      <c r="A1330" t="s">
        <v>5408</v>
      </c>
      <c r="B1330" t="s">
        <v>1660</v>
      </c>
      <c r="C1330" t="s">
        <v>1661</v>
      </c>
      <c r="D1330" t="s">
        <v>56</v>
      </c>
      <c r="E1330" t="s">
        <v>630</v>
      </c>
      <c r="F1330" t="s">
        <v>84</v>
      </c>
      <c r="G1330" s="202">
        <v>29</v>
      </c>
      <c r="H1330">
        <v>1</v>
      </c>
      <c r="I1330" t="s">
        <v>3954</v>
      </c>
      <c r="J1330" t="s">
        <v>5227</v>
      </c>
      <c r="K1330" t="s">
        <v>1283</v>
      </c>
      <c r="L1330" s="204">
        <v>0.26</v>
      </c>
      <c r="M1330" s="112">
        <v>12</v>
      </c>
      <c r="N1330" s="112">
        <v>3.12</v>
      </c>
      <c r="O1330" s="204"/>
      <c r="P1330" s="112"/>
      <c r="Q1330" s="112"/>
      <c r="R1330" s="112"/>
      <c r="S1330" s="112"/>
      <c r="T1330" s="112"/>
      <c r="U1330" t="s">
        <v>5409</v>
      </c>
      <c r="V1330" t="s">
        <v>5410</v>
      </c>
      <c r="W1330" t="s">
        <v>3958</v>
      </c>
      <c r="X1330" t="s">
        <v>4660</v>
      </c>
    </row>
    <row r="1331" spans="1:24" x14ac:dyDescent="0.2">
      <c r="A1331" t="s">
        <v>5408</v>
      </c>
      <c r="B1331" t="s">
        <v>1660</v>
      </c>
      <c r="C1331" t="s">
        <v>1661</v>
      </c>
      <c r="D1331" t="s">
        <v>56</v>
      </c>
      <c r="E1331" t="s">
        <v>630</v>
      </c>
      <c r="F1331" t="s">
        <v>84</v>
      </c>
      <c r="G1331" s="202">
        <v>29</v>
      </c>
      <c r="H1331">
        <v>2</v>
      </c>
      <c r="I1331" t="s">
        <v>3960</v>
      </c>
      <c r="J1331" t="s">
        <v>5229</v>
      </c>
      <c r="K1331" t="s">
        <v>1283</v>
      </c>
      <c r="L1331" s="204">
        <v>0.64</v>
      </c>
      <c r="M1331" s="112">
        <v>12</v>
      </c>
      <c r="N1331" s="112">
        <v>7.68</v>
      </c>
      <c r="O1331" s="204"/>
      <c r="P1331" s="112"/>
      <c r="Q1331" s="112"/>
      <c r="R1331" s="112"/>
      <c r="S1331" s="112"/>
      <c r="T1331" s="112"/>
      <c r="U1331" t="s">
        <v>5409</v>
      </c>
      <c r="V1331" t="s">
        <v>5410</v>
      </c>
      <c r="W1331" t="s">
        <v>3958</v>
      </c>
      <c r="X1331" t="s">
        <v>4660</v>
      </c>
    </row>
    <row r="1332" spans="1:24" x14ac:dyDescent="0.2">
      <c r="A1332" t="s">
        <v>5408</v>
      </c>
      <c r="B1332" t="s">
        <v>1660</v>
      </c>
      <c r="C1332" t="s">
        <v>1661</v>
      </c>
      <c r="D1332" t="s">
        <v>56</v>
      </c>
      <c r="E1332" t="s">
        <v>630</v>
      </c>
      <c r="F1332" t="s">
        <v>84</v>
      </c>
      <c r="G1332" s="202">
        <v>29</v>
      </c>
      <c r="H1332">
        <v>3</v>
      </c>
      <c r="I1332" t="s">
        <v>3976</v>
      </c>
      <c r="J1332" t="s">
        <v>5230</v>
      </c>
      <c r="K1332" t="s">
        <v>1283</v>
      </c>
      <c r="L1332" s="204">
        <v>0.04</v>
      </c>
      <c r="M1332" s="112">
        <v>12</v>
      </c>
      <c r="N1332" s="112">
        <v>0.48</v>
      </c>
      <c r="O1332" s="204"/>
      <c r="P1332" s="112"/>
      <c r="Q1332" s="112"/>
      <c r="R1332" s="112"/>
      <c r="S1332" s="112"/>
      <c r="T1332" s="112"/>
      <c r="U1332" t="s">
        <v>5409</v>
      </c>
      <c r="V1332" t="s">
        <v>5410</v>
      </c>
      <c r="W1332" t="s">
        <v>3958</v>
      </c>
      <c r="X1332" t="s">
        <v>4660</v>
      </c>
    </row>
    <row r="1333" spans="1:24" x14ac:dyDescent="0.2">
      <c r="A1333" t="s">
        <v>5408</v>
      </c>
      <c r="B1333" t="s">
        <v>1660</v>
      </c>
      <c r="C1333" t="s">
        <v>1661</v>
      </c>
      <c r="D1333" t="s">
        <v>56</v>
      </c>
      <c r="E1333" t="s">
        <v>630</v>
      </c>
      <c r="F1333" t="s">
        <v>84</v>
      </c>
      <c r="G1333" s="202">
        <v>29</v>
      </c>
      <c r="H1333">
        <v>4</v>
      </c>
      <c r="I1333" t="s">
        <v>4017</v>
      </c>
      <c r="J1333" t="s">
        <v>4851</v>
      </c>
      <c r="K1333" t="s">
        <v>1283</v>
      </c>
      <c r="L1333" s="204">
        <v>0.06</v>
      </c>
      <c r="M1333" s="112">
        <v>12</v>
      </c>
      <c r="N1333" s="112">
        <v>0.72</v>
      </c>
      <c r="O1333" s="204"/>
      <c r="P1333" s="112"/>
      <c r="Q1333" s="112"/>
      <c r="R1333" s="112"/>
      <c r="S1333" s="112"/>
      <c r="T1333" s="112"/>
      <c r="U1333" t="s">
        <v>5409</v>
      </c>
      <c r="V1333" t="s">
        <v>5410</v>
      </c>
      <c r="W1333" t="s">
        <v>3958</v>
      </c>
      <c r="X1333" t="s">
        <v>4660</v>
      </c>
    </row>
    <row r="1334" spans="1:24" x14ac:dyDescent="0.2">
      <c r="A1334" t="s">
        <v>5408</v>
      </c>
      <c r="B1334" t="s">
        <v>1660</v>
      </c>
      <c r="C1334" t="s">
        <v>1661</v>
      </c>
      <c r="D1334" t="s">
        <v>56</v>
      </c>
      <c r="E1334" t="s">
        <v>630</v>
      </c>
      <c r="F1334" t="s">
        <v>84</v>
      </c>
      <c r="G1334" s="202">
        <v>29</v>
      </c>
      <c r="H1334">
        <v>5</v>
      </c>
      <c r="I1334" t="s">
        <v>3968</v>
      </c>
      <c r="J1334" t="s">
        <v>3969</v>
      </c>
      <c r="K1334" t="s">
        <v>84</v>
      </c>
      <c r="L1334" s="204">
        <v>1</v>
      </c>
      <c r="M1334" s="112"/>
      <c r="N1334" s="112">
        <v>12</v>
      </c>
      <c r="O1334" s="204">
        <v>0.22186781609195383</v>
      </c>
      <c r="P1334" s="112">
        <v>2.6624137931034468</v>
      </c>
      <c r="Q1334" s="112">
        <v>14.662413793103447</v>
      </c>
      <c r="R1334" s="112">
        <v>425.21</v>
      </c>
      <c r="S1334" s="112">
        <v>425.21</v>
      </c>
      <c r="T1334" s="112">
        <v>0</v>
      </c>
      <c r="U1334" t="s">
        <v>5409</v>
      </c>
      <c r="V1334" t="s">
        <v>5410</v>
      </c>
      <c r="W1334" t="s">
        <v>4666</v>
      </c>
      <c r="X1334" t="s">
        <v>4667</v>
      </c>
    </row>
    <row r="1335" spans="1:24" x14ac:dyDescent="0.2">
      <c r="A1335" t="s">
        <v>5411</v>
      </c>
      <c r="B1335" t="s">
        <v>1662</v>
      </c>
      <c r="C1335" t="s">
        <v>1616</v>
      </c>
      <c r="D1335" t="s">
        <v>56</v>
      </c>
      <c r="E1335" t="s">
        <v>596</v>
      </c>
      <c r="F1335" t="s">
        <v>84</v>
      </c>
      <c r="G1335" s="202">
        <v>6</v>
      </c>
      <c r="H1335">
        <v>1</v>
      </c>
      <c r="I1335" t="s">
        <v>3954</v>
      </c>
      <c r="J1335" t="s">
        <v>5227</v>
      </c>
      <c r="K1335" t="s">
        <v>1283</v>
      </c>
      <c r="L1335" s="204">
        <v>0.26</v>
      </c>
      <c r="M1335" s="112">
        <v>25.275000000000002</v>
      </c>
      <c r="N1335" s="112">
        <v>6.5715000000000003</v>
      </c>
      <c r="O1335" s="204"/>
      <c r="P1335" s="112"/>
      <c r="Q1335" s="112"/>
      <c r="R1335" s="112"/>
      <c r="S1335" s="112"/>
      <c r="T1335" s="112"/>
      <c r="U1335" t="s">
        <v>5332</v>
      </c>
      <c r="V1335" t="s">
        <v>5412</v>
      </c>
      <c r="W1335" t="s">
        <v>3958</v>
      </c>
      <c r="X1335" t="s">
        <v>4660</v>
      </c>
    </row>
    <row r="1336" spans="1:24" x14ac:dyDescent="0.2">
      <c r="A1336" t="s">
        <v>5411</v>
      </c>
      <c r="B1336" t="s">
        <v>1662</v>
      </c>
      <c r="C1336" t="s">
        <v>1616</v>
      </c>
      <c r="D1336" t="s">
        <v>56</v>
      </c>
      <c r="E1336" t="s">
        <v>596</v>
      </c>
      <c r="F1336" t="s">
        <v>84</v>
      </c>
      <c r="G1336" s="202">
        <v>6</v>
      </c>
      <c r="H1336">
        <v>2</v>
      </c>
      <c r="I1336" t="s">
        <v>3960</v>
      </c>
      <c r="J1336" t="s">
        <v>5229</v>
      </c>
      <c r="K1336" t="s">
        <v>1283</v>
      </c>
      <c r="L1336" s="204">
        <v>0.64</v>
      </c>
      <c r="M1336" s="112">
        <v>25.275000000000002</v>
      </c>
      <c r="N1336" s="112">
        <v>16.176000000000002</v>
      </c>
      <c r="O1336" s="204"/>
      <c r="P1336" s="112"/>
      <c r="Q1336" s="112"/>
      <c r="R1336" s="112"/>
      <c r="S1336" s="112"/>
      <c r="T1336" s="112"/>
      <c r="U1336" t="s">
        <v>5332</v>
      </c>
      <c r="V1336" t="s">
        <v>5412</v>
      </c>
      <c r="W1336" t="s">
        <v>3958</v>
      </c>
      <c r="X1336" t="s">
        <v>4660</v>
      </c>
    </row>
    <row r="1337" spans="1:24" x14ac:dyDescent="0.2">
      <c r="A1337" t="s">
        <v>5411</v>
      </c>
      <c r="B1337" t="s">
        <v>1662</v>
      </c>
      <c r="C1337" t="s">
        <v>1616</v>
      </c>
      <c r="D1337" t="s">
        <v>56</v>
      </c>
      <c r="E1337" t="s">
        <v>596</v>
      </c>
      <c r="F1337" t="s">
        <v>84</v>
      </c>
      <c r="G1337" s="202">
        <v>6</v>
      </c>
      <c r="H1337">
        <v>3</v>
      </c>
      <c r="I1337" t="s">
        <v>3976</v>
      </c>
      <c r="J1337" t="s">
        <v>5230</v>
      </c>
      <c r="K1337" t="s">
        <v>1283</v>
      </c>
      <c r="L1337" s="204">
        <v>0.04</v>
      </c>
      <c r="M1337" s="112">
        <v>25.275000000000002</v>
      </c>
      <c r="N1337" s="112">
        <v>1.0110000000000001</v>
      </c>
      <c r="O1337" s="204"/>
      <c r="P1337" s="112"/>
      <c r="Q1337" s="112"/>
      <c r="R1337" s="112"/>
      <c r="S1337" s="112"/>
      <c r="T1337" s="112"/>
      <c r="U1337" t="s">
        <v>5332</v>
      </c>
      <c r="V1337" t="s">
        <v>5412</v>
      </c>
      <c r="W1337" t="s">
        <v>3958</v>
      </c>
      <c r="X1337" t="s">
        <v>4660</v>
      </c>
    </row>
    <row r="1338" spans="1:24" x14ac:dyDescent="0.2">
      <c r="A1338" t="s">
        <v>5411</v>
      </c>
      <c r="B1338" t="s">
        <v>1662</v>
      </c>
      <c r="C1338" t="s">
        <v>1616</v>
      </c>
      <c r="D1338" t="s">
        <v>56</v>
      </c>
      <c r="E1338" t="s">
        <v>596</v>
      </c>
      <c r="F1338" t="s">
        <v>84</v>
      </c>
      <c r="G1338" s="202">
        <v>6</v>
      </c>
      <c r="H1338">
        <v>4</v>
      </c>
      <c r="I1338" t="s">
        <v>4017</v>
      </c>
      <c r="J1338" t="s">
        <v>4851</v>
      </c>
      <c r="K1338" t="s">
        <v>1283</v>
      </c>
      <c r="L1338" s="204">
        <v>0.06</v>
      </c>
      <c r="M1338" s="112">
        <v>25.275000000000002</v>
      </c>
      <c r="N1338" s="112">
        <v>1.5165000000000002</v>
      </c>
      <c r="O1338" s="204"/>
      <c r="P1338" s="112"/>
      <c r="Q1338" s="112"/>
      <c r="R1338" s="112"/>
      <c r="S1338" s="112"/>
      <c r="T1338" s="112"/>
      <c r="U1338" t="s">
        <v>5332</v>
      </c>
      <c r="V1338" t="s">
        <v>5412</v>
      </c>
      <c r="W1338" t="s">
        <v>3958</v>
      </c>
      <c r="X1338" t="s">
        <v>4660</v>
      </c>
    </row>
    <row r="1339" spans="1:24" x14ac:dyDescent="0.2">
      <c r="A1339" t="s">
        <v>5411</v>
      </c>
      <c r="B1339" t="s">
        <v>1662</v>
      </c>
      <c r="C1339" t="s">
        <v>1616</v>
      </c>
      <c r="D1339" t="s">
        <v>56</v>
      </c>
      <c r="E1339" t="s">
        <v>596</v>
      </c>
      <c r="F1339" t="s">
        <v>84</v>
      </c>
      <c r="G1339" s="202">
        <v>6</v>
      </c>
      <c r="H1339">
        <v>5</v>
      </c>
      <c r="I1339" t="s">
        <v>3968</v>
      </c>
      <c r="J1339" t="s">
        <v>3969</v>
      </c>
      <c r="K1339" t="s">
        <v>84</v>
      </c>
      <c r="L1339" s="204">
        <v>1</v>
      </c>
      <c r="M1339" s="112"/>
      <c r="N1339" s="112">
        <v>25.275000000000002</v>
      </c>
      <c r="O1339" s="204">
        <v>0.2222222222222221</v>
      </c>
      <c r="P1339" s="112">
        <v>5.6166666666666636</v>
      </c>
      <c r="Q1339" s="112">
        <v>30.891666666666666</v>
      </c>
      <c r="R1339" s="112">
        <v>185.35</v>
      </c>
      <c r="S1339" s="112">
        <v>185.35</v>
      </c>
      <c r="T1339" s="112">
        <v>0</v>
      </c>
      <c r="U1339" t="s">
        <v>5332</v>
      </c>
      <c r="V1339" t="s">
        <v>5412</v>
      </c>
      <c r="W1339" t="s">
        <v>4666</v>
      </c>
      <c r="X1339" t="s">
        <v>4667</v>
      </c>
    </row>
    <row r="1340" spans="1:24" x14ac:dyDescent="0.2">
      <c r="A1340" t="s">
        <v>5413</v>
      </c>
      <c r="B1340" t="s">
        <v>1663</v>
      </c>
      <c r="C1340" t="s">
        <v>1664</v>
      </c>
      <c r="D1340" t="s">
        <v>56</v>
      </c>
      <c r="E1340" t="s">
        <v>631</v>
      </c>
      <c r="F1340" t="s">
        <v>84</v>
      </c>
      <c r="G1340" s="202">
        <v>1</v>
      </c>
      <c r="H1340">
        <v>1</v>
      </c>
      <c r="I1340" t="s">
        <v>3954</v>
      </c>
      <c r="J1340" t="s">
        <v>5227</v>
      </c>
      <c r="K1340" t="s">
        <v>1283</v>
      </c>
      <c r="L1340" s="204">
        <v>0.26</v>
      </c>
      <c r="M1340" s="112">
        <v>18.697499999999998</v>
      </c>
      <c r="N1340" s="112">
        <v>4.8613499999999998</v>
      </c>
      <c r="O1340" s="204"/>
      <c r="P1340" s="112"/>
      <c r="Q1340" s="112"/>
      <c r="R1340" s="112"/>
      <c r="S1340" s="112"/>
      <c r="T1340" s="112"/>
      <c r="U1340" t="s">
        <v>5414</v>
      </c>
      <c r="V1340" t="s">
        <v>5415</v>
      </c>
      <c r="W1340" t="s">
        <v>3958</v>
      </c>
      <c r="X1340" t="s">
        <v>4660</v>
      </c>
    </row>
    <row r="1341" spans="1:24" x14ac:dyDescent="0.2">
      <c r="A1341" t="s">
        <v>5413</v>
      </c>
      <c r="B1341" t="s">
        <v>1663</v>
      </c>
      <c r="C1341" t="s">
        <v>1664</v>
      </c>
      <c r="D1341" t="s">
        <v>56</v>
      </c>
      <c r="E1341" t="s">
        <v>631</v>
      </c>
      <c r="F1341" t="s">
        <v>84</v>
      </c>
      <c r="G1341" s="202">
        <v>1</v>
      </c>
      <c r="H1341">
        <v>2</v>
      </c>
      <c r="I1341" t="s">
        <v>3960</v>
      </c>
      <c r="J1341" t="s">
        <v>5229</v>
      </c>
      <c r="K1341" t="s">
        <v>1283</v>
      </c>
      <c r="L1341" s="204">
        <v>0.64</v>
      </c>
      <c r="M1341" s="112">
        <v>18.697499999999998</v>
      </c>
      <c r="N1341" s="112">
        <v>11.966399999999998</v>
      </c>
      <c r="O1341" s="204"/>
      <c r="P1341" s="112"/>
      <c r="Q1341" s="112"/>
      <c r="R1341" s="112"/>
      <c r="S1341" s="112"/>
      <c r="T1341" s="112"/>
      <c r="U1341" t="s">
        <v>5414</v>
      </c>
      <c r="V1341" t="s">
        <v>5415</v>
      </c>
      <c r="W1341" t="s">
        <v>3958</v>
      </c>
      <c r="X1341" t="s">
        <v>4660</v>
      </c>
    </row>
    <row r="1342" spans="1:24" x14ac:dyDescent="0.2">
      <c r="A1342" t="s">
        <v>5413</v>
      </c>
      <c r="B1342" t="s">
        <v>1663</v>
      </c>
      <c r="C1342" t="s">
        <v>1664</v>
      </c>
      <c r="D1342" t="s">
        <v>56</v>
      </c>
      <c r="E1342" t="s">
        <v>631</v>
      </c>
      <c r="F1342" t="s">
        <v>84</v>
      </c>
      <c r="G1342" s="202">
        <v>1</v>
      </c>
      <c r="H1342">
        <v>3</v>
      </c>
      <c r="I1342" t="s">
        <v>3976</v>
      </c>
      <c r="J1342" t="s">
        <v>5230</v>
      </c>
      <c r="K1342" t="s">
        <v>1283</v>
      </c>
      <c r="L1342" s="204">
        <v>0.04</v>
      </c>
      <c r="M1342" s="112">
        <v>18.697499999999998</v>
      </c>
      <c r="N1342" s="112">
        <v>0.7478999999999999</v>
      </c>
      <c r="O1342" s="204"/>
      <c r="P1342" s="112"/>
      <c r="Q1342" s="112"/>
      <c r="R1342" s="112"/>
      <c r="S1342" s="112"/>
      <c r="T1342" s="112"/>
      <c r="U1342" t="s">
        <v>5414</v>
      </c>
      <c r="V1342" t="s">
        <v>5415</v>
      </c>
      <c r="W1342" t="s">
        <v>3958</v>
      </c>
      <c r="X1342" t="s">
        <v>4660</v>
      </c>
    </row>
    <row r="1343" spans="1:24" x14ac:dyDescent="0.2">
      <c r="A1343" t="s">
        <v>5413</v>
      </c>
      <c r="B1343" t="s">
        <v>1663</v>
      </c>
      <c r="C1343" t="s">
        <v>1664</v>
      </c>
      <c r="D1343" t="s">
        <v>56</v>
      </c>
      <c r="E1343" t="s">
        <v>631</v>
      </c>
      <c r="F1343" t="s">
        <v>84</v>
      </c>
      <c r="G1343" s="202">
        <v>1</v>
      </c>
      <c r="H1343">
        <v>4</v>
      </c>
      <c r="I1343" t="s">
        <v>4017</v>
      </c>
      <c r="J1343" t="s">
        <v>4851</v>
      </c>
      <c r="K1343" t="s">
        <v>1283</v>
      </c>
      <c r="L1343" s="204">
        <v>0.06</v>
      </c>
      <c r="M1343" s="112">
        <v>18.697499999999998</v>
      </c>
      <c r="N1343" s="112">
        <v>1.1218499999999998</v>
      </c>
      <c r="O1343" s="204"/>
      <c r="P1343" s="112"/>
      <c r="Q1343" s="112"/>
      <c r="R1343" s="112"/>
      <c r="S1343" s="112"/>
      <c r="T1343" s="112"/>
      <c r="U1343" t="s">
        <v>5414</v>
      </c>
      <c r="V1343" t="s">
        <v>5415</v>
      </c>
      <c r="W1343" t="s">
        <v>3958</v>
      </c>
      <c r="X1343" t="s">
        <v>4660</v>
      </c>
    </row>
    <row r="1344" spans="1:24" x14ac:dyDescent="0.2">
      <c r="A1344" t="s">
        <v>5413</v>
      </c>
      <c r="B1344" t="s">
        <v>1663</v>
      </c>
      <c r="C1344" t="s">
        <v>1664</v>
      </c>
      <c r="D1344" t="s">
        <v>56</v>
      </c>
      <c r="E1344" t="s">
        <v>631</v>
      </c>
      <c r="F1344" t="s">
        <v>84</v>
      </c>
      <c r="G1344" s="202">
        <v>1</v>
      </c>
      <c r="H1344">
        <v>5</v>
      </c>
      <c r="I1344" t="s">
        <v>3968</v>
      </c>
      <c r="J1344" t="s">
        <v>3969</v>
      </c>
      <c r="K1344" t="s">
        <v>84</v>
      </c>
      <c r="L1344" s="204">
        <v>1</v>
      </c>
      <c r="M1344" s="112"/>
      <c r="N1344" s="112">
        <v>18.697499999999998</v>
      </c>
      <c r="O1344" s="204">
        <v>0.22208851450728728</v>
      </c>
      <c r="P1344" s="112">
        <v>4.1525000000000034</v>
      </c>
      <c r="Q1344" s="112">
        <v>22.85</v>
      </c>
      <c r="R1344" s="112">
        <v>22.85</v>
      </c>
      <c r="S1344" s="112">
        <v>22.85</v>
      </c>
      <c r="T1344" s="112">
        <v>0</v>
      </c>
      <c r="U1344" t="s">
        <v>5414</v>
      </c>
      <c r="V1344" t="s">
        <v>5415</v>
      </c>
      <c r="W1344" t="s">
        <v>4666</v>
      </c>
      <c r="X1344" t="s">
        <v>4667</v>
      </c>
    </row>
    <row r="1345" spans="1:24" x14ac:dyDescent="0.2">
      <c r="A1345" t="s">
        <v>5416</v>
      </c>
      <c r="B1345" t="s">
        <v>1665</v>
      </c>
      <c r="C1345" t="s">
        <v>1666</v>
      </c>
      <c r="D1345" t="s">
        <v>56</v>
      </c>
      <c r="E1345" t="s">
        <v>632</v>
      </c>
      <c r="F1345" t="s">
        <v>84</v>
      </c>
      <c r="G1345" s="202">
        <v>3</v>
      </c>
      <c r="H1345">
        <v>1</v>
      </c>
      <c r="I1345" t="s">
        <v>3954</v>
      </c>
      <c r="J1345" t="s">
        <v>5227</v>
      </c>
      <c r="K1345" t="s">
        <v>1283</v>
      </c>
      <c r="L1345" s="204">
        <v>0.26</v>
      </c>
      <c r="M1345" s="112">
        <v>11.4375</v>
      </c>
      <c r="N1345" s="112">
        <v>2.9737499999999999</v>
      </c>
      <c r="O1345" s="204"/>
      <c r="P1345" s="112"/>
      <c r="Q1345" s="112"/>
      <c r="R1345" s="112"/>
      <c r="S1345" s="112"/>
      <c r="T1345" s="112"/>
      <c r="U1345" t="s">
        <v>5417</v>
      </c>
      <c r="V1345" t="s">
        <v>5418</v>
      </c>
      <c r="W1345" t="s">
        <v>3958</v>
      </c>
      <c r="X1345" t="s">
        <v>4660</v>
      </c>
    </row>
    <row r="1346" spans="1:24" x14ac:dyDescent="0.2">
      <c r="A1346" t="s">
        <v>5416</v>
      </c>
      <c r="B1346" t="s">
        <v>1665</v>
      </c>
      <c r="C1346" t="s">
        <v>1666</v>
      </c>
      <c r="D1346" t="s">
        <v>56</v>
      </c>
      <c r="E1346" t="s">
        <v>632</v>
      </c>
      <c r="F1346" t="s">
        <v>84</v>
      </c>
      <c r="G1346" s="202">
        <v>3</v>
      </c>
      <c r="H1346">
        <v>2</v>
      </c>
      <c r="I1346" t="s">
        <v>3960</v>
      </c>
      <c r="J1346" t="s">
        <v>5229</v>
      </c>
      <c r="K1346" t="s">
        <v>1283</v>
      </c>
      <c r="L1346" s="204">
        <v>0.64</v>
      </c>
      <c r="M1346" s="112">
        <v>11.4375</v>
      </c>
      <c r="N1346" s="112">
        <v>7.32</v>
      </c>
      <c r="O1346" s="204"/>
      <c r="P1346" s="112"/>
      <c r="Q1346" s="112"/>
      <c r="R1346" s="112"/>
      <c r="S1346" s="112"/>
      <c r="T1346" s="112"/>
      <c r="U1346" t="s">
        <v>5417</v>
      </c>
      <c r="V1346" t="s">
        <v>5418</v>
      </c>
      <c r="W1346" t="s">
        <v>3958</v>
      </c>
      <c r="X1346" t="s">
        <v>4660</v>
      </c>
    </row>
    <row r="1347" spans="1:24" x14ac:dyDescent="0.2">
      <c r="A1347" t="s">
        <v>5416</v>
      </c>
      <c r="B1347" t="s">
        <v>1665</v>
      </c>
      <c r="C1347" t="s">
        <v>1666</v>
      </c>
      <c r="D1347" t="s">
        <v>56</v>
      </c>
      <c r="E1347" t="s">
        <v>632</v>
      </c>
      <c r="F1347" t="s">
        <v>84</v>
      </c>
      <c r="G1347" s="202">
        <v>3</v>
      </c>
      <c r="H1347">
        <v>3</v>
      </c>
      <c r="I1347" t="s">
        <v>3976</v>
      </c>
      <c r="J1347" t="s">
        <v>5230</v>
      </c>
      <c r="K1347" t="s">
        <v>1283</v>
      </c>
      <c r="L1347" s="204">
        <v>0.04</v>
      </c>
      <c r="M1347" s="112">
        <v>11.4375</v>
      </c>
      <c r="N1347" s="112">
        <v>0.45750000000000002</v>
      </c>
      <c r="O1347" s="204"/>
      <c r="P1347" s="112"/>
      <c r="Q1347" s="112"/>
      <c r="R1347" s="112"/>
      <c r="S1347" s="112"/>
      <c r="T1347" s="112"/>
      <c r="U1347" t="s">
        <v>5417</v>
      </c>
      <c r="V1347" t="s">
        <v>5418</v>
      </c>
      <c r="W1347" t="s">
        <v>3958</v>
      </c>
      <c r="X1347" t="s">
        <v>4660</v>
      </c>
    </row>
    <row r="1348" spans="1:24" x14ac:dyDescent="0.2">
      <c r="A1348" t="s">
        <v>5416</v>
      </c>
      <c r="B1348" t="s">
        <v>1665</v>
      </c>
      <c r="C1348" t="s">
        <v>1666</v>
      </c>
      <c r="D1348" t="s">
        <v>56</v>
      </c>
      <c r="E1348" t="s">
        <v>632</v>
      </c>
      <c r="F1348" t="s">
        <v>84</v>
      </c>
      <c r="G1348" s="202">
        <v>3</v>
      </c>
      <c r="H1348">
        <v>4</v>
      </c>
      <c r="I1348" t="s">
        <v>4017</v>
      </c>
      <c r="J1348" t="s">
        <v>4851</v>
      </c>
      <c r="K1348" t="s">
        <v>1283</v>
      </c>
      <c r="L1348" s="204">
        <v>0.06</v>
      </c>
      <c r="M1348" s="112">
        <v>11.4375</v>
      </c>
      <c r="N1348" s="112">
        <v>0.68625000000000003</v>
      </c>
      <c r="O1348" s="204"/>
      <c r="P1348" s="112"/>
      <c r="Q1348" s="112"/>
      <c r="R1348" s="112"/>
      <c r="S1348" s="112"/>
      <c r="T1348" s="112"/>
      <c r="U1348" t="s">
        <v>5417</v>
      </c>
      <c r="V1348" t="s">
        <v>5418</v>
      </c>
      <c r="W1348" t="s">
        <v>3958</v>
      </c>
      <c r="X1348" t="s">
        <v>4660</v>
      </c>
    </row>
    <row r="1349" spans="1:24" x14ac:dyDescent="0.2">
      <c r="A1349" t="s">
        <v>5416</v>
      </c>
      <c r="B1349" t="s">
        <v>1665</v>
      </c>
      <c r="C1349" t="s">
        <v>1666</v>
      </c>
      <c r="D1349" t="s">
        <v>56</v>
      </c>
      <c r="E1349" t="s">
        <v>632</v>
      </c>
      <c r="F1349" t="s">
        <v>84</v>
      </c>
      <c r="G1349" s="202">
        <v>3</v>
      </c>
      <c r="H1349">
        <v>5</v>
      </c>
      <c r="I1349" t="s">
        <v>3968</v>
      </c>
      <c r="J1349" t="s">
        <v>3969</v>
      </c>
      <c r="K1349" t="s">
        <v>84</v>
      </c>
      <c r="L1349" s="204">
        <v>1</v>
      </c>
      <c r="M1349" s="112"/>
      <c r="N1349" s="112">
        <v>11.4375</v>
      </c>
      <c r="O1349" s="204">
        <v>0.22229508196721293</v>
      </c>
      <c r="P1349" s="112">
        <v>2.5424999999999986</v>
      </c>
      <c r="Q1349" s="112">
        <v>13.979999999999999</v>
      </c>
      <c r="R1349" s="112">
        <v>41.94</v>
      </c>
      <c r="S1349" s="112">
        <v>41.94</v>
      </c>
      <c r="T1349" s="112">
        <v>0</v>
      </c>
      <c r="U1349" t="s">
        <v>5417</v>
      </c>
      <c r="V1349" t="s">
        <v>5418</v>
      </c>
      <c r="W1349" t="s">
        <v>4666</v>
      </c>
      <c r="X1349" t="s">
        <v>4667</v>
      </c>
    </row>
    <row r="1350" spans="1:24" x14ac:dyDescent="0.2">
      <c r="A1350" t="s">
        <v>5419</v>
      </c>
      <c r="B1350" t="s">
        <v>1667</v>
      </c>
      <c r="C1350" t="s">
        <v>1668</v>
      </c>
      <c r="D1350" t="s">
        <v>56</v>
      </c>
      <c r="E1350" t="s">
        <v>1669</v>
      </c>
      <c r="F1350" t="s">
        <v>84</v>
      </c>
      <c r="G1350" s="202">
        <v>24</v>
      </c>
      <c r="H1350">
        <v>1</v>
      </c>
      <c r="I1350" t="s">
        <v>3954</v>
      </c>
      <c r="J1350" t="s">
        <v>5227</v>
      </c>
      <c r="K1350" t="s">
        <v>1283</v>
      </c>
      <c r="L1350" s="204">
        <v>0.26</v>
      </c>
      <c r="M1350" s="112">
        <v>9.93</v>
      </c>
      <c r="N1350" s="112">
        <v>2.5817999999999999</v>
      </c>
      <c r="O1350" s="204"/>
      <c r="P1350" s="112"/>
      <c r="Q1350" s="112"/>
      <c r="R1350" s="112"/>
      <c r="S1350" s="112"/>
      <c r="T1350" s="112"/>
      <c r="U1350" t="s">
        <v>5420</v>
      </c>
      <c r="V1350" t="s">
        <v>5421</v>
      </c>
      <c r="W1350" t="s">
        <v>3958</v>
      </c>
      <c r="X1350" t="s">
        <v>4660</v>
      </c>
    </row>
    <row r="1351" spans="1:24" x14ac:dyDescent="0.2">
      <c r="A1351" t="s">
        <v>5419</v>
      </c>
      <c r="B1351" t="s">
        <v>1667</v>
      </c>
      <c r="C1351" t="s">
        <v>1668</v>
      </c>
      <c r="D1351" t="s">
        <v>56</v>
      </c>
      <c r="E1351" t="s">
        <v>1669</v>
      </c>
      <c r="F1351" t="s">
        <v>84</v>
      </c>
      <c r="G1351" s="202">
        <v>24</v>
      </c>
      <c r="H1351">
        <v>2</v>
      </c>
      <c r="I1351" t="s">
        <v>3960</v>
      </c>
      <c r="J1351" t="s">
        <v>5229</v>
      </c>
      <c r="K1351" t="s">
        <v>1283</v>
      </c>
      <c r="L1351" s="204">
        <v>0.64</v>
      </c>
      <c r="M1351" s="112">
        <v>9.93</v>
      </c>
      <c r="N1351" s="112">
        <v>6.3552</v>
      </c>
      <c r="O1351" s="204"/>
      <c r="P1351" s="112"/>
      <c r="Q1351" s="112"/>
      <c r="R1351" s="112"/>
      <c r="S1351" s="112"/>
      <c r="T1351" s="112"/>
      <c r="U1351" t="s">
        <v>5420</v>
      </c>
      <c r="V1351" t="s">
        <v>5421</v>
      </c>
      <c r="W1351" t="s">
        <v>3958</v>
      </c>
      <c r="X1351" t="s">
        <v>4660</v>
      </c>
    </row>
    <row r="1352" spans="1:24" x14ac:dyDescent="0.2">
      <c r="A1352" t="s">
        <v>5419</v>
      </c>
      <c r="B1352" t="s">
        <v>1667</v>
      </c>
      <c r="C1352" t="s">
        <v>1668</v>
      </c>
      <c r="D1352" t="s">
        <v>56</v>
      </c>
      <c r="E1352" t="s">
        <v>1669</v>
      </c>
      <c r="F1352" t="s">
        <v>84</v>
      </c>
      <c r="G1352" s="202">
        <v>24</v>
      </c>
      <c r="H1352">
        <v>3</v>
      </c>
      <c r="I1352" t="s">
        <v>3976</v>
      </c>
      <c r="J1352" t="s">
        <v>5230</v>
      </c>
      <c r="K1352" t="s">
        <v>1283</v>
      </c>
      <c r="L1352" s="204">
        <v>0.04</v>
      </c>
      <c r="M1352" s="112">
        <v>9.93</v>
      </c>
      <c r="N1352" s="112">
        <v>0.3972</v>
      </c>
      <c r="O1352" s="204"/>
      <c r="P1352" s="112"/>
      <c r="Q1352" s="112"/>
      <c r="R1352" s="112"/>
      <c r="S1352" s="112"/>
      <c r="T1352" s="112"/>
      <c r="U1352" t="s">
        <v>5420</v>
      </c>
      <c r="V1352" t="s">
        <v>5421</v>
      </c>
      <c r="W1352" t="s">
        <v>3958</v>
      </c>
      <c r="X1352" t="s">
        <v>4660</v>
      </c>
    </row>
    <row r="1353" spans="1:24" x14ac:dyDescent="0.2">
      <c r="A1353" t="s">
        <v>5419</v>
      </c>
      <c r="B1353" t="s">
        <v>1667</v>
      </c>
      <c r="C1353" t="s">
        <v>1668</v>
      </c>
      <c r="D1353" t="s">
        <v>56</v>
      </c>
      <c r="E1353" t="s">
        <v>1669</v>
      </c>
      <c r="F1353" t="s">
        <v>84</v>
      </c>
      <c r="G1353" s="202">
        <v>24</v>
      </c>
      <c r="H1353">
        <v>4</v>
      </c>
      <c r="I1353" t="s">
        <v>4017</v>
      </c>
      <c r="J1353" t="s">
        <v>4851</v>
      </c>
      <c r="K1353" t="s">
        <v>1283</v>
      </c>
      <c r="L1353" s="204">
        <v>0.06</v>
      </c>
      <c r="M1353" s="112">
        <v>9.93</v>
      </c>
      <c r="N1353" s="112">
        <v>0.5958</v>
      </c>
      <c r="O1353" s="204"/>
      <c r="P1353" s="112"/>
      <c r="Q1353" s="112"/>
      <c r="R1353" s="112"/>
      <c r="S1353" s="112"/>
      <c r="T1353" s="112"/>
      <c r="U1353" t="s">
        <v>5420</v>
      </c>
      <c r="V1353" t="s">
        <v>5421</v>
      </c>
      <c r="W1353" t="s">
        <v>3958</v>
      </c>
      <c r="X1353" t="s">
        <v>4660</v>
      </c>
    </row>
    <row r="1354" spans="1:24" x14ac:dyDescent="0.2">
      <c r="A1354" t="s">
        <v>5419</v>
      </c>
      <c r="B1354" t="s">
        <v>1667</v>
      </c>
      <c r="C1354" t="s">
        <v>1668</v>
      </c>
      <c r="D1354" t="s">
        <v>56</v>
      </c>
      <c r="E1354" t="s">
        <v>1669</v>
      </c>
      <c r="F1354" t="s">
        <v>84</v>
      </c>
      <c r="G1354" s="202">
        <v>24</v>
      </c>
      <c r="H1354">
        <v>5</v>
      </c>
      <c r="I1354" t="s">
        <v>3968</v>
      </c>
      <c r="J1354" t="s">
        <v>3969</v>
      </c>
      <c r="K1354" t="s">
        <v>84</v>
      </c>
      <c r="L1354" s="204">
        <v>1</v>
      </c>
      <c r="M1354" s="112"/>
      <c r="N1354" s="112">
        <v>9.93</v>
      </c>
      <c r="O1354" s="204">
        <v>0.22205438066465266</v>
      </c>
      <c r="P1354" s="112">
        <v>2.2050000000000001</v>
      </c>
      <c r="Q1354" s="112">
        <v>12.135</v>
      </c>
      <c r="R1354" s="112">
        <v>291.24</v>
      </c>
      <c r="S1354" s="112">
        <v>291.24</v>
      </c>
      <c r="T1354" s="112">
        <v>0</v>
      </c>
      <c r="U1354" t="s">
        <v>5420</v>
      </c>
      <c r="V1354" t="s">
        <v>5421</v>
      </c>
      <c r="W1354" t="s">
        <v>4666</v>
      </c>
      <c r="X1354" t="s">
        <v>4667</v>
      </c>
    </row>
    <row r="1355" spans="1:24" x14ac:dyDescent="0.2">
      <c r="A1355" t="s">
        <v>5422</v>
      </c>
      <c r="B1355" t="s">
        <v>1670</v>
      </c>
      <c r="C1355" t="s">
        <v>1592</v>
      </c>
      <c r="D1355" t="s">
        <v>56</v>
      </c>
      <c r="E1355" t="s">
        <v>1593</v>
      </c>
      <c r="F1355" t="s">
        <v>84</v>
      </c>
      <c r="G1355" s="202">
        <v>4</v>
      </c>
      <c r="H1355">
        <v>1</v>
      </c>
      <c r="I1355" t="s">
        <v>3954</v>
      </c>
      <c r="J1355" t="s">
        <v>5227</v>
      </c>
      <c r="K1355" t="s">
        <v>1283</v>
      </c>
      <c r="L1355" s="204">
        <v>0.26</v>
      </c>
      <c r="M1355" s="112">
        <v>12.315000000000001</v>
      </c>
      <c r="N1355" s="112">
        <v>3.2019000000000006</v>
      </c>
      <c r="O1355" s="204"/>
      <c r="P1355" s="112"/>
      <c r="Q1355" s="112"/>
      <c r="R1355" s="112"/>
      <c r="S1355" s="112"/>
      <c r="T1355" s="112"/>
      <c r="U1355" t="s">
        <v>5299</v>
      </c>
      <c r="V1355" t="s">
        <v>5423</v>
      </c>
      <c r="W1355" t="s">
        <v>3958</v>
      </c>
      <c r="X1355" t="s">
        <v>4660</v>
      </c>
    </row>
    <row r="1356" spans="1:24" x14ac:dyDescent="0.2">
      <c r="A1356" t="s">
        <v>5422</v>
      </c>
      <c r="B1356" t="s">
        <v>1670</v>
      </c>
      <c r="C1356" t="s">
        <v>1592</v>
      </c>
      <c r="D1356" t="s">
        <v>56</v>
      </c>
      <c r="E1356" t="s">
        <v>1593</v>
      </c>
      <c r="F1356" t="s">
        <v>84</v>
      </c>
      <c r="G1356" s="202">
        <v>4</v>
      </c>
      <c r="H1356">
        <v>2</v>
      </c>
      <c r="I1356" t="s">
        <v>3960</v>
      </c>
      <c r="J1356" t="s">
        <v>5229</v>
      </c>
      <c r="K1356" t="s">
        <v>1283</v>
      </c>
      <c r="L1356" s="204">
        <v>0.64</v>
      </c>
      <c r="M1356" s="112">
        <v>12.315000000000001</v>
      </c>
      <c r="N1356" s="112">
        <v>7.8816000000000006</v>
      </c>
      <c r="O1356" s="204"/>
      <c r="P1356" s="112"/>
      <c r="Q1356" s="112"/>
      <c r="R1356" s="112"/>
      <c r="S1356" s="112"/>
      <c r="T1356" s="112"/>
      <c r="U1356" t="s">
        <v>5299</v>
      </c>
      <c r="V1356" t="s">
        <v>5423</v>
      </c>
      <c r="W1356" t="s">
        <v>3958</v>
      </c>
      <c r="X1356" t="s">
        <v>4660</v>
      </c>
    </row>
    <row r="1357" spans="1:24" x14ac:dyDescent="0.2">
      <c r="A1357" t="s">
        <v>5422</v>
      </c>
      <c r="B1357" t="s">
        <v>1670</v>
      </c>
      <c r="C1357" t="s">
        <v>1592</v>
      </c>
      <c r="D1357" t="s">
        <v>56</v>
      </c>
      <c r="E1357" t="s">
        <v>1593</v>
      </c>
      <c r="F1357" t="s">
        <v>84</v>
      </c>
      <c r="G1357" s="202">
        <v>4</v>
      </c>
      <c r="H1357">
        <v>3</v>
      </c>
      <c r="I1357" t="s">
        <v>3976</v>
      </c>
      <c r="J1357" t="s">
        <v>5230</v>
      </c>
      <c r="K1357" t="s">
        <v>1283</v>
      </c>
      <c r="L1357" s="204">
        <v>0.04</v>
      </c>
      <c r="M1357" s="112">
        <v>12.315000000000001</v>
      </c>
      <c r="N1357" s="112">
        <v>0.49260000000000004</v>
      </c>
      <c r="O1357" s="204"/>
      <c r="P1357" s="112"/>
      <c r="Q1357" s="112"/>
      <c r="R1357" s="112"/>
      <c r="S1357" s="112"/>
      <c r="T1357" s="112"/>
      <c r="U1357" t="s">
        <v>5299</v>
      </c>
      <c r="V1357" t="s">
        <v>5423</v>
      </c>
      <c r="W1357" t="s">
        <v>3958</v>
      </c>
      <c r="X1357" t="s">
        <v>4660</v>
      </c>
    </row>
    <row r="1358" spans="1:24" x14ac:dyDescent="0.2">
      <c r="A1358" t="s">
        <v>5422</v>
      </c>
      <c r="B1358" t="s">
        <v>1670</v>
      </c>
      <c r="C1358" t="s">
        <v>1592</v>
      </c>
      <c r="D1358" t="s">
        <v>56</v>
      </c>
      <c r="E1358" t="s">
        <v>1593</v>
      </c>
      <c r="F1358" t="s">
        <v>84</v>
      </c>
      <c r="G1358" s="202">
        <v>4</v>
      </c>
      <c r="H1358">
        <v>4</v>
      </c>
      <c r="I1358" t="s">
        <v>4017</v>
      </c>
      <c r="J1358" t="s">
        <v>4851</v>
      </c>
      <c r="K1358" t="s">
        <v>1283</v>
      </c>
      <c r="L1358" s="204">
        <v>0.06</v>
      </c>
      <c r="M1358" s="112">
        <v>12.315000000000001</v>
      </c>
      <c r="N1358" s="112">
        <v>0.7389</v>
      </c>
      <c r="O1358" s="204"/>
      <c r="P1358" s="112"/>
      <c r="Q1358" s="112"/>
      <c r="R1358" s="112"/>
      <c r="S1358" s="112"/>
      <c r="T1358" s="112"/>
      <c r="U1358" t="s">
        <v>5299</v>
      </c>
      <c r="V1358" t="s">
        <v>5423</v>
      </c>
      <c r="W1358" t="s">
        <v>3958</v>
      </c>
      <c r="X1358" t="s">
        <v>4660</v>
      </c>
    </row>
    <row r="1359" spans="1:24" x14ac:dyDescent="0.2">
      <c r="A1359" t="s">
        <v>5422</v>
      </c>
      <c r="B1359" t="s">
        <v>1670</v>
      </c>
      <c r="C1359" t="s">
        <v>1592</v>
      </c>
      <c r="D1359" t="s">
        <v>56</v>
      </c>
      <c r="E1359" t="s">
        <v>1593</v>
      </c>
      <c r="F1359" t="s">
        <v>84</v>
      </c>
      <c r="G1359" s="202">
        <v>4</v>
      </c>
      <c r="H1359">
        <v>5</v>
      </c>
      <c r="I1359" t="s">
        <v>3968</v>
      </c>
      <c r="J1359" t="s">
        <v>3969</v>
      </c>
      <c r="K1359" t="s">
        <v>84</v>
      </c>
      <c r="L1359" s="204">
        <v>1</v>
      </c>
      <c r="M1359" s="112"/>
      <c r="N1359" s="112">
        <v>12.315000000000001</v>
      </c>
      <c r="O1359" s="204">
        <v>0.22228989037758828</v>
      </c>
      <c r="P1359" s="112">
        <v>2.7374999999999989</v>
      </c>
      <c r="Q1359" s="112">
        <v>15.0525</v>
      </c>
      <c r="R1359" s="112">
        <v>60.21</v>
      </c>
      <c r="S1359" s="112">
        <v>60.21</v>
      </c>
      <c r="T1359" s="112">
        <v>0</v>
      </c>
      <c r="U1359" t="s">
        <v>5299</v>
      </c>
      <c r="V1359" t="s">
        <v>5423</v>
      </c>
      <c r="W1359" t="s">
        <v>4666</v>
      </c>
      <c r="X1359" t="s">
        <v>4667</v>
      </c>
    </row>
    <row r="1360" spans="1:24" x14ac:dyDescent="0.2">
      <c r="A1360" t="s">
        <v>5424</v>
      </c>
      <c r="B1360" t="s">
        <v>1671</v>
      </c>
      <c r="C1360" t="s">
        <v>1672</v>
      </c>
      <c r="D1360" t="s">
        <v>56</v>
      </c>
      <c r="E1360" t="s">
        <v>635</v>
      </c>
      <c r="F1360" t="s">
        <v>84</v>
      </c>
      <c r="G1360" s="202">
        <v>2</v>
      </c>
      <c r="H1360">
        <v>1</v>
      </c>
      <c r="I1360" t="s">
        <v>3954</v>
      </c>
      <c r="J1360" t="s">
        <v>5227</v>
      </c>
      <c r="K1360" t="s">
        <v>1283</v>
      </c>
      <c r="L1360" s="204">
        <v>0.26</v>
      </c>
      <c r="M1360" s="112">
        <v>29.505000000000003</v>
      </c>
      <c r="N1360" s="112">
        <v>7.6713000000000013</v>
      </c>
      <c r="O1360" s="204"/>
      <c r="P1360" s="112"/>
      <c r="Q1360" s="112"/>
      <c r="R1360" s="112"/>
      <c r="S1360" s="112"/>
      <c r="T1360" s="112"/>
      <c r="U1360" t="s">
        <v>5425</v>
      </c>
      <c r="V1360" t="s">
        <v>5426</v>
      </c>
      <c r="W1360" t="s">
        <v>3958</v>
      </c>
      <c r="X1360" t="s">
        <v>4660</v>
      </c>
    </row>
    <row r="1361" spans="1:24" x14ac:dyDescent="0.2">
      <c r="A1361" t="s">
        <v>5424</v>
      </c>
      <c r="B1361" t="s">
        <v>1671</v>
      </c>
      <c r="C1361" t="s">
        <v>1672</v>
      </c>
      <c r="D1361" t="s">
        <v>56</v>
      </c>
      <c r="E1361" t="s">
        <v>635</v>
      </c>
      <c r="F1361" t="s">
        <v>84</v>
      </c>
      <c r="G1361" s="202">
        <v>2</v>
      </c>
      <c r="H1361">
        <v>2</v>
      </c>
      <c r="I1361" t="s">
        <v>3960</v>
      </c>
      <c r="J1361" t="s">
        <v>5229</v>
      </c>
      <c r="K1361" t="s">
        <v>1283</v>
      </c>
      <c r="L1361" s="204">
        <v>0.64</v>
      </c>
      <c r="M1361" s="112">
        <v>29.505000000000003</v>
      </c>
      <c r="N1361" s="112">
        <v>18.883200000000002</v>
      </c>
      <c r="O1361" s="204"/>
      <c r="P1361" s="112"/>
      <c r="Q1361" s="112"/>
      <c r="R1361" s="112"/>
      <c r="S1361" s="112"/>
      <c r="T1361" s="112"/>
      <c r="U1361" t="s">
        <v>5425</v>
      </c>
      <c r="V1361" t="s">
        <v>5426</v>
      </c>
      <c r="W1361" t="s">
        <v>3958</v>
      </c>
      <c r="X1361" t="s">
        <v>4660</v>
      </c>
    </row>
    <row r="1362" spans="1:24" x14ac:dyDescent="0.2">
      <c r="A1362" t="s">
        <v>5424</v>
      </c>
      <c r="B1362" t="s">
        <v>1671</v>
      </c>
      <c r="C1362" t="s">
        <v>1672</v>
      </c>
      <c r="D1362" t="s">
        <v>56</v>
      </c>
      <c r="E1362" t="s">
        <v>635</v>
      </c>
      <c r="F1362" t="s">
        <v>84</v>
      </c>
      <c r="G1362" s="202">
        <v>2</v>
      </c>
      <c r="H1362">
        <v>3</v>
      </c>
      <c r="I1362" t="s">
        <v>3976</v>
      </c>
      <c r="J1362" t="s">
        <v>5230</v>
      </c>
      <c r="K1362" t="s">
        <v>1283</v>
      </c>
      <c r="L1362" s="204">
        <v>0.04</v>
      </c>
      <c r="M1362" s="112">
        <v>29.505000000000003</v>
      </c>
      <c r="N1362" s="112">
        <v>1.1802000000000001</v>
      </c>
      <c r="O1362" s="204"/>
      <c r="P1362" s="112"/>
      <c r="Q1362" s="112"/>
      <c r="R1362" s="112"/>
      <c r="S1362" s="112"/>
      <c r="T1362" s="112"/>
      <c r="U1362" t="s">
        <v>5425</v>
      </c>
      <c r="V1362" t="s">
        <v>5426</v>
      </c>
      <c r="W1362" t="s">
        <v>3958</v>
      </c>
      <c r="X1362" t="s">
        <v>4660</v>
      </c>
    </row>
    <row r="1363" spans="1:24" x14ac:dyDescent="0.2">
      <c r="A1363" t="s">
        <v>5424</v>
      </c>
      <c r="B1363" t="s">
        <v>1671</v>
      </c>
      <c r="C1363" t="s">
        <v>1672</v>
      </c>
      <c r="D1363" t="s">
        <v>56</v>
      </c>
      <c r="E1363" t="s">
        <v>635</v>
      </c>
      <c r="F1363" t="s">
        <v>84</v>
      </c>
      <c r="G1363" s="202">
        <v>2</v>
      </c>
      <c r="H1363">
        <v>4</v>
      </c>
      <c r="I1363" t="s">
        <v>4017</v>
      </c>
      <c r="J1363" t="s">
        <v>4851</v>
      </c>
      <c r="K1363" t="s">
        <v>1283</v>
      </c>
      <c r="L1363" s="204">
        <v>0.06</v>
      </c>
      <c r="M1363" s="112">
        <v>29.505000000000003</v>
      </c>
      <c r="N1363" s="112">
        <v>1.7703</v>
      </c>
      <c r="O1363" s="204"/>
      <c r="P1363" s="112"/>
      <c r="Q1363" s="112"/>
      <c r="R1363" s="112"/>
      <c r="S1363" s="112"/>
      <c r="T1363" s="112"/>
      <c r="U1363" t="s">
        <v>5425</v>
      </c>
      <c r="V1363" t="s">
        <v>5426</v>
      </c>
      <c r="W1363" t="s">
        <v>3958</v>
      </c>
      <c r="X1363" t="s">
        <v>4660</v>
      </c>
    </row>
    <row r="1364" spans="1:24" x14ac:dyDescent="0.2">
      <c r="A1364" t="s">
        <v>5424</v>
      </c>
      <c r="B1364" t="s">
        <v>1671</v>
      </c>
      <c r="C1364" t="s">
        <v>1672</v>
      </c>
      <c r="D1364" t="s">
        <v>56</v>
      </c>
      <c r="E1364" t="s">
        <v>635</v>
      </c>
      <c r="F1364" t="s">
        <v>84</v>
      </c>
      <c r="G1364" s="202">
        <v>2</v>
      </c>
      <c r="H1364">
        <v>5</v>
      </c>
      <c r="I1364" t="s">
        <v>3968</v>
      </c>
      <c r="J1364" t="s">
        <v>3969</v>
      </c>
      <c r="K1364" t="s">
        <v>84</v>
      </c>
      <c r="L1364" s="204">
        <v>1</v>
      </c>
      <c r="M1364" s="112"/>
      <c r="N1364" s="112">
        <v>29.505000000000003</v>
      </c>
      <c r="O1364" s="204">
        <v>0.22216573462125067</v>
      </c>
      <c r="P1364" s="112">
        <v>6.5549999999999997</v>
      </c>
      <c r="Q1364" s="112">
        <v>36.06</v>
      </c>
      <c r="R1364" s="112">
        <v>72.12</v>
      </c>
      <c r="S1364" s="112">
        <v>72.12</v>
      </c>
      <c r="T1364" s="112">
        <v>0</v>
      </c>
      <c r="U1364" t="s">
        <v>5425</v>
      </c>
      <c r="V1364" t="s">
        <v>5426</v>
      </c>
      <c r="W1364" t="s">
        <v>4666</v>
      </c>
      <c r="X1364" t="s">
        <v>4667</v>
      </c>
    </row>
    <row r="1365" spans="1:24" x14ac:dyDescent="0.2">
      <c r="A1365" t="s">
        <v>5427</v>
      </c>
      <c r="B1365" t="s">
        <v>1673</v>
      </c>
      <c r="C1365" t="s">
        <v>1674</v>
      </c>
      <c r="D1365" t="s">
        <v>56</v>
      </c>
      <c r="E1365" t="s">
        <v>636</v>
      </c>
      <c r="F1365" t="s">
        <v>84</v>
      </c>
      <c r="G1365" s="202">
        <v>56</v>
      </c>
      <c r="H1365">
        <v>1</v>
      </c>
      <c r="I1365" t="s">
        <v>3954</v>
      </c>
      <c r="J1365" t="s">
        <v>5227</v>
      </c>
      <c r="K1365" t="s">
        <v>1283</v>
      </c>
      <c r="L1365" s="204">
        <v>0.26</v>
      </c>
      <c r="M1365" s="112">
        <v>6.5249999999999995</v>
      </c>
      <c r="N1365" s="112">
        <v>1.6964999999999999</v>
      </c>
      <c r="O1365" s="204"/>
      <c r="P1365" s="112"/>
      <c r="Q1365" s="112"/>
      <c r="R1365" s="112"/>
      <c r="S1365" s="112"/>
      <c r="T1365" s="112"/>
      <c r="U1365" t="s">
        <v>5428</v>
      </c>
      <c r="V1365" t="s">
        <v>5429</v>
      </c>
      <c r="W1365" t="s">
        <v>3958</v>
      </c>
      <c r="X1365" t="s">
        <v>4660</v>
      </c>
    </row>
    <row r="1366" spans="1:24" x14ac:dyDescent="0.2">
      <c r="A1366" t="s">
        <v>5427</v>
      </c>
      <c r="B1366" t="s">
        <v>1673</v>
      </c>
      <c r="C1366" t="s">
        <v>1674</v>
      </c>
      <c r="D1366" t="s">
        <v>56</v>
      </c>
      <c r="E1366" t="s">
        <v>636</v>
      </c>
      <c r="F1366" t="s">
        <v>84</v>
      </c>
      <c r="G1366" s="202">
        <v>56</v>
      </c>
      <c r="H1366">
        <v>2</v>
      </c>
      <c r="I1366" t="s">
        <v>3960</v>
      </c>
      <c r="J1366" t="s">
        <v>5229</v>
      </c>
      <c r="K1366" t="s">
        <v>1283</v>
      </c>
      <c r="L1366" s="204">
        <v>0.64</v>
      </c>
      <c r="M1366" s="112">
        <v>6.5249999999999995</v>
      </c>
      <c r="N1366" s="112">
        <v>4.1760000000000002</v>
      </c>
      <c r="O1366" s="204"/>
      <c r="P1366" s="112"/>
      <c r="Q1366" s="112"/>
      <c r="R1366" s="112"/>
      <c r="S1366" s="112"/>
      <c r="T1366" s="112"/>
      <c r="U1366" t="s">
        <v>5428</v>
      </c>
      <c r="V1366" t="s">
        <v>5429</v>
      </c>
      <c r="W1366" t="s">
        <v>3958</v>
      </c>
      <c r="X1366" t="s">
        <v>4660</v>
      </c>
    </row>
    <row r="1367" spans="1:24" x14ac:dyDescent="0.2">
      <c r="A1367" t="s">
        <v>5427</v>
      </c>
      <c r="B1367" t="s">
        <v>1673</v>
      </c>
      <c r="C1367" t="s">
        <v>1674</v>
      </c>
      <c r="D1367" t="s">
        <v>56</v>
      </c>
      <c r="E1367" t="s">
        <v>636</v>
      </c>
      <c r="F1367" t="s">
        <v>84</v>
      </c>
      <c r="G1367" s="202">
        <v>56</v>
      </c>
      <c r="H1367">
        <v>3</v>
      </c>
      <c r="I1367" t="s">
        <v>3976</v>
      </c>
      <c r="J1367" t="s">
        <v>5230</v>
      </c>
      <c r="K1367" t="s">
        <v>1283</v>
      </c>
      <c r="L1367" s="204">
        <v>0.04</v>
      </c>
      <c r="M1367" s="112">
        <v>6.5249999999999995</v>
      </c>
      <c r="N1367" s="112">
        <v>0.26100000000000001</v>
      </c>
      <c r="O1367" s="204"/>
      <c r="P1367" s="112"/>
      <c r="Q1367" s="112"/>
      <c r="R1367" s="112"/>
      <c r="S1367" s="112"/>
      <c r="T1367" s="112"/>
      <c r="U1367" t="s">
        <v>5428</v>
      </c>
      <c r="V1367" t="s">
        <v>5429</v>
      </c>
      <c r="W1367" t="s">
        <v>3958</v>
      </c>
      <c r="X1367" t="s">
        <v>4660</v>
      </c>
    </row>
    <row r="1368" spans="1:24" x14ac:dyDescent="0.2">
      <c r="A1368" t="s">
        <v>5427</v>
      </c>
      <c r="B1368" t="s">
        <v>1673</v>
      </c>
      <c r="C1368" t="s">
        <v>1674</v>
      </c>
      <c r="D1368" t="s">
        <v>56</v>
      </c>
      <c r="E1368" t="s">
        <v>636</v>
      </c>
      <c r="F1368" t="s">
        <v>84</v>
      </c>
      <c r="G1368" s="202">
        <v>56</v>
      </c>
      <c r="H1368">
        <v>4</v>
      </c>
      <c r="I1368" t="s">
        <v>4017</v>
      </c>
      <c r="J1368" t="s">
        <v>4851</v>
      </c>
      <c r="K1368" t="s">
        <v>1283</v>
      </c>
      <c r="L1368" s="204">
        <v>0.06</v>
      </c>
      <c r="M1368" s="112">
        <v>6.5249999999999995</v>
      </c>
      <c r="N1368" s="112">
        <v>0.39149999999999996</v>
      </c>
      <c r="O1368" s="204"/>
      <c r="P1368" s="112"/>
      <c r="Q1368" s="112"/>
      <c r="R1368" s="112"/>
      <c r="S1368" s="112"/>
      <c r="T1368" s="112"/>
      <c r="U1368" t="s">
        <v>5428</v>
      </c>
      <c r="V1368" t="s">
        <v>5429</v>
      </c>
      <c r="W1368" t="s">
        <v>3958</v>
      </c>
      <c r="X1368" t="s">
        <v>4660</v>
      </c>
    </row>
    <row r="1369" spans="1:24" x14ac:dyDescent="0.2">
      <c r="A1369" t="s">
        <v>5427</v>
      </c>
      <c r="B1369" t="s">
        <v>1673</v>
      </c>
      <c r="C1369" t="s">
        <v>1674</v>
      </c>
      <c r="D1369" t="s">
        <v>56</v>
      </c>
      <c r="E1369" t="s">
        <v>636</v>
      </c>
      <c r="F1369" t="s">
        <v>84</v>
      </c>
      <c r="G1369" s="202">
        <v>56</v>
      </c>
      <c r="H1369">
        <v>5</v>
      </c>
      <c r="I1369" t="s">
        <v>3968</v>
      </c>
      <c r="J1369" t="s">
        <v>3969</v>
      </c>
      <c r="K1369" t="s">
        <v>84</v>
      </c>
      <c r="L1369" s="204">
        <v>1</v>
      </c>
      <c r="M1369" s="112"/>
      <c r="N1369" s="112">
        <v>6.5249999999999995</v>
      </c>
      <c r="O1369" s="204">
        <v>0.22183908045977008</v>
      </c>
      <c r="P1369" s="112">
        <v>1.4474999999999998</v>
      </c>
      <c r="Q1369" s="112">
        <v>7.9724999999999993</v>
      </c>
      <c r="R1369" s="112">
        <v>446.46</v>
      </c>
      <c r="S1369" s="112">
        <v>446.46</v>
      </c>
      <c r="T1369" s="112">
        <v>0</v>
      </c>
      <c r="U1369" t="s">
        <v>5428</v>
      </c>
      <c r="V1369" t="s">
        <v>5429</v>
      </c>
      <c r="W1369" t="s">
        <v>4666</v>
      </c>
      <c r="X1369" t="s">
        <v>4667</v>
      </c>
    </row>
    <row r="1370" spans="1:24" x14ac:dyDescent="0.2">
      <c r="A1370" t="s">
        <v>5430</v>
      </c>
      <c r="B1370" t="s">
        <v>1675</v>
      </c>
      <c r="C1370" t="s">
        <v>1676</v>
      </c>
      <c r="D1370" t="s">
        <v>56</v>
      </c>
      <c r="E1370" t="s">
        <v>637</v>
      </c>
      <c r="F1370" t="s">
        <v>84</v>
      </c>
      <c r="G1370" s="202">
        <v>6</v>
      </c>
      <c r="H1370">
        <v>1</v>
      </c>
      <c r="I1370" t="s">
        <v>3954</v>
      </c>
      <c r="J1370" t="s">
        <v>5227</v>
      </c>
      <c r="K1370" t="s">
        <v>1283</v>
      </c>
      <c r="L1370" s="204">
        <v>0.26</v>
      </c>
      <c r="M1370" s="112">
        <v>5.4450000000000003</v>
      </c>
      <c r="N1370" s="112">
        <v>1.4157000000000002</v>
      </c>
      <c r="O1370" s="204"/>
      <c r="P1370" s="112"/>
      <c r="Q1370" s="112"/>
      <c r="R1370" s="112"/>
      <c r="S1370" s="112"/>
      <c r="T1370" s="112"/>
      <c r="U1370" t="s">
        <v>5431</v>
      </c>
      <c r="V1370" t="s">
        <v>5432</v>
      </c>
      <c r="W1370" t="s">
        <v>3958</v>
      </c>
      <c r="X1370" t="s">
        <v>4660</v>
      </c>
    </row>
    <row r="1371" spans="1:24" x14ac:dyDescent="0.2">
      <c r="A1371" t="s">
        <v>5430</v>
      </c>
      <c r="B1371" t="s">
        <v>1675</v>
      </c>
      <c r="C1371" t="s">
        <v>1676</v>
      </c>
      <c r="D1371" t="s">
        <v>56</v>
      </c>
      <c r="E1371" t="s">
        <v>637</v>
      </c>
      <c r="F1371" t="s">
        <v>84</v>
      </c>
      <c r="G1371" s="202">
        <v>6</v>
      </c>
      <c r="H1371">
        <v>2</v>
      </c>
      <c r="I1371" t="s">
        <v>3960</v>
      </c>
      <c r="J1371" t="s">
        <v>5229</v>
      </c>
      <c r="K1371" t="s">
        <v>1283</v>
      </c>
      <c r="L1371" s="204">
        <v>0.64</v>
      </c>
      <c r="M1371" s="112">
        <v>5.4450000000000003</v>
      </c>
      <c r="N1371" s="112">
        <v>3.4848000000000003</v>
      </c>
      <c r="O1371" s="204"/>
      <c r="P1371" s="112"/>
      <c r="Q1371" s="112"/>
      <c r="R1371" s="112"/>
      <c r="S1371" s="112"/>
      <c r="T1371" s="112"/>
      <c r="U1371" t="s">
        <v>5431</v>
      </c>
      <c r="V1371" t="s">
        <v>5432</v>
      </c>
      <c r="W1371" t="s">
        <v>3958</v>
      </c>
      <c r="X1371" t="s">
        <v>4660</v>
      </c>
    </row>
    <row r="1372" spans="1:24" x14ac:dyDescent="0.2">
      <c r="A1372" t="s">
        <v>5430</v>
      </c>
      <c r="B1372" t="s">
        <v>1675</v>
      </c>
      <c r="C1372" t="s">
        <v>1676</v>
      </c>
      <c r="D1372" t="s">
        <v>56</v>
      </c>
      <c r="E1372" t="s">
        <v>637</v>
      </c>
      <c r="F1372" t="s">
        <v>84</v>
      </c>
      <c r="G1372" s="202">
        <v>6</v>
      </c>
      <c r="H1372">
        <v>3</v>
      </c>
      <c r="I1372" t="s">
        <v>3976</v>
      </c>
      <c r="J1372" t="s">
        <v>5230</v>
      </c>
      <c r="K1372" t="s">
        <v>1283</v>
      </c>
      <c r="L1372" s="204">
        <v>0.04</v>
      </c>
      <c r="M1372" s="112">
        <v>5.4450000000000003</v>
      </c>
      <c r="N1372" s="112">
        <v>0.21780000000000002</v>
      </c>
      <c r="O1372" s="204"/>
      <c r="P1372" s="112"/>
      <c r="Q1372" s="112"/>
      <c r="R1372" s="112"/>
      <c r="S1372" s="112"/>
      <c r="T1372" s="112"/>
      <c r="U1372" t="s">
        <v>5431</v>
      </c>
      <c r="V1372" t="s">
        <v>5432</v>
      </c>
      <c r="W1372" t="s">
        <v>3958</v>
      </c>
      <c r="X1372" t="s">
        <v>4660</v>
      </c>
    </row>
    <row r="1373" spans="1:24" x14ac:dyDescent="0.2">
      <c r="A1373" t="s">
        <v>5430</v>
      </c>
      <c r="B1373" t="s">
        <v>1675</v>
      </c>
      <c r="C1373" t="s">
        <v>1676</v>
      </c>
      <c r="D1373" t="s">
        <v>56</v>
      </c>
      <c r="E1373" t="s">
        <v>637</v>
      </c>
      <c r="F1373" t="s">
        <v>84</v>
      </c>
      <c r="G1373" s="202">
        <v>6</v>
      </c>
      <c r="H1373">
        <v>4</v>
      </c>
      <c r="I1373" t="s">
        <v>4017</v>
      </c>
      <c r="J1373" t="s">
        <v>4851</v>
      </c>
      <c r="K1373" t="s">
        <v>1283</v>
      </c>
      <c r="L1373" s="204">
        <v>0.06</v>
      </c>
      <c r="M1373" s="112">
        <v>5.4450000000000003</v>
      </c>
      <c r="N1373" s="112">
        <v>0.32669999999999999</v>
      </c>
      <c r="O1373" s="204"/>
      <c r="P1373" s="112"/>
      <c r="Q1373" s="112"/>
      <c r="R1373" s="112"/>
      <c r="S1373" s="112"/>
      <c r="T1373" s="112"/>
      <c r="U1373" t="s">
        <v>5431</v>
      </c>
      <c r="V1373" t="s">
        <v>5432</v>
      </c>
      <c r="W1373" t="s">
        <v>3958</v>
      </c>
      <c r="X1373" t="s">
        <v>4660</v>
      </c>
    </row>
    <row r="1374" spans="1:24" x14ac:dyDescent="0.2">
      <c r="A1374" t="s">
        <v>5430</v>
      </c>
      <c r="B1374" t="s">
        <v>1675</v>
      </c>
      <c r="C1374" t="s">
        <v>1676</v>
      </c>
      <c r="D1374" t="s">
        <v>56</v>
      </c>
      <c r="E1374" t="s">
        <v>637</v>
      </c>
      <c r="F1374" t="s">
        <v>84</v>
      </c>
      <c r="G1374" s="202">
        <v>6</v>
      </c>
      <c r="H1374">
        <v>5</v>
      </c>
      <c r="I1374" t="s">
        <v>3968</v>
      </c>
      <c r="J1374" t="s">
        <v>3969</v>
      </c>
      <c r="K1374" t="s">
        <v>84</v>
      </c>
      <c r="L1374" s="204">
        <v>1</v>
      </c>
      <c r="M1374" s="112"/>
      <c r="N1374" s="112">
        <v>5.4450000000000003</v>
      </c>
      <c r="O1374" s="204">
        <v>0.22161003979185789</v>
      </c>
      <c r="P1374" s="112">
        <v>1.2066666666666661</v>
      </c>
      <c r="Q1374" s="112">
        <v>6.6516666666666664</v>
      </c>
      <c r="R1374" s="112">
        <v>39.909999999999997</v>
      </c>
      <c r="S1374" s="112">
        <v>39.909999999999997</v>
      </c>
      <c r="T1374" s="112">
        <v>0</v>
      </c>
      <c r="U1374" t="s">
        <v>5431</v>
      </c>
      <c r="V1374" t="s">
        <v>5432</v>
      </c>
      <c r="W1374" t="s">
        <v>4666</v>
      </c>
      <c r="X1374" t="s">
        <v>4667</v>
      </c>
    </row>
    <row r="1375" spans="1:24" x14ac:dyDescent="0.2">
      <c r="A1375" t="s">
        <v>5433</v>
      </c>
      <c r="B1375" t="s">
        <v>1677</v>
      </c>
      <c r="C1375" t="s">
        <v>1678</v>
      </c>
      <c r="D1375" t="s">
        <v>56</v>
      </c>
      <c r="E1375" t="s">
        <v>1679</v>
      </c>
      <c r="F1375" t="s">
        <v>84</v>
      </c>
      <c r="G1375" s="202">
        <v>51</v>
      </c>
      <c r="H1375">
        <v>1</v>
      </c>
      <c r="I1375" t="s">
        <v>3954</v>
      </c>
      <c r="J1375" t="s">
        <v>5227</v>
      </c>
      <c r="K1375" t="s">
        <v>1283</v>
      </c>
      <c r="L1375" s="204">
        <v>0.26</v>
      </c>
      <c r="M1375" s="112">
        <v>11.9925</v>
      </c>
      <c r="N1375" s="112">
        <v>3.1180500000000002</v>
      </c>
      <c r="O1375" s="204"/>
      <c r="P1375" s="112"/>
      <c r="Q1375" s="112"/>
      <c r="R1375" s="112"/>
      <c r="S1375" s="112"/>
      <c r="T1375" s="112"/>
      <c r="U1375" t="s">
        <v>5434</v>
      </c>
      <c r="V1375" t="s">
        <v>5435</v>
      </c>
      <c r="W1375" t="s">
        <v>3958</v>
      </c>
      <c r="X1375" t="s">
        <v>4660</v>
      </c>
    </row>
    <row r="1376" spans="1:24" x14ac:dyDescent="0.2">
      <c r="A1376" t="s">
        <v>5433</v>
      </c>
      <c r="B1376" t="s">
        <v>1677</v>
      </c>
      <c r="C1376" t="s">
        <v>1678</v>
      </c>
      <c r="D1376" t="s">
        <v>56</v>
      </c>
      <c r="E1376" t="s">
        <v>1679</v>
      </c>
      <c r="F1376" t="s">
        <v>84</v>
      </c>
      <c r="G1376" s="202">
        <v>51</v>
      </c>
      <c r="H1376">
        <v>2</v>
      </c>
      <c r="I1376" t="s">
        <v>3960</v>
      </c>
      <c r="J1376" t="s">
        <v>5229</v>
      </c>
      <c r="K1376" t="s">
        <v>1283</v>
      </c>
      <c r="L1376" s="204">
        <v>0.64</v>
      </c>
      <c r="M1376" s="112">
        <v>11.9925</v>
      </c>
      <c r="N1376" s="112">
        <v>7.6752000000000002</v>
      </c>
      <c r="O1376" s="204"/>
      <c r="P1376" s="112"/>
      <c r="Q1376" s="112"/>
      <c r="R1376" s="112"/>
      <c r="S1376" s="112"/>
      <c r="T1376" s="112"/>
      <c r="U1376" t="s">
        <v>5434</v>
      </c>
      <c r="V1376" t="s">
        <v>5435</v>
      </c>
      <c r="W1376" t="s">
        <v>3958</v>
      </c>
      <c r="X1376" t="s">
        <v>4660</v>
      </c>
    </row>
    <row r="1377" spans="1:24" x14ac:dyDescent="0.2">
      <c r="A1377" t="s">
        <v>5433</v>
      </c>
      <c r="B1377" t="s">
        <v>1677</v>
      </c>
      <c r="C1377" t="s">
        <v>1678</v>
      </c>
      <c r="D1377" t="s">
        <v>56</v>
      </c>
      <c r="E1377" t="s">
        <v>1679</v>
      </c>
      <c r="F1377" t="s">
        <v>84</v>
      </c>
      <c r="G1377" s="202">
        <v>51</v>
      </c>
      <c r="H1377">
        <v>3</v>
      </c>
      <c r="I1377" t="s">
        <v>3976</v>
      </c>
      <c r="J1377" t="s">
        <v>5230</v>
      </c>
      <c r="K1377" t="s">
        <v>1283</v>
      </c>
      <c r="L1377" s="204">
        <v>0.04</v>
      </c>
      <c r="M1377" s="112">
        <v>11.9925</v>
      </c>
      <c r="N1377" s="112">
        <v>0.47970000000000002</v>
      </c>
      <c r="O1377" s="204"/>
      <c r="P1377" s="112"/>
      <c r="Q1377" s="112"/>
      <c r="R1377" s="112"/>
      <c r="S1377" s="112"/>
      <c r="T1377" s="112"/>
      <c r="U1377" t="s">
        <v>5434</v>
      </c>
      <c r="V1377" t="s">
        <v>5435</v>
      </c>
      <c r="W1377" t="s">
        <v>3958</v>
      </c>
      <c r="X1377" t="s">
        <v>4660</v>
      </c>
    </row>
    <row r="1378" spans="1:24" x14ac:dyDescent="0.2">
      <c r="A1378" t="s">
        <v>5433</v>
      </c>
      <c r="B1378" t="s">
        <v>1677</v>
      </c>
      <c r="C1378" t="s">
        <v>1678</v>
      </c>
      <c r="D1378" t="s">
        <v>56</v>
      </c>
      <c r="E1378" t="s">
        <v>1679</v>
      </c>
      <c r="F1378" t="s">
        <v>84</v>
      </c>
      <c r="G1378" s="202">
        <v>51</v>
      </c>
      <c r="H1378">
        <v>4</v>
      </c>
      <c r="I1378" t="s">
        <v>4017</v>
      </c>
      <c r="J1378" t="s">
        <v>4851</v>
      </c>
      <c r="K1378" t="s">
        <v>1283</v>
      </c>
      <c r="L1378" s="204">
        <v>0.06</v>
      </c>
      <c r="M1378" s="112">
        <v>11.9925</v>
      </c>
      <c r="N1378" s="112">
        <v>0.71954999999999991</v>
      </c>
      <c r="O1378" s="204"/>
      <c r="P1378" s="112"/>
      <c r="Q1378" s="112"/>
      <c r="R1378" s="112"/>
      <c r="S1378" s="112"/>
      <c r="T1378" s="112"/>
      <c r="U1378" t="s">
        <v>5434</v>
      </c>
      <c r="V1378" t="s">
        <v>5435</v>
      </c>
      <c r="W1378" t="s">
        <v>3958</v>
      </c>
      <c r="X1378" t="s">
        <v>4660</v>
      </c>
    </row>
    <row r="1379" spans="1:24" x14ac:dyDescent="0.2">
      <c r="A1379" t="s">
        <v>5433</v>
      </c>
      <c r="B1379" t="s">
        <v>1677</v>
      </c>
      <c r="C1379" t="s">
        <v>1678</v>
      </c>
      <c r="D1379" t="s">
        <v>56</v>
      </c>
      <c r="E1379" t="s">
        <v>1679</v>
      </c>
      <c r="F1379" t="s">
        <v>84</v>
      </c>
      <c r="G1379" s="202">
        <v>51</v>
      </c>
      <c r="H1379">
        <v>5</v>
      </c>
      <c r="I1379" t="s">
        <v>3968</v>
      </c>
      <c r="J1379" t="s">
        <v>3969</v>
      </c>
      <c r="K1379" t="s">
        <v>84</v>
      </c>
      <c r="L1379" s="204">
        <v>1</v>
      </c>
      <c r="M1379" s="112"/>
      <c r="N1379" s="112">
        <v>11.9925</v>
      </c>
      <c r="O1379" s="204">
        <v>0.22200558355508138</v>
      </c>
      <c r="P1379" s="112">
        <v>2.6624019607843135</v>
      </c>
      <c r="Q1379" s="112">
        <v>14.654901960784313</v>
      </c>
      <c r="R1379" s="112">
        <v>747.4</v>
      </c>
      <c r="S1379" s="112">
        <v>747.4</v>
      </c>
      <c r="T1379" s="112">
        <v>0</v>
      </c>
      <c r="U1379" t="s">
        <v>5434</v>
      </c>
      <c r="V1379" t="s">
        <v>5435</v>
      </c>
      <c r="W1379" t="s">
        <v>4666</v>
      </c>
      <c r="X1379" t="s">
        <v>4667</v>
      </c>
    </row>
    <row r="1380" spans="1:24" x14ac:dyDescent="0.2">
      <c r="A1380" t="s">
        <v>5436</v>
      </c>
      <c r="B1380" t="s">
        <v>1680</v>
      </c>
      <c r="C1380" t="s">
        <v>1681</v>
      </c>
      <c r="D1380" t="s">
        <v>56</v>
      </c>
      <c r="E1380" t="s">
        <v>639</v>
      </c>
      <c r="F1380" t="s">
        <v>84</v>
      </c>
      <c r="G1380" s="202">
        <v>24</v>
      </c>
      <c r="H1380">
        <v>1</v>
      </c>
      <c r="I1380" t="s">
        <v>3954</v>
      </c>
      <c r="J1380" t="s">
        <v>5227</v>
      </c>
      <c r="K1380" t="s">
        <v>1283</v>
      </c>
      <c r="L1380" s="204">
        <v>0.26</v>
      </c>
      <c r="M1380" s="112">
        <v>18.36</v>
      </c>
      <c r="N1380" s="112">
        <v>4.7736000000000001</v>
      </c>
      <c r="O1380" s="204"/>
      <c r="P1380" s="112"/>
      <c r="Q1380" s="112"/>
      <c r="R1380" s="112"/>
      <c r="S1380" s="112"/>
      <c r="T1380" s="112"/>
      <c r="U1380" t="s">
        <v>5437</v>
      </c>
      <c r="V1380" t="s">
        <v>5438</v>
      </c>
      <c r="W1380" t="s">
        <v>3958</v>
      </c>
      <c r="X1380" t="s">
        <v>4660</v>
      </c>
    </row>
    <row r="1381" spans="1:24" x14ac:dyDescent="0.2">
      <c r="A1381" t="s">
        <v>5436</v>
      </c>
      <c r="B1381" t="s">
        <v>1680</v>
      </c>
      <c r="C1381" t="s">
        <v>1681</v>
      </c>
      <c r="D1381" t="s">
        <v>56</v>
      </c>
      <c r="E1381" t="s">
        <v>639</v>
      </c>
      <c r="F1381" t="s">
        <v>84</v>
      </c>
      <c r="G1381" s="202">
        <v>24</v>
      </c>
      <c r="H1381">
        <v>2</v>
      </c>
      <c r="I1381" t="s">
        <v>3960</v>
      </c>
      <c r="J1381" t="s">
        <v>5229</v>
      </c>
      <c r="K1381" t="s">
        <v>1283</v>
      </c>
      <c r="L1381" s="204">
        <v>0.64</v>
      </c>
      <c r="M1381" s="112">
        <v>18.36</v>
      </c>
      <c r="N1381" s="112">
        <v>11.750399999999999</v>
      </c>
      <c r="O1381" s="204"/>
      <c r="P1381" s="112"/>
      <c r="Q1381" s="112"/>
      <c r="R1381" s="112"/>
      <c r="S1381" s="112"/>
      <c r="T1381" s="112"/>
      <c r="U1381" t="s">
        <v>5437</v>
      </c>
      <c r="V1381" t="s">
        <v>5438</v>
      </c>
      <c r="W1381" t="s">
        <v>3958</v>
      </c>
      <c r="X1381" t="s">
        <v>4660</v>
      </c>
    </row>
    <row r="1382" spans="1:24" x14ac:dyDescent="0.2">
      <c r="A1382" t="s">
        <v>5436</v>
      </c>
      <c r="B1382" t="s">
        <v>1680</v>
      </c>
      <c r="C1382" t="s">
        <v>1681</v>
      </c>
      <c r="D1382" t="s">
        <v>56</v>
      </c>
      <c r="E1382" t="s">
        <v>639</v>
      </c>
      <c r="F1382" t="s">
        <v>84</v>
      </c>
      <c r="G1382" s="202">
        <v>24</v>
      </c>
      <c r="H1382">
        <v>3</v>
      </c>
      <c r="I1382" t="s">
        <v>3976</v>
      </c>
      <c r="J1382" t="s">
        <v>5230</v>
      </c>
      <c r="K1382" t="s">
        <v>1283</v>
      </c>
      <c r="L1382" s="204">
        <v>0.04</v>
      </c>
      <c r="M1382" s="112">
        <v>18.36</v>
      </c>
      <c r="N1382" s="112">
        <v>0.73439999999999994</v>
      </c>
      <c r="O1382" s="204"/>
      <c r="P1382" s="112"/>
      <c r="Q1382" s="112"/>
      <c r="R1382" s="112"/>
      <c r="S1382" s="112"/>
      <c r="T1382" s="112"/>
      <c r="U1382" t="s">
        <v>5437</v>
      </c>
      <c r="V1382" t="s">
        <v>5438</v>
      </c>
      <c r="W1382" t="s">
        <v>3958</v>
      </c>
      <c r="X1382" t="s">
        <v>4660</v>
      </c>
    </row>
    <row r="1383" spans="1:24" x14ac:dyDescent="0.2">
      <c r="A1383" t="s">
        <v>5436</v>
      </c>
      <c r="B1383" t="s">
        <v>1680</v>
      </c>
      <c r="C1383" t="s">
        <v>1681</v>
      </c>
      <c r="D1383" t="s">
        <v>56</v>
      </c>
      <c r="E1383" t="s">
        <v>639</v>
      </c>
      <c r="F1383" t="s">
        <v>84</v>
      </c>
      <c r="G1383" s="202">
        <v>24</v>
      </c>
      <c r="H1383">
        <v>4</v>
      </c>
      <c r="I1383" t="s">
        <v>4017</v>
      </c>
      <c r="J1383" t="s">
        <v>4851</v>
      </c>
      <c r="K1383" t="s">
        <v>1283</v>
      </c>
      <c r="L1383" s="204">
        <v>0.06</v>
      </c>
      <c r="M1383" s="112">
        <v>18.36</v>
      </c>
      <c r="N1383" s="112">
        <v>1.1015999999999999</v>
      </c>
      <c r="O1383" s="204"/>
      <c r="P1383" s="112"/>
      <c r="Q1383" s="112"/>
      <c r="R1383" s="112"/>
      <c r="S1383" s="112"/>
      <c r="T1383" s="112"/>
      <c r="U1383" t="s">
        <v>5437</v>
      </c>
      <c r="V1383" t="s">
        <v>5438</v>
      </c>
      <c r="W1383" t="s">
        <v>3958</v>
      </c>
      <c r="X1383" t="s">
        <v>4660</v>
      </c>
    </row>
    <row r="1384" spans="1:24" x14ac:dyDescent="0.2">
      <c r="A1384" t="s">
        <v>5436</v>
      </c>
      <c r="B1384" t="s">
        <v>1680</v>
      </c>
      <c r="C1384" t="s">
        <v>1681</v>
      </c>
      <c r="D1384" t="s">
        <v>56</v>
      </c>
      <c r="E1384" t="s">
        <v>639</v>
      </c>
      <c r="F1384" t="s">
        <v>84</v>
      </c>
      <c r="G1384" s="202">
        <v>24</v>
      </c>
      <c r="H1384">
        <v>5</v>
      </c>
      <c r="I1384" t="s">
        <v>3968</v>
      </c>
      <c r="J1384" t="s">
        <v>3969</v>
      </c>
      <c r="K1384" t="s">
        <v>84</v>
      </c>
      <c r="L1384" s="204">
        <v>1</v>
      </c>
      <c r="M1384" s="112"/>
      <c r="N1384" s="112">
        <v>18.36</v>
      </c>
      <c r="O1384" s="204">
        <v>0.2222222222222221</v>
      </c>
      <c r="P1384" s="112">
        <v>4.0799999999999983</v>
      </c>
      <c r="Q1384" s="112">
        <v>22.439999999999998</v>
      </c>
      <c r="R1384" s="112">
        <v>538.55999999999995</v>
      </c>
      <c r="S1384" s="112">
        <v>538.55999999999995</v>
      </c>
      <c r="T1384" s="112">
        <v>0</v>
      </c>
      <c r="U1384" t="s">
        <v>5437</v>
      </c>
      <c r="V1384" t="s">
        <v>5438</v>
      </c>
      <c r="W1384" t="s">
        <v>4666</v>
      </c>
      <c r="X1384" t="s">
        <v>4667</v>
      </c>
    </row>
    <row r="1385" spans="1:24" x14ac:dyDescent="0.2">
      <c r="A1385" t="s">
        <v>5439</v>
      </c>
      <c r="B1385" t="s">
        <v>1682</v>
      </c>
      <c r="C1385" t="s">
        <v>1683</v>
      </c>
      <c r="D1385" t="s">
        <v>56</v>
      </c>
      <c r="E1385" t="s">
        <v>640</v>
      </c>
      <c r="F1385" t="s">
        <v>84</v>
      </c>
      <c r="G1385" s="202">
        <v>1</v>
      </c>
      <c r="H1385">
        <v>1</v>
      </c>
      <c r="I1385" t="s">
        <v>3954</v>
      </c>
      <c r="J1385" t="s">
        <v>5227</v>
      </c>
      <c r="K1385" t="s">
        <v>1283</v>
      </c>
      <c r="L1385" s="204">
        <v>0.26</v>
      </c>
      <c r="M1385" s="112">
        <v>9.6449999999999996</v>
      </c>
      <c r="N1385" s="112">
        <v>2.5076999999999998</v>
      </c>
      <c r="O1385" s="204"/>
      <c r="P1385" s="112"/>
      <c r="Q1385" s="112"/>
      <c r="R1385" s="112"/>
      <c r="S1385" s="112"/>
      <c r="T1385" s="112"/>
      <c r="U1385" t="s">
        <v>5440</v>
      </c>
      <c r="V1385" t="s">
        <v>5441</v>
      </c>
      <c r="W1385" t="s">
        <v>3958</v>
      </c>
      <c r="X1385" t="s">
        <v>4660</v>
      </c>
    </row>
    <row r="1386" spans="1:24" x14ac:dyDescent="0.2">
      <c r="A1386" t="s">
        <v>5439</v>
      </c>
      <c r="B1386" t="s">
        <v>1682</v>
      </c>
      <c r="C1386" t="s">
        <v>1683</v>
      </c>
      <c r="D1386" t="s">
        <v>56</v>
      </c>
      <c r="E1386" t="s">
        <v>640</v>
      </c>
      <c r="F1386" t="s">
        <v>84</v>
      </c>
      <c r="G1386" s="202">
        <v>1</v>
      </c>
      <c r="H1386">
        <v>2</v>
      </c>
      <c r="I1386" t="s">
        <v>3960</v>
      </c>
      <c r="J1386" t="s">
        <v>5229</v>
      </c>
      <c r="K1386" t="s">
        <v>1283</v>
      </c>
      <c r="L1386" s="204">
        <v>0.64</v>
      </c>
      <c r="M1386" s="112">
        <v>9.6449999999999996</v>
      </c>
      <c r="N1386" s="112">
        <v>6.1727999999999996</v>
      </c>
      <c r="O1386" s="204"/>
      <c r="P1386" s="112"/>
      <c r="Q1386" s="112"/>
      <c r="R1386" s="112"/>
      <c r="S1386" s="112"/>
      <c r="T1386" s="112"/>
      <c r="U1386" t="s">
        <v>5440</v>
      </c>
      <c r="V1386" t="s">
        <v>5441</v>
      </c>
      <c r="W1386" t="s">
        <v>3958</v>
      </c>
      <c r="X1386" t="s">
        <v>4660</v>
      </c>
    </row>
    <row r="1387" spans="1:24" x14ac:dyDescent="0.2">
      <c r="A1387" t="s">
        <v>5439</v>
      </c>
      <c r="B1387" t="s">
        <v>1682</v>
      </c>
      <c r="C1387" t="s">
        <v>1683</v>
      </c>
      <c r="D1387" t="s">
        <v>56</v>
      </c>
      <c r="E1387" t="s">
        <v>640</v>
      </c>
      <c r="F1387" t="s">
        <v>84</v>
      </c>
      <c r="G1387" s="202">
        <v>1</v>
      </c>
      <c r="H1387">
        <v>3</v>
      </c>
      <c r="I1387" t="s">
        <v>3976</v>
      </c>
      <c r="J1387" t="s">
        <v>5230</v>
      </c>
      <c r="K1387" t="s">
        <v>1283</v>
      </c>
      <c r="L1387" s="204">
        <v>0.04</v>
      </c>
      <c r="M1387" s="112">
        <v>9.6449999999999996</v>
      </c>
      <c r="N1387" s="112">
        <v>0.38579999999999998</v>
      </c>
      <c r="O1387" s="204"/>
      <c r="P1387" s="112"/>
      <c r="Q1387" s="112"/>
      <c r="R1387" s="112"/>
      <c r="S1387" s="112"/>
      <c r="T1387" s="112"/>
      <c r="U1387" t="s">
        <v>5440</v>
      </c>
      <c r="V1387" t="s">
        <v>5441</v>
      </c>
      <c r="W1387" t="s">
        <v>3958</v>
      </c>
      <c r="X1387" t="s">
        <v>4660</v>
      </c>
    </row>
    <row r="1388" spans="1:24" x14ac:dyDescent="0.2">
      <c r="A1388" t="s">
        <v>5439</v>
      </c>
      <c r="B1388" t="s">
        <v>1682</v>
      </c>
      <c r="C1388" t="s">
        <v>1683</v>
      </c>
      <c r="D1388" t="s">
        <v>56</v>
      </c>
      <c r="E1388" t="s">
        <v>640</v>
      </c>
      <c r="F1388" t="s">
        <v>84</v>
      </c>
      <c r="G1388" s="202">
        <v>1</v>
      </c>
      <c r="H1388">
        <v>4</v>
      </c>
      <c r="I1388" t="s">
        <v>4017</v>
      </c>
      <c r="J1388" t="s">
        <v>4851</v>
      </c>
      <c r="K1388" t="s">
        <v>1283</v>
      </c>
      <c r="L1388" s="204">
        <v>0.06</v>
      </c>
      <c r="M1388" s="112">
        <v>9.6449999999999996</v>
      </c>
      <c r="N1388" s="112">
        <v>0.57869999999999999</v>
      </c>
      <c r="O1388" s="204"/>
      <c r="P1388" s="112"/>
      <c r="Q1388" s="112"/>
      <c r="R1388" s="112"/>
      <c r="S1388" s="112"/>
      <c r="T1388" s="112"/>
      <c r="U1388" t="s">
        <v>5440</v>
      </c>
      <c r="V1388" t="s">
        <v>5441</v>
      </c>
      <c r="W1388" t="s">
        <v>3958</v>
      </c>
      <c r="X1388" t="s">
        <v>4660</v>
      </c>
    </row>
    <row r="1389" spans="1:24" x14ac:dyDescent="0.2">
      <c r="A1389" t="s">
        <v>5439</v>
      </c>
      <c r="B1389" t="s">
        <v>1682</v>
      </c>
      <c r="C1389" t="s">
        <v>1683</v>
      </c>
      <c r="D1389" t="s">
        <v>56</v>
      </c>
      <c r="E1389" t="s">
        <v>640</v>
      </c>
      <c r="F1389" t="s">
        <v>84</v>
      </c>
      <c r="G1389" s="202">
        <v>1</v>
      </c>
      <c r="H1389">
        <v>5</v>
      </c>
      <c r="I1389" t="s">
        <v>3968</v>
      </c>
      <c r="J1389" t="s">
        <v>3969</v>
      </c>
      <c r="K1389" t="s">
        <v>84</v>
      </c>
      <c r="L1389" s="204">
        <v>1</v>
      </c>
      <c r="M1389" s="112"/>
      <c r="N1389" s="112">
        <v>9.6449999999999996</v>
      </c>
      <c r="O1389" s="204">
        <v>0.22135821669258693</v>
      </c>
      <c r="P1389" s="112">
        <v>2.1349999999999998</v>
      </c>
      <c r="Q1389" s="112">
        <v>11.78</v>
      </c>
      <c r="R1389" s="112">
        <v>11.78</v>
      </c>
      <c r="S1389" s="112">
        <v>11.78</v>
      </c>
      <c r="T1389" s="112">
        <v>0</v>
      </c>
      <c r="U1389" t="s">
        <v>5440</v>
      </c>
      <c r="V1389" t="s">
        <v>5441</v>
      </c>
      <c r="W1389" t="s">
        <v>4666</v>
      </c>
      <c r="X1389" t="s">
        <v>4667</v>
      </c>
    </row>
    <row r="1390" spans="1:24" x14ac:dyDescent="0.2">
      <c r="A1390" t="s">
        <v>5442</v>
      </c>
      <c r="B1390" t="s">
        <v>1684</v>
      </c>
      <c r="C1390" t="s">
        <v>1685</v>
      </c>
      <c r="D1390" t="s">
        <v>56</v>
      </c>
      <c r="E1390" t="s">
        <v>1686</v>
      </c>
      <c r="F1390" t="s">
        <v>99</v>
      </c>
      <c r="G1390" s="202">
        <v>107.83</v>
      </c>
      <c r="H1390">
        <v>1</v>
      </c>
      <c r="I1390" t="s">
        <v>3954</v>
      </c>
      <c r="J1390" t="s">
        <v>4110</v>
      </c>
      <c r="K1390" t="s">
        <v>1283</v>
      </c>
      <c r="L1390" s="204">
        <v>0.3</v>
      </c>
      <c r="M1390" s="112">
        <v>6.87</v>
      </c>
      <c r="N1390" s="112">
        <v>2.0609999999999999</v>
      </c>
      <c r="O1390" s="204"/>
      <c r="P1390" s="112"/>
      <c r="Q1390" s="112"/>
      <c r="R1390" s="112"/>
      <c r="S1390" s="112"/>
      <c r="T1390" s="112"/>
      <c r="U1390" t="s">
        <v>5443</v>
      </c>
      <c r="V1390" t="s">
        <v>5444</v>
      </c>
      <c r="W1390" t="s">
        <v>3958</v>
      </c>
      <c r="X1390" t="s">
        <v>4660</v>
      </c>
    </row>
    <row r="1391" spans="1:24" x14ac:dyDescent="0.2">
      <c r="A1391" t="s">
        <v>5442</v>
      </c>
      <c r="B1391" t="s">
        <v>1684</v>
      </c>
      <c r="C1391" t="s">
        <v>1685</v>
      </c>
      <c r="D1391" t="s">
        <v>56</v>
      </c>
      <c r="E1391" t="s">
        <v>1686</v>
      </c>
      <c r="F1391" t="s">
        <v>99</v>
      </c>
      <c r="G1391" s="202">
        <v>107.83</v>
      </c>
      <c r="H1391">
        <v>2</v>
      </c>
      <c r="I1391" t="s">
        <v>3960</v>
      </c>
      <c r="J1391" t="s">
        <v>4113</v>
      </c>
      <c r="K1391" t="s">
        <v>1283</v>
      </c>
      <c r="L1391" s="204">
        <v>0.55000000000000004</v>
      </c>
      <c r="M1391" s="112">
        <v>6.87</v>
      </c>
      <c r="N1391" s="112">
        <v>3.7785000000000002</v>
      </c>
      <c r="O1391" s="204"/>
      <c r="P1391" s="112"/>
      <c r="Q1391" s="112"/>
      <c r="R1391" s="112"/>
      <c r="S1391" s="112"/>
      <c r="T1391" s="112"/>
      <c r="U1391" t="s">
        <v>5443</v>
      </c>
      <c r="V1391" t="s">
        <v>5444</v>
      </c>
      <c r="W1391" t="s">
        <v>3958</v>
      </c>
      <c r="X1391" t="s">
        <v>4660</v>
      </c>
    </row>
    <row r="1392" spans="1:24" x14ac:dyDescent="0.2">
      <c r="A1392" t="s">
        <v>5442</v>
      </c>
      <c r="B1392" t="s">
        <v>1684</v>
      </c>
      <c r="C1392" t="s">
        <v>1685</v>
      </c>
      <c r="D1392" t="s">
        <v>56</v>
      </c>
      <c r="E1392" t="s">
        <v>1686</v>
      </c>
      <c r="F1392" t="s">
        <v>99</v>
      </c>
      <c r="G1392" s="202">
        <v>107.83</v>
      </c>
      <c r="H1392">
        <v>3</v>
      </c>
      <c r="I1392" t="s">
        <v>3976</v>
      </c>
      <c r="J1392" t="s">
        <v>4114</v>
      </c>
      <c r="K1392" t="s">
        <v>1283</v>
      </c>
      <c r="L1392" s="204">
        <v>0.1</v>
      </c>
      <c r="M1392" s="112">
        <v>6.87</v>
      </c>
      <c r="N1392" s="112">
        <v>0.68700000000000006</v>
      </c>
      <c r="O1392" s="204"/>
      <c r="P1392" s="112"/>
      <c r="Q1392" s="112"/>
      <c r="R1392" s="112"/>
      <c r="S1392" s="112"/>
      <c r="T1392" s="112"/>
      <c r="U1392" t="s">
        <v>5443</v>
      </c>
      <c r="V1392" t="s">
        <v>5444</v>
      </c>
      <c r="W1392" t="s">
        <v>3958</v>
      </c>
      <c r="X1392" t="s">
        <v>4660</v>
      </c>
    </row>
    <row r="1393" spans="1:24" x14ac:dyDescent="0.2">
      <c r="A1393" t="s">
        <v>5442</v>
      </c>
      <c r="B1393" t="s">
        <v>1684</v>
      </c>
      <c r="C1393" t="s">
        <v>1685</v>
      </c>
      <c r="D1393" t="s">
        <v>56</v>
      </c>
      <c r="E1393" t="s">
        <v>1686</v>
      </c>
      <c r="F1393" t="s">
        <v>99</v>
      </c>
      <c r="G1393" s="202">
        <v>107.83</v>
      </c>
      <c r="H1393">
        <v>4</v>
      </c>
      <c r="I1393" t="s">
        <v>4017</v>
      </c>
      <c r="J1393" t="s">
        <v>4115</v>
      </c>
      <c r="K1393" t="s">
        <v>1283</v>
      </c>
      <c r="L1393" s="204">
        <v>0.05</v>
      </c>
      <c r="M1393" s="112">
        <v>6.87</v>
      </c>
      <c r="N1393" s="112">
        <v>0.34350000000000003</v>
      </c>
      <c r="O1393" s="204"/>
      <c r="P1393" s="112"/>
      <c r="Q1393" s="112"/>
      <c r="R1393" s="112"/>
      <c r="S1393" s="112"/>
      <c r="T1393" s="112"/>
      <c r="U1393" t="s">
        <v>5443</v>
      </c>
      <c r="V1393" t="s">
        <v>5444</v>
      </c>
      <c r="W1393" t="s">
        <v>3958</v>
      </c>
      <c r="X1393" t="s">
        <v>4660</v>
      </c>
    </row>
    <row r="1394" spans="1:24" x14ac:dyDescent="0.2">
      <c r="A1394" t="s">
        <v>5442</v>
      </c>
      <c r="B1394" t="s">
        <v>1684</v>
      </c>
      <c r="C1394" t="s">
        <v>1685</v>
      </c>
      <c r="D1394" t="s">
        <v>56</v>
      </c>
      <c r="E1394" t="s">
        <v>1686</v>
      </c>
      <c r="F1394" t="s">
        <v>99</v>
      </c>
      <c r="G1394" s="202">
        <v>107.83</v>
      </c>
      <c r="H1394">
        <v>5</v>
      </c>
      <c r="I1394" t="s">
        <v>3968</v>
      </c>
      <c r="J1394" t="s">
        <v>3969</v>
      </c>
      <c r="K1394" t="s">
        <v>99</v>
      </c>
      <c r="L1394" s="204">
        <v>1</v>
      </c>
      <c r="M1394" s="112"/>
      <c r="N1394" s="112">
        <v>6.87</v>
      </c>
      <c r="O1394" s="204">
        <v>0.22161129958054349</v>
      </c>
      <c r="P1394" s="112">
        <v>1.5224696281183343</v>
      </c>
      <c r="Q1394" s="112">
        <v>8.3924696281183344</v>
      </c>
      <c r="R1394" s="112">
        <v>904.96</v>
      </c>
      <c r="S1394" s="112">
        <v>904.96</v>
      </c>
      <c r="T1394" s="112">
        <v>0</v>
      </c>
      <c r="U1394" t="s">
        <v>5443</v>
      </c>
      <c r="V1394" t="s">
        <v>5444</v>
      </c>
      <c r="W1394" t="s">
        <v>4666</v>
      </c>
      <c r="X1394" t="s">
        <v>4667</v>
      </c>
    </row>
    <row r="1395" spans="1:24" x14ac:dyDescent="0.2">
      <c r="A1395" t="s">
        <v>5445</v>
      </c>
      <c r="B1395" t="s">
        <v>1687</v>
      </c>
      <c r="C1395" t="s">
        <v>1688</v>
      </c>
      <c r="D1395" t="s">
        <v>56</v>
      </c>
      <c r="E1395" t="s">
        <v>1689</v>
      </c>
      <c r="F1395" t="s">
        <v>99</v>
      </c>
      <c r="G1395" s="202">
        <v>107.83</v>
      </c>
      <c r="H1395">
        <v>1</v>
      </c>
      <c r="I1395" t="s">
        <v>3954</v>
      </c>
      <c r="J1395" t="s">
        <v>4110</v>
      </c>
      <c r="K1395" t="s">
        <v>1283</v>
      </c>
      <c r="L1395" s="204">
        <v>0.3</v>
      </c>
      <c r="M1395" s="112">
        <v>15.375</v>
      </c>
      <c r="N1395" s="112">
        <v>4.6124999999999998</v>
      </c>
      <c r="O1395" s="204"/>
      <c r="P1395" s="112"/>
      <c r="Q1395" s="112"/>
      <c r="R1395" s="112"/>
      <c r="S1395" s="112"/>
      <c r="T1395" s="112"/>
      <c r="U1395" t="s">
        <v>5446</v>
      </c>
      <c r="V1395" t="s">
        <v>5447</v>
      </c>
      <c r="W1395" t="s">
        <v>3958</v>
      </c>
      <c r="X1395" t="s">
        <v>4660</v>
      </c>
    </row>
    <row r="1396" spans="1:24" x14ac:dyDescent="0.2">
      <c r="A1396" t="s">
        <v>5445</v>
      </c>
      <c r="B1396" t="s">
        <v>1687</v>
      </c>
      <c r="C1396" t="s">
        <v>1688</v>
      </c>
      <c r="D1396" t="s">
        <v>56</v>
      </c>
      <c r="E1396" t="s">
        <v>1689</v>
      </c>
      <c r="F1396" t="s">
        <v>99</v>
      </c>
      <c r="G1396" s="202">
        <v>107.83</v>
      </c>
      <c r="H1396">
        <v>2</v>
      </c>
      <c r="I1396" t="s">
        <v>3960</v>
      </c>
      <c r="J1396" t="s">
        <v>4113</v>
      </c>
      <c r="K1396" t="s">
        <v>1283</v>
      </c>
      <c r="L1396" s="204">
        <v>0.55000000000000004</v>
      </c>
      <c r="M1396" s="112">
        <v>15.375</v>
      </c>
      <c r="N1396" s="112">
        <v>8.4562500000000007</v>
      </c>
      <c r="O1396" s="204"/>
      <c r="P1396" s="112"/>
      <c r="Q1396" s="112"/>
      <c r="R1396" s="112"/>
      <c r="S1396" s="112"/>
      <c r="T1396" s="112"/>
      <c r="U1396" t="s">
        <v>5446</v>
      </c>
      <c r="V1396" t="s">
        <v>5447</v>
      </c>
      <c r="W1396" t="s">
        <v>3958</v>
      </c>
      <c r="X1396" t="s">
        <v>4660</v>
      </c>
    </row>
    <row r="1397" spans="1:24" x14ac:dyDescent="0.2">
      <c r="A1397" t="s">
        <v>5445</v>
      </c>
      <c r="B1397" t="s">
        <v>1687</v>
      </c>
      <c r="C1397" t="s">
        <v>1688</v>
      </c>
      <c r="D1397" t="s">
        <v>56</v>
      </c>
      <c r="E1397" t="s">
        <v>1689</v>
      </c>
      <c r="F1397" t="s">
        <v>99</v>
      </c>
      <c r="G1397" s="202">
        <v>107.83</v>
      </c>
      <c r="H1397">
        <v>3</v>
      </c>
      <c r="I1397" t="s">
        <v>3976</v>
      </c>
      <c r="J1397" t="s">
        <v>4114</v>
      </c>
      <c r="K1397" t="s">
        <v>1283</v>
      </c>
      <c r="L1397" s="204">
        <v>0.1</v>
      </c>
      <c r="M1397" s="112">
        <v>15.375</v>
      </c>
      <c r="N1397" s="112">
        <v>1.5375000000000001</v>
      </c>
      <c r="O1397" s="204"/>
      <c r="P1397" s="112"/>
      <c r="Q1397" s="112"/>
      <c r="R1397" s="112"/>
      <c r="S1397" s="112"/>
      <c r="T1397" s="112"/>
      <c r="U1397" t="s">
        <v>5446</v>
      </c>
      <c r="V1397" t="s">
        <v>5447</v>
      </c>
      <c r="W1397" t="s">
        <v>3958</v>
      </c>
      <c r="X1397" t="s">
        <v>4660</v>
      </c>
    </row>
    <row r="1398" spans="1:24" x14ac:dyDescent="0.2">
      <c r="A1398" t="s">
        <v>5445</v>
      </c>
      <c r="B1398" t="s">
        <v>1687</v>
      </c>
      <c r="C1398" t="s">
        <v>1688</v>
      </c>
      <c r="D1398" t="s">
        <v>56</v>
      </c>
      <c r="E1398" t="s">
        <v>1689</v>
      </c>
      <c r="F1398" t="s">
        <v>99</v>
      </c>
      <c r="G1398" s="202">
        <v>107.83</v>
      </c>
      <c r="H1398">
        <v>4</v>
      </c>
      <c r="I1398" t="s">
        <v>4017</v>
      </c>
      <c r="J1398" t="s">
        <v>4115</v>
      </c>
      <c r="K1398" t="s">
        <v>1283</v>
      </c>
      <c r="L1398" s="204">
        <v>0.05</v>
      </c>
      <c r="M1398" s="112">
        <v>15.375</v>
      </c>
      <c r="N1398" s="112">
        <v>0.76875000000000004</v>
      </c>
      <c r="O1398" s="204"/>
      <c r="P1398" s="112"/>
      <c r="Q1398" s="112"/>
      <c r="R1398" s="112"/>
      <c r="S1398" s="112"/>
      <c r="T1398" s="112"/>
      <c r="U1398" t="s">
        <v>5446</v>
      </c>
      <c r="V1398" t="s">
        <v>5447</v>
      </c>
      <c r="W1398" t="s">
        <v>3958</v>
      </c>
      <c r="X1398" t="s">
        <v>4660</v>
      </c>
    </row>
    <row r="1399" spans="1:24" x14ac:dyDescent="0.2">
      <c r="A1399" t="s">
        <v>5445</v>
      </c>
      <c r="B1399" t="s">
        <v>1687</v>
      </c>
      <c r="C1399" t="s">
        <v>1688</v>
      </c>
      <c r="D1399" t="s">
        <v>56</v>
      </c>
      <c r="E1399" t="s">
        <v>1689</v>
      </c>
      <c r="F1399" t="s">
        <v>99</v>
      </c>
      <c r="G1399" s="202">
        <v>107.83</v>
      </c>
      <c r="H1399">
        <v>5</v>
      </c>
      <c r="I1399" t="s">
        <v>3968</v>
      </c>
      <c r="J1399" t="s">
        <v>3969</v>
      </c>
      <c r="K1399" t="s">
        <v>99</v>
      </c>
      <c r="L1399" s="204">
        <v>1</v>
      </c>
      <c r="M1399" s="112"/>
      <c r="N1399" s="112">
        <v>15.375</v>
      </c>
      <c r="O1399" s="204">
        <v>0.2219475250488383</v>
      </c>
      <c r="P1399" s="112">
        <v>3.4124431976258904</v>
      </c>
      <c r="Q1399" s="112">
        <v>18.78744319762589</v>
      </c>
      <c r="R1399" s="112">
        <v>2025.85</v>
      </c>
      <c r="S1399" s="112">
        <v>2025.85</v>
      </c>
      <c r="T1399" s="112">
        <v>0</v>
      </c>
      <c r="U1399" t="s">
        <v>5446</v>
      </c>
      <c r="V1399" t="s">
        <v>5447</v>
      </c>
      <c r="W1399" t="s">
        <v>4666</v>
      </c>
      <c r="X1399" t="s">
        <v>4667</v>
      </c>
    </row>
    <row r="1400" spans="1:24" x14ac:dyDescent="0.2">
      <c r="A1400" t="s">
        <v>5448</v>
      </c>
      <c r="B1400" t="s">
        <v>645</v>
      </c>
      <c r="C1400" t="s">
        <v>1569</v>
      </c>
      <c r="D1400" t="s">
        <v>56</v>
      </c>
      <c r="E1400" t="s">
        <v>574</v>
      </c>
      <c r="F1400" t="s">
        <v>99</v>
      </c>
      <c r="G1400" s="202">
        <v>12.7</v>
      </c>
      <c r="H1400">
        <v>1</v>
      </c>
      <c r="I1400" t="s">
        <v>3954</v>
      </c>
      <c r="J1400" t="s">
        <v>5227</v>
      </c>
      <c r="K1400" t="s">
        <v>1283</v>
      </c>
      <c r="L1400" s="204">
        <v>0.26</v>
      </c>
      <c r="M1400" s="112">
        <v>27.022500000000001</v>
      </c>
      <c r="N1400" s="112">
        <v>7.0258500000000002</v>
      </c>
      <c r="O1400" s="204"/>
      <c r="P1400" s="112"/>
      <c r="Q1400" s="112"/>
      <c r="R1400" s="112"/>
      <c r="S1400" s="112"/>
      <c r="T1400" s="112"/>
      <c r="U1400" t="s">
        <v>5266</v>
      </c>
      <c r="V1400" t="s">
        <v>5449</v>
      </c>
      <c r="W1400" t="s">
        <v>3958</v>
      </c>
      <c r="X1400" t="s">
        <v>4660</v>
      </c>
    </row>
    <row r="1401" spans="1:24" x14ac:dyDescent="0.2">
      <c r="A1401" t="s">
        <v>5448</v>
      </c>
      <c r="B1401" t="s">
        <v>645</v>
      </c>
      <c r="C1401" t="s">
        <v>1569</v>
      </c>
      <c r="D1401" t="s">
        <v>56</v>
      </c>
      <c r="E1401" t="s">
        <v>574</v>
      </c>
      <c r="F1401" t="s">
        <v>99</v>
      </c>
      <c r="G1401" s="202">
        <v>12.7</v>
      </c>
      <c r="H1401">
        <v>2</v>
      </c>
      <c r="I1401" t="s">
        <v>3960</v>
      </c>
      <c r="J1401" t="s">
        <v>5229</v>
      </c>
      <c r="K1401" t="s">
        <v>1283</v>
      </c>
      <c r="L1401" s="204">
        <v>0.64</v>
      </c>
      <c r="M1401" s="112">
        <v>27.022500000000001</v>
      </c>
      <c r="N1401" s="112">
        <v>17.2944</v>
      </c>
      <c r="O1401" s="204"/>
      <c r="P1401" s="112"/>
      <c r="Q1401" s="112"/>
      <c r="R1401" s="112"/>
      <c r="S1401" s="112"/>
      <c r="T1401" s="112"/>
      <c r="U1401" t="s">
        <v>5266</v>
      </c>
      <c r="V1401" t="s">
        <v>5449</v>
      </c>
      <c r="W1401" t="s">
        <v>3958</v>
      </c>
      <c r="X1401" t="s">
        <v>4660</v>
      </c>
    </row>
    <row r="1402" spans="1:24" x14ac:dyDescent="0.2">
      <c r="A1402" t="s">
        <v>5448</v>
      </c>
      <c r="B1402" t="s">
        <v>645</v>
      </c>
      <c r="C1402" t="s">
        <v>1569</v>
      </c>
      <c r="D1402" t="s">
        <v>56</v>
      </c>
      <c r="E1402" t="s">
        <v>574</v>
      </c>
      <c r="F1402" t="s">
        <v>99</v>
      </c>
      <c r="G1402" s="202">
        <v>12.7</v>
      </c>
      <c r="H1402">
        <v>3</v>
      </c>
      <c r="I1402" t="s">
        <v>3976</v>
      </c>
      <c r="J1402" t="s">
        <v>5230</v>
      </c>
      <c r="K1402" t="s">
        <v>1283</v>
      </c>
      <c r="L1402" s="204">
        <v>0.04</v>
      </c>
      <c r="M1402" s="112">
        <v>27.022500000000001</v>
      </c>
      <c r="N1402" s="112">
        <v>1.0809</v>
      </c>
      <c r="O1402" s="204"/>
      <c r="P1402" s="112"/>
      <c r="Q1402" s="112"/>
      <c r="R1402" s="112"/>
      <c r="S1402" s="112"/>
      <c r="T1402" s="112"/>
      <c r="U1402" t="s">
        <v>5266</v>
      </c>
      <c r="V1402" t="s">
        <v>5449</v>
      </c>
      <c r="W1402" t="s">
        <v>3958</v>
      </c>
      <c r="X1402" t="s">
        <v>4660</v>
      </c>
    </row>
    <row r="1403" spans="1:24" x14ac:dyDescent="0.2">
      <c r="A1403" t="s">
        <v>5448</v>
      </c>
      <c r="B1403" t="s">
        <v>645</v>
      </c>
      <c r="C1403" t="s">
        <v>1569</v>
      </c>
      <c r="D1403" t="s">
        <v>56</v>
      </c>
      <c r="E1403" t="s">
        <v>574</v>
      </c>
      <c r="F1403" t="s">
        <v>99</v>
      </c>
      <c r="G1403" s="202">
        <v>12.7</v>
      </c>
      <c r="H1403">
        <v>4</v>
      </c>
      <c r="I1403" t="s">
        <v>4017</v>
      </c>
      <c r="J1403" t="s">
        <v>4851</v>
      </c>
      <c r="K1403" t="s">
        <v>1283</v>
      </c>
      <c r="L1403" s="204">
        <v>0.06</v>
      </c>
      <c r="M1403" s="112">
        <v>27.022500000000001</v>
      </c>
      <c r="N1403" s="112">
        <v>1.6213500000000001</v>
      </c>
      <c r="O1403" s="204"/>
      <c r="P1403" s="112"/>
      <c r="Q1403" s="112"/>
      <c r="R1403" s="112"/>
      <c r="S1403" s="112"/>
      <c r="T1403" s="112"/>
      <c r="U1403" t="s">
        <v>5266</v>
      </c>
      <c r="V1403" t="s">
        <v>5449</v>
      </c>
      <c r="W1403" t="s">
        <v>3958</v>
      </c>
      <c r="X1403" t="s">
        <v>4660</v>
      </c>
    </row>
    <row r="1404" spans="1:24" x14ac:dyDescent="0.2">
      <c r="A1404" t="s">
        <v>5448</v>
      </c>
      <c r="B1404" t="s">
        <v>645</v>
      </c>
      <c r="C1404" t="s">
        <v>1569</v>
      </c>
      <c r="D1404" t="s">
        <v>56</v>
      </c>
      <c r="E1404" t="s">
        <v>574</v>
      </c>
      <c r="F1404" t="s">
        <v>99</v>
      </c>
      <c r="G1404" s="202">
        <v>12.7</v>
      </c>
      <c r="H1404">
        <v>5</v>
      </c>
      <c r="I1404" t="s">
        <v>3968</v>
      </c>
      <c r="J1404" t="s">
        <v>3969</v>
      </c>
      <c r="K1404" t="s">
        <v>99</v>
      </c>
      <c r="L1404" s="204">
        <v>1</v>
      </c>
      <c r="M1404" s="112"/>
      <c r="N1404" s="112">
        <v>27.022500000000001</v>
      </c>
      <c r="O1404" s="204">
        <v>0.22202043645460212</v>
      </c>
      <c r="P1404" s="112">
        <v>5.9995472440944866</v>
      </c>
      <c r="Q1404" s="112">
        <v>33.022047244094487</v>
      </c>
      <c r="R1404" s="112">
        <v>419.38</v>
      </c>
      <c r="S1404" s="112">
        <v>419.38</v>
      </c>
      <c r="T1404" s="112">
        <v>0</v>
      </c>
      <c r="U1404" t="s">
        <v>5266</v>
      </c>
      <c r="V1404" t="s">
        <v>5449</v>
      </c>
      <c r="W1404" t="s">
        <v>4666</v>
      </c>
      <c r="X1404" t="s">
        <v>4667</v>
      </c>
    </row>
    <row r="1405" spans="1:24" x14ac:dyDescent="0.2">
      <c r="A1405" t="s">
        <v>5450</v>
      </c>
      <c r="B1405" t="s">
        <v>646</v>
      </c>
      <c r="C1405" t="s">
        <v>1690</v>
      </c>
      <c r="D1405" t="s">
        <v>56</v>
      </c>
      <c r="E1405" t="s">
        <v>647</v>
      </c>
      <c r="F1405" t="s">
        <v>99</v>
      </c>
      <c r="G1405" s="202">
        <v>1.1000000000000001</v>
      </c>
      <c r="H1405">
        <v>1</v>
      </c>
      <c r="I1405" t="s">
        <v>3954</v>
      </c>
      <c r="J1405" t="s">
        <v>5227</v>
      </c>
      <c r="K1405" t="s">
        <v>1283</v>
      </c>
      <c r="L1405" s="204">
        <v>0.26</v>
      </c>
      <c r="M1405" s="112">
        <v>17.52</v>
      </c>
      <c r="N1405" s="112">
        <v>4.5552000000000001</v>
      </c>
      <c r="O1405" s="204"/>
      <c r="P1405" s="112"/>
      <c r="Q1405" s="112"/>
      <c r="R1405" s="112"/>
      <c r="S1405" s="112"/>
      <c r="T1405" s="112"/>
      <c r="U1405" t="s">
        <v>5451</v>
      </c>
      <c r="V1405" t="s">
        <v>5452</v>
      </c>
      <c r="W1405" t="s">
        <v>3958</v>
      </c>
      <c r="X1405" t="s">
        <v>4660</v>
      </c>
    </row>
    <row r="1406" spans="1:24" x14ac:dyDescent="0.2">
      <c r="A1406" t="s">
        <v>5450</v>
      </c>
      <c r="B1406" t="s">
        <v>646</v>
      </c>
      <c r="C1406" t="s">
        <v>1690</v>
      </c>
      <c r="D1406" t="s">
        <v>56</v>
      </c>
      <c r="E1406" t="s">
        <v>647</v>
      </c>
      <c r="F1406" t="s">
        <v>99</v>
      </c>
      <c r="G1406" s="202">
        <v>1.1000000000000001</v>
      </c>
      <c r="H1406">
        <v>2</v>
      </c>
      <c r="I1406" t="s">
        <v>3960</v>
      </c>
      <c r="J1406" t="s">
        <v>5229</v>
      </c>
      <c r="K1406" t="s">
        <v>1283</v>
      </c>
      <c r="L1406" s="204">
        <v>0.64</v>
      </c>
      <c r="M1406" s="112">
        <v>17.52</v>
      </c>
      <c r="N1406" s="112">
        <v>11.2128</v>
      </c>
      <c r="O1406" s="204"/>
      <c r="P1406" s="112"/>
      <c r="Q1406" s="112"/>
      <c r="R1406" s="112"/>
      <c r="S1406" s="112"/>
      <c r="T1406" s="112"/>
      <c r="U1406" t="s">
        <v>5451</v>
      </c>
      <c r="V1406" t="s">
        <v>5452</v>
      </c>
      <c r="W1406" t="s">
        <v>3958</v>
      </c>
      <c r="X1406" t="s">
        <v>4660</v>
      </c>
    </row>
    <row r="1407" spans="1:24" x14ac:dyDescent="0.2">
      <c r="A1407" t="s">
        <v>5450</v>
      </c>
      <c r="B1407" t="s">
        <v>646</v>
      </c>
      <c r="C1407" t="s">
        <v>1690</v>
      </c>
      <c r="D1407" t="s">
        <v>56</v>
      </c>
      <c r="E1407" t="s">
        <v>647</v>
      </c>
      <c r="F1407" t="s">
        <v>99</v>
      </c>
      <c r="G1407" s="202">
        <v>1.1000000000000001</v>
      </c>
      <c r="H1407">
        <v>3</v>
      </c>
      <c r="I1407" t="s">
        <v>3976</v>
      </c>
      <c r="J1407" t="s">
        <v>5230</v>
      </c>
      <c r="K1407" t="s">
        <v>1283</v>
      </c>
      <c r="L1407" s="204">
        <v>0.04</v>
      </c>
      <c r="M1407" s="112">
        <v>17.52</v>
      </c>
      <c r="N1407" s="112">
        <v>0.70079999999999998</v>
      </c>
      <c r="O1407" s="204"/>
      <c r="P1407" s="112"/>
      <c r="Q1407" s="112"/>
      <c r="R1407" s="112"/>
      <c r="S1407" s="112"/>
      <c r="T1407" s="112"/>
      <c r="U1407" t="s">
        <v>5451</v>
      </c>
      <c r="V1407" t="s">
        <v>5452</v>
      </c>
      <c r="W1407" t="s">
        <v>3958</v>
      </c>
      <c r="X1407" t="s">
        <v>4660</v>
      </c>
    </row>
    <row r="1408" spans="1:24" x14ac:dyDescent="0.2">
      <c r="A1408" t="s">
        <v>5450</v>
      </c>
      <c r="B1408" t="s">
        <v>646</v>
      </c>
      <c r="C1408" t="s">
        <v>1690</v>
      </c>
      <c r="D1408" t="s">
        <v>56</v>
      </c>
      <c r="E1408" t="s">
        <v>647</v>
      </c>
      <c r="F1408" t="s">
        <v>99</v>
      </c>
      <c r="G1408" s="202">
        <v>1.1000000000000001</v>
      </c>
      <c r="H1408">
        <v>4</v>
      </c>
      <c r="I1408" t="s">
        <v>4017</v>
      </c>
      <c r="J1408" t="s">
        <v>4851</v>
      </c>
      <c r="K1408" t="s">
        <v>1283</v>
      </c>
      <c r="L1408" s="204">
        <v>0.06</v>
      </c>
      <c r="M1408" s="112">
        <v>17.52</v>
      </c>
      <c r="N1408" s="112">
        <v>1.0511999999999999</v>
      </c>
      <c r="O1408" s="204"/>
      <c r="P1408" s="112"/>
      <c r="Q1408" s="112"/>
      <c r="R1408" s="112"/>
      <c r="S1408" s="112"/>
      <c r="T1408" s="112"/>
      <c r="U1408" t="s">
        <v>5451</v>
      </c>
      <c r="V1408" t="s">
        <v>5452</v>
      </c>
      <c r="W1408" t="s">
        <v>3958</v>
      </c>
      <c r="X1408" t="s">
        <v>4660</v>
      </c>
    </row>
    <row r="1409" spans="1:24" x14ac:dyDescent="0.2">
      <c r="A1409" t="s">
        <v>5450</v>
      </c>
      <c r="B1409" t="s">
        <v>646</v>
      </c>
      <c r="C1409" t="s">
        <v>1690</v>
      </c>
      <c r="D1409" t="s">
        <v>56</v>
      </c>
      <c r="E1409" t="s">
        <v>647</v>
      </c>
      <c r="F1409" t="s">
        <v>99</v>
      </c>
      <c r="G1409" s="202">
        <v>1.1000000000000001</v>
      </c>
      <c r="H1409">
        <v>5</v>
      </c>
      <c r="I1409" t="s">
        <v>3968</v>
      </c>
      <c r="J1409" t="s">
        <v>3969</v>
      </c>
      <c r="K1409" t="s">
        <v>99</v>
      </c>
      <c r="L1409" s="204">
        <v>1</v>
      </c>
      <c r="M1409" s="112"/>
      <c r="N1409" s="112">
        <v>17.52</v>
      </c>
      <c r="O1409" s="204">
        <v>0.22198007471980064</v>
      </c>
      <c r="P1409" s="112">
        <v>3.8890909090909069</v>
      </c>
      <c r="Q1409" s="112">
        <v>21.409090909090907</v>
      </c>
      <c r="R1409" s="112">
        <v>23.55</v>
      </c>
      <c r="S1409" s="112">
        <v>23.55</v>
      </c>
      <c r="T1409" s="112">
        <v>0</v>
      </c>
      <c r="U1409" t="s">
        <v>5451</v>
      </c>
      <c r="V1409" t="s">
        <v>5452</v>
      </c>
      <c r="W1409" t="s">
        <v>4666</v>
      </c>
      <c r="X1409" t="s">
        <v>4667</v>
      </c>
    </row>
    <row r="1410" spans="1:24" x14ac:dyDescent="0.2">
      <c r="A1410" t="s">
        <v>5453</v>
      </c>
      <c r="B1410" t="s">
        <v>648</v>
      </c>
      <c r="C1410" t="s">
        <v>1575</v>
      </c>
      <c r="D1410" t="s">
        <v>56</v>
      </c>
      <c r="E1410" t="s">
        <v>577</v>
      </c>
      <c r="F1410" t="s">
        <v>99</v>
      </c>
      <c r="G1410" s="202">
        <v>103.2</v>
      </c>
      <c r="H1410">
        <v>1</v>
      </c>
      <c r="I1410" t="s">
        <v>3954</v>
      </c>
      <c r="J1410" t="s">
        <v>5227</v>
      </c>
      <c r="K1410" t="s">
        <v>1283</v>
      </c>
      <c r="L1410" s="204">
        <v>0.26</v>
      </c>
      <c r="M1410" s="112">
        <v>23.865000000000002</v>
      </c>
      <c r="N1410" s="112">
        <v>6.2049000000000003</v>
      </c>
      <c r="O1410" s="204"/>
      <c r="P1410" s="112"/>
      <c r="Q1410" s="112"/>
      <c r="R1410" s="112"/>
      <c r="S1410" s="112"/>
      <c r="T1410" s="112"/>
      <c r="U1410" t="s">
        <v>5275</v>
      </c>
      <c r="V1410" t="s">
        <v>5454</v>
      </c>
      <c r="W1410" t="s">
        <v>3958</v>
      </c>
      <c r="X1410" t="s">
        <v>4660</v>
      </c>
    </row>
    <row r="1411" spans="1:24" x14ac:dyDescent="0.2">
      <c r="A1411" t="s">
        <v>5453</v>
      </c>
      <c r="B1411" t="s">
        <v>648</v>
      </c>
      <c r="C1411" t="s">
        <v>1575</v>
      </c>
      <c r="D1411" t="s">
        <v>56</v>
      </c>
      <c r="E1411" t="s">
        <v>577</v>
      </c>
      <c r="F1411" t="s">
        <v>99</v>
      </c>
      <c r="G1411" s="202">
        <v>103.2</v>
      </c>
      <c r="H1411">
        <v>2</v>
      </c>
      <c r="I1411" t="s">
        <v>3960</v>
      </c>
      <c r="J1411" t="s">
        <v>5229</v>
      </c>
      <c r="K1411" t="s">
        <v>1283</v>
      </c>
      <c r="L1411" s="204">
        <v>0.64</v>
      </c>
      <c r="M1411" s="112">
        <v>23.865000000000002</v>
      </c>
      <c r="N1411" s="112">
        <v>15.273600000000002</v>
      </c>
      <c r="O1411" s="204"/>
      <c r="P1411" s="112"/>
      <c r="Q1411" s="112"/>
      <c r="R1411" s="112"/>
      <c r="S1411" s="112"/>
      <c r="T1411" s="112"/>
      <c r="U1411" t="s">
        <v>5275</v>
      </c>
      <c r="V1411" t="s">
        <v>5454</v>
      </c>
      <c r="W1411" t="s">
        <v>3958</v>
      </c>
      <c r="X1411" t="s">
        <v>4660</v>
      </c>
    </row>
    <row r="1412" spans="1:24" x14ac:dyDescent="0.2">
      <c r="A1412" t="s">
        <v>5453</v>
      </c>
      <c r="B1412" t="s">
        <v>648</v>
      </c>
      <c r="C1412" t="s">
        <v>1575</v>
      </c>
      <c r="D1412" t="s">
        <v>56</v>
      </c>
      <c r="E1412" t="s">
        <v>577</v>
      </c>
      <c r="F1412" t="s">
        <v>99</v>
      </c>
      <c r="G1412" s="202">
        <v>103.2</v>
      </c>
      <c r="H1412">
        <v>3</v>
      </c>
      <c r="I1412" t="s">
        <v>3976</v>
      </c>
      <c r="J1412" t="s">
        <v>5230</v>
      </c>
      <c r="K1412" t="s">
        <v>1283</v>
      </c>
      <c r="L1412" s="204">
        <v>0.04</v>
      </c>
      <c r="M1412" s="112">
        <v>23.865000000000002</v>
      </c>
      <c r="N1412" s="112">
        <v>0.95460000000000012</v>
      </c>
      <c r="O1412" s="204"/>
      <c r="P1412" s="112"/>
      <c r="Q1412" s="112"/>
      <c r="R1412" s="112"/>
      <c r="S1412" s="112"/>
      <c r="T1412" s="112"/>
      <c r="U1412" t="s">
        <v>5275</v>
      </c>
      <c r="V1412" t="s">
        <v>5454</v>
      </c>
      <c r="W1412" t="s">
        <v>3958</v>
      </c>
      <c r="X1412" t="s">
        <v>4660</v>
      </c>
    </row>
    <row r="1413" spans="1:24" x14ac:dyDescent="0.2">
      <c r="A1413" t="s">
        <v>5453</v>
      </c>
      <c r="B1413" t="s">
        <v>648</v>
      </c>
      <c r="C1413" t="s">
        <v>1575</v>
      </c>
      <c r="D1413" t="s">
        <v>56</v>
      </c>
      <c r="E1413" t="s">
        <v>577</v>
      </c>
      <c r="F1413" t="s">
        <v>99</v>
      </c>
      <c r="G1413" s="202">
        <v>103.2</v>
      </c>
      <c r="H1413">
        <v>4</v>
      </c>
      <c r="I1413" t="s">
        <v>4017</v>
      </c>
      <c r="J1413" t="s">
        <v>4851</v>
      </c>
      <c r="K1413" t="s">
        <v>1283</v>
      </c>
      <c r="L1413" s="204">
        <v>0.06</v>
      </c>
      <c r="M1413" s="112">
        <v>23.865000000000002</v>
      </c>
      <c r="N1413" s="112">
        <v>1.4319000000000002</v>
      </c>
      <c r="O1413" s="204"/>
      <c r="P1413" s="112"/>
      <c r="Q1413" s="112"/>
      <c r="R1413" s="112"/>
      <c r="S1413" s="112"/>
      <c r="T1413" s="112"/>
      <c r="U1413" t="s">
        <v>5275</v>
      </c>
      <c r="V1413" t="s">
        <v>5454</v>
      </c>
      <c r="W1413" t="s">
        <v>3958</v>
      </c>
      <c r="X1413" t="s">
        <v>4660</v>
      </c>
    </row>
    <row r="1414" spans="1:24" x14ac:dyDescent="0.2">
      <c r="A1414" t="s">
        <v>5453</v>
      </c>
      <c r="B1414" t="s">
        <v>648</v>
      </c>
      <c r="C1414" t="s">
        <v>1575</v>
      </c>
      <c r="D1414" t="s">
        <v>56</v>
      </c>
      <c r="E1414" t="s">
        <v>577</v>
      </c>
      <c r="F1414" t="s">
        <v>99</v>
      </c>
      <c r="G1414" s="202">
        <v>103.2</v>
      </c>
      <c r="H1414">
        <v>5</v>
      </c>
      <c r="I1414" t="s">
        <v>3968</v>
      </c>
      <c r="J1414" t="s">
        <v>3969</v>
      </c>
      <c r="K1414" t="s">
        <v>99</v>
      </c>
      <c r="L1414" s="204">
        <v>1</v>
      </c>
      <c r="M1414" s="112"/>
      <c r="N1414" s="112">
        <v>23.865000000000002</v>
      </c>
      <c r="O1414" s="204">
        <v>0.2221848673984963</v>
      </c>
      <c r="P1414" s="112">
        <v>5.3024418604651125</v>
      </c>
      <c r="Q1414" s="112">
        <v>29.167441860465114</v>
      </c>
      <c r="R1414" s="112">
        <v>3010.08</v>
      </c>
      <c r="S1414" s="112">
        <v>3010.08</v>
      </c>
      <c r="T1414" s="112">
        <v>0</v>
      </c>
      <c r="U1414" t="s">
        <v>5275</v>
      </c>
      <c r="V1414" t="s">
        <v>5454</v>
      </c>
      <c r="W1414" t="s">
        <v>4666</v>
      </c>
      <c r="X1414" t="s">
        <v>4667</v>
      </c>
    </row>
    <row r="1415" spans="1:24" x14ac:dyDescent="0.2">
      <c r="A1415" t="s">
        <v>5455</v>
      </c>
      <c r="B1415" t="s">
        <v>649</v>
      </c>
      <c r="C1415" t="s">
        <v>1580</v>
      </c>
      <c r="D1415" t="s">
        <v>56</v>
      </c>
      <c r="E1415" t="s">
        <v>579</v>
      </c>
      <c r="F1415" t="s">
        <v>84</v>
      </c>
      <c r="G1415" s="202">
        <v>2</v>
      </c>
      <c r="H1415">
        <v>1</v>
      </c>
      <c r="I1415" t="s">
        <v>3954</v>
      </c>
      <c r="J1415" t="s">
        <v>5227</v>
      </c>
      <c r="K1415" t="s">
        <v>1283</v>
      </c>
      <c r="L1415" s="204">
        <v>0.26</v>
      </c>
      <c r="M1415" s="112">
        <v>33.532499999999999</v>
      </c>
      <c r="N1415" s="112">
        <v>8.7184500000000007</v>
      </c>
      <c r="O1415" s="204"/>
      <c r="P1415" s="112"/>
      <c r="Q1415" s="112"/>
      <c r="R1415" s="112"/>
      <c r="S1415" s="112"/>
      <c r="T1415" s="112"/>
      <c r="U1415" t="s">
        <v>5281</v>
      </c>
      <c r="V1415" t="s">
        <v>5456</v>
      </c>
      <c r="W1415" t="s">
        <v>3958</v>
      </c>
      <c r="X1415" t="s">
        <v>4660</v>
      </c>
    </row>
    <row r="1416" spans="1:24" x14ac:dyDescent="0.2">
      <c r="A1416" t="s">
        <v>5455</v>
      </c>
      <c r="B1416" t="s">
        <v>649</v>
      </c>
      <c r="C1416" t="s">
        <v>1580</v>
      </c>
      <c r="D1416" t="s">
        <v>56</v>
      </c>
      <c r="E1416" t="s">
        <v>579</v>
      </c>
      <c r="F1416" t="s">
        <v>84</v>
      </c>
      <c r="G1416" s="202">
        <v>2</v>
      </c>
      <c r="H1416">
        <v>2</v>
      </c>
      <c r="I1416" t="s">
        <v>3960</v>
      </c>
      <c r="J1416" t="s">
        <v>5229</v>
      </c>
      <c r="K1416" t="s">
        <v>1283</v>
      </c>
      <c r="L1416" s="204">
        <v>0.64</v>
      </c>
      <c r="M1416" s="112">
        <v>33.532499999999999</v>
      </c>
      <c r="N1416" s="112">
        <v>21.460799999999999</v>
      </c>
      <c r="O1416" s="204"/>
      <c r="P1416" s="112"/>
      <c r="Q1416" s="112"/>
      <c r="R1416" s="112"/>
      <c r="S1416" s="112"/>
      <c r="T1416" s="112"/>
      <c r="U1416" t="s">
        <v>5281</v>
      </c>
      <c r="V1416" t="s">
        <v>5456</v>
      </c>
      <c r="W1416" t="s">
        <v>3958</v>
      </c>
      <c r="X1416" t="s">
        <v>4660</v>
      </c>
    </row>
    <row r="1417" spans="1:24" x14ac:dyDescent="0.2">
      <c r="A1417" t="s">
        <v>5455</v>
      </c>
      <c r="B1417" t="s">
        <v>649</v>
      </c>
      <c r="C1417" t="s">
        <v>1580</v>
      </c>
      <c r="D1417" t="s">
        <v>56</v>
      </c>
      <c r="E1417" t="s">
        <v>579</v>
      </c>
      <c r="F1417" t="s">
        <v>84</v>
      </c>
      <c r="G1417" s="202">
        <v>2</v>
      </c>
      <c r="H1417">
        <v>3</v>
      </c>
      <c r="I1417" t="s">
        <v>3976</v>
      </c>
      <c r="J1417" t="s">
        <v>5230</v>
      </c>
      <c r="K1417" t="s">
        <v>1283</v>
      </c>
      <c r="L1417" s="204">
        <v>0.04</v>
      </c>
      <c r="M1417" s="112">
        <v>33.532499999999999</v>
      </c>
      <c r="N1417" s="112">
        <v>1.3412999999999999</v>
      </c>
      <c r="O1417" s="204"/>
      <c r="P1417" s="112"/>
      <c r="Q1417" s="112"/>
      <c r="R1417" s="112"/>
      <c r="S1417" s="112"/>
      <c r="T1417" s="112"/>
      <c r="U1417" t="s">
        <v>5281</v>
      </c>
      <c r="V1417" t="s">
        <v>5456</v>
      </c>
      <c r="W1417" t="s">
        <v>3958</v>
      </c>
      <c r="X1417" t="s">
        <v>4660</v>
      </c>
    </row>
    <row r="1418" spans="1:24" x14ac:dyDescent="0.2">
      <c r="A1418" t="s">
        <v>5455</v>
      </c>
      <c r="B1418" t="s">
        <v>649</v>
      </c>
      <c r="C1418" t="s">
        <v>1580</v>
      </c>
      <c r="D1418" t="s">
        <v>56</v>
      </c>
      <c r="E1418" t="s">
        <v>579</v>
      </c>
      <c r="F1418" t="s">
        <v>84</v>
      </c>
      <c r="G1418" s="202">
        <v>2</v>
      </c>
      <c r="H1418">
        <v>4</v>
      </c>
      <c r="I1418" t="s">
        <v>4017</v>
      </c>
      <c r="J1418" t="s">
        <v>4851</v>
      </c>
      <c r="K1418" t="s">
        <v>1283</v>
      </c>
      <c r="L1418" s="204">
        <v>0.06</v>
      </c>
      <c r="M1418" s="112">
        <v>33.532499999999999</v>
      </c>
      <c r="N1418" s="112">
        <v>2.0119499999999997</v>
      </c>
      <c r="O1418" s="204"/>
      <c r="P1418" s="112"/>
      <c r="Q1418" s="112"/>
      <c r="R1418" s="112"/>
      <c r="S1418" s="112"/>
      <c r="T1418" s="112"/>
      <c r="U1418" t="s">
        <v>5281</v>
      </c>
      <c r="V1418" t="s">
        <v>5456</v>
      </c>
      <c r="W1418" t="s">
        <v>3958</v>
      </c>
      <c r="X1418" t="s">
        <v>4660</v>
      </c>
    </row>
    <row r="1419" spans="1:24" x14ac:dyDescent="0.2">
      <c r="A1419" t="s">
        <v>5455</v>
      </c>
      <c r="B1419" t="s">
        <v>649</v>
      </c>
      <c r="C1419" t="s">
        <v>1580</v>
      </c>
      <c r="D1419" t="s">
        <v>56</v>
      </c>
      <c r="E1419" t="s">
        <v>579</v>
      </c>
      <c r="F1419" t="s">
        <v>84</v>
      </c>
      <c r="G1419" s="202">
        <v>2</v>
      </c>
      <c r="H1419">
        <v>5</v>
      </c>
      <c r="I1419" t="s">
        <v>3968</v>
      </c>
      <c r="J1419" t="s">
        <v>3969</v>
      </c>
      <c r="K1419" t="s">
        <v>84</v>
      </c>
      <c r="L1419" s="204">
        <v>1</v>
      </c>
      <c r="M1419" s="112"/>
      <c r="N1419" s="112">
        <v>33.532499999999999</v>
      </c>
      <c r="O1419" s="204">
        <v>0.22209796466114962</v>
      </c>
      <c r="P1419" s="112">
        <v>7.447499999999998</v>
      </c>
      <c r="Q1419" s="112">
        <v>40.98</v>
      </c>
      <c r="R1419" s="112">
        <v>81.96</v>
      </c>
      <c r="S1419" s="112">
        <v>81.96</v>
      </c>
      <c r="T1419" s="112">
        <v>0</v>
      </c>
      <c r="U1419" t="s">
        <v>5281</v>
      </c>
      <c r="V1419" t="s">
        <v>5456</v>
      </c>
      <c r="W1419" t="s">
        <v>4666</v>
      </c>
      <c r="X1419" t="s">
        <v>4667</v>
      </c>
    </row>
    <row r="1420" spans="1:24" x14ac:dyDescent="0.2">
      <c r="A1420" t="s">
        <v>5457</v>
      </c>
      <c r="B1420" t="s">
        <v>651</v>
      </c>
      <c r="C1420" t="s">
        <v>1582</v>
      </c>
      <c r="D1420" t="s">
        <v>56</v>
      </c>
      <c r="E1420" t="s">
        <v>580</v>
      </c>
      <c r="F1420" t="s">
        <v>84</v>
      </c>
      <c r="G1420" s="202">
        <v>2</v>
      </c>
      <c r="H1420">
        <v>1</v>
      </c>
      <c r="I1420" t="s">
        <v>3954</v>
      </c>
      <c r="J1420" t="s">
        <v>5227</v>
      </c>
      <c r="K1420" t="s">
        <v>1283</v>
      </c>
      <c r="L1420" s="204">
        <v>0.26</v>
      </c>
      <c r="M1420" s="112">
        <v>49.987500000000004</v>
      </c>
      <c r="N1420" s="112">
        <v>12.996750000000002</v>
      </c>
      <c r="O1420" s="204"/>
      <c r="P1420" s="112"/>
      <c r="Q1420" s="112"/>
      <c r="R1420" s="112"/>
      <c r="S1420" s="112"/>
      <c r="T1420" s="112"/>
      <c r="U1420" t="s">
        <v>5284</v>
      </c>
      <c r="V1420" t="s">
        <v>5458</v>
      </c>
      <c r="W1420" t="s">
        <v>3958</v>
      </c>
      <c r="X1420" t="s">
        <v>4660</v>
      </c>
    </row>
    <row r="1421" spans="1:24" x14ac:dyDescent="0.2">
      <c r="A1421" t="s">
        <v>5457</v>
      </c>
      <c r="B1421" t="s">
        <v>651</v>
      </c>
      <c r="C1421" t="s">
        <v>1582</v>
      </c>
      <c r="D1421" t="s">
        <v>56</v>
      </c>
      <c r="E1421" t="s">
        <v>580</v>
      </c>
      <c r="F1421" t="s">
        <v>84</v>
      </c>
      <c r="G1421" s="202">
        <v>2</v>
      </c>
      <c r="H1421">
        <v>2</v>
      </c>
      <c r="I1421" t="s">
        <v>3960</v>
      </c>
      <c r="J1421" t="s">
        <v>5229</v>
      </c>
      <c r="K1421" t="s">
        <v>1283</v>
      </c>
      <c r="L1421" s="204">
        <v>0.64</v>
      </c>
      <c r="M1421" s="112">
        <v>49.987500000000004</v>
      </c>
      <c r="N1421" s="112">
        <v>31.992000000000004</v>
      </c>
      <c r="O1421" s="204"/>
      <c r="P1421" s="112"/>
      <c r="Q1421" s="112"/>
      <c r="R1421" s="112"/>
      <c r="S1421" s="112"/>
      <c r="T1421" s="112"/>
      <c r="U1421" t="s">
        <v>5284</v>
      </c>
      <c r="V1421" t="s">
        <v>5458</v>
      </c>
      <c r="W1421" t="s">
        <v>3958</v>
      </c>
      <c r="X1421" t="s">
        <v>4660</v>
      </c>
    </row>
    <row r="1422" spans="1:24" x14ac:dyDescent="0.2">
      <c r="A1422" t="s">
        <v>5457</v>
      </c>
      <c r="B1422" t="s">
        <v>651</v>
      </c>
      <c r="C1422" t="s">
        <v>1582</v>
      </c>
      <c r="D1422" t="s">
        <v>56</v>
      </c>
      <c r="E1422" t="s">
        <v>580</v>
      </c>
      <c r="F1422" t="s">
        <v>84</v>
      </c>
      <c r="G1422" s="202">
        <v>2</v>
      </c>
      <c r="H1422">
        <v>3</v>
      </c>
      <c r="I1422" t="s">
        <v>3976</v>
      </c>
      <c r="J1422" t="s">
        <v>5230</v>
      </c>
      <c r="K1422" t="s">
        <v>1283</v>
      </c>
      <c r="L1422" s="204">
        <v>0.04</v>
      </c>
      <c r="M1422" s="112">
        <v>49.987500000000004</v>
      </c>
      <c r="N1422" s="112">
        <v>1.9995000000000003</v>
      </c>
      <c r="O1422" s="204"/>
      <c r="P1422" s="112"/>
      <c r="Q1422" s="112"/>
      <c r="R1422" s="112"/>
      <c r="S1422" s="112"/>
      <c r="T1422" s="112"/>
      <c r="U1422" t="s">
        <v>5284</v>
      </c>
      <c r="V1422" t="s">
        <v>5458</v>
      </c>
      <c r="W1422" t="s">
        <v>3958</v>
      </c>
      <c r="X1422" t="s">
        <v>4660</v>
      </c>
    </row>
    <row r="1423" spans="1:24" x14ac:dyDescent="0.2">
      <c r="A1423" t="s">
        <v>5457</v>
      </c>
      <c r="B1423" t="s">
        <v>651</v>
      </c>
      <c r="C1423" t="s">
        <v>1582</v>
      </c>
      <c r="D1423" t="s">
        <v>56</v>
      </c>
      <c r="E1423" t="s">
        <v>580</v>
      </c>
      <c r="F1423" t="s">
        <v>84</v>
      </c>
      <c r="G1423" s="202">
        <v>2</v>
      </c>
      <c r="H1423">
        <v>4</v>
      </c>
      <c r="I1423" t="s">
        <v>4017</v>
      </c>
      <c r="J1423" t="s">
        <v>4851</v>
      </c>
      <c r="K1423" t="s">
        <v>1283</v>
      </c>
      <c r="L1423" s="204">
        <v>0.06</v>
      </c>
      <c r="M1423" s="112">
        <v>49.987500000000004</v>
      </c>
      <c r="N1423" s="112">
        <v>2.99925</v>
      </c>
      <c r="O1423" s="204"/>
      <c r="P1423" s="112"/>
      <c r="Q1423" s="112"/>
      <c r="R1423" s="112"/>
      <c r="S1423" s="112"/>
      <c r="T1423" s="112"/>
      <c r="U1423" t="s">
        <v>5284</v>
      </c>
      <c r="V1423" t="s">
        <v>5458</v>
      </c>
      <c r="W1423" t="s">
        <v>3958</v>
      </c>
      <c r="X1423" t="s">
        <v>4660</v>
      </c>
    </row>
    <row r="1424" spans="1:24" x14ac:dyDescent="0.2">
      <c r="A1424" t="s">
        <v>5457</v>
      </c>
      <c r="B1424" t="s">
        <v>651</v>
      </c>
      <c r="C1424" t="s">
        <v>1582</v>
      </c>
      <c r="D1424" t="s">
        <v>56</v>
      </c>
      <c r="E1424" t="s">
        <v>580</v>
      </c>
      <c r="F1424" t="s">
        <v>84</v>
      </c>
      <c r="G1424" s="202">
        <v>2</v>
      </c>
      <c r="H1424">
        <v>5</v>
      </c>
      <c r="I1424" t="s">
        <v>3968</v>
      </c>
      <c r="J1424" t="s">
        <v>3969</v>
      </c>
      <c r="K1424" t="s">
        <v>84</v>
      </c>
      <c r="L1424" s="204">
        <v>1</v>
      </c>
      <c r="M1424" s="112"/>
      <c r="N1424" s="112">
        <v>49.987500000000004</v>
      </c>
      <c r="O1424" s="204">
        <v>0.22220555138784692</v>
      </c>
      <c r="P1424" s="112">
        <v>11.107499999999995</v>
      </c>
      <c r="Q1424" s="112">
        <v>61.094999999999999</v>
      </c>
      <c r="R1424" s="112">
        <v>122.19</v>
      </c>
      <c r="S1424" s="112">
        <v>122.19</v>
      </c>
      <c r="T1424" s="112">
        <v>0</v>
      </c>
      <c r="U1424" t="s">
        <v>5284</v>
      </c>
      <c r="V1424" t="s">
        <v>5458</v>
      </c>
      <c r="W1424" t="s">
        <v>4666</v>
      </c>
      <c r="X1424" t="s">
        <v>4667</v>
      </c>
    </row>
    <row r="1425" spans="1:24" x14ac:dyDescent="0.2">
      <c r="A1425" t="s">
        <v>5459</v>
      </c>
      <c r="B1425" t="s">
        <v>653</v>
      </c>
      <c r="C1425" t="s">
        <v>1584</v>
      </c>
      <c r="D1425" t="s">
        <v>56</v>
      </c>
      <c r="E1425" t="s">
        <v>654</v>
      </c>
      <c r="F1425" t="s">
        <v>84</v>
      </c>
      <c r="G1425" s="202">
        <v>2</v>
      </c>
      <c r="H1425">
        <v>1</v>
      </c>
      <c r="I1425" t="s">
        <v>3954</v>
      </c>
      <c r="J1425" t="s">
        <v>5227</v>
      </c>
      <c r="K1425" t="s">
        <v>1283</v>
      </c>
      <c r="L1425" s="204">
        <v>0.26</v>
      </c>
      <c r="M1425" s="112">
        <v>69.84</v>
      </c>
      <c r="N1425" s="112">
        <v>18.1584</v>
      </c>
      <c r="O1425" s="204"/>
      <c r="P1425" s="112"/>
      <c r="Q1425" s="112"/>
      <c r="R1425" s="112"/>
      <c r="S1425" s="112"/>
      <c r="T1425" s="112"/>
      <c r="U1425" t="s">
        <v>5287</v>
      </c>
      <c r="V1425" t="s">
        <v>5460</v>
      </c>
      <c r="W1425" t="s">
        <v>3958</v>
      </c>
      <c r="X1425" t="s">
        <v>4660</v>
      </c>
    </row>
    <row r="1426" spans="1:24" x14ac:dyDescent="0.2">
      <c r="A1426" t="s">
        <v>5459</v>
      </c>
      <c r="B1426" t="s">
        <v>653</v>
      </c>
      <c r="C1426" t="s">
        <v>1584</v>
      </c>
      <c r="D1426" t="s">
        <v>56</v>
      </c>
      <c r="E1426" t="s">
        <v>654</v>
      </c>
      <c r="F1426" t="s">
        <v>84</v>
      </c>
      <c r="G1426" s="202">
        <v>2</v>
      </c>
      <c r="H1426">
        <v>2</v>
      </c>
      <c r="I1426" t="s">
        <v>3960</v>
      </c>
      <c r="J1426" t="s">
        <v>5229</v>
      </c>
      <c r="K1426" t="s">
        <v>1283</v>
      </c>
      <c r="L1426" s="204">
        <v>0.64</v>
      </c>
      <c r="M1426" s="112">
        <v>69.84</v>
      </c>
      <c r="N1426" s="112">
        <v>44.697600000000001</v>
      </c>
      <c r="O1426" s="204"/>
      <c r="P1426" s="112"/>
      <c r="Q1426" s="112"/>
      <c r="R1426" s="112"/>
      <c r="S1426" s="112"/>
      <c r="T1426" s="112"/>
      <c r="U1426" t="s">
        <v>5287</v>
      </c>
      <c r="V1426" t="s">
        <v>5460</v>
      </c>
      <c r="W1426" t="s">
        <v>3958</v>
      </c>
      <c r="X1426" t="s">
        <v>4660</v>
      </c>
    </row>
    <row r="1427" spans="1:24" x14ac:dyDescent="0.2">
      <c r="A1427" t="s">
        <v>5459</v>
      </c>
      <c r="B1427" t="s">
        <v>653</v>
      </c>
      <c r="C1427" t="s">
        <v>1584</v>
      </c>
      <c r="D1427" t="s">
        <v>56</v>
      </c>
      <c r="E1427" t="s">
        <v>654</v>
      </c>
      <c r="F1427" t="s">
        <v>84</v>
      </c>
      <c r="G1427" s="202">
        <v>2</v>
      </c>
      <c r="H1427">
        <v>3</v>
      </c>
      <c r="I1427" t="s">
        <v>3976</v>
      </c>
      <c r="J1427" t="s">
        <v>5230</v>
      </c>
      <c r="K1427" t="s">
        <v>1283</v>
      </c>
      <c r="L1427" s="204">
        <v>0.04</v>
      </c>
      <c r="M1427" s="112">
        <v>69.84</v>
      </c>
      <c r="N1427" s="112">
        <v>2.7936000000000001</v>
      </c>
      <c r="O1427" s="204"/>
      <c r="P1427" s="112"/>
      <c r="Q1427" s="112"/>
      <c r="R1427" s="112"/>
      <c r="S1427" s="112"/>
      <c r="T1427" s="112"/>
      <c r="U1427" t="s">
        <v>5287</v>
      </c>
      <c r="V1427" t="s">
        <v>5460</v>
      </c>
      <c r="W1427" t="s">
        <v>3958</v>
      </c>
      <c r="X1427" t="s">
        <v>4660</v>
      </c>
    </row>
    <row r="1428" spans="1:24" x14ac:dyDescent="0.2">
      <c r="A1428" t="s">
        <v>5459</v>
      </c>
      <c r="B1428" t="s">
        <v>653</v>
      </c>
      <c r="C1428" t="s">
        <v>1584</v>
      </c>
      <c r="D1428" t="s">
        <v>56</v>
      </c>
      <c r="E1428" t="s">
        <v>654</v>
      </c>
      <c r="F1428" t="s">
        <v>84</v>
      </c>
      <c r="G1428" s="202">
        <v>2</v>
      </c>
      <c r="H1428">
        <v>4</v>
      </c>
      <c r="I1428" t="s">
        <v>4017</v>
      </c>
      <c r="J1428" t="s">
        <v>4851</v>
      </c>
      <c r="K1428" t="s">
        <v>1283</v>
      </c>
      <c r="L1428" s="204">
        <v>0.06</v>
      </c>
      <c r="M1428" s="112">
        <v>69.84</v>
      </c>
      <c r="N1428" s="112">
        <v>4.1904000000000003</v>
      </c>
      <c r="O1428" s="204"/>
      <c r="P1428" s="112"/>
      <c r="Q1428" s="112"/>
      <c r="R1428" s="112"/>
      <c r="S1428" s="112"/>
      <c r="T1428" s="112"/>
      <c r="U1428" t="s">
        <v>5287</v>
      </c>
      <c r="V1428" t="s">
        <v>5460</v>
      </c>
      <c r="W1428" t="s">
        <v>3958</v>
      </c>
      <c r="X1428" t="s">
        <v>4660</v>
      </c>
    </row>
    <row r="1429" spans="1:24" x14ac:dyDescent="0.2">
      <c r="A1429" t="s">
        <v>5459</v>
      </c>
      <c r="B1429" t="s">
        <v>653</v>
      </c>
      <c r="C1429" t="s">
        <v>1584</v>
      </c>
      <c r="D1429" t="s">
        <v>56</v>
      </c>
      <c r="E1429" t="s">
        <v>654</v>
      </c>
      <c r="F1429" t="s">
        <v>84</v>
      </c>
      <c r="G1429" s="202">
        <v>2</v>
      </c>
      <c r="H1429">
        <v>5</v>
      </c>
      <c r="I1429" t="s">
        <v>3968</v>
      </c>
      <c r="J1429" t="s">
        <v>3969</v>
      </c>
      <c r="K1429" t="s">
        <v>84</v>
      </c>
      <c r="L1429" s="204">
        <v>1</v>
      </c>
      <c r="M1429" s="112"/>
      <c r="N1429" s="112">
        <v>69.84</v>
      </c>
      <c r="O1429" s="204">
        <v>0.22229381443298957</v>
      </c>
      <c r="P1429" s="112">
        <v>15.524999999999991</v>
      </c>
      <c r="Q1429" s="112">
        <v>85.364999999999995</v>
      </c>
      <c r="R1429" s="112">
        <v>170.73</v>
      </c>
      <c r="S1429" s="112">
        <v>170.73</v>
      </c>
      <c r="T1429" s="112">
        <v>0</v>
      </c>
      <c r="U1429" t="s">
        <v>5287</v>
      </c>
      <c r="V1429" t="s">
        <v>5460</v>
      </c>
      <c r="W1429" t="s">
        <v>4666</v>
      </c>
      <c r="X1429" t="s">
        <v>4667</v>
      </c>
    </row>
    <row r="1430" spans="1:24" x14ac:dyDescent="0.2">
      <c r="A1430" t="s">
        <v>5461</v>
      </c>
      <c r="B1430" t="s">
        <v>655</v>
      </c>
      <c r="C1430" t="s">
        <v>1603</v>
      </c>
      <c r="D1430" t="s">
        <v>56</v>
      </c>
      <c r="E1430" t="s">
        <v>656</v>
      </c>
      <c r="F1430" t="s">
        <v>84</v>
      </c>
      <c r="G1430" s="202">
        <v>6</v>
      </c>
      <c r="H1430">
        <v>1</v>
      </c>
      <c r="I1430" t="s">
        <v>3954</v>
      </c>
      <c r="J1430" t="s">
        <v>5227</v>
      </c>
      <c r="K1430" t="s">
        <v>1283</v>
      </c>
      <c r="L1430" s="204">
        <v>0.26</v>
      </c>
      <c r="M1430" s="112">
        <v>18.502500000000001</v>
      </c>
      <c r="N1430" s="112">
        <v>4.8106500000000008</v>
      </c>
      <c r="O1430" s="204"/>
      <c r="P1430" s="112"/>
      <c r="Q1430" s="112"/>
      <c r="R1430" s="112"/>
      <c r="S1430" s="112"/>
      <c r="T1430" s="112"/>
      <c r="U1430" t="s">
        <v>5314</v>
      </c>
      <c r="V1430" t="s">
        <v>5462</v>
      </c>
      <c r="W1430" t="s">
        <v>3958</v>
      </c>
      <c r="X1430" t="s">
        <v>4660</v>
      </c>
    </row>
    <row r="1431" spans="1:24" x14ac:dyDescent="0.2">
      <c r="A1431" t="s">
        <v>5461</v>
      </c>
      <c r="B1431" t="s">
        <v>655</v>
      </c>
      <c r="C1431" t="s">
        <v>1603</v>
      </c>
      <c r="D1431" t="s">
        <v>56</v>
      </c>
      <c r="E1431" t="s">
        <v>656</v>
      </c>
      <c r="F1431" t="s">
        <v>84</v>
      </c>
      <c r="G1431" s="202">
        <v>6</v>
      </c>
      <c r="H1431">
        <v>2</v>
      </c>
      <c r="I1431" t="s">
        <v>3960</v>
      </c>
      <c r="J1431" t="s">
        <v>5229</v>
      </c>
      <c r="K1431" t="s">
        <v>1283</v>
      </c>
      <c r="L1431" s="204">
        <v>0.64</v>
      </c>
      <c r="M1431" s="112">
        <v>18.502500000000001</v>
      </c>
      <c r="N1431" s="112">
        <v>11.841600000000001</v>
      </c>
      <c r="O1431" s="204"/>
      <c r="P1431" s="112"/>
      <c r="Q1431" s="112"/>
      <c r="R1431" s="112"/>
      <c r="S1431" s="112"/>
      <c r="T1431" s="112"/>
      <c r="U1431" t="s">
        <v>5314</v>
      </c>
      <c r="V1431" t="s">
        <v>5462</v>
      </c>
      <c r="W1431" t="s">
        <v>3958</v>
      </c>
      <c r="X1431" t="s">
        <v>4660</v>
      </c>
    </row>
    <row r="1432" spans="1:24" x14ac:dyDescent="0.2">
      <c r="A1432" t="s">
        <v>5461</v>
      </c>
      <c r="B1432" t="s">
        <v>655</v>
      </c>
      <c r="C1432" t="s">
        <v>1603</v>
      </c>
      <c r="D1432" t="s">
        <v>56</v>
      </c>
      <c r="E1432" t="s">
        <v>656</v>
      </c>
      <c r="F1432" t="s">
        <v>84</v>
      </c>
      <c r="G1432" s="202">
        <v>6</v>
      </c>
      <c r="H1432">
        <v>3</v>
      </c>
      <c r="I1432" t="s">
        <v>3976</v>
      </c>
      <c r="J1432" t="s">
        <v>5230</v>
      </c>
      <c r="K1432" t="s">
        <v>1283</v>
      </c>
      <c r="L1432" s="204">
        <v>0.04</v>
      </c>
      <c r="M1432" s="112">
        <v>18.502500000000001</v>
      </c>
      <c r="N1432" s="112">
        <v>0.74010000000000009</v>
      </c>
      <c r="O1432" s="204"/>
      <c r="P1432" s="112"/>
      <c r="Q1432" s="112"/>
      <c r="R1432" s="112"/>
      <c r="S1432" s="112"/>
      <c r="T1432" s="112"/>
      <c r="U1432" t="s">
        <v>5314</v>
      </c>
      <c r="V1432" t="s">
        <v>5462</v>
      </c>
      <c r="W1432" t="s">
        <v>3958</v>
      </c>
      <c r="X1432" t="s">
        <v>4660</v>
      </c>
    </row>
    <row r="1433" spans="1:24" x14ac:dyDescent="0.2">
      <c r="A1433" t="s">
        <v>5461</v>
      </c>
      <c r="B1433" t="s">
        <v>655</v>
      </c>
      <c r="C1433" t="s">
        <v>1603</v>
      </c>
      <c r="D1433" t="s">
        <v>56</v>
      </c>
      <c r="E1433" t="s">
        <v>656</v>
      </c>
      <c r="F1433" t="s">
        <v>84</v>
      </c>
      <c r="G1433" s="202">
        <v>6</v>
      </c>
      <c r="H1433">
        <v>4</v>
      </c>
      <c r="I1433" t="s">
        <v>4017</v>
      </c>
      <c r="J1433" t="s">
        <v>4851</v>
      </c>
      <c r="K1433" t="s">
        <v>1283</v>
      </c>
      <c r="L1433" s="204">
        <v>0.06</v>
      </c>
      <c r="M1433" s="112">
        <v>18.502500000000001</v>
      </c>
      <c r="N1433" s="112">
        <v>1.11015</v>
      </c>
      <c r="O1433" s="204"/>
      <c r="P1433" s="112"/>
      <c r="Q1433" s="112"/>
      <c r="R1433" s="112"/>
      <c r="S1433" s="112"/>
      <c r="T1433" s="112"/>
      <c r="U1433" t="s">
        <v>5314</v>
      </c>
      <c r="V1433" t="s">
        <v>5462</v>
      </c>
      <c r="W1433" t="s">
        <v>3958</v>
      </c>
      <c r="X1433" t="s">
        <v>4660</v>
      </c>
    </row>
    <row r="1434" spans="1:24" x14ac:dyDescent="0.2">
      <c r="A1434" t="s">
        <v>5461</v>
      </c>
      <c r="B1434" t="s">
        <v>655</v>
      </c>
      <c r="C1434" t="s">
        <v>1603</v>
      </c>
      <c r="D1434" t="s">
        <v>56</v>
      </c>
      <c r="E1434" t="s">
        <v>656</v>
      </c>
      <c r="F1434" t="s">
        <v>84</v>
      </c>
      <c r="G1434" s="202">
        <v>6</v>
      </c>
      <c r="H1434">
        <v>5</v>
      </c>
      <c r="I1434" t="s">
        <v>3968</v>
      </c>
      <c r="J1434" t="s">
        <v>3969</v>
      </c>
      <c r="K1434" t="s">
        <v>84</v>
      </c>
      <c r="L1434" s="204">
        <v>1</v>
      </c>
      <c r="M1434" s="112"/>
      <c r="N1434" s="112">
        <v>18.502500000000001</v>
      </c>
      <c r="O1434" s="204">
        <v>0.22208710534612419</v>
      </c>
      <c r="P1434" s="112">
        <v>4.1091666666666633</v>
      </c>
      <c r="Q1434" s="112">
        <v>22.611666666666665</v>
      </c>
      <c r="R1434" s="112">
        <v>135.66999999999999</v>
      </c>
      <c r="S1434" s="112">
        <v>135.66999999999999</v>
      </c>
      <c r="T1434" s="112">
        <v>0</v>
      </c>
      <c r="U1434" t="s">
        <v>5314</v>
      </c>
      <c r="V1434" t="s">
        <v>5462</v>
      </c>
      <c r="W1434" t="s">
        <v>4666</v>
      </c>
      <c r="X1434" t="s">
        <v>4667</v>
      </c>
    </row>
    <row r="1435" spans="1:24" x14ac:dyDescent="0.2">
      <c r="A1435" t="s">
        <v>5463</v>
      </c>
      <c r="B1435" t="s">
        <v>657</v>
      </c>
      <c r="C1435" t="s">
        <v>1691</v>
      </c>
      <c r="D1435" t="s">
        <v>56</v>
      </c>
      <c r="E1435" t="s">
        <v>658</v>
      </c>
      <c r="F1435" t="s">
        <v>84</v>
      </c>
      <c r="G1435" s="202">
        <v>1</v>
      </c>
      <c r="H1435">
        <v>1</v>
      </c>
      <c r="I1435" t="s">
        <v>3954</v>
      </c>
      <c r="J1435" t="s">
        <v>5227</v>
      </c>
      <c r="K1435" t="s">
        <v>1283</v>
      </c>
      <c r="L1435" s="204">
        <v>0.26</v>
      </c>
      <c r="M1435" s="112">
        <v>11.805</v>
      </c>
      <c r="N1435" s="112">
        <v>3.0693000000000001</v>
      </c>
      <c r="O1435" s="204"/>
      <c r="P1435" s="112"/>
      <c r="Q1435" s="112"/>
      <c r="R1435" s="112"/>
      <c r="S1435" s="112"/>
      <c r="T1435" s="112"/>
      <c r="U1435" t="s">
        <v>5464</v>
      </c>
      <c r="V1435" t="s">
        <v>5465</v>
      </c>
      <c r="W1435" t="s">
        <v>3958</v>
      </c>
      <c r="X1435" t="s">
        <v>4660</v>
      </c>
    </row>
    <row r="1436" spans="1:24" x14ac:dyDescent="0.2">
      <c r="A1436" t="s">
        <v>5463</v>
      </c>
      <c r="B1436" t="s">
        <v>657</v>
      </c>
      <c r="C1436" t="s">
        <v>1691</v>
      </c>
      <c r="D1436" t="s">
        <v>56</v>
      </c>
      <c r="E1436" t="s">
        <v>658</v>
      </c>
      <c r="F1436" t="s">
        <v>84</v>
      </c>
      <c r="G1436" s="202">
        <v>1</v>
      </c>
      <c r="H1436">
        <v>2</v>
      </c>
      <c r="I1436" t="s">
        <v>3960</v>
      </c>
      <c r="J1436" t="s">
        <v>5229</v>
      </c>
      <c r="K1436" t="s">
        <v>1283</v>
      </c>
      <c r="L1436" s="204">
        <v>0.64</v>
      </c>
      <c r="M1436" s="112">
        <v>11.805</v>
      </c>
      <c r="N1436" s="112">
        <v>7.5552000000000001</v>
      </c>
      <c r="O1436" s="204"/>
      <c r="P1436" s="112"/>
      <c r="Q1436" s="112"/>
      <c r="R1436" s="112"/>
      <c r="S1436" s="112"/>
      <c r="T1436" s="112"/>
      <c r="U1436" t="s">
        <v>5464</v>
      </c>
      <c r="V1436" t="s">
        <v>5465</v>
      </c>
      <c r="W1436" t="s">
        <v>3958</v>
      </c>
      <c r="X1436" t="s">
        <v>4660</v>
      </c>
    </row>
    <row r="1437" spans="1:24" x14ac:dyDescent="0.2">
      <c r="A1437" t="s">
        <v>5463</v>
      </c>
      <c r="B1437" t="s">
        <v>657</v>
      </c>
      <c r="C1437" t="s">
        <v>1691</v>
      </c>
      <c r="D1437" t="s">
        <v>56</v>
      </c>
      <c r="E1437" t="s">
        <v>658</v>
      </c>
      <c r="F1437" t="s">
        <v>84</v>
      </c>
      <c r="G1437" s="202">
        <v>1</v>
      </c>
      <c r="H1437">
        <v>3</v>
      </c>
      <c r="I1437" t="s">
        <v>3976</v>
      </c>
      <c r="J1437" t="s">
        <v>5230</v>
      </c>
      <c r="K1437" t="s">
        <v>1283</v>
      </c>
      <c r="L1437" s="204">
        <v>0.04</v>
      </c>
      <c r="M1437" s="112">
        <v>11.805</v>
      </c>
      <c r="N1437" s="112">
        <v>0.47220000000000001</v>
      </c>
      <c r="O1437" s="204"/>
      <c r="P1437" s="112"/>
      <c r="Q1437" s="112"/>
      <c r="R1437" s="112"/>
      <c r="S1437" s="112"/>
      <c r="T1437" s="112"/>
      <c r="U1437" t="s">
        <v>5464</v>
      </c>
      <c r="V1437" t="s">
        <v>5465</v>
      </c>
      <c r="W1437" t="s">
        <v>3958</v>
      </c>
      <c r="X1437" t="s">
        <v>4660</v>
      </c>
    </row>
    <row r="1438" spans="1:24" x14ac:dyDescent="0.2">
      <c r="A1438" t="s">
        <v>5463</v>
      </c>
      <c r="B1438" t="s">
        <v>657</v>
      </c>
      <c r="C1438" t="s">
        <v>1691</v>
      </c>
      <c r="D1438" t="s">
        <v>56</v>
      </c>
      <c r="E1438" t="s">
        <v>658</v>
      </c>
      <c r="F1438" t="s">
        <v>84</v>
      </c>
      <c r="G1438" s="202">
        <v>1</v>
      </c>
      <c r="H1438">
        <v>4</v>
      </c>
      <c r="I1438" t="s">
        <v>4017</v>
      </c>
      <c r="J1438" t="s">
        <v>4851</v>
      </c>
      <c r="K1438" t="s">
        <v>1283</v>
      </c>
      <c r="L1438" s="204">
        <v>0.06</v>
      </c>
      <c r="M1438" s="112">
        <v>11.805</v>
      </c>
      <c r="N1438" s="112">
        <v>0.70829999999999993</v>
      </c>
      <c r="O1438" s="204"/>
      <c r="P1438" s="112"/>
      <c r="Q1438" s="112"/>
      <c r="R1438" s="112"/>
      <c r="S1438" s="112"/>
      <c r="T1438" s="112"/>
      <c r="U1438" t="s">
        <v>5464</v>
      </c>
      <c r="V1438" t="s">
        <v>5465</v>
      </c>
      <c r="W1438" t="s">
        <v>3958</v>
      </c>
      <c r="X1438" t="s">
        <v>4660</v>
      </c>
    </row>
    <row r="1439" spans="1:24" x14ac:dyDescent="0.2">
      <c r="A1439" t="s">
        <v>5463</v>
      </c>
      <c r="B1439" t="s">
        <v>657</v>
      </c>
      <c r="C1439" t="s">
        <v>1691</v>
      </c>
      <c r="D1439" t="s">
        <v>56</v>
      </c>
      <c r="E1439" t="s">
        <v>658</v>
      </c>
      <c r="F1439" t="s">
        <v>84</v>
      </c>
      <c r="G1439" s="202">
        <v>1</v>
      </c>
      <c r="H1439">
        <v>5</v>
      </c>
      <c r="I1439" t="s">
        <v>3968</v>
      </c>
      <c r="J1439" t="s">
        <v>3969</v>
      </c>
      <c r="K1439" t="s">
        <v>84</v>
      </c>
      <c r="L1439" s="204">
        <v>1</v>
      </c>
      <c r="M1439" s="112"/>
      <c r="N1439" s="112">
        <v>11.805</v>
      </c>
      <c r="O1439" s="204">
        <v>0.22151630664972477</v>
      </c>
      <c r="P1439" s="112">
        <v>2.6150000000000002</v>
      </c>
      <c r="Q1439" s="112">
        <v>14.42</v>
      </c>
      <c r="R1439" s="112">
        <v>14.42</v>
      </c>
      <c r="S1439" s="112">
        <v>14.42</v>
      </c>
      <c r="T1439" s="112">
        <v>0</v>
      </c>
      <c r="U1439" t="s">
        <v>5464</v>
      </c>
      <c r="V1439" t="s">
        <v>5465</v>
      </c>
      <c r="W1439" t="s">
        <v>4666</v>
      </c>
      <c r="X1439" t="s">
        <v>4667</v>
      </c>
    </row>
    <row r="1440" spans="1:24" x14ac:dyDescent="0.2">
      <c r="A1440" t="s">
        <v>5466</v>
      </c>
      <c r="B1440" t="s">
        <v>659</v>
      </c>
      <c r="C1440" t="s">
        <v>1643</v>
      </c>
      <c r="D1440" t="s">
        <v>56</v>
      </c>
      <c r="E1440" t="s">
        <v>622</v>
      </c>
      <c r="F1440" t="s">
        <v>84</v>
      </c>
      <c r="G1440" s="202">
        <v>1</v>
      </c>
      <c r="H1440">
        <v>1</v>
      </c>
      <c r="I1440" t="s">
        <v>3954</v>
      </c>
      <c r="J1440" t="s">
        <v>5227</v>
      </c>
      <c r="K1440" t="s">
        <v>1283</v>
      </c>
      <c r="L1440" s="204">
        <v>0.26</v>
      </c>
      <c r="M1440" s="112">
        <v>10.215</v>
      </c>
      <c r="N1440" s="112">
        <v>2.6558999999999999</v>
      </c>
      <c r="O1440" s="204"/>
      <c r="P1440" s="112"/>
      <c r="Q1440" s="112"/>
      <c r="R1440" s="112"/>
      <c r="S1440" s="112"/>
      <c r="T1440" s="112"/>
      <c r="U1440" t="s">
        <v>5381</v>
      </c>
      <c r="V1440" t="s">
        <v>5467</v>
      </c>
      <c r="W1440" t="s">
        <v>3958</v>
      </c>
      <c r="X1440" t="s">
        <v>4660</v>
      </c>
    </row>
    <row r="1441" spans="1:24" x14ac:dyDescent="0.2">
      <c r="A1441" t="s">
        <v>5466</v>
      </c>
      <c r="B1441" t="s">
        <v>659</v>
      </c>
      <c r="C1441" t="s">
        <v>1643</v>
      </c>
      <c r="D1441" t="s">
        <v>56</v>
      </c>
      <c r="E1441" t="s">
        <v>622</v>
      </c>
      <c r="F1441" t="s">
        <v>84</v>
      </c>
      <c r="G1441" s="202">
        <v>1</v>
      </c>
      <c r="H1441">
        <v>2</v>
      </c>
      <c r="I1441" t="s">
        <v>3960</v>
      </c>
      <c r="J1441" t="s">
        <v>5229</v>
      </c>
      <c r="K1441" t="s">
        <v>1283</v>
      </c>
      <c r="L1441" s="204">
        <v>0.64</v>
      </c>
      <c r="M1441" s="112">
        <v>10.215</v>
      </c>
      <c r="N1441" s="112">
        <v>6.5376000000000003</v>
      </c>
      <c r="O1441" s="204"/>
      <c r="P1441" s="112"/>
      <c r="Q1441" s="112"/>
      <c r="R1441" s="112"/>
      <c r="S1441" s="112"/>
      <c r="T1441" s="112"/>
      <c r="U1441" t="s">
        <v>5381</v>
      </c>
      <c r="V1441" t="s">
        <v>5467</v>
      </c>
      <c r="W1441" t="s">
        <v>3958</v>
      </c>
      <c r="X1441" t="s">
        <v>4660</v>
      </c>
    </row>
    <row r="1442" spans="1:24" x14ac:dyDescent="0.2">
      <c r="A1442" t="s">
        <v>5466</v>
      </c>
      <c r="B1442" t="s">
        <v>659</v>
      </c>
      <c r="C1442" t="s">
        <v>1643</v>
      </c>
      <c r="D1442" t="s">
        <v>56</v>
      </c>
      <c r="E1442" t="s">
        <v>622</v>
      </c>
      <c r="F1442" t="s">
        <v>84</v>
      </c>
      <c r="G1442" s="202">
        <v>1</v>
      </c>
      <c r="H1442">
        <v>3</v>
      </c>
      <c r="I1442" t="s">
        <v>3976</v>
      </c>
      <c r="J1442" t="s">
        <v>5230</v>
      </c>
      <c r="K1442" t="s">
        <v>1283</v>
      </c>
      <c r="L1442" s="204">
        <v>0.04</v>
      </c>
      <c r="M1442" s="112">
        <v>10.215</v>
      </c>
      <c r="N1442" s="112">
        <v>0.40860000000000002</v>
      </c>
      <c r="O1442" s="204"/>
      <c r="P1442" s="112"/>
      <c r="Q1442" s="112"/>
      <c r="R1442" s="112"/>
      <c r="S1442" s="112"/>
      <c r="T1442" s="112"/>
      <c r="U1442" t="s">
        <v>5381</v>
      </c>
      <c r="V1442" t="s">
        <v>5467</v>
      </c>
      <c r="W1442" t="s">
        <v>3958</v>
      </c>
      <c r="X1442" t="s">
        <v>4660</v>
      </c>
    </row>
    <row r="1443" spans="1:24" x14ac:dyDescent="0.2">
      <c r="A1443" t="s">
        <v>5466</v>
      </c>
      <c r="B1443" t="s">
        <v>659</v>
      </c>
      <c r="C1443" t="s">
        <v>1643</v>
      </c>
      <c r="D1443" t="s">
        <v>56</v>
      </c>
      <c r="E1443" t="s">
        <v>622</v>
      </c>
      <c r="F1443" t="s">
        <v>84</v>
      </c>
      <c r="G1443" s="202">
        <v>1</v>
      </c>
      <c r="H1443">
        <v>4</v>
      </c>
      <c r="I1443" t="s">
        <v>4017</v>
      </c>
      <c r="J1443" t="s">
        <v>4851</v>
      </c>
      <c r="K1443" t="s">
        <v>1283</v>
      </c>
      <c r="L1443" s="204">
        <v>0.06</v>
      </c>
      <c r="M1443" s="112">
        <v>10.215</v>
      </c>
      <c r="N1443" s="112">
        <v>0.6129</v>
      </c>
      <c r="O1443" s="204"/>
      <c r="P1443" s="112"/>
      <c r="Q1443" s="112"/>
      <c r="R1443" s="112"/>
      <c r="S1443" s="112"/>
      <c r="T1443" s="112"/>
      <c r="U1443" t="s">
        <v>5381</v>
      </c>
      <c r="V1443" t="s">
        <v>5467</v>
      </c>
      <c r="W1443" t="s">
        <v>3958</v>
      </c>
      <c r="X1443" t="s">
        <v>4660</v>
      </c>
    </row>
    <row r="1444" spans="1:24" x14ac:dyDescent="0.2">
      <c r="A1444" t="s">
        <v>5466</v>
      </c>
      <c r="B1444" t="s">
        <v>659</v>
      </c>
      <c r="C1444" t="s">
        <v>1643</v>
      </c>
      <c r="D1444" t="s">
        <v>56</v>
      </c>
      <c r="E1444" t="s">
        <v>622</v>
      </c>
      <c r="F1444" t="s">
        <v>84</v>
      </c>
      <c r="G1444" s="202">
        <v>1</v>
      </c>
      <c r="H1444">
        <v>5</v>
      </c>
      <c r="I1444" t="s">
        <v>3968</v>
      </c>
      <c r="J1444" t="s">
        <v>3969</v>
      </c>
      <c r="K1444" t="s">
        <v>84</v>
      </c>
      <c r="L1444" s="204">
        <v>1</v>
      </c>
      <c r="M1444" s="112"/>
      <c r="N1444" s="112">
        <v>10.215</v>
      </c>
      <c r="O1444" s="204">
        <v>0.22173274596182102</v>
      </c>
      <c r="P1444" s="112">
        <v>2.2650000000000006</v>
      </c>
      <c r="Q1444" s="112">
        <v>12.48</v>
      </c>
      <c r="R1444" s="112">
        <v>12.48</v>
      </c>
      <c r="S1444" s="112">
        <v>12.48</v>
      </c>
      <c r="T1444" s="112">
        <v>0</v>
      </c>
      <c r="U1444" t="s">
        <v>5381</v>
      </c>
      <c r="V1444" t="s">
        <v>5467</v>
      </c>
      <c r="W1444" t="s">
        <v>4666</v>
      </c>
      <c r="X1444" t="s">
        <v>4667</v>
      </c>
    </row>
    <row r="1445" spans="1:24" x14ac:dyDescent="0.2">
      <c r="A1445" t="s">
        <v>5468</v>
      </c>
      <c r="B1445" t="s">
        <v>1692</v>
      </c>
      <c r="C1445" t="s">
        <v>1597</v>
      </c>
      <c r="D1445" t="s">
        <v>56</v>
      </c>
      <c r="E1445" t="s">
        <v>587</v>
      </c>
      <c r="F1445" t="s">
        <v>84</v>
      </c>
      <c r="G1445" s="202">
        <v>5</v>
      </c>
      <c r="H1445">
        <v>1</v>
      </c>
      <c r="I1445" t="s">
        <v>3954</v>
      </c>
      <c r="J1445" t="s">
        <v>5227</v>
      </c>
      <c r="K1445" t="s">
        <v>1283</v>
      </c>
      <c r="L1445" s="204">
        <v>0.26</v>
      </c>
      <c r="M1445" s="112">
        <v>9.6150000000000002</v>
      </c>
      <c r="N1445" s="112">
        <v>2.4999000000000002</v>
      </c>
      <c r="O1445" s="204"/>
      <c r="P1445" s="112"/>
      <c r="Q1445" s="112"/>
      <c r="R1445" s="112"/>
      <c r="S1445" s="112"/>
      <c r="T1445" s="112"/>
      <c r="U1445" t="s">
        <v>5305</v>
      </c>
      <c r="V1445" t="s">
        <v>5469</v>
      </c>
      <c r="W1445" t="s">
        <v>3958</v>
      </c>
      <c r="X1445" t="s">
        <v>4660</v>
      </c>
    </row>
    <row r="1446" spans="1:24" x14ac:dyDescent="0.2">
      <c r="A1446" t="s">
        <v>5468</v>
      </c>
      <c r="B1446" t="s">
        <v>1692</v>
      </c>
      <c r="C1446" t="s">
        <v>1597</v>
      </c>
      <c r="D1446" t="s">
        <v>56</v>
      </c>
      <c r="E1446" t="s">
        <v>587</v>
      </c>
      <c r="F1446" t="s">
        <v>84</v>
      </c>
      <c r="G1446" s="202">
        <v>5</v>
      </c>
      <c r="H1446">
        <v>2</v>
      </c>
      <c r="I1446" t="s">
        <v>3960</v>
      </c>
      <c r="J1446" t="s">
        <v>5229</v>
      </c>
      <c r="K1446" t="s">
        <v>1283</v>
      </c>
      <c r="L1446" s="204">
        <v>0.64</v>
      </c>
      <c r="M1446" s="112">
        <v>9.6150000000000002</v>
      </c>
      <c r="N1446" s="112">
        <v>6.1536</v>
      </c>
      <c r="O1446" s="204"/>
      <c r="P1446" s="112"/>
      <c r="Q1446" s="112"/>
      <c r="R1446" s="112"/>
      <c r="S1446" s="112"/>
      <c r="T1446" s="112"/>
      <c r="U1446" t="s">
        <v>5305</v>
      </c>
      <c r="V1446" t="s">
        <v>5469</v>
      </c>
      <c r="W1446" t="s">
        <v>3958</v>
      </c>
      <c r="X1446" t="s">
        <v>4660</v>
      </c>
    </row>
    <row r="1447" spans="1:24" x14ac:dyDescent="0.2">
      <c r="A1447" t="s">
        <v>5468</v>
      </c>
      <c r="B1447" t="s">
        <v>1692</v>
      </c>
      <c r="C1447" t="s">
        <v>1597</v>
      </c>
      <c r="D1447" t="s">
        <v>56</v>
      </c>
      <c r="E1447" t="s">
        <v>587</v>
      </c>
      <c r="F1447" t="s">
        <v>84</v>
      </c>
      <c r="G1447" s="202">
        <v>5</v>
      </c>
      <c r="H1447">
        <v>3</v>
      </c>
      <c r="I1447" t="s">
        <v>3976</v>
      </c>
      <c r="J1447" t="s">
        <v>5230</v>
      </c>
      <c r="K1447" t="s">
        <v>1283</v>
      </c>
      <c r="L1447" s="204">
        <v>0.04</v>
      </c>
      <c r="M1447" s="112">
        <v>9.6150000000000002</v>
      </c>
      <c r="N1447" s="112">
        <v>0.3846</v>
      </c>
      <c r="O1447" s="204"/>
      <c r="P1447" s="112"/>
      <c r="Q1447" s="112"/>
      <c r="R1447" s="112"/>
      <c r="S1447" s="112"/>
      <c r="T1447" s="112"/>
      <c r="U1447" t="s">
        <v>5305</v>
      </c>
      <c r="V1447" t="s">
        <v>5469</v>
      </c>
      <c r="W1447" t="s">
        <v>3958</v>
      </c>
      <c r="X1447" t="s">
        <v>4660</v>
      </c>
    </row>
    <row r="1448" spans="1:24" x14ac:dyDescent="0.2">
      <c r="A1448" t="s">
        <v>5468</v>
      </c>
      <c r="B1448" t="s">
        <v>1692</v>
      </c>
      <c r="C1448" t="s">
        <v>1597</v>
      </c>
      <c r="D1448" t="s">
        <v>56</v>
      </c>
      <c r="E1448" t="s">
        <v>587</v>
      </c>
      <c r="F1448" t="s">
        <v>84</v>
      </c>
      <c r="G1448" s="202">
        <v>5</v>
      </c>
      <c r="H1448">
        <v>4</v>
      </c>
      <c r="I1448" t="s">
        <v>4017</v>
      </c>
      <c r="J1448" t="s">
        <v>4851</v>
      </c>
      <c r="K1448" t="s">
        <v>1283</v>
      </c>
      <c r="L1448" s="204">
        <v>0.06</v>
      </c>
      <c r="M1448" s="112">
        <v>9.6150000000000002</v>
      </c>
      <c r="N1448" s="112">
        <v>0.57689999999999997</v>
      </c>
      <c r="O1448" s="204"/>
      <c r="P1448" s="112"/>
      <c r="Q1448" s="112"/>
      <c r="R1448" s="112"/>
      <c r="S1448" s="112"/>
      <c r="T1448" s="112"/>
      <c r="U1448" t="s">
        <v>5305</v>
      </c>
      <c r="V1448" t="s">
        <v>5469</v>
      </c>
      <c r="W1448" t="s">
        <v>3958</v>
      </c>
      <c r="X1448" t="s">
        <v>4660</v>
      </c>
    </row>
    <row r="1449" spans="1:24" x14ac:dyDescent="0.2">
      <c r="A1449" t="s">
        <v>5468</v>
      </c>
      <c r="B1449" t="s">
        <v>1692</v>
      </c>
      <c r="C1449" t="s">
        <v>1597</v>
      </c>
      <c r="D1449" t="s">
        <v>56</v>
      </c>
      <c r="E1449" t="s">
        <v>587</v>
      </c>
      <c r="F1449" t="s">
        <v>84</v>
      </c>
      <c r="G1449" s="202">
        <v>5</v>
      </c>
      <c r="H1449">
        <v>5</v>
      </c>
      <c r="I1449" t="s">
        <v>3968</v>
      </c>
      <c r="J1449" t="s">
        <v>3969</v>
      </c>
      <c r="K1449" t="s">
        <v>84</v>
      </c>
      <c r="L1449" s="204">
        <v>1</v>
      </c>
      <c r="M1449" s="112"/>
      <c r="N1449" s="112">
        <v>9.6150000000000002</v>
      </c>
      <c r="O1449" s="204">
        <v>0.22142485699427983</v>
      </c>
      <c r="P1449" s="112">
        <v>2.1289999999999996</v>
      </c>
      <c r="Q1449" s="112">
        <v>11.744</v>
      </c>
      <c r="R1449" s="112">
        <v>58.72</v>
      </c>
      <c r="S1449" s="112">
        <v>58.72</v>
      </c>
      <c r="T1449" s="112">
        <v>0</v>
      </c>
      <c r="U1449" t="s">
        <v>5305</v>
      </c>
      <c r="V1449" t="s">
        <v>5469</v>
      </c>
      <c r="W1449" t="s">
        <v>4666</v>
      </c>
      <c r="X1449" t="s">
        <v>4667</v>
      </c>
    </row>
    <row r="1450" spans="1:24" x14ac:dyDescent="0.2">
      <c r="A1450" t="s">
        <v>5470</v>
      </c>
      <c r="B1450" t="s">
        <v>1693</v>
      </c>
      <c r="C1450" t="s">
        <v>1647</v>
      </c>
      <c r="D1450" t="s">
        <v>56</v>
      </c>
      <c r="E1450" t="s">
        <v>624</v>
      </c>
      <c r="F1450" t="s">
        <v>84</v>
      </c>
      <c r="G1450" s="202">
        <v>1</v>
      </c>
      <c r="H1450">
        <v>1</v>
      </c>
      <c r="I1450" t="s">
        <v>3954</v>
      </c>
      <c r="J1450" t="s">
        <v>5227</v>
      </c>
      <c r="K1450" t="s">
        <v>1283</v>
      </c>
      <c r="L1450" s="204">
        <v>0.26</v>
      </c>
      <c r="M1450" s="112">
        <v>14.9175</v>
      </c>
      <c r="N1450" s="112">
        <v>3.8785500000000002</v>
      </c>
      <c r="O1450" s="204"/>
      <c r="P1450" s="112"/>
      <c r="Q1450" s="112"/>
      <c r="R1450" s="112"/>
      <c r="S1450" s="112"/>
      <c r="T1450" s="112"/>
      <c r="U1450" t="s">
        <v>5387</v>
      </c>
      <c r="V1450" t="s">
        <v>5471</v>
      </c>
      <c r="W1450" t="s">
        <v>3958</v>
      </c>
      <c r="X1450" t="s">
        <v>4660</v>
      </c>
    </row>
    <row r="1451" spans="1:24" x14ac:dyDescent="0.2">
      <c r="A1451" t="s">
        <v>5470</v>
      </c>
      <c r="B1451" t="s">
        <v>1693</v>
      </c>
      <c r="C1451" t="s">
        <v>1647</v>
      </c>
      <c r="D1451" t="s">
        <v>56</v>
      </c>
      <c r="E1451" t="s">
        <v>624</v>
      </c>
      <c r="F1451" t="s">
        <v>84</v>
      </c>
      <c r="G1451" s="202">
        <v>1</v>
      </c>
      <c r="H1451">
        <v>2</v>
      </c>
      <c r="I1451" t="s">
        <v>3960</v>
      </c>
      <c r="J1451" t="s">
        <v>5229</v>
      </c>
      <c r="K1451" t="s">
        <v>1283</v>
      </c>
      <c r="L1451" s="204">
        <v>0.64</v>
      </c>
      <c r="M1451" s="112">
        <v>14.9175</v>
      </c>
      <c r="N1451" s="112">
        <v>9.5472000000000001</v>
      </c>
      <c r="O1451" s="204"/>
      <c r="P1451" s="112"/>
      <c r="Q1451" s="112"/>
      <c r="R1451" s="112"/>
      <c r="S1451" s="112"/>
      <c r="T1451" s="112"/>
      <c r="U1451" t="s">
        <v>5387</v>
      </c>
      <c r="V1451" t="s">
        <v>5471</v>
      </c>
      <c r="W1451" t="s">
        <v>3958</v>
      </c>
      <c r="X1451" t="s">
        <v>4660</v>
      </c>
    </row>
    <row r="1452" spans="1:24" x14ac:dyDescent="0.2">
      <c r="A1452" t="s">
        <v>5470</v>
      </c>
      <c r="B1452" t="s">
        <v>1693</v>
      </c>
      <c r="C1452" t="s">
        <v>1647</v>
      </c>
      <c r="D1452" t="s">
        <v>56</v>
      </c>
      <c r="E1452" t="s">
        <v>624</v>
      </c>
      <c r="F1452" t="s">
        <v>84</v>
      </c>
      <c r="G1452" s="202">
        <v>1</v>
      </c>
      <c r="H1452">
        <v>3</v>
      </c>
      <c r="I1452" t="s">
        <v>3976</v>
      </c>
      <c r="J1452" t="s">
        <v>5230</v>
      </c>
      <c r="K1452" t="s">
        <v>1283</v>
      </c>
      <c r="L1452" s="204">
        <v>0.04</v>
      </c>
      <c r="M1452" s="112">
        <v>14.9175</v>
      </c>
      <c r="N1452" s="112">
        <v>0.59670000000000001</v>
      </c>
      <c r="O1452" s="204"/>
      <c r="P1452" s="112"/>
      <c r="Q1452" s="112"/>
      <c r="R1452" s="112"/>
      <c r="S1452" s="112"/>
      <c r="T1452" s="112"/>
      <c r="U1452" t="s">
        <v>5387</v>
      </c>
      <c r="V1452" t="s">
        <v>5471</v>
      </c>
      <c r="W1452" t="s">
        <v>3958</v>
      </c>
      <c r="X1452" t="s">
        <v>4660</v>
      </c>
    </row>
    <row r="1453" spans="1:24" x14ac:dyDescent="0.2">
      <c r="A1453" t="s">
        <v>5470</v>
      </c>
      <c r="B1453" t="s">
        <v>1693</v>
      </c>
      <c r="C1453" t="s">
        <v>1647</v>
      </c>
      <c r="D1453" t="s">
        <v>56</v>
      </c>
      <c r="E1453" t="s">
        <v>624</v>
      </c>
      <c r="F1453" t="s">
        <v>84</v>
      </c>
      <c r="G1453" s="202">
        <v>1</v>
      </c>
      <c r="H1453">
        <v>4</v>
      </c>
      <c r="I1453" t="s">
        <v>4017</v>
      </c>
      <c r="J1453" t="s">
        <v>4851</v>
      </c>
      <c r="K1453" t="s">
        <v>1283</v>
      </c>
      <c r="L1453" s="204">
        <v>0.06</v>
      </c>
      <c r="M1453" s="112">
        <v>14.9175</v>
      </c>
      <c r="N1453" s="112">
        <v>0.89505000000000001</v>
      </c>
      <c r="O1453" s="204"/>
      <c r="P1453" s="112"/>
      <c r="Q1453" s="112"/>
      <c r="R1453" s="112"/>
      <c r="S1453" s="112"/>
      <c r="T1453" s="112"/>
      <c r="U1453" t="s">
        <v>5387</v>
      </c>
      <c r="V1453" t="s">
        <v>5471</v>
      </c>
      <c r="W1453" t="s">
        <v>3958</v>
      </c>
      <c r="X1453" t="s">
        <v>4660</v>
      </c>
    </row>
    <row r="1454" spans="1:24" x14ac:dyDescent="0.2">
      <c r="A1454" t="s">
        <v>5470</v>
      </c>
      <c r="B1454" t="s">
        <v>1693</v>
      </c>
      <c r="C1454" t="s">
        <v>1647</v>
      </c>
      <c r="D1454" t="s">
        <v>56</v>
      </c>
      <c r="E1454" t="s">
        <v>624</v>
      </c>
      <c r="F1454" t="s">
        <v>84</v>
      </c>
      <c r="G1454" s="202">
        <v>1</v>
      </c>
      <c r="H1454">
        <v>5</v>
      </c>
      <c r="I1454" t="s">
        <v>3968</v>
      </c>
      <c r="J1454" t="s">
        <v>3969</v>
      </c>
      <c r="K1454" t="s">
        <v>84</v>
      </c>
      <c r="L1454" s="204">
        <v>1</v>
      </c>
      <c r="M1454" s="112"/>
      <c r="N1454" s="112">
        <v>14.9175</v>
      </c>
      <c r="O1454" s="204">
        <v>0.22205463381933965</v>
      </c>
      <c r="P1454" s="112">
        <v>3.3125</v>
      </c>
      <c r="Q1454" s="112">
        <v>18.23</v>
      </c>
      <c r="R1454" s="112">
        <v>18.23</v>
      </c>
      <c r="S1454" s="112">
        <v>18.23</v>
      </c>
      <c r="T1454" s="112">
        <v>0</v>
      </c>
      <c r="U1454" t="s">
        <v>5387</v>
      </c>
      <c r="V1454" t="s">
        <v>5471</v>
      </c>
      <c r="W1454" t="s">
        <v>4666</v>
      </c>
      <c r="X1454" t="s">
        <v>4667</v>
      </c>
    </row>
    <row r="1455" spans="1:24" x14ac:dyDescent="0.2">
      <c r="A1455" t="s">
        <v>5472</v>
      </c>
      <c r="B1455" t="s">
        <v>1694</v>
      </c>
      <c r="C1455" t="s">
        <v>1695</v>
      </c>
      <c r="D1455" t="s">
        <v>56</v>
      </c>
      <c r="E1455" t="s">
        <v>1696</v>
      </c>
      <c r="F1455" t="s">
        <v>84</v>
      </c>
      <c r="G1455" s="202">
        <v>1</v>
      </c>
      <c r="H1455">
        <v>1</v>
      </c>
      <c r="I1455" t="s">
        <v>3954</v>
      </c>
      <c r="J1455" t="s">
        <v>5227</v>
      </c>
      <c r="K1455" t="s">
        <v>1283</v>
      </c>
      <c r="L1455" s="204">
        <v>0.26</v>
      </c>
      <c r="M1455" s="112">
        <v>9.27</v>
      </c>
      <c r="N1455" s="112">
        <v>2.4102000000000001</v>
      </c>
      <c r="O1455" s="204"/>
      <c r="P1455" s="112"/>
      <c r="Q1455" s="112"/>
      <c r="R1455" s="112"/>
      <c r="S1455" s="112"/>
      <c r="T1455" s="112"/>
      <c r="U1455" t="s">
        <v>5473</v>
      </c>
      <c r="V1455" t="s">
        <v>5474</v>
      </c>
      <c r="W1455" t="s">
        <v>3958</v>
      </c>
      <c r="X1455" t="s">
        <v>4660</v>
      </c>
    </row>
    <row r="1456" spans="1:24" x14ac:dyDescent="0.2">
      <c r="A1456" t="s">
        <v>5472</v>
      </c>
      <c r="B1456" t="s">
        <v>1694</v>
      </c>
      <c r="C1456" t="s">
        <v>1695</v>
      </c>
      <c r="D1456" t="s">
        <v>56</v>
      </c>
      <c r="E1456" t="s">
        <v>1696</v>
      </c>
      <c r="F1456" t="s">
        <v>84</v>
      </c>
      <c r="G1456" s="202">
        <v>1</v>
      </c>
      <c r="H1456">
        <v>2</v>
      </c>
      <c r="I1456" t="s">
        <v>3960</v>
      </c>
      <c r="J1456" t="s">
        <v>5229</v>
      </c>
      <c r="K1456" t="s">
        <v>1283</v>
      </c>
      <c r="L1456" s="204">
        <v>0.64</v>
      </c>
      <c r="M1456" s="112">
        <v>9.27</v>
      </c>
      <c r="N1456" s="112">
        <v>5.9327999999999994</v>
      </c>
      <c r="O1456" s="204"/>
      <c r="P1456" s="112"/>
      <c r="Q1456" s="112"/>
      <c r="R1456" s="112"/>
      <c r="S1456" s="112"/>
      <c r="T1456" s="112"/>
      <c r="U1456" t="s">
        <v>5473</v>
      </c>
      <c r="V1456" t="s">
        <v>5474</v>
      </c>
      <c r="W1456" t="s">
        <v>3958</v>
      </c>
      <c r="X1456" t="s">
        <v>4660</v>
      </c>
    </row>
    <row r="1457" spans="1:24" x14ac:dyDescent="0.2">
      <c r="A1457" t="s">
        <v>5472</v>
      </c>
      <c r="B1457" t="s">
        <v>1694</v>
      </c>
      <c r="C1457" t="s">
        <v>1695</v>
      </c>
      <c r="D1457" t="s">
        <v>56</v>
      </c>
      <c r="E1457" t="s">
        <v>1696</v>
      </c>
      <c r="F1457" t="s">
        <v>84</v>
      </c>
      <c r="G1457" s="202">
        <v>1</v>
      </c>
      <c r="H1457">
        <v>3</v>
      </c>
      <c r="I1457" t="s">
        <v>3976</v>
      </c>
      <c r="J1457" t="s">
        <v>5230</v>
      </c>
      <c r="K1457" t="s">
        <v>1283</v>
      </c>
      <c r="L1457" s="204">
        <v>0.04</v>
      </c>
      <c r="M1457" s="112">
        <v>9.27</v>
      </c>
      <c r="N1457" s="112">
        <v>0.37079999999999996</v>
      </c>
      <c r="O1457" s="204"/>
      <c r="P1457" s="112"/>
      <c r="Q1457" s="112"/>
      <c r="R1457" s="112"/>
      <c r="S1457" s="112"/>
      <c r="T1457" s="112"/>
      <c r="U1457" t="s">
        <v>5473</v>
      </c>
      <c r="V1457" t="s">
        <v>5474</v>
      </c>
      <c r="W1457" t="s">
        <v>3958</v>
      </c>
      <c r="X1457" t="s">
        <v>4660</v>
      </c>
    </row>
    <row r="1458" spans="1:24" x14ac:dyDescent="0.2">
      <c r="A1458" t="s">
        <v>5472</v>
      </c>
      <c r="B1458" t="s">
        <v>1694</v>
      </c>
      <c r="C1458" t="s">
        <v>1695</v>
      </c>
      <c r="D1458" t="s">
        <v>56</v>
      </c>
      <c r="E1458" t="s">
        <v>1696</v>
      </c>
      <c r="F1458" t="s">
        <v>84</v>
      </c>
      <c r="G1458" s="202">
        <v>1</v>
      </c>
      <c r="H1458">
        <v>4</v>
      </c>
      <c r="I1458" t="s">
        <v>4017</v>
      </c>
      <c r="J1458" t="s">
        <v>4851</v>
      </c>
      <c r="K1458" t="s">
        <v>1283</v>
      </c>
      <c r="L1458" s="204">
        <v>0.06</v>
      </c>
      <c r="M1458" s="112">
        <v>9.27</v>
      </c>
      <c r="N1458" s="112">
        <v>0.55619999999999992</v>
      </c>
      <c r="O1458" s="204"/>
      <c r="P1458" s="112"/>
      <c r="Q1458" s="112"/>
      <c r="R1458" s="112"/>
      <c r="S1458" s="112"/>
      <c r="T1458" s="112"/>
      <c r="U1458" t="s">
        <v>5473</v>
      </c>
      <c r="V1458" t="s">
        <v>5474</v>
      </c>
      <c r="W1458" t="s">
        <v>3958</v>
      </c>
      <c r="X1458" t="s">
        <v>4660</v>
      </c>
    </row>
    <row r="1459" spans="1:24" x14ac:dyDescent="0.2">
      <c r="A1459" t="s">
        <v>5472</v>
      </c>
      <c r="B1459" t="s">
        <v>1694</v>
      </c>
      <c r="C1459" t="s">
        <v>1695</v>
      </c>
      <c r="D1459" t="s">
        <v>56</v>
      </c>
      <c r="E1459" t="s">
        <v>1696</v>
      </c>
      <c r="F1459" t="s">
        <v>84</v>
      </c>
      <c r="G1459" s="202">
        <v>1</v>
      </c>
      <c r="H1459">
        <v>5</v>
      </c>
      <c r="I1459" t="s">
        <v>3968</v>
      </c>
      <c r="J1459" t="s">
        <v>3969</v>
      </c>
      <c r="K1459" t="s">
        <v>84</v>
      </c>
      <c r="L1459" s="204">
        <v>1</v>
      </c>
      <c r="M1459" s="112"/>
      <c r="N1459" s="112">
        <v>9.27</v>
      </c>
      <c r="O1459" s="204">
        <v>0.22114347357065811</v>
      </c>
      <c r="P1459" s="112">
        <v>2.0500000000000007</v>
      </c>
      <c r="Q1459" s="112">
        <v>11.32</v>
      </c>
      <c r="R1459" s="112">
        <v>11.32</v>
      </c>
      <c r="S1459" s="112">
        <v>11.32</v>
      </c>
      <c r="T1459" s="112">
        <v>0</v>
      </c>
      <c r="U1459" t="s">
        <v>5473</v>
      </c>
      <c r="V1459" t="s">
        <v>5474</v>
      </c>
      <c r="W1459" t="s">
        <v>4666</v>
      </c>
      <c r="X1459" t="s">
        <v>4667</v>
      </c>
    </row>
    <row r="1460" spans="1:24" x14ac:dyDescent="0.2">
      <c r="A1460" t="s">
        <v>5475</v>
      </c>
      <c r="B1460" t="s">
        <v>1697</v>
      </c>
      <c r="C1460" t="s">
        <v>1698</v>
      </c>
      <c r="D1460" t="s">
        <v>56</v>
      </c>
      <c r="E1460" t="s">
        <v>661</v>
      </c>
      <c r="F1460" t="s">
        <v>84</v>
      </c>
      <c r="G1460" s="202">
        <v>1</v>
      </c>
      <c r="H1460">
        <v>1</v>
      </c>
      <c r="I1460" t="s">
        <v>3954</v>
      </c>
      <c r="J1460" t="s">
        <v>5227</v>
      </c>
      <c r="K1460" t="s">
        <v>1283</v>
      </c>
      <c r="L1460" s="204">
        <v>0.26</v>
      </c>
      <c r="M1460" s="112">
        <v>24.150000000000002</v>
      </c>
      <c r="N1460" s="112">
        <v>6.2790000000000008</v>
      </c>
      <c r="O1460" s="204"/>
      <c r="P1460" s="112"/>
      <c r="Q1460" s="112"/>
      <c r="R1460" s="112"/>
      <c r="S1460" s="112"/>
      <c r="T1460" s="112"/>
      <c r="U1460" t="s">
        <v>5476</v>
      </c>
      <c r="V1460" t="s">
        <v>5477</v>
      </c>
      <c r="W1460" t="s">
        <v>3958</v>
      </c>
      <c r="X1460" t="s">
        <v>4660</v>
      </c>
    </row>
    <row r="1461" spans="1:24" x14ac:dyDescent="0.2">
      <c r="A1461" t="s">
        <v>5475</v>
      </c>
      <c r="B1461" t="s">
        <v>1697</v>
      </c>
      <c r="C1461" t="s">
        <v>1698</v>
      </c>
      <c r="D1461" t="s">
        <v>56</v>
      </c>
      <c r="E1461" t="s">
        <v>661</v>
      </c>
      <c r="F1461" t="s">
        <v>84</v>
      </c>
      <c r="G1461" s="202">
        <v>1</v>
      </c>
      <c r="H1461">
        <v>2</v>
      </c>
      <c r="I1461" t="s">
        <v>3960</v>
      </c>
      <c r="J1461" t="s">
        <v>5229</v>
      </c>
      <c r="K1461" t="s">
        <v>1283</v>
      </c>
      <c r="L1461" s="204">
        <v>0.64</v>
      </c>
      <c r="M1461" s="112">
        <v>24.150000000000002</v>
      </c>
      <c r="N1461" s="112">
        <v>15.456000000000001</v>
      </c>
      <c r="O1461" s="204"/>
      <c r="P1461" s="112"/>
      <c r="Q1461" s="112"/>
      <c r="R1461" s="112"/>
      <c r="S1461" s="112"/>
      <c r="T1461" s="112"/>
      <c r="U1461" t="s">
        <v>5476</v>
      </c>
      <c r="V1461" t="s">
        <v>5477</v>
      </c>
      <c r="W1461" t="s">
        <v>3958</v>
      </c>
      <c r="X1461" t="s">
        <v>4660</v>
      </c>
    </row>
    <row r="1462" spans="1:24" x14ac:dyDescent="0.2">
      <c r="A1462" t="s">
        <v>5475</v>
      </c>
      <c r="B1462" t="s">
        <v>1697</v>
      </c>
      <c r="C1462" t="s">
        <v>1698</v>
      </c>
      <c r="D1462" t="s">
        <v>56</v>
      </c>
      <c r="E1462" t="s">
        <v>661</v>
      </c>
      <c r="F1462" t="s">
        <v>84</v>
      </c>
      <c r="G1462" s="202">
        <v>1</v>
      </c>
      <c r="H1462">
        <v>3</v>
      </c>
      <c r="I1462" t="s">
        <v>3976</v>
      </c>
      <c r="J1462" t="s">
        <v>5230</v>
      </c>
      <c r="K1462" t="s">
        <v>1283</v>
      </c>
      <c r="L1462" s="204">
        <v>0.04</v>
      </c>
      <c r="M1462" s="112">
        <v>24.150000000000002</v>
      </c>
      <c r="N1462" s="112">
        <v>0.96600000000000008</v>
      </c>
      <c r="O1462" s="204"/>
      <c r="P1462" s="112"/>
      <c r="Q1462" s="112"/>
      <c r="R1462" s="112"/>
      <c r="S1462" s="112"/>
      <c r="T1462" s="112"/>
      <c r="U1462" t="s">
        <v>5476</v>
      </c>
      <c r="V1462" t="s">
        <v>5477</v>
      </c>
      <c r="W1462" t="s">
        <v>3958</v>
      </c>
      <c r="X1462" t="s">
        <v>4660</v>
      </c>
    </row>
    <row r="1463" spans="1:24" x14ac:dyDescent="0.2">
      <c r="A1463" t="s">
        <v>5475</v>
      </c>
      <c r="B1463" t="s">
        <v>1697</v>
      </c>
      <c r="C1463" t="s">
        <v>1698</v>
      </c>
      <c r="D1463" t="s">
        <v>56</v>
      </c>
      <c r="E1463" t="s">
        <v>661</v>
      </c>
      <c r="F1463" t="s">
        <v>84</v>
      </c>
      <c r="G1463" s="202">
        <v>1</v>
      </c>
      <c r="H1463">
        <v>4</v>
      </c>
      <c r="I1463" t="s">
        <v>4017</v>
      </c>
      <c r="J1463" t="s">
        <v>4851</v>
      </c>
      <c r="K1463" t="s">
        <v>1283</v>
      </c>
      <c r="L1463" s="204">
        <v>0.06</v>
      </c>
      <c r="M1463" s="112">
        <v>24.150000000000002</v>
      </c>
      <c r="N1463" s="112">
        <v>1.4490000000000001</v>
      </c>
      <c r="O1463" s="204"/>
      <c r="P1463" s="112"/>
      <c r="Q1463" s="112"/>
      <c r="R1463" s="112"/>
      <c r="S1463" s="112"/>
      <c r="T1463" s="112"/>
      <c r="U1463" t="s">
        <v>5476</v>
      </c>
      <c r="V1463" t="s">
        <v>5477</v>
      </c>
      <c r="W1463" t="s">
        <v>3958</v>
      </c>
      <c r="X1463" t="s">
        <v>4660</v>
      </c>
    </row>
    <row r="1464" spans="1:24" x14ac:dyDescent="0.2">
      <c r="A1464" t="s">
        <v>5475</v>
      </c>
      <c r="B1464" t="s">
        <v>1697</v>
      </c>
      <c r="C1464" t="s">
        <v>1698</v>
      </c>
      <c r="D1464" t="s">
        <v>56</v>
      </c>
      <c r="E1464" t="s">
        <v>661</v>
      </c>
      <c r="F1464" t="s">
        <v>84</v>
      </c>
      <c r="G1464" s="202">
        <v>1</v>
      </c>
      <c r="H1464">
        <v>5</v>
      </c>
      <c r="I1464" t="s">
        <v>3968</v>
      </c>
      <c r="J1464" t="s">
        <v>3969</v>
      </c>
      <c r="K1464" t="s">
        <v>84</v>
      </c>
      <c r="L1464" s="204">
        <v>1</v>
      </c>
      <c r="M1464" s="112"/>
      <c r="N1464" s="112">
        <v>24.150000000000002</v>
      </c>
      <c r="O1464" s="204">
        <v>0.22194616977225667</v>
      </c>
      <c r="P1464" s="112">
        <v>5.3599999999999994</v>
      </c>
      <c r="Q1464" s="112">
        <v>29.51</v>
      </c>
      <c r="R1464" s="112">
        <v>29.51</v>
      </c>
      <c r="S1464" s="112">
        <v>29.51</v>
      </c>
      <c r="T1464" s="112">
        <v>0</v>
      </c>
      <c r="U1464" t="s">
        <v>5476</v>
      </c>
      <c r="V1464" t="s">
        <v>5477</v>
      </c>
      <c r="W1464" t="s">
        <v>4666</v>
      </c>
      <c r="X1464" t="s">
        <v>4667</v>
      </c>
    </row>
    <row r="1465" spans="1:24" x14ac:dyDescent="0.2">
      <c r="A1465" t="s">
        <v>5478</v>
      </c>
      <c r="B1465" t="s">
        <v>1699</v>
      </c>
      <c r="C1465" t="s">
        <v>1614</v>
      </c>
      <c r="D1465" t="s">
        <v>56</v>
      </c>
      <c r="E1465" t="s">
        <v>595</v>
      </c>
      <c r="F1465" t="s">
        <v>84</v>
      </c>
      <c r="G1465" s="202">
        <v>1</v>
      </c>
      <c r="H1465">
        <v>1</v>
      </c>
      <c r="I1465" t="s">
        <v>3954</v>
      </c>
      <c r="J1465" t="s">
        <v>5227</v>
      </c>
      <c r="K1465" t="s">
        <v>1283</v>
      </c>
      <c r="L1465" s="204">
        <v>0.26</v>
      </c>
      <c r="M1465" s="112">
        <v>27.39</v>
      </c>
      <c r="N1465" s="112">
        <v>7.1214000000000004</v>
      </c>
      <c r="O1465" s="204"/>
      <c r="P1465" s="112"/>
      <c r="Q1465" s="112"/>
      <c r="R1465" s="112"/>
      <c r="S1465" s="112"/>
      <c r="T1465" s="112"/>
      <c r="U1465" t="s">
        <v>5329</v>
      </c>
      <c r="V1465" t="s">
        <v>5479</v>
      </c>
      <c r="W1465" t="s">
        <v>3958</v>
      </c>
      <c r="X1465" t="s">
        <v>4660</v>
      </c>
    </row>
    <row r="1466" spans="1:24" x14ac:dyDescent="0.2">
      <c r="A1466" t="s">
        <v>5478</v>
      </c>
      <c r="B1466" t="s">
        <v>1699</v>
      </c>
      <c r="C1466" t="s">
        <v>1614</v>
      </c>
      <c r="D1466" t="s">
        <v>56</v>
      </c>
      <c r="E1466" t="s">
        <v>595</v>
      </c>
      <c r="F1466" t="s">
        <v>84</v>
      </c>
      <c r="G1466" s="202">
        <v>1</v>
      </c>
      <c r="H1466">
        <v>2</v>
      </c>
      <c r="I1466" t="s">
        <v>3960</v>
      </c>
      <c r="J1466" t="s">
        <v>5229</v>
      </c>
      <c r="K1466" t="s">
        <v>1283</v>
      </c>
      <c r="L1466" s="204">
        <v>0.64</v>
      </c>
      <c r="M1466" s="112">
        <v>27.39</v>
      </c>
      <c r="N1466" s="112">
        <v>17.529600000000002</v>
      </c>
      <c r="O1466" s="204"/>
      <c r="P1466" s="112"/>
      <c r="Q1466" s="112"/>
      <c r="R1466" s="112"/>
      <c r="S1466" s="112"/>
      <c r="T1466" s="112"/>
      <c r="U1466" t="s">
        <v>5329</v>
      </c>
      <c r="V1466" t="s">
        <v>5479</v>
      </c>
      <c r="W1466" t="s">
        <v>3958</v>
      </c>
      <c r="X1466" t="s">
        <v>4660</v>
      </c>
    </row>
    <row r="1467" spans="1:24" x14ac:dyDescent="0.2">
      <c r="A1467" t="s">
        <v>5478</v>
      </c>
      <c r="B1467" t="s">
        <v>1699</v>
      </c>
      <c r="C1467" t="s">
        <v>1614</v>
      </c>
      <c r="D1467" t="s">
        <v>56</v>
      </c>
      <c r="E1467" t="s">
        <v>595</v>
      </c>
      <c r="F1467" t="s">
        <v>84</v>
      </c>
      <c r="G1467" s="202">
        <v>1</v>
      </c>
      <c r="H1467">
        <v>3</v>
      </c>
      <c r="I1467" t="s">
        <v>3976</v>
      </c>
      <c r="J1467" t="s">
        <v>5230</v>
      </c>
      <c r="K1467" t="s">
        <v>1283</v>
      </c>
      <c r="L1467" s="204">
        <v>0.04</v>
      </c>
      <c r="M1467" s="112">
        <v>27.39</v>
      </c>
      <c r="N1467" s="112">
        <v>1.0956000000000001</v>
      </c>
      <c r="O1467" s="204"/>
      <c r="P1467" s="112"/>
      <c r="Q1467" s="112"/>
      <c r="R1467" s="112"/>
      <c r="S1467" s="112"/>
      <c r="T1467" s="112"/>
      <c r="U1467" t="s">
        <v>5329</v>
      </c>
      <c r="V1467" t="s">
        <v>5479</v>
      </c>
      <c r="W1467" t="s">
        <v>3958</v>
      </c>
      <c r="X1467" t="s">
        <v>4660</v>
      </c>
    </row>
    <row r="1468" spans="1:24" x14ac:dyDescent="0.2">
      <c r="A1468" t="s">
        <v>5478</v>
      </c>
      <c r="B1468" t="s">
        <v>1699</v>
      </c>
      <c r="C1468" t="s">
        <v>1614</v>
      </c>
      <c r="D1468" t="s">
        <v>56</v>
      </c>
      <c r="E1468" t="s">
        <v>595</v>
      </c>
      <c r="F1468" t="s">
        <v>84</v>
      </c>
      <c r="G1468" s="202">
        <v>1</v>
      </c>
      <c r="H1468">
        <v>4</v>
      </c>
      <c r="I1468" t="s">
        <v>4017</v>
      </c>
      <c r="J1468" t="s">
        <v>4851</v>
      </c>
      <c r="K1468" t="s">
        <v>1283</v>
      </c>
      <c r="L1468" s="204">
        <v>0.06</v>
      </c>
      <c r="M1468" s="112">
        <v>27.39</v>
      </c>
      <c r="N1468" s="112">
        <v>1.6434</v>
      </c>
      <c r="O1468" s="204"/>
      <c r="P1468" s="112"/>
      <c r="Q1468" s="112"/>
      <c r="R1468" s="112"/>
      <c r="S1468" s="112"/>
      <c r="T1468" s="112"/>
      <c r="U1468" t="s">
        <v>5329</v>
      </c>
      <c r="V1468" t="s">
        <v>5479</v>
      </c>
      <c r="W1468" t="s">
        <v>3958</v>
      </c>
      <c r="X1468" t="s">
        <v>4660</v>
      </c>
    </row>
    <row r="1469" spans="1:24" x14ac:dyDescent="0.2">
      <c r="A1469" t="s">
        <v>5478</v>
      </c>
      <c r="B1469" t="s">
        <v>1699</v>
      </c>
      <c r="C1469" t="s">
        <v>1614</v>
      </c>
      <c r="D1469" t="s">
        <v>56</v>
      </c>
      <c r="E1469" t="s">
        <v>595</v>
      </c>
      <c r="F1469" t="s">
        <v>84</v>
      </c>
      <c r="G1469" s="202">
        <v>1</v>
      </c>
      <c r="H1469">
        <v>5</v>
      </c>
      <c r="I1469" t="s">
        <v>3968</v>
      </c>
      <c r="J1469" t="s">
        <v>3969</v>
      </c>
      <c r="K1469" t="s">
        <v>84</v>
      </c>
      <c r="L1469" s="204">
        <v>1</v>
      </c>
      <c r="M1469" s="112"/>
      <c r="N1469" s="112">
        <v>27.39</v>
      </c>
      <c r="O1469" s="204">
        <v>0.22197882438846284</v>
      </c>
      <c r="P1469" s="112">
        <v>6.0799999999999983</v>
      </c>
      <c r="Q1469" s="112">
        <v>33.47</v>
      </c>
      <c r="R1469" s="112">
        <v>33.47</v>
      </c>
      <c r="S1469" s="112">
        <v>33.47</v>
      </c>
      <c r="T1469" s="112">
        <v>0</v>
      </c>
      <c r="U1469" t="s">
        <v>5329</v>
      </c>
      <c r="V1469" t="s">
        <v>5479</v>
      </c>
      <c r="W1469" t="s">
        <v>4666</v>
      </c>
      <c r="X1469" t="s">
        <v>4667</v>
      </c>
    </row>
    <row r="1470" spans="1:24" x14ac:dyDescent="0.2">
      <c r="A1470" t="s">
        <v>5480</v>
      </c>
      <c r="B1470" t="s">
        <v>1700</v>
      </c>
      <c r="C1470" t="s">
        <v>1701</v>
      </c>
      <c r="D1470" t="s">
        <v>56</v>
      </c>
      <c r="E1470" t="s">
        <v>662</v>
      </c>
      <c r="F1470" t="s">
        <v>84</v>
      </c>
      <c r="G1470" s="202">
        <v>1</v>
      </c>
      <c r="H1470">
        <v>1</v>
      </c>
      <c r="I1470" t="s">
        <v>3954</v>
      </c>
      <c r="J1470" t="s">
        <v>5227</v>
      </c>
      <c r="K1470" t="s">
        <v>1283</v>
      </c>
      <c r="L1470" s="204">
        <v>0.26</v>
      </c>
      <c r="M1470" s="112">
        <v>10.095000000000001</v>
      </c>
      <c r="N1470" s="112">
        <v>2.6247000000000003</v>
      </c>
      <c r="O1470" s="204"/>
      <c r="P1470" s="112"/>
      <c r="Q1470" s="112"/>
      <c r="R1470" s="112"/>
      <c r="S1470" s="112"/>
      <c r="T1470" s="112"/>
      <c r="U1470" t="s">
        <v>5481</v>
      </c>
      <c r="V1470" t="s">
        <v>5482</v>
      </c>
      <c r="W1470" t="s">
        <v>3958</v>
      </c>
      <c r="X1470" t="s">
        <v>4660</v>
      </c>
    </row>
    <row r="1471" spans="1:24" x14ac:dyDescent="0.2">
      <c r="A1471" t="s">
        <v>5480</v>
      </c>
      <c r="B1471" t="s">
        <v>1700</v>
      </c>
      <c r="C1471" t="s">
        <v>1701</v>
      </c>
      <c r="D1471" t="s">
        <v>56</v>
      </c>
      <c r="E1471" t="s">
        <v>662</v>
      </c>
      <c r="F1471" t="s">
        <v>84</v>
      </c>
      <c r="G1471" s="202">
        <v>1</v>
      </c>
      <c r="H1471">
        <v>2</v>
      </c>
      <c r="I1471" t="s">
        <v>3960</v>
      </c>
      <c r="J1471" t="s">
        <v>5229</v>
      </c>
      <c r="K1471" t="s">
        <v>1283</v>
      </c>
      <c r="L1471" s="204">
        <v>0.64</v>
      </c>
      <c r="M1471" s="112">
        <v>10.095000000000001</v>
      </c>
      <c r="N1471" s="112">
        <v>6.4608000000000008</v>
      </c>
      <c r="O1471" s="204"/>
      <c r="P1471" s="112"/>
      <c r="Q1471" s="112"/>
      <c r="R1471" s="112"/>
      <c r="S1471" s="112"/>
      <c r="T1471" s="112"/>
      <c r="U1471" t="s">
        <v>5481</v>
      </c>
      <c r="V1471" t="s">
        <v>5482</v>
      </c>
      <c r="W1471" t="s">
        <v>3958</v>
      </c>
      <c r="X1471" t="s">
        <v>4660</v>
      </c>
    </row>
    <row r="1472" spans="1:24" x14ac:dyDescent="0.2">
      <c r="A1472" t="s">
        <v>5480</v>
      </c>
      <c r="B1472" t="s">
        <v>1700</v>
      </c>
      <c r="C1472" t="s">
        <v>1701</v>
      </c>
      <c r="D1472" t="s">
        <v>56</v>
      </c>
      <c r="E1472" t="s">
        <v>662</v>
      </c>
      <c r="F1472" t="s">
        <v>84</v>
      </c>
      <c r="G1472" s="202">
        <v>1</v>
      </c>
      <c r="H1472">
        <v>3</v>
      </c>
      <c r="I1472" t="s">
        <v>3976</v>
      </c>
      <c r="J1472" t="s">
        <v>5230</v>
      </c>
      <c r="K1472" t="s">
        <v>1283</v>
      </c>
      <c r="L1472" s="204">
        <v>0.04</v>
      </c>
      <c r="M1472" s="112">
        <v>10.095000000000001</v>
      </c>
      <c r="N1472" s="112">
        <v>0.40380000000000005</v>
      </c>
      <c r="O1472" s="204"/>
      <c r="P1472" s="112"/>
      <c r="Q1472" s="112"/>
      <c r="R1472" s="112"/>
      <c r="S1472" s="112"/>
      <c r="T1472" s="112"/>
      <c r="U1472" t="s">
        <v>5481</v>
      </c>
      <c r="V1472" t="s">
        <v>5482</v>
      </c>
      <c r="W1472" t="s">
        <v>3958</v>
      </c>
      <c r="X1472" t="s">
        <v>4660</v>
      </c>
    </row>
    <row r="1473" spans="1:24" x14ac:dyDescent="0.2">
      <c r="A1473" t="s">
        <v>5480</v>
      </c>
      <c r="B1473" t="s">
        <v>1700</v>
      </c>
      <c r="C1473" t="s">
        <v>1701</v>
      </c>
      <c r="D1473" t="s">
        <v>56</v>
      </c>
      <c r="E1473" t="s">
        <v>662</v>
      </c>
      <c r="F1473" t="s">
        <v>84</v>
      </c>
      <c r="G1473" s="202">
        <v>1</v>
      </c>
      <c r="H1473">
        <v>4</v>
      </c>
      <c r="I1473" t="s">
        <v>4017</v>
      </c>
      <c r="J1473" t="s">
        <v>4851</v>
      </c>
      <c r="K1473" t="s">
        <v>1283</v>
      </c>
      <c r="L1473" s="204">
        <v>0.06</v>
      </c>
      <c r="M1473" s="112">
        <v>10.095000000000001</v>
      </c>
      <c r="N1473" s="112">
        <v>0.60570000000000002</v>
      </c>
      <c r="O1473" s="204"/>
      <c r="P1473" s="112"/>
      <c r="Q1473" s="112"/>
      <c r="R1473" s="112"/>
      <c r="S1473" s="112"/>
      <c r="T1473" s="112"/>
      <c r="U1473" t="s">
        <v>5481</v>
      </c>
      <c r="V1473" t="s">
        <v>5482</v>
      </c>
      <c r="W1473" t="s">
        <v>3958</v>
      </c>
      <c r="X1473" t="s">
        <v>4660</v>
      </c>
    </row>
    <row r="1474" spans="1:24" x14ac:dyDescent="0.2">
      <c r="A1474" t="s">
        <v>5480</v>
      </c>
      <c r="B1474" t="s">
        <v>1700</v>
      </c>
      <c r="C1474" t="s">
        <v>1701</v>
      </c>
      <c r="D1474" t="s">
        <v>56</v>
      </c>
      <c r="E1474" t="s">
        <v>662</v>
      </c>
      <c r="F1474" t="s">
        <v>84</v>
      </c>
      <c r="G1474" s="202">
        <v>1</v>
      </c>
      <c r="H1474">
        <v>5</v>
      </c>
      <c r="I1474" t="s">
        <v>3968</v>
      </c>
      <c r="J1474" t="s">
        <v>3969</v>
      </c>
      <c r="K1474" t="s">
        <v>84</v>
      </c>
      <c r="L1474" s="204">
        <v>1</v>
      </c>
      <c r="M1474" s="112"/>
      <c r="N1474" s="112">
        <v>10.095000000000001</v>
      </c>
      <c r="O1474" s="204">
        <v>0.22139673105497759</v>
      </c>
      <c r="P1474" s="112">
        <v>2.2349999999999994</v>
      </c>
      <c r="Q1474" s="112">
        <v>12.33</v>
      </c>
      <c r="R1474" s="112">
        <v>12.33</v>
      </c>
      <c r="S1474" s="112">
        <v>12.33</v>
      </c>
      <c r="T1474" s="112">
        <v>0</v>
      </c>
      <c r="U1474" t="s">
        <v>5481</v>
      </c>
      <c r="V1474" t="s">
        <v>5482</v>
      </c>
      <c r="W1474" t="s">
        <v>4666</v>
      </c>
      <c r="X1474" t="s">
        <v>4667</v>
      </c>
    </row>
    <row r="1475" spans="1:24" x14ac:dyDescent="0.2">
      <c r="A1475" t="s">
        <v>5483</v>
      </c>
      <c r="B1475" t="s">
        <v>1702</v>
      </c>
      <c r="C1475" t="s">
        <v>1661</v>
      </c>
      <c r="D1475" t="s">
        <v>56</v>
      </c>
      <c r="E1475" t="s">
        <v>630</v>
      </c>
      <c r="F1475" t="s">
        <v>84</v>
      </c>
      <c r="G1475" s="202">
        <v>1</v>
      </c>
      <c r="H1475">
        <v>1</v>
      </c>
      <c r="I1475" t="s">
        <v>3954</v>
      </c>
      <c r="J1475" t="s">
        <v>5227</v>
      </c>
      <c r="K1475" t="s">
        <v>1283</v>
      </c>
      <c r="L1475" s="204">
        <v>0.26</v>
      </c>
      <c r="M1475" s="112">
        <v>12</v>
      </c>
      <c r="N1475" s="112">
        <v>3.12</v>
      </c>
      <c r="O1475" s="204"/>
      <c r="P1475" s="112"/>
      <c r="Q1475" s="112"/>
      <c r="R1475" s="112"/>
      <c r="S1475" s="112"/>
      <c r="T1475" s="112"/>
      <c r="U1475" t="s">
        <v>5409</v>
      </c>
      <c r="V1475" t="s">
        <v>5484</v>
      </c>
      <c r="W1475" t="s">
        <v>3958</v>
      </c>
      <c r="X1475" t="s">
        <v>4660</v>
      </c>
    </row>
    <row r="1476" spans="1:24" x14ac:dyDescent="0.2">
      <c r="A1476" t="s">
        <v>5483</v>
      </c>
      <c r="B1476" t="s">
        <v>1702</v>
      </c>
      <c r="C1476" t="s">
        <v>1661</v>
      </c>
      <c r="D1476" t="s">
        <v>56</v>
      </c>
      <c r="E1476" t="s">
        <v>630</v>
      </c>
      <c r="F1476" t="s">
        <v>84</v>
      </c>
      <c r="G1476" s="202">
        <v>1</v>
      </c>
      <c r="H1476">
        <v>2</v>
      </c>
      <c r="I1476" t="s">
        <v>3960</v>
      </c>
      <c r="J1476" t="s">
        <v>5229</v>
      </c>
      <c r="K1476" t="s">
        <v>1283</v>
      </c>
      <c r="L1476" s="204">
        <v>0.64</v>
      </c>
      <c r="M1476" s="112">
        <v>12</v>
      </c>
      <c r="N1476" s="112">
        <v>7.68</v>
      </c>
      <c r="O1476" s="204"/>
      <c r="P1476" s="112"/>
      <c r="Q1476" s="112"/>
      <c r="R1476" s="112"/>
      <c r="S1476" s="112"/>
      <c r="T1476" s="112"/>
      <c r="U1476" t="s">
        <v>5409</v>
      </c>
      <c r="V1476" t="s">
        <v>5484</v>
      </c>
      <c r="W1476" t="s">
        <v>3958</v>
      </c>
      <c r="X1476" t="s">
        <v>4660</v>
      </c>
    </row>
    <row r="1477" spans="1:24" x14ac:dyDescent="0.2">
      <c r="A1477" t="s">
        <v>5483</v>
      </c>
      <c r="B1477" t="s">
        <v>1702</v>
      </c>
      <c r="C1477" t="s">
        <v>1661</v>
      </c>
      <c r="D1477" t="s">
        <v>56</v>
      </c>
      <c r="E1477" t="s">
        <v>630</v>
      </c>
      <c r="F1477" t="s">
        <v>84</v>
      </c>
      <c r="G1477" s="202">
        <v>1</v>
      </c>
      <c r="H1477">
        <v>3</v>
      </c>
      <c r="I1477" t="s">
        <v>3976</v>
      </c>
      <c r="J1477" t="s">
        <v>5230</v>
      </c>
      <c r="K1477" t="s">
        <v>1283</v>
      </c>
      <c r="L1477" s="204">
        <v>0.04</v>
      </c>
      <c r="M1477" s="112">
        <v>12</v>
      </c>
      <c r="N1477" s="112">
        <v>0.48</v>
      </c>
      <c r="O1477" s="204"/>
      <c r="P1477" s="112"/>
      <c r="Q1477" s="112"/>
      <c r="R1477" s="112"/>
      <c r="S1477" s="112"/>
      <c r="T1477" s="112"/>
      <c r="U1477" t="s">
        <v>5409</v>
      </c>
      <c r="V1477" t="s">
        <v>5484</v>
      </c>
      <c r="W1477" t="s">
        <v>3958</v>
      </c>
      <c r="X1477" t="s">
        <v>4660</v>
      </c>
    </row>
    <row r="1478" spans="1:24" x14ac:dyDescent="0.2">
      <c r="A1478" t="s">
        <v>5483</v>
      </c>
      <c r="B1478" t="s">
        <v>1702</v>
      </c>
      <c r="C1478" t="s">
        <v>1661</v>
      </c>
      <c r="D1478" t="s">
        <v>56</v>
      </c>
      <c r="E1478" t="s">
        <v>630</v>
      </c>
      <c r="F1478" t="s">
        <v>84</v>
      </c>
      <c r="G1478" s="202">
        <v>1</v>
      </c>
      <c r="H1478">
        <v>4</v>
      </c>
      <c r="I1478" t="s">
        <v>4017</v>
      </c>
      <c r="J1478" t="s">
        <v>4851</v>
      </c>
      <c r="K1478" t="s">
        <v>1283</v>
      </c>
      <c r="L1478" s="204">
        <v>0.06</v>
      </c>
      <c r="M1478" s="112">
        <v>12</v>
      </c>
      <c r="N1478" s="112">
        <v>0.72</v>
      </c>
      <c r="O1478" s="204"/>
      <c r="P1478" s="112"/>
      <c r="Q1478" s="112"/>
      <c r="R1478" s="112"/>
      <c r="S1478" s="112"/>
      <c r="T1478" s="112"/>
      <c r="U1478" t="s">
        <v>5409</v>
      </c>
      <c r="V1478" t="s">
        <v>5484</v>
      </c>
      <c r="W1478" t="s">
        <v>3958</v>
      </c>
      <c r="X1478" t="s">
        <v>4660</v>
      </c>
    </row>
    <row r="1479" spans="1:24" x14ac:dyDescent="0.2">
      <c r="A1479" t="s">
        <v>5483</v>
      </c>
      <c r="B1479" t="s">
        <v>1702</v>
      </c>
      <c r="C1479" t="s">
        <v>1661</v>
      </c>
      <c r="D1479" t="s">
        <v>56</v>
      </c>
      <c r="E1479" t="s">
        <v>630</v>
      </c>
      <c r="F1479" t="s">
        <v>84</v>
      </c>
      <c r="G1479" s="202">
        <v>1</v>
      </c>
      <c r="H1479">
        <v>5</v>
      </c>
      <c r="I1479" t="s">
        <v>3968</v>
      </c>
      <c r="J1479" t="s">
        <v>3969</v>
      </c>
      <c r="K1479" t="s">
        <v>84</v>
      </c>
      <c r="L1479" s="204">
        <v>1</v>
      </c>
      <c r="M1479" s="112"/>
      <c r="N1479" s="112">
        <v>12</v>
      </c>
      <c r="O1479" s="204">
        <v>0.22166666666666668</v>
      </c>
      <c r="P1479" s="112">
        <v>2.66</v>
      </c>
      <c r="Q1479" s="112">
        <v>14.66</v>
      </c>
      <c r="R1479" s="112">
        <v>14.66</v>
      </c>
      <c r="S1479" s="112">
        <v>14.66</v>
      </c>
      <c r="T1479" s="112">
        <v>0</v>
      </c>
      <c r="U1479" t="s">
        <v>5409</v>
      </c>
      <c r="V1479" t="s">
        <v>5484</v>
      </c>
      <c r="W1479" t="s">
        <v>4666</v>
      </c>
      <c r="X1479" t="s">
        <v>4667</v>
      </c>
    </row>
    <row r="1480" spans="1:24" x14ac:dyDescent="0.2">
      <c r="A1480" t="s">
        <v>5485</v>
      </c>
      <c r="B1480" t="s">
        <v>1703</v>
      </c>
      <c r="C1480" t="s">
        <v>1704</v>
      </c>
      <c r="D1480" t="s">
        <v>56</v>
      </c>
      <c r="E1480" t="s">
        <v>663</v>
      </c>
      <c r="F1480" t="s">
        <v>84</v>
      </c>
      <c r="G1480" s="202">
        <v>2</v>
      </c>
      <c r="H1480">
        <v>1</v>
      </c>
      <c r="I1480" t="s">
        <v>3954</v>
      </c>
      <c r="J1480" t="s">
        <v>5227</v>
      </c>
      <c r="K1480" t="s">
        <v>1283</v>
      </c>
      <c r="L1480" s="204">
        <v>0.26</v>
      </c>
      <c r="M1480" s="112">
        <v>17.377500000000001</v>
      </c>
      <c r="N1480" s="112">
        <v>4.5181500000000003</v>
      </c>
      <c r="O1480" s="204"/>
      <c r="P1480" s="112"/>
      <c r="Q1480" s="112"/>
      <c r="R1480" s="112"/>
      <c r="S1480" s="112"/>
      <c r="T1480" s="112"/>
      <c r="U1480" t="s">
        <v>5486</v>
      </c>
      <c r="V1480" t="s">
        <v>5487</v>
      </c>
      <c r="W1480" t="s">
        <v>3958</v>
      </c>
      <c r="X1480" t="s">
        <v>4660</v>
      </c>
    </row>
    <row r="1481" spans="1:24" x14ac:dyDescent="0.2">
      <c r="A1481" t="s">
        <v>5485</v>
      </c>
      <c r="B1481" t="s">
        <v>1703</v>
      </c>
      <c r="C1481" t="s">
        <v>1704</v>
      </c>
      <c r="D1481" t="s">
        <v>56</v>
      </c>
      <c r="E1481" t="s">
        <v>663</v>
      </c>
      <c r="F1481" t="s">
        <v>84</v>
      </c>
      <c r="G1481" s="202">
        <v>2</v>
      </c>
      <c r="H1481">
        <v>2</v>
      </c>
      <c r="I1481" t="s">
        <v>3960</v>
      </c>
      <c r="J1481" t="s">
        <v>5229</v>
      </c>
      <c r="K1481" t="s">
        <v>1283</v>
      </c>
      <c r="L1481" s="204">
        <v>0.64</v>
      </c>
      <c r="M1481" s="112">
        <v>17.377500000000001</v>
      </c>
      <c r="N1481" s="112">
        <v>11.121600000000001</v>
      </c>
      <c r="O1481" s="204"/>
      <c r="P1481" s="112"/>
      <c r="Q1481" s="112"/>
      <c r="R1481" s="112"/>
      <c r="S1481" s="112"/>
      <c r="T1481" s="112"/>
      <c r="U1481" t="s">
        <v>5486</v>
      </c>
      <c r="V1481" t="s">
        <v>5487</v>
      </c>
      <c r="W1481" t="s">
        <v>3958</v>
      </c>
      <c r="X1481" t="s">
        <v>4660</v>
      </c>
    </row>
    <row r="1482" spans="1:24" x14ac:dyDescent="0.2">
      <c r="A1482" t="s">
        <v>5485</v>
      </c>
      <c r="B1482" t="s">
        <v>1703</v>
      </c>
      <c r="C1482" t="s">
        <v>1704</v>
      </c>
      <c r="D1482" t="s">
        <v>56</v>
      </c>
      <c r="E1482" t="s">
        <v>663</v>
      </c>
      <c r="F1482" t="s">
        <v>84</v>
      </c>
      <c r="G1482" s="202">
        <v>2</v>
      </c>
      <c r="H1482">
        <v>3</v>
      </c>
      <c r="I1482" t="s">
        <v>3976</v>
      </c>
      <c r="J1482" t="s">
        <v>5230</v>
      </c>
      <c r="K1482" t="s">
        <v>1283</v>
      </c>
      <c r="L1482" s="204">
        <v>0.04</v>
      </c>
      <c r="M1482" s="112">
        <v>17.377500000000001</v>
      </c>
      <c r="N1482" s="112">
        <v>0.69510000000000005</v>
      </c>
      <c r="O1482" s="204"/>
      <c r="P1482" s="112"/>
      <c r="Q1482" s="112"/>
      <c r="R1482" s="112"/>
      <c r="S1482" s="112"/>
      <c r="T1482" s="112"/>
      <c r="U1482" t="s">
        <v>5486</v>
      </c>
      <c r="V1482" t="s">
        <v>5487</v>
      </c>
      <c r="W1482" t="s">
        <v>3958</v>
      </c>
      <c r="X1482" t="s">
        <v>4660</v>
      </c>
    </row>
    <row r="1483" spans="1:24" x14ac:dyDescent="0.2">
      <c r="A1483" t="s">
        <v>5485</v>
      </c>
      <c r="B1483" t="s">
        <v>1703</v>
      </c>
      <c r="C1483" t="s">
        <v>1704</v>
      </c>
      <c r="D1483" t="s">
        <v>56</v>
      </c>
      <c r="E1483" t="s">
        <v>663</v>
      </c>
      <c r="F1483" t="s">
        <v>84</v>
      </c>
      <c r="G1483" s="202">
        <v>2</v>
      </c>
      <c r="H1483">
        <v>4</v>
      </c>
      <c r="I1483" t="s">
        <v>4017</v>
      </c>
      <c r="J1483" t="s">
        <v>4851</v>
      </c>
      <c r="K1483" t="s">
        <v>1283</v>
      </c>
      <c r="L1483" s="204">
        <v>0.06</v>
      </c>
      <c r="M1483" s="112">
        <v>17.377500000000001</v>
      </c>
      <c r="N1483" s="112">
        <v>1.0426500000000001</v>
      </c>
      <c r="O1483" s="204"/>
      <c r="P1483" s="112"/>
      <c r="Q1483" s="112"/>
      <c r="R1483" s="112"/>
      <c r="S1483" s="112"/>
      <c r="T1483" s="112"/>
      <c r="U1483" t="s">
        <v>5486</v>
      </c>
      <c r="V1483" t="s">
        <v>5487</v>
      </c>
      <c r="W1483" t="s">
        <v>3958</v>
      </c>
      <c r="X1483" t="s">
        <v>4660</v>
      </c>
    </row>
    <row r="1484" spans="1:24" x14ac:dyDescent="0.2">
      <c r="A1484" t="s">
        <v>5485</v>
      </c>
      <c r="B1484" t="s">
        <v>1703</v>
      </c>
      <c r="C1484" t="s">
        <v>1704</v>
      </c>
      <c r="D1484" t="s">
        <v>56</v>
      </c>
      <c r="E1484" t="s">
        <v>663</v>
      </c>
      <c r="F1484" t="s">
        <v>84</v>
      </c>
      <c r="G1484" s="202">
        <v>2</v>
      </c>
      <c r="H1484">
        <v>5</v>
      </c>
      <c r="I1484" t="s">
        <v>3968</v>
      </c>
      <c r="J1484" t="s">
        <v>3969</v>
      </c>
      <c r="K1484" t="s">
        <v>84</v>
      </c>
      <c r="L1484" s="204">
        <v>1</v>
      </c>
      <c r="M1484" s="112"/>
      <c r="N1484" s="112">
        <v>17.377500000000001</v>
      </c>
      <c r="O1484" s="204">
        <v>0.22227017695295626</v>
      </c>
      <c r="P1484" s="112">
        <v>3.8624999999999972</v>
      </c>
      <c r="Q1484" s="112">
        <v>21.24</v>
      </c>
      <c r="R1484" s="112">
        <v>42.48</v>
      </c>
      <c r="S1484" s="112">
        <v>42.48</v>
      </c>
      <c r="T1484" s="112">
        <v>0</v>
      </c>
      <c r="U1484" t="s">
        <v>5486</v>
      </c>
      <c r="V1484" t="s">
        <v>5487</v>
      </c>
      <c r="W1484" t="s">
        <v>4666</v>
      </c>
      <c r="X1484" t="s">
        <v>4667</v>
      </c>
    </row>
    <row r="1485" spans="1:24" x14ac:dyDescent="0.2">
      <c r="A1485" t="s">
        <v>5488</v>
      </c>
      <c r="B1485" t="s">
        <v>1705</v>
      </c>
      <c r="C1485" t="s">
        <v>1706</v>
      </c>
      <c r="D1485" t="s">
        <v>56</v>
      </c>
      <c r="E1485" t="s">
        <v>664</v>
      </c>
      <c r="F1485" t="s">
        <v>84</v>
      </c>
      <c r="G1485" s="202">
        <v>2</v>
      </c>
      <c r="H1485">
        <v>1</v>
      </c>
      <c r="I1485" t="s">
        <v>3954</v>
      </c>
      <c r="J1485" t="s">
        <v>5227</v>
      </c>
      <c r="K1485" t="s">
        <v>1283</v>
      </c>
      <c r="L1485" s="204">
        <v>0.26</v>
      </c>
      <c r="M1485" s="112">
        <v>7.1325000000000003</v>
      </c>
      <c r="N1485" s="112">
        <v>1.8544500000000002</v>
      </c>
      <c r="O1485" s="204"/>
      <c r="P1485" s="112"/>
      <c r="Q1485" s="112"/>
      <c r="R1485" s="112"/>
      <c r="S1485" s="112"/>
      <c r="T1485" s="112"/>
      <c r="U1485" t="s">
        <v>5489</v>
      </c>
      <c r="V1485" t="s">
        <v>5490</v>
      </c>
      <c r="W1485" t="s">
        <v>3958</v>
      </c>
      <c r="X1485" t="s">
        <v>4660</v>
      </c>
    </row>
    <row r="1486" spans="1:24" x14ac:dyDescent="0.2">
      <c r="A1486" t="s">
        <v>5488</v>
      </c>
      <c r="B1486" t="s">
        <v>1705</v>
      </c>
      <c r="C1486" t="s">
        <v>1706</v>
      </c>
      <c r="D1486" t="s">
        <v>56</v>
      </c>
      <c r="E1486" t="s">
        <v>664</v>
      </c>
      <c r="F1486" t="s">
        <v>84</v>
      </c>
      <c r="G1486" s="202">
        <v>2</v>
      </c>
      <c r="H1486">
        <v>2</v>
      </c>
      <c r="I1486" t="s">
        <v>3960</v>
      </c>
      <c r="J1486" t="s">
        <v>5229</v>
      </c>
      <c r="K1486" t="s">
        <v>1283</v>
      </c>
      <c r="L1486" s="204">
        <v>0.64</v>
      </c>
      <c r="M1486" s="112">
        <v>7.1325000000000003</v>
      </c>
      <c r="N1486" s="112">
        <v>4.5648</v>
      </c>
      <c r="O1486" s="204"/>
      <c r="P1486" s="112"/>
      <c r="Q1486" s="112"/>
      <c r="R1486" s="112"/>
      <c r="S1486" s="112"/>
      <c r="T1486" s="112"/>
      <c r="U1486" t="s">
        <v>5489</v>
      </c>
      <c r="V1486" t="s">
        <v>5490</v>
      </c>
      <c r="W1486" t="s">
        <v>3958</v>
      </c>
      <c r="X1486" t="s">
        <v>4660</v>
      </c>
    </row>
    <row r="1487" spans="1:24" x14ac:dyDescent="0.2">
      <c r="A1487" t="s">
        <v>5488</v>
      </c>
      <c r="B1487" t="s">
        <v>1705</v>
      </c>
      <c r="C1487" t="s">
        <v>1706</v>
      </c>
      <c r="D1487" t="s">
        <v>56</v>
      </c>
      <c r="E1487" t="s">
        <v>664</v>
      </c>
      <c r="F1487" t="s">
        <v>84</v>
      </c>
      <c r="G1487" s="202">
        <v>2</v>
      </c>
      <c r="H1487">
        <v>3</v>
      </c>
      <c r="I1487" t="s">
        <v>3976</v>
      </c>
      <c r="J1487" t="s">
        <v>5230</v>
      </c>
      <c r="K1487" t="s">
        <v>1283</v>
      </c>
      <c r="L1487" s="204">
        <v>0.04</v>
      </c>
      <c r="M1487" s="112">
        <v>7.1325000000000003</v>
      </c>
      <c r="N1487" s="112">
        <v>0.2853</v>
      </c>
      <c r="O1487" s="204"/>
      <c r="P1487" s="112"/>
      <c r="Q1487" s="112"/>
      <c r="R1487" s="112"/>
      <c r="S1487" s="112"/>
      <c r="T1487" s="112"/>
      <c r="U1487" t="s">
        <v>5489</v>
      </c>
      <c r="V1487" t="s">
        <v>5490</v>
      </c>
      <c r="W1487" t="s">
        <v>3958</v>
      </c>
      <c r="X1487" t="s">
        <v>4660</v>
      </c>
    </row>
    <row r="1488" spans="1:24" x14ac:dyDescent="0.2">
      <c r="A1488" t="s">
        <v>5488</v>
      </c>
      <c r="B1488" t="s">
        <v>1705</v>
      </c>
      <c r="C1488" t="s">
        <v>1706</v>
      </c>
      <c r="D1488" t="s">
        <v>56</v>
      </c>
      <c r="E1488" t="s">
        <v>664</v>
      </c>
      <c r="F1488" t="s">
        <v>84</v>
      </c>
      <c r="G1488" s="202">
        <v>2</v>
      </c>
      <c r="H1488">
        <v>4</v>
      </c>
      <c r="I1488" t="s">
        <v>4017</v>
      </c>
      <c r="J1488" t="s">
        <v>4851</v>
      </c>
      <c r="K1488" t="s">
        <v>1283</v>
      </c>
      <c r="L1488" s="204">
        <v>0.06</v>
      </c>
      <c r="M1488" s="112">
        <v>7.1325000000000003</v>
      </c>
      <c r="N1488" s="112">
        <v>0.42795</v>
      </c>
      <c r="O1488" s="204"/>
      <c r="P1488" s="112"/>
      <c r="Q1488" s="112"/>
      <c r="R1488" s="112"/>
      <c r="S1488" s="112"/>
      <c r="T1488" s="112"/>
      <c r="U1488" t="s">
        <v>5489</v>
      </c>
      <c r="V1488" t="s">
        <v>5490</v>
      </c>
      <c r="W1488" t="s">
        <v>3958</v>
      </c>
      <c r="X1488" t="s">
        <v>4660</v>
      </c>
    </row>
    <row r="1489" spans="1:24" x14ac:dyDescent="0.2">
      <c r="A1489" t="s">
        <v>5488</v>
      </c>
      <c r="B1489" t="s">
        <v>1705</v>
      </c>
      <c r="C1489" t="s">
        <v>1706</v>
      </c>
      <c r="D1489" t="s">
        <v>56</v>
      </c>
      <c r="E1489" t="s">
        <v>664</v>
      </c>
      <c r="F1489" t="s">
        <v>84</v>
      </c>
      <c r="G1489" s="202">
        <v>2</v>
      </c>
      <c r="H1489">
        <v>5</v>
      </c>
      <c r="I1489" t="s">
        <v>3968</v>
      </c>
      <c r="J1489" t="s">
        <v>3969</v>
      </c>
      <c r="K1489" t="s">
        <v>84</v>
      </c>
      <c r="L1489" s="204">
        <v>1</v>
      </c>
      <c r="M1489" s="112"/>
      <c r="N1489" s="112">
        <v>7.1325000000000003</v>
      </c>
      <c r="O1489" s="204">
        <v>0.22187171398527861</v>
      </c>
      <c r="P1489" s="112">
        <v>1.5824999999999996</v>
      </c>
      <c r="Q1489" s="112">
        <v>8.7149999999999999</v>
      </c>
      <c r="R1489" s="112">
        <v>17.43</v>
      </c>
      <c r="S1489" s="112">
        <v>17.43</v>
      </c>
      <c r="T1489" s="112">
        <v>0</v>
      </c>
      <c r="U1489" t="s">
        <v>5489</v>
      </c>
      <c r="V1489" t="s">
        <v>5490</v>
      </c>
      <c r="W1489" t="s">
        <v>4666</v>
      </c>
      <c r="X1489" t="s">
        <v>4667</v>
      </c>
    </row>
    <row r="1490" spans="1:24" x14ac:dyDescent="0.2">
      <c r="A1490" t="s">
        <v>5491</v>
      </c>
      <c r="B1490" t="s">
        <v>1707</v>
      </c>
      <c r="C1490" t="s">
        <v>1674</v>
      </c>
      <c r="D1490" t="s">
        <v>56</v>
      </c>
      <c r="E1490" t="s">
        <v>636</v>
      </c>
      <c r="F1490" t="s">
        <v>84</v>
      </c>
      <c r="G1490" s="202">
        <v>2</v>
      </c>
      <c r="H1490">
        <v>1</v>
      </c>
      <c r="I1490" t="s">
        <v>3954</v>
      </c>
      <c r="J1490" t="s">
        <v>5227</v>
      </c>
      <c r="K1490" t="s">
        <v>1283</v>
      </c>
      <c r="L1490" s="204">
        <v>0.26</v>
      </c>
      <c r="M1490" s="112">
        <v>6.5249999999999995</v>
      </c>
      <c r="N1490" s="112">
        <v>1.6964999999999999</v>
      </c>
      <c r="O1490" s="204"/>
      <c r="P1490" s="112"/>
      <c r="Q1490" s="112"/>
      <c r="R1490" s="112"/>
      <c r="S1490" s="112"/>
      <c r="T1490" s="112"/>
      <c r="U1490" t="s">
        <v>5428</v>
      </c>
      <c r="V1490" t="s">
        <v>5492</v>
      </c>
      <c r="W1490" t="s">
        <v>3958</v>
      </c>
      <c r="X1490" t="s">
        <v>4660</v>
      </c>
    </row>
    <row r="1491" spans="1:24" x14ac:dyDescent="0.2">
      <c r="A1491" t="s">
        <v>5491</v>
      </c>
      <c r="B1491" t="s">
        <v>1707</v>
      </c>
      <c r="C1491" t="s">
        <v>1674</v>
      </c>
      <c r="D1491" t="s">
        <v>56</v>
      </c>
      <c r="E1491" t="s">
        <v>636</v>
      </c>
      <c r="F1491" t="s">
        <v>84</v>
      </c>
      <c r="G1491" s="202">
        <v>2</v>
      </c>
      <c r="H1491">
        <v>2</v>
      </c>
      <c r="I1491" t="s">
        <v>3960</v>
      </c>
      <c r="J1491" t="s">
        <v>5229</v>
      </c>
      <c r="K1491" t="s">
        <v>1283</v>
      </c>
      <c r="L1491" s="204">
        <v>0.64</v>
      </c>
      <c r="M1491" s="112">
        <v>6.5249999999999995</v>
      </c>
      <c r="N1491" s="112">
        <v>4.1760000000000002</v>
      </c>
      <c r="O1491" s="204"/>
      <c r="P1491" s="112"/>
      <c r="Q1491" s="112"/>
      <c r="R1491" s="112"/>
      <c r="S1491" s="112"/>
      <c r="T1491" s="112"/>
      <c r="U1491" t="s">
        <v>5428</v>
      </c>
      <c r="V1491" t="s">
        <v>5492</v>
      </c>
      <c r="W1491" t="s">
        <v>3958</v>
      </c>
      <c r="X1491" t="s">
        <v>4660</v>
      </c>
    </row>
    <row r="1492" spans="1:24" x14ac:dyDescent="0.2">
      <c r="A1492" t="s">
        <v>5491</v>
      </c>
      <c r="B1492" t="s">
        <v>1707</v>
      </c>
      <c r="C1492" t="s">
        <v>1674</v>
      </c>
      <c r="D1492" t="s">
        <v>56</v>
      </c>
      <c r="E1492" t="s">
        <v>636</v>
      </c>
      <c r="F1492" t="s">
        <v>84</v>
      </c>
      <c r="G1492" s="202">
        <v>2</v>
      </c>
      <c r="H1492">
        <v>3</v>
      </c>
      <c r="I1492" t="s">
        <v>3976</v>
      </c>
      <c r="J1492" t="s">
        <v>5230</v>
      </c>
      <c r="K1492" t="s">
        <v>1283</v>
      </c>
      <c r="L1492" s="204">
        <v>0.04</v>
      </c>
      <c r="M1492" s="112">
        <v>6.5249999999999995</v>
      </c>
      <c r="N1492" s="112">
        <v>0.26100000000000001</v>
      </c>
      <c r="O1492" s="204"/>
      <c r="P1492" s="112"/>
      <c r="Q1492" s="112"/>
      <c r="R1492" s="112"/>
      <c r="S1492" s="112"/>
      <c r="T1492" s="112"/>
      <c r="U1492" t="s">
        <v>5428</v>
      </c>
      <c r="V1492" t="s">
        <v>5492</v>
      </c>
      <c r="W1492" t="s">
        <v>3958</v>
      </c>
      <c r="X1492" t="s">
        <v>4660</v>
      </c>
    </row>
    <row r="1493" spans="1:24" x14ac:dyDescent="0.2">
      <c r="A1493" t="s">
        <v>5491</v>
      </c>
      <c r="B1493" t="s">
        <v>1707</v>
      </c>
      <c r="C1493" t="s">
        <v>1674</v>
      </c>
      <c r="D1493" t="s">
        <v>56</v>
      </c>
      <c r="E1493" t="s">
        <v>636</v>
      </c>
      <c r="F1493" t="s">
        <v>84</v>
      </c>
      <c r="G1493" s="202">
        <v>2</v>
      </c>
      <c r="H1493">
        <v>4</v>
      </c>
      <c r="I1493" t="s">
        <v>4017</v>
      </c>
      <c r="J1493" t="s">
        <v>4851</v>
      </c>
      <c r="K1493" t="s">
        <v>1283</v>
      </c>
      <c r="L1493" s="204">
        <v>0.06</v>
      </c>
      <c r="M1493" s="112">
        <v>6.5249999999999995</v>
      </c>
      <c r="N1493" s="112">
        <v>0.39149999999999996</v>
      </c>
      <c r="O1493" s="204"/>
      <c r="P1493" s="112"/>
      <c r="Q1493" s="112"/>
      <c r="R1493" s="112"/>
      <c r="S1493" s="112"/>
      <c r="T1493" s="112"/>
      <c r="U1493" t="s">
        <v>5428</v>
      </c>
      <c r="V1493" t="s">
        <v>5492</v>
      </c>
      <c r="W1493" t="s">
        <v>3958</v>
      </c>
      <c r="X1493" t="s">
        <v>4660</v>
      </c>
    </row>
    <row r="1494" spans="1:24" x14ac:dyDescent="0.2">
      <c r="A1494" t="s">
        <v>5491</v>
      </c>
      <c r="B1494" t="s">
        <v>1707</v>
      </c>
      <c r="C1494" t="s">
        <v>1674</v>
      </c>
      <c r="D1494" t="s">
        <v>56</v>
      </c>
      <c r="E1494" t="s">
        <v>636</v>
      </c>
      <c r="F1494" t="s">
        <v>84</v>
      </c>
      <c r="G1494" s="202">
        <v>2</v>
      </c>
      <c r="H1494">
        <v>5</v>
      </c>
      <c r="I1494" t="s">
        <v>3968</v>
      </c>
      <c r="J1494" t="s">
        <v>3969</v>
      </c>
      <c r="K1494" t="s">
        <v>84</v>
      </c>
      <c r="L1494" s="204">
        <v>1</v>
      </c>
      <c r="M1494" s="112"/>
      <c r="N1494" s="112">
        <v>6.5249999999999995</v>
      </c>
      <c r="O1494" s="204">
        <v>0.22145593869731806</v>
      </c>
      <c r="P1494" s="112">
        <v>1.4450000000000003</v>
      </c>
      <c r="Q1494" s="112">
        <v>7.97</v>
      </c>
      <c r="R1494" s="112">
        <v>15.94</v>
      </c>
      <c r="S1494" s="112">
        <v>15.94</v>
      </c>
      <c r="T1494" s="112">
        <v>0</v>
      </c>
      <c r="U1494" t="s">
        <v>5428</v>
      </c>
      <c r="V1494" t="s">
        <v>5492</v>
      </c>
      <c r="W1494" t="s">
        <v>4666</v>
      </c>
      <c r="X1494" t="s">
        <v>4667</v>
      </c>
    </row>
    <row r="1495" spans="1:24" x14ac:dyDescent="0.2">
      <c r="A1495" t="s">
        <v>5493</v>
      </c>
      <c r="B1495" t="s">
        <v>1708</v>
      </c>
      <c r="C1495" t="s">
        <v>1676</v>
      </c>
      <c r="D1495" t="s">
        <v>56</v>
      </c>
      <c r="E1495" t="s">
        <v>637</v>
      </c>
      <c r="F1495" t="s">
        <v>84</v>
      </c>
      <c r="G1495" s="202">
        <v>2</v>
      </c>
      <c r="H1495">
        <v>1</v>
      </c>
      <c r="I1495" t="s">
        <v>3954</v>
      </c>
      <c r="J1495" t="s">
        <v>5227</v>
      </c>
      <c r="K1495" t="s">
        <v>1283</v>
      </c>
      <c r="L1495" s="204">
        <v>0.26</v>
      </c>
      <c r="M1495" s="112">
        <v>5.4450000000000003</v>
      </c>
      <c r="N1495" s="112">
        <v>1.4157000000000002</v>
      </c>
      <c r="O1495" s="204"/>
      <c r="P1495" s="112"/>
      <c r="Q1495" s="112"/>
      <c r="R1495" s="112"/>
      <c r="S1495" s="112"/>
      <c r="T1495" s="112"/>
      <c r="U1495" t="s">
        <v>5431</v>
      </c>
      <c r="V1495" t="s">
        <v>5494</v>
      </c>
      <c r="W1495" t="s">
        <v>3958</v>
      </c>
      <c r="X1495" t="s">
        <v>4660</v>
      </c>
    </row>
    <row r="1496" spans="1:24" x14ac:dyDescent="0.2">
      <c r="A1496" t="s">
        <v>5493</v>
      </c>
      <c r="B1496" t="s">
        <v>1708</v>
      </c>
      <c r="C1496" t="s">
        <v>1676</v>
      </c>
      <c r="D1496" t="s">
        <v>56</v>
      </c>
      <c r="E1496" t="s">
        <v>637</v>
      </c>
      <c r="F1496" t="s">
        <v>84</v>
      </c>
      <c r="G1496" s="202">
        <v>2</v>
      </c>
      <c r="H1496">
        <v>2</v>
      </c>
      <c r="I1496" t="s">
        <v>3960</v>
      </c>
      <c r="J1496" t="s">
        <v>5229</v>
      </c>
      <c r="K1496" t="s">
        <v>1283</v>
      </c>
      <c r="L1496" s="204">
        <v>0.64</v>
      </c>
      <c r="M1496" s="112">
        <v>5.4450000000000003</v>
      </c>
      <c r="N1496" s="112">
        <v>3.4848000000000003</v>
      </c>
      <c r="O1496" s="204"/>
      <c r="P1496" s="112"/>
      <c r="Q1496" s="112"/>
      <c r="R1496" s="112"/>
      <c r="S1496" s="112"/>
      <c r="T1496" s="112"/>
      <c r="U1496" t="s">
        <v>5431</v>
      </c>
      <c r="V1496" t="s">
        <v>5494</v>
      </c>
      <c r="W1496" t="s">
        <v>3958</v>
      </c>
      <c r="X1496" t="s">
        <v>4660</v>
      </c>
    </row>
    <row r="1497" spans="1:24" x14ac:dyDescent="0.2">
      <c r="A1497" t="s">
        <v>5493</v>
      </c>
      <c r="B1497" t="s">
        <v>1708</v>
      </c>
      <c r="C1497" t="s">
        <v>1676</v>
      </c>
      <c r="D1497" t="s">
        <v>56</v>
      </c>
      <c r="E1497" t="s">
        <v>637</v>
      </c>
      <c r="F1497" t="s">
        <v>84</v>
      </c>
      <c r="G1497" s="202">
        <v>2</v>
      </c>
      <c r="H1497">
        <v>3</v>
      </c>
      <c r="I1497" t="s">
        <v>3976</v>
      </c>
      <c r="J1497" t="s">
        <v>5230</v>
      </c>
      <c r="K1497" t="s">
        <v>1283</v>
      </c>
      <c r="L1497" s="204">
        <v>0.04</v>
      </c>
      <c r="M1497" s="112">
        <v>5.4450000000000003</v>
      </c>
      <c r="N1497" s="112">
        <v>0.21780000000000002</v>
      </c>
      <c r="O1497" s="204"/>
      <c r="P1497" s="112"/>
      <c r="Q1497" s="112"/>
      <c r="R1497" s="112"/>
      <c r="S1497" s="112"/>
      <c r="T1497" s="112"/>
      <c r="U1497" t="s">
        <v>5431</v>
      </c>
      <c r="V1497" t="s">
        <v>5494</v>
      </c>
      <c r="W1497" t="s">
        <v>3958</v>
      </c>
      <c r="X1497" t="s">
        <v>4660</v>
      </c>
    </row>
    <row r="1498" spans="1:24" x14ac:dyDescent="0.2">
      <c r="A1498" t="s">
        <v>5493</v>
      </c>
      <c r="B1498" t="s">
        <v>1708</v>
      </c>
      <c r="C1498" t="s">
        <v>1676</v>
      </c>
      <c r="D1498" t="s">
        <v>56</v>
      </c>
      <c r="E1498" t="s">
        <v>637</v>
      </c>
      <c r="F1498" t="s">
        <v>84</v>
      </c>
      <c r="G1498" s="202">
        <v>2</v>
      </c>
      <c r="H1498">
        <v>4</v>
      </c>
      <c r="I1498" t="s">
        <v>4017</v>
      </c>
      <c r="J1498" t="s">
        <v>4851</v>
      </c>
      <c r="K1498" t="s">
        <v>1283</v>
      </c>
      <c r="L1498" s="204">
        <v>0.06</v>
      </c>
      <c r="M1498" s="112">
        <v>5.4450000000000003</v>
      </c>
      <c r="N1498" s="112">
        <v>0.32669999999999999</v>
      </c>
      <c r="O1498" s="204"/>
      <c r="P1498" s="112"/>
      <c r="Q1498" s="112"/>
      <c r="R1498" s="112"/>
      <c r="S1498" s="112"/>
      <c r="T1498" s="112"/>
      <c r="U1498" t="s">
        <v>5431</v>
      </c>
      <c r="V1498" t="s">
        <v>5494</v>
      </c>
      <c r="W1498" t="s">
        <v>3958</v>
      </c>
      <c r="X1498" t="s">
        <v>4660</v>
      </c>
    </row>
    <row r="1499" spans="1:24" x14ac:dyDescent="0.2">
      <c r="A1499" t="s">
        <v>5493</v>
      </c>
      <c r="B1499" t="s">
        <v>1708</v>
      </c>
      <c r="C1499" t="s">
        <v>1676</v>
      </c>
      <c r="D1499" t="s">
        <v>56</v>
      </c>
      <c r="E1499" t="s">
        <v>637</v>
      </c>
      <c r="F1499" t="s">
        <v>84</v>
      </c>
      <c r="G1499" s="202">
        <v>2</v>
      </c>
      <c r="H1499">
        <v>5</v>
      </c>
      <c r="I1499" t="s">
        <v>3968</v>
      </c>
      <c r="J1499" t="s">
        <v>3969</v>
      </c>
      <c r="K1499" t="s">
        <v>84</v>
      </c>
      <c r="L1499" s="204">
        <v>1</v>
      </c>
      <c r="M1499" s="112"/>
      <c r="N1499" s="112">
        <v>5.4450000000000003</v>
      </c>
      <c r="O1499" s="204">
        <v>0.2213039485766759</v>
      </c>
      <c r="P1499" s="112">
        <v>1.2050000000000001</v>
      </c>
      <c r="Q1499" s="112">
        <v>6.65</v>
      </c>
      <c r="R1499" s="112">
        <v>13.3</v>
      </c>
      <c r="S1499" s="112">
        <v>13.3</v>
      </c>
      <c r="T1499" s="112">
        <v>0</v>
      </c>
      <c r="U1499" t="s">
        <v>5431</v>
      </c>
      <c r="V1499" t="s">
        <v>5494</v>
      </c>
      <c r="W1499" t="s">
        <v>4666</v>
      </c>
      <c r="X1499" t="s">
        <v>4667</v>
      </c>
    </row>
    <row r="1500" spans="1:24" x14ac:dyDescent="0.2">
      <c r="A1500" t="s">
        <v>5495</v>
      </c>
      <c r="B1500" t="s">
        <v>1709</v>
      </c>
      <c r="C1500" t="s">
        <v>1710</v>
      </c>
      <c r="D1500" t="s">
        <v>56</v>
      </c>
      <c r="E1500" t="s">
        <v>1711</v>
      </c>
      <c r="F1500" t="s">
        <v>84</v>
      </c>
      <c r="G1500" s="202">
        <v>3</v>
      </c>
      <c r="H1500">
        <v>1</v>
      </c>
      <c r="I1500" t="s">
        <v>3954</v>
      </c>
      <c r="J1500" t="s">
        <v>5227</v>
      </c>
      <c r="K1500" t="s">
        <v>1283</v>
      </c>
      <c r="L1500" s="204">
        <v>0.26</v>
      </c>
      <c r="M1500" s="112">
        <v>19.89</v>
      </c>
      <c r="N1500" s="112">
        <v>5.1714000000000002</v>
      </c>
      <c r="O1500" s="204"/>
      <c r="P1500" s="112"/>
      <c r="Q1500" s="112"/>
      <c r="R1500" s="112"/>
      <c r="S1500" s="112"/>
      <c r="T1500" s="112"/>
      <c r="U1500" t="s">
        <v>5496</v>
      </c>
      <c r="V1500" t="s">
        <v>5497</v>
      </c>
      <c r="W1500" t="s">
        <v>3958</v>
      </c>
      <c r="X1500" t="s">
        <v>4660</v>
      </c>
    </row>
    <row r="1501" spans="1:24" x14ac:dyDescent="0.2">
      <c r="A1501" t="s">
        <v>5495</v>
      </c>
      <c r="B1501" t="s">
        <v>1709</v>
      </c>
      <c r="C1501" t="s">
        <v>1710</v>
      </c>
      <c r="D1501" t="s">
        <v>56</v>
      </c>
      <c r="E1501" t="s">
        <v>1711</v>
      </c>
      <c r="F1501" t="s">
        <v>84</v>
      </c>
      <c r="G1501" s="202">
        <v>3</v>
      </c>
      <c r="H1501">
        <v>2</v>
      </c>
      <c r="I1501" t="s">
        <v>3960</v>
      </c>
      <c r="J1501" t="s">
        <v>5229</v>
      </c>
      <c r="K1501" t="s">
        <v>1283</v>
      </c>
      <c r="L1501" s="204">
        <v>0.64</v>
      </c>
      <c r="M1501" s="112">
        <v>19.89</v>
      </c>
      <c r="N1501" s="112">
        <v>12.729600000000001</v>
      </c>
      <c r="O1501" s="204"/>
      <c r="P1501" s="112"/>
      <c r="Q1501" s="112"/>
      <c r="R1501" s="112"/>
      <c r="S1501" s="112"/>
      <c r="T1501" s="112"/>
      <c r="U1501" t="s">
        <v>5496</v>
      </c>
      <c r="V1501" t="s">
        <v>5497</v>
      </c>
      <c r="W1501" t="s">
        <v>3958</v>
      </c>
      <c r="X1501" t="s">
        <v>4660</v>
      </c>
    </row>
    <row r="1502" spans="1:24" x14ac:dyDescent="0.2">
      <c r="A1502" t="s">
        <v>5495</v>
      </c>
      <c r="B1502" t="s">
        <v>1709</v>
      </c>
      <c r="C1502" t="s">
        <v>1710</v>
      </c>
      <c r="D1502" t="s">
        <v>56</v>
      </c>
      <c r="E1502" t="s">
        <v>1711</v>
      </c>
      <c r="F1502" t="s">
        <v>84</v>
      </c>
      <c r="G1502" s="202">
        <v>3</v>
      </c>
      <c r="H1502">
        <v>3</v>
      </c>
      <c r="I1502" t="s">
        <v>3976</v>
      </c>
      <c r="J1502" t="s">
        <v>5230</v>
      </c>
      <c r="K1502" t="s">
        <v>1283</v>
      </c>
      <c r="L1502" s="204">
        <v>0.04</v>
      </c>
      <c r="M1502" s="112">
        <v>19.89</v>
      </c>
      <c r="N1502" s="112">
        <v>0.79560000000000008</v>
      </c>
      <c r="O1502" s="204"/>
      <c r="P1502" s="112"/>
      <c r="Q1502" s="112"/>
      <c r="R1502" s="112"/>
      <c r="S1502" s="112"/>
      <c r="T1502" s="112"/>
      <c r="U1502" t="s">
        <v>5496</v>
      </c>
      <c r="V1502" t="s">
        <v>5497</v>
      </c>
      <c r="W1502" t="s">
        <v>3958</v>
      </c>
      <c r="X1502" t="s">
        <v>4660</v>
      </c>
    </row>
    <row r="1503" spans="1:24" x14ac:dyDescent="0.2">
      <c r="A1503" t="s">
        <v>5495</v>
      </c>
      <c r="B1503" t="s">
        <v>1709</v>
      </c>
      <c r="C1503" t="s">
        <v>1710</v>
      </c>
      <c r="D1503" t="s">
        <v>56</v>
      </c>
      <c r="E1503" t="s">
        <v>1711</v>
      </c>
      <c r="F1503" t="s">
        <v>84</v>
      </c>
      <c r="G1503" s="202">
        <v>3</v>
      </c>
      <c r="H1503">
        <v>4</v>
      </c>
      <c r="I1503" t="s">
        <v>4017</v>
      </c>
      <c r="J1503" t="s">
        <v>4851</v>
      </c>
      <c r="K1503" t="s">
        <v>1283</v>
      </c>
      <c r="L1503" s="204">
        <v>0.06</v>
      </c>
      <c r="M1503" s="112">
        <v>19.89</v>
      </c>
      <c r="N1503" s="112">
        <v>1.1934</v>
      </c>
      <c r="O1503" s="204"/>
      <c r="P1503" s="112"/>
      <c r="Q1503" s="112"/>
      <c r="R1503" s="112"/>
      <c r="S1503" s="112"/>
      <c r="T1503" s="112"/>
      <c r="U1503" t="s">
        <v>5496</v>
      </c>
      <c r="V1503" t="s">
        <v>5497</v>
      </c>
      <c r="W1503" t="s">
        <v>3958</v>
      </c>
      <c r="X1503" t="s">
        <v>4660</v>
      </c>
    </row>
    <row r="1504" spans="1:24" x14ac:dyDescent="0.2">
      <c r="A1504" t="s">
        <v>5495</v>
      </c>
      <c r="B1504" t="s">
        <v>1709</v>
      </c>
      <c r="C1504" t="s">
        <v>1710</v>
      </c>
      <c r="D1504" t="s">
        <v>56</v>
      </c>
      <c r="E1504" t="s">
        <v>1711</v>
      </c>
      <c r="F1504" t="s">
        <v>84</v>
      </c>
      <c r="G1504" s="202">
        <v>3</v>
      </c>
      <c r="H1504">
        <v>5</v>
      </c>
      <c r="I1504" t="s">
        <v>3968</v>
      </c>
      <c r="J1504" t="s">
        <v>3969</v>
      </c>
      <c r="K1504" t="s">
        <v>84</v>
      </c>
      <c r="L1504" s="204">
        <v>1</v>
      </c>
      <c r="M1504" s="112"/>
      <c r="N1504" s="112">
        <v>19.89</v>
      </c>
      <c r="O1504" s="204">
        <v>0.22205463381933965</v>
      </c>
      <c r="P1504" s="112">
        <v>4.4166666666666679</v>
      </c>
      <c r="Q1504" s="112">
        <v>24.306666666666668</v>
      </c>
      <c r="R1504" s="112">
        <v>72.92</v>
      </c>
      <c r="S1504" s="112">
        <v>72.92</v>
      </c>
      <c r="T1504" s="112">
        <v>0</v>
      </c>
      <c r="U1504" t="s">
        <v>5496</v>
      </c>
      <c r="V1504" t="s">
        <v>5497</v>
      </c>
      <c r="W1504" t="s">
        <v>4666</v>
      </c>
      <c r="X1504" t="s">
        <v>4667</v>
      </c>
    </row>
    <row r="1505" spans="1:24" x14ac:dyDescent="0.2">
      <c r="A1505" t="s">
        <v>5498</v>
      </c>
      <c r="B1505" t="s">
        <v>1712</v>
      </c>
      <c r="C1505" t="s">
        <v>1623</v>
      </c>
      <c r="D1505" t="s">
        <v>56</v>
      </c>
      <c r="E1505" t="s">
        <v>666</v>
      </c>
      <c r="F1505" t="s">
        <v>84</v>
      </c>
      <c r="G1505" s="202">
        <v>2</v>
      </c>
      <c r="H1505">
        <v>1</v>
      </c>
      <c r="I1505" t="s">
        <v>3954</v>
      </c>
      <c r="J1505" t="s">
        <v>5227</v>
      </c>
      <c r="K1505" t="s">
        <v>1283</v>
      </c>
      <c r="L1505" s="204">
        <v>0.26</v>
      </c>
      <c r="M1505" s="112">
        <v>28.402499999999996</v>
      </c>
      <c r="N1505" s="112">
        <v>7.3846499999999997</v>
      </c>
      <c r="O1505" s="204"/>
      <c r="P1505" s="112"/>
      <c r="Q1505" s="112"/>
      <c r="R1505" s="112"/>
      <c r="S1505" s="112"/>
      <c r="T1505" s="112"/>
      <c r="U1505" t="s">
        <v>5341</v>
      </c>
      <c r="V1505" t="s">
        <v>5499</v>
      </c>
      <c r="W1505" t="s">
        <v>3958</v>
      </c>
      <c r="X1505" t="s">
        <v>4660</v>
      </c>
    </row>
    <row r="1506" spans="1:24" x14ac:dyDescent="0.2">
      <c r="A1506" t="s">
        <v>5498</v>
      </c>
      <c r="B1506" t="s">
        <v>1712</v>
      </c>
      <c r="C1506" t="s">
        <v>1623</v>
      </c>
      <c r="D1506" t="s">
        <v>56</v>
      </c>
      <c r="E1506" t="s">
        <v>666</v>
      </c>
      <c r="F1506" t="s">
        <v>84</v>
      </c>
      <c r="G1506" s="202">
        <v>2</v>
      </c>
      <c r="H1506">
        <v>2</v>
      </c>
      <c r="I1506" t="s">
        <v>3960</v>
      </c>
      <c r="J1506" t="s">
        <v>5229</v>
      </c>
      <c r="K1506" t="s">
        <v>1283</v>
      </c>
      <c r="L1506" s="204">
        <v>0.64</v>
      </c>
      <c r="M1506" s="112">
        <v>28.402499999999996</v>
      </c>
      <c r="N1506" s="112">
        <v>18.177599999999998</v>
      </c>
      <c r="O1506" s="204"/>
      <c r="P1506" s="112"/>
      <c r="Q1506" s="112"/>
      <c r="R1506" s="112"/>
      <c r="S1506" s="112"/>
      <c r="T1506" s="112"/>
      <c r="U1506" t="s">
        <v>5341</v>
      </c>
      <c r="V1506" t="s">
        <v>5499</v>
      </c>
      <c r="W1506" t="s">
        <v>3958</v>
      </c>
      <c r="X1506" t="s">
        <v>4660</v>
      </c>
    </row>
    <row r="1507" spans="1:24" x14ac:dyDescent="0.2">
      <c r="A1507" t="s">
        <v>5498</v>
      </c>
      <c r="B1507" t="s">
        <v>1712</v>
      </c>
      <c r="C1507" t="s">
        <v>1623</v>
      </c>
      <c r="D1507" t="s">
        <v>56</v>
      </c>
      <c r="E1507" t="s">
        <v>666</v>
      </c>
      <c r="F1507" t="s">
        <v>84</v>
      </c>
      <c r="G1507" s="202">
        <v>2</v>
      </c>
      <c r="H1507">
        <v>3</v>
      </c>
      <c r="I1507" t="s">
        <v>3976</v>
      </c>
      <c r="J1507" t="s">
        <v>5230</v>
      </c>
      <c r="K1507" t="s">
        <v>1283</v>
      </c>
      <c r="L1507" s="204">
        <v>0.04</v>
      </c>
      <c r="M1507" s="112">
        <v>28.402499999999996</v>
      </c>
      <c r="N1507" s="112">
        <v>1.1360999999999999</v>
      </c>
      <c r="O1507" s="204"/>
      <c r="P1507" s="112"/>
      <c r="Q1507" s="112"/>
      <c r="R1507" s="112"/>
      <c r="S1507" s="112"/>
      <c r="T1507" s="112"/>
      <c r="U1507" t="s">
        <v>5341</v>
      </c>
      <c r="V1507" t="s">
        <v>5499</v>
      </c>
      <c r="W1507" t="s">
        <v>3958</v>
      </c>
      <c r="X1507" t="s">
        <v>4660</v>
      </c>
    </row>
    <row r="1508" spans="1:24" x14ac:dyDescent="0.2">
      <c r="A1508" t="s">
        <v>5498</v>
      </c>
      <c r="B1508" t="s">
        <v>1712</v>
      </c>
      <c r="C1508" t="s">
        <v>1623</v>
      </c>
      <c r="D1508" t="s">
        <v>56</v>
      </c>
      <c r="E1508" t="s">
        <v>666</v>
      </c>
      <c r="F1508" t="s">
        <v>84</v>
      </c>
      <c r="G1508" s="202">
        <v>2</v>
      </c>
      <c r="H1508">
        <v>4</v>
      </c>
      <c r="I1508" t="s">
        <v>4017</v>
      </c>
      <c r="J1508" t="s">
        <v>4851</v>
      </c>
      <c r="K1508" t="s">
        <v>1283</v>
      </c>
      <c r="L1508" s="204">
        <v>0.06</v>
      </c>
      <c r="M1508" s="112">
        <v>28.402499999999996</v>
      </c>
      <c r="N1508" s="112">
        <v>1.7041499999999996</v>
      </c>
      <c r="O1508" s="204"/>
      <c r="P1508" s="112"/>
      <c r="Q1508" s="112"/>
      <c r="R1508" s="112"/>
      <c r="S1508" s="112"/>
      <c r="T1508" s="112"/>
      <c r="U1508" t="s">
        <v>5341</v>
      </c>
      <c r="V1508" t="s">
        <v>5499</v>
      </c>
      <c r="W1508" t="s">
        <v>3958</v>
      </c>
      <c r="X1508" t="s">
        <v>4660</v>
      </c>
    </row>
    <row r="1509" spans="1:24" x14ac:dyDescent="0.2">
      <c r="A1509" t="s">
        <v>5498</v>
      </c>
      <c r="B1509" t="s">
        <v>1712</v>
      </c>
      <c r="C1509" t="s">
        <v>1623</v>
      </c>
      <c r="D1509" t="s">
        <v>56</v>
      </c>
      <c r="E1509" t="s">
        <v>666</v>
      </c>
      <c r="F1509" t="s">
        <v>84</v>
      </c>
      <c r="G1509" s="202">
        <v>2</v>
      </c>
      <c r="H1509">
        <v>5</v>
      </c>
      <c r="I1509" t="s">
        <v>3968</v>
      </c>
      <c r="J1509" t="s">
        <v>3969</v>
      </c>
      <c r="K1509" t="s">
        <v>84</v>
      </c>
      <c r="L1509" s="204">
        <v>1</v>
      </c>
      <c r="M1509" s="112"/>
      <c r="N1509" s="112">
        <v>28.402499999999996</v>
      </c>
      <c r="O1509" s="204">
        <v>0.22207552152099308</v>
      </c>
      <c r="P1509" s="112">
        <v>6.3075000000000045</v>
      </c>
      <c r="Q1509" s="112">
        <v>34.71</v>
      </c>
      <c r="R1509" s="112">
        <v>69.42</v>
      </c>
      <c r="S1509" s="112">
        <v>69.42</v>
      </c>
      <c r="T1509" s="112">
        <v>0</v>
      </c>
      <c r="U1509" t="s">
        <v>5341</v>
      </c>
      <c r="V1509" t="s">
        <v>5499</v>
      </c>
      <c r="W1509" t="s">
        <v>4666</v>
      </c>
      <c r="X1509" t="s">
        <v>4667</v>
      </c>
    </row>
    <row r="1510" spans="1:24" x14ac:dyDescent="0.2">
      <c r="A1510" t="s">
        <v>5500</v>
      </c>
      <c r="B1510" t="s">
        <v>1713</v>
      </c>
      <c r="C1510" t="s">
        <v>1618</v>
      </c>
      <c r="D1510" t="s">
        <v>56</v>
      </c>
      <c r="E1510" t="s">
        <v>597</v>
      </c>
      <c r="F1510" t="s">
        <v>84</v>
      </c>
      <c r="G1510" s="202">
        <v>1</v>
      </c>
      <c r="H1510">
        <v>1</v>
      </c>
      <c r="I1510" t="s">
        <v>3954</v>
      </c>
      <c r="J1510" t="s">
        <v>5227</v>
      </c>
      <c r="K1510" t="s">
        <v>1283</v>
      </c>
      <c r="L1510" s="204">
        <v>0.26</v>
      </c>
      <c r="M1510" s="112">
        <v>14.805</v>
      </c>
      <c r="N1510" s="112">
        <v>3.8492999999999999</v>
      </c>
      <c r="O1510" s="204"/>
      <c r="P1510" s="112"/>
      <c r="Q1510" s="112"/>
      <c r="R1510" s="112"/>
      <c r="S1510" s="112"/>
      <c r="T1510" s="112"/>
      <c r="U1510" t="s">
        <v>5335</v>
      </c>
      <c r="V1510" t="s">
        <v>5501</v>
      </c>
      <c r="W1510" t="s">
        <v>3958</v>
      </c>
      <c r="X1510" t="s">
        <v>4660</v>
      </c>
    </row>
    <row r="1511" spans="1:24" x14ac:dyDescent="0.2">
      <c r="A1511" t="s">
        <v>5500</v>
      </c>
      <c r="B1511" t="s">
        <v>1713</v>
      </c>
      <c r="C1511" t="s">
        <v>1618</v>
      </c>
      <c r="D1511" t="s">
        <v>56</v>
      </c>
      <c r="E1511" t="s">
        <v>597</v>
      </c>
      <c r="F1511" t="s">
        <v>84</v>
      </c>
      <c r="G1511" s="202">
        <v>1</v>
      </c>
      <c r="H1511">
        <v>2</v>
      </c>
      <c r="I1511" t="s">
        <v>3960</v>
      </c>
      <c r="J1511" t="s">
        <v>5229</v>
      </c>
      <c r="K1511" t="s">
        <v>1283</v>
      </c>
      <c r="L1511" s="204">
        <v>0.64</v>
      </c>
      <c r="M1511" s="112">
        <v>14.805</v>
      </c>
      <c r="N1511" s="112">
        <v>9.4751999999999992</v>
      </c>
      <c r="O1511" s="204"/>
      <c r="P1511" s="112"/>
      <c r="Q1511" s="112"/>
      <c r="R1511" s="112"/>
      <c r="S1511" s="112"/>
      <c r="T1511" s="112"/>
      <c r="U1511" t="s">
        <v>5335</v>
      </c>
      <c r="V1511" t="s">
        <v>5501</v>
      </c>
      <c r="W1511" t="s">
        <v>3958</v>
      </c>
      <c r="X1511" t="s">
        <v>4660</v>
      </c>
    </row>
    <row r="1512" spans="1:24" x14ac:dyDescent="0.2">
      <c r="A1512" t="s">
        <v>5500</v>
      </c>
      <c r="B1512" t="s">
        <v>1713</v>
      </c>
      <c r="C1512" t="s">
        <v>1618</v>
      </c>
      <c r="D1512" t="s">
        <v>56</v>
      </c>
      <c r="E1512" t="s">
        <v>597</v>
      </c>
      <c r="F1512" t="s">
        <v>84</v>
      </c>
      <c r="G1512" s="202">
        <v>1</v>
      </c>
      <c r="H1512">
        <v>3</v>
      </c>
      <c r="I1512" t="s">
        <v>3976</v>
      </c>
      <c r="J1512" t="s">
        <v>5230</v>
      </c>
      <c r="K1512" t="s">
        <v>1283</v>
      </c>
      <c r="L1512" s="204">
        <v>0.04</v>
      </c>
      <c r="M1512" s="112">
        <v>14.805</v>
      </c>
      <c r="N1512" s="112">
        <v>0.59219999999999995</v>
      </c>
      <c r="O1512" s="204"/>
      <c r="P1512" s="112"/>
      <c r="Q1512" s="112"/>
      <c r="R1512" s="112"/>
      <c r="S1512" s="112"/>
      <c r="T1512" s="112"/>
      <c r="U1512" t="s">
        <v>5335</v>
      </c>
      <c r="V1512" t="s">
        <v>5501</v>
      </c>
      <c r="W1512" t="s">
        <v>3958</v>
      </c>
      <c r="X1512" t="s">
        <v>4660</v>
      </c>
    </row>
    <row r="1513" spans="1:24" x14ac:dyDescent="0.2">
      <c r="A1513" t="s">
        <v>5500</v>
      </c>
      <c r="B1513" t="s">
        <v>1713</v>
      </c>
      <c r="C1513" t="s">
        <v>1618</v>
      </c>
      <c r="D1513" t="s">
        <v>56</v>
      </c>
      <c r="E1513" t="s">
        <v>597</v>
      </c>
      <c r="F1513" t="s">
        <v>84</v>
      </c>
      <c r="G1513" s="202">
        <v>1</v>
      </c>
      <c r="H1513">
        <v>4</v>
      </c>
      <c r="I1513" t="s">
        <v>4017</v>
      </c>
      <c r="J1513" t="s">
        <v>4851</v>
      </c>
      <c r="K1513" t="s">
        <v>1283</v>
      </c>
      <c r="L1513" s="204">
        <v>0.06</v>
      </c>
      <c r="M1513" s="112">
        <v>14.805</v>
      </c>
      <c r="N1513" s="112">
        <v>0.88829999999999998</v>
      </c>
      <c r="O1513" s="204"/>
      <c r="P1513" s="112"/>
      <c r="Q1513" s="112"/>
      <c r="R1513" s="112"/>
      <c r="S1513" s="112"/>
      <c r="T1513" s="112"/>
      <c r="U1513" t="s">
        <v>5335</v>
      </c>
      <c r="V1513" t="s">
        <v>5501</v>
      </c>
      <c r="W1513" t="s">
        <v>3958</v>
      </c>
      <c r="X1513" t="s">
        <v>4660</v>
      </c>
    </row>
    <row r="1514" spans="1:24" x14ac:dyDescent="0.2">
      <c r="A1514" t="s">
        <v>5500</v>
      </c>
      <c r="B1514" t="s">
        <v>1713</v>
      </c>
      <c r="C1514" t="s">
        <v>1618</v>
      </c>
      <c r="D1514" t="s">
        <v>56</v>
      </c>
      <c r="E1514" t="s">
        <v>597</v>
      </c>
      <c r="F1514" t="s">
        <v>84</v>
      </c>
      <c r="G1514" s="202">
        <v>1</v>
      </c>
      <c r="H1514">
        <v>5</v>
      </c>
      <c r="I1514" t="s">
        <v>3968</v>
      </c>
      <c r="J1514" t="s">
        <v>3969</v>
      </c>
      <c r="K1514" t="s">
        <v>84</v>
      </c>
      <c r="L1514" s="204">
        <v>1</v>
      </c>
      <c r="M1514" s="112"/>
      <c r="N1514" s="112">
        <v>14.805</v>
      </c>
      <c r="O1514" s="204">
        <v>0.22188449848024328</v>
      </c>
      <c r="P1514" s="112">
        <v>3.2850000000000001</v>
      </c>
      <c r="Q1514" s="112">
        <v>18.09</v>
      </c>
      <c r="R1514" s="112">
        <v>18.09</v>
      </c>
      <c r="S1514" s="112">
        <v>18.09</v>
      </c>
      <c r="T1514" s="112">
        <v>0</v>
      </c>
      <c r="U1514" t="s">
        <v>5335</v>
      </c>
      <c r="V1514" t="s">
        <v>5501</v>
      </c>
      <c r="W1514" t="s">
        <v>4666</v>
      </c>
      <c r="X1514" t="s">
        <v>4667</v>
      </c>
    </row>
    <row r="1515" spans="1:24" x14ac:dyDescent="0.2">
      <c r="A1515" t="s">
        <v>5502</v>
      </c>
      <c r="B1515" t="s">
        <v>1714</v>
      </c>
      <c r="C1515" t="s">
        <v>1715</v>
      </c>
      <c r="D1515" t="s">
        <v>56</v>
      </c>
      <c r="E1515" t="s">
        <v>1716</v>
      </c>
      <c r="F1515" t="s">
        <v>84</v>
      </c>
      <c r="G1515" s="202">
        <v>2</v>
      </c>
      <c r="H1515">
        <v>1</v>
      </c>
      <c r="I1515" t="s">
        <v>3954</v>
      </c>
      <c r="J1515" t="s">
        <v>4734</v>
      </c>
      <c r="K1515" t="s">
        <v>1283</v>
      </c>
      <c r="L1515" s="204">
        <v>0.24</v>
      </c>
      <c r="M1515" s="112">
        <v>461.54999999999995</v>
      </c>
      <c r="N1515" s="112">
        <v>110.77199999999999</v>
      </c>
      <c r="O1515" s="204"/>
      <c r="P1515" s="112"/>
      <c r="Q1515" s="112"/>
      <c r="R1515" s="112"/>
      <c r="S1515" s="112"/>
      <c r="T1515" s="112"/>
      <c r="U1515" t="s">
        <v>5503</v>
      </c>
      <c r="V1515" t="s">
        <v>5504</v>
      </c>
      <c r="W1515" t="s">
        <v>3958</v>
      </c>
      <c r="X1515" t="s">
        <v>4660</v>
      </c>
    </row>
    <row r="1516" spans="1:24" x14ac:dyDescent="0.2">
      <c r="A1516" t="s">
        <v>5502</v>
      </c>
      <c r="B1516" t="s">
        <v>1714</v>
      </c>
      <c r="C1516" t="s">
        <v>1715</v>
      </c>
      <c r="D1516" t="s">
        <v>56</v>
      </c>
      <c r="E1516" t="s">
        <v>1716</v>
      </c>
      <c r="F1516" t="s">
        <v>84</v>
      </c>
      <c r="G1516" s="202">
        <v>2</v>
      </c>
      <c r="H1516">
        <v>2</v>
      </c>
      <c r="I1516" t="s">
        <v>3962</v>
      </c>
      <c r="J1516" t="s">
        <v>4737</v>
      </c>
      <c r="K1516" t="s">
        <v>1283</v>
      </c>
      <c r="L1516" s="204">
        <v>0.46</v>
      </c>
      <c r="M1516" s="112">
        <v>461.54999999999995</v>
      </c>
      <c r="N1516" s="112">
        <v>212.31299999999999</v>
      </c>
      <c r="O1516" s="204"/>
      <c r="P1516" s="112"/>
      <c r="Q1516" s="112"/>
      <c r="R1516" s="112"/>
      <c r="S1516" s="112"/>
      <c r="T1516" s="112"/>
      <c r="U1516" t="s">
        <v>5503</v>
      </c>
      <c r="V1516" t="s">
        <v>5504</v>
      </c>
      <c r="W1516" t="s">
        <v>3958</v>
      </c>
      <c r="X1516" t="s">
        <v>4660</v>
      </c>
    </row>
    <row r="1517" spans="1:24" x14ac:dyDescent="0.2">
      <c r="A1517" t="s">
        <v>5502</v>
      </c>
      <c r="B1517" t="s">
        <v>1714</v>
      </c>
      <c r="C1517" t="s">
        <v>1715</v>
      </c>
      <c r="D1517" t="s">
        <v>56</v>
      </c>
      <c r="E1517" t="s">
        <v>1716</v>
      </c>
      <c r="F1517" t="s">
        <v>84</v>
      </c>
      <c r="G1517" s="202">
        <v>2</v>
      </c>
      <c r="H1517">
        <v>3</v>
      </c>
      <c r="I1517" t="s">
        <v>4738</v>
      </c>
      <c r="J1517" t="s">
        <v>4739</v>
      </c>
      <c r="K1517" t="s">
        <v>1283</v>
      </c>
      <c r="L1517" s="204">
        <v>0.22</v>
      </c>
      <c r="M1517" s="112">
        <v>461.54999999999995</v>
      </c>
      <c r="N1517" s="112">
        <v>101.541</v>
      </c>
      <c r="O1517" s="204"/>
      <c r="P1517" s="112"/>
      <c r="Q1517" s="112"/>
      <c r="R1517" s="112"/>
      <c r="S1517" s="112"/>
      <c r="T1517" s="112"/>
      <c r="U1517" t="s">
        <v>5503</v>
      </c>
      <c r="V1517" t="s">
        <v>5504</v>
      </c>
      <c r="W1517" t="s">
        <v>3958</v>
      </c>
      <c r="X1517" t="s">
        <v>4660</v>
      </c>
    </row>
    <row r="1518" spans="1:24" x14ac:dyDescent="0.2">
      <c r="A1518" t="s">
        <v>5502</v>
      </c>
      <c r="B1518" t="s">
        <v>1714</v>
      </c>
      <c r="C1518" t="s">
        <v>1715</v>
      </c>
      <c r="D1518" t="s">
        <v>56</v>
      </c>
      <c r="E1518" t="s">
        <v>1716</v>
      </c>
      <c r="F1518" t="s">
        <v>84</v>
      </c>
      <c r="G1518" s="202">
        <v>2</v>
      </c>
      <c r="H1518">
        <v>4</v>
      </c>
      <c r="I1518" t="s">
        <v>4740</v>
      </c>
      <c r="J1518" t="s">
        <v>4741</v>
      </c>
      <c r="K1518" t="s">
        <v>1283</v>
      </c>
      <c r="L1518" s="204">
        <v>0.08</v>
      </c>
      <c r="M1518" s="112">
        <v>461.54999999999995</v>
      </c>
      <c r="N1518" s="112">
        <v>36.923999999999999</v>
      </c>
      <c r="O1518" s="204"/>
      <c r="P1518" s="112"/>
      <c r="Q1518" s="112"/>
      <c r="R1518" s="112"/>
      <c r="S1518" s="112"/>
      <c r="T1518" s="112"/>
      <c r="U1518" t="s">
        <v>5503</v>
      </c>
      <c r="V1518" t="s">
        <v>5504</v>
      </c>
      <c r="W1518" t="s">
        <v>3958</v>
      </c>
      <c r="X1518" t="s">
        <v>4660</v>
      </c>
    </row>
    <row r="1519" spans="1:24" x14ac:dyDescent="0.2">
      <c r="A1519" t="s">
        <v>5502</v>
      </c>
      <c r="B1519" t="s">
        <v>1714</v>
      </c>
      <c r="C1519" t="s">
        <v>1715</v>
      </c>
      <c r="D1519" t="s">
        <v>56</v>
      </c>
      <c r="E1519" t="s">
        <v>1716</v>
      </c>
      <c r="F1519" t="s">
        <v>84</v>
      </c>
      <c r="G1519" s="202">
        <v>2</v>
      </c>
      <c r="H1519">
        <v>5</v>
      </c>
      <c r="I1519" t="s">
        <v>3968</v>
      </c>
      <c r="J1519" t="s">
        <v>3969</v>
      </c>
      <c r="K1519" t="s">
        <v>84</v>
      </c>
      <c r="L1519" s="204">
        <v>1</v>
      </c>
      <c r="M1519" s="112"/>
      <c r="N1519" s="112">
        <v>461.54999999999995</v>
      </c>
      <c r="O1519" s="204">
        <v>0.22229444263893416</v>
      </c>
      <c r="P1519" s="112">
        <v>102.60000000000002</v>
      </c>
      <c r="Q1519" s="112">
        <v>564.15</v>
      </c>
      <c r="R1519" s="112">
        <v>1128.3</v>
      </c>
      <c r="S1519" s="112">
        <v>1128.3</v>
      </c>
      <c r="T1519" s="112">
        <v>0</v>
      </c>
      <c r="U1519" t="s">
        <v>5503</v>
      </c>
      <c r="V1519" t="s">
        <v>5504</v>
      </c>
      <c r="W1519" t="s">
        <v>4666</v>
      </c>
      <c r="X1519" t="s">
        <v>4667</v>
      </c>
    </row>
    <row r="1520" spans="1:24" x14ac:dyDescent="0.2">
      <c r="A1520" t="s">
        <v>5505</v>
      </c>
      <c r="B1520" t="s">
        <v>671</v>
      </c>
      <c r="C1520" t="s">
        <v>1717</v>
      </c>
      <c r="D1520" t="s">
        <v>56</v>
      </c>
      <c r="E1520" t="s">
        <v>672</v>
      </c>
      <c r="F1520" t="s">
        <v>84</v>
      </c>
      <c r="G1520" s="202">
        <v>1</v>
      </c>
      <c r="H1520">
        <v>1</v>
      </c>
      <c r="I1520" t="s">
        <v>3954</v>
      </c>
      <c r="J1520" t="s">
        <v>4804</v>
      </c>
      <c r="K1520" t="s">
        <v>1283</v>
      </c>
      <c r="L1520" s="204">
        <v>0.28000000000000003</v>
      </c>
      <c r="M1520" s="112">
        <v>164.42249999999999</v>
      </c>
      <c r="N1520" s="112">
        <v>46.0383</v>
      </c>
      <c r="O1520" s="204"/>
      <c r="P1520" s="112"/>
      <c r="Q1520" s="112"/>
      <c r="R1520" s="112"/>
      <c r="S1520" s="112"/>
      <c r="T1520" s="112"/>
      <c r="U1520" t="s">
        <v>5506</v>
      </c>
      <c r="V1520" t="s">
        <v>5507</v>
      </c>
      <c r="W1520" t="s">
        <v>3958</v>
      </c>
      <c r="X1520" t="s">
        <v>4660</v>
      </c>
    </row>
    <row r="1521" spans="1:24" x14ac:dyDescent="0.2">
      <c r="A1521" t="s">
        <v>5505</v>
      </c>
      <c r="B1521" t="s">
        <v>671</v>
      </c>
      <c r="C1521" t="s">
        <v>1717</v>
      </c>
      <c r="D1521" t="s">
        <v>56</v>
      </c>
      <c r="E1521" t="s">
        <v>672</v>
      </c>
      <c r="F1521" t="s">
        <v>84</v>
      </c>
      <c r="G1521" s="202">
        <v>1</v>
      </c>
      <c r="H1521">
        <v>2</v>
      </c>
      <c r="I1521" t="s">
        <v>3960</v>
      </c>
      <c r="J1521" t="s">
        <v>4807</v>
      </c>
      <c r="K1521" t="s">
        <v>1283</v>
      </c>
      <c r="L1521" s="204">
        <v>0.56000000000000005</v>
      </c>
      <c r="M1521" s="112">
        <v>164.42249999999999</v>
      </c>
      <c r="N1521" s="112">
        <v>92.076599999999999</v>
      </c>
      <c r="O1521" s="204"/>
      <c r="P1521" s="112"/>
      <c r="Q1521" s="112"/>
      <c r="R1521" s="112"/>
      <c r="S1521" s="112"/>
      <c r="T1521" s="112"/>
      <c r="U1521" t="s">
        <v>5506</v>
      </c>
      <c r="V1521" t="s">
        <v>5507</v>
      </c>
      <c r="W1521" t="s">
        <v>3958</v>
      </c>
      <c r="X1521" t="s">
        <v>4660</v>
      </c>
    </row>
    <row r="1522" spans="1:24" x14ac:dyDescent="0.2">
      <c r="A1522" t="s">
        <v>5505</v>
      </c>
      <c r="B1522" t="s">
        <v>671</v>
      </c>
      <c r="C1522" t="s">
        <v>1717</v>
      </c>
      <c r="D1522" t="s">
        <v>56</v>
      </c>
      <c r="E1522" t="s">
        <v>672</v>
      </c>
      <c r="F1522" t="s">
        <v>84</v>
      </c>
      <c r="G1522" s="202">
        <v>1</v>
      </c>
      <c r="H1522">
        <v>3</v>
      </c>
      <c r="I1522" t="s">
        <v>3962</v>
      </c>
      <c r="J1522" t="s">
        <v>4808</v>
      </c>
      <c r="K1522" t="s">
        <v>1283</v>
      </c>
      <c r="L1522" s="204">
        <v>0.1</v>
      </c>
      <c r="M1522" s="112">
        <v>164.42249999999999</v>
      </c>
      <c r="N1522" s="112">
        <v>16.442249999999998</v>
      </c>
      <c r="O1522" s="204"/>
      <c r="P1522" s="112"/>
      <c r="Q1522" s="112"/>
      <c r="R1522" s="112"/>
      <c r="S1522" s="112"/>
      <c r="T1522" s="112"/>
      <c r="U1522" t="s">
        <v>5506</v>
      </c>
      <c r="V1522" t="s">
        <v>5507</v>
      </c>
      <c r="W1522" t="s">
        <v>3958</v>
      </c>
      <c r="X1522" t="s">
        <v>4660</v>
      </c>
    </row>
    <row r="1523" spans="1:24" x14ac:dyDescent="0.2">
      <c r="A1523" t="s">
        <v>5505</v>
      </c>
      <c r="B1523" t="s">
        <v>671</v>
      </c>
      <c r="C1523" t="s">
        <v>1717</v>
      </c>
      <c r="D1523" t="s">
        <v>56</v>
      </c>
      <c r="E1523" t="s">
        <v>672</v>
      </c>
      <c r="F1523" t="s">
        <v>84</v>
      </c>
      <c r="G1523" s="202">
        <v>1</v>
      </c>
      <c r="H1523">
        <v>4</v>
      </c>
      <c r="I1523" t="s">
        <v>4017</v>
      </c>
      <c r="J1523" t="s">
        <v>4809</v>
      </c>
      <c r="K1523" t="s">
        <v>1283</v>
      </c>
      <c r="L1523" s="204">
        <v>0.06</v>
      </c>
      <c r="M1523" s="112">
        <v>164.42249999999999</v>
      </c>
      <c r="N1523" s="112">
        <v>9.8653499999999994</v>
      </c>
      <c r="O1523" s="204"/>
      <c r="P1523" s="112"/>
      <c r="Q1523" s="112"/>
      <c r="R1523" s="112"/>
      <c r="S1523" s="112"/>
      <c r="T1523" s="112"/>
      <c r="U1523" t="s">
        <v>5506</v>
      </c>
      <c r="V1523" t="s">
        <v>5507</v>
      </c>
      <c r="W1523" t="s">
        <v>3958</v>
      </c>
      <c r="X1523" t="s">
        <v>4660</v>
      </c>
    </row>
    <row r="1524" spans="1:24" x14ac:dyDescent="0.2">
      <c r="A1524" t="s">
        <v>5505</v>
      </c>
      <c r="B1524" t="s">
        <v>671</v>
      </c>
      <c r="C1524" t="s">
        <v>1717</v>
      </c>
      <c r="D1524" t="s">
        <v>56</v>
      </c>
      <c r="E1524" t="s">
        <v>672</v>
      </c>
      <c r="F1524" t="s">
        <v>84</v>
      </c>
      <c r="G1524" s="202">
        <v>1</v>
      </c>
      <c r="H1524">
        <v>5</v>
      </c>
      <c r="I1524" t="s">
        <v>3968</v>
      </c>
      <c r="J1524" t="s">
        <v>3969</v>
      </c>
      <c r="K1524" t="s">
        <v>84</v>
      </c>
      <c r="L1524" s="204">
        <v>1</v>
      </c>
      <c r="M1524" s="112"/>
      <c r="N1524" s="112">
        <v>164.42249999999999</v>
      </c>
      <c r="O1524" s="204">
        <v>0.22227797290516826</v>
      </c>
      <c r="P1524" s="112">
        <v>36.547500000000014</v>
      </c>
      <c r="Q1524" s="112">
        <v>200.97</v>
      </c>
      <c r="R1524" s="112">
        <v>200.97</v>
      </c>
      <c r="S1524" s="112">
        <v>200.97</v>
      </c>
      <c r="T1524" s="112">
        <v>0</v>
      </c>
      <c r="U1524" t="s">
        <v>5506</v>
      </c>
      <c r="V1524" t="s">
        <v>5507</v>
      </c>
      <c r="W1524" t="s">
        <v>4666</v>
      </c>
      <c r="X1524" t="s">
        <v>4667</v>
      </c>
    </row>
    <row r="1525" spans="1:24" x14ac:dyDescent="0.2">
      <c r="A1525" t="s">
        <v>5508</v>
      </c>
      <c r="B1525" t="s">
        <v>673</v>
      </c>
      <c r="C1525" t="s">
        <v>1718</v>
      </c>
      <c r="D1525" t="s">
        <v>56</v>
      </c>
      <c r="E1525" t="s">
        <v>674</v>
      </c>
      <c r="F1525" t="s">
        <v>84</v>
      </c>
      <c r="G1525" s="202">
        <v>9</v>
      </c>
      <c r="H1525">
        <v>1</v>
      </c>
      <c r="I1525" t="s">
        <v>3954</v>
      </c>
      <c r="J1525" t="s">
        <v>4804</v>
      </c>
      <c r="K1525" t="s">
        <v>1283</v>
      </c>
      <c r="L1525" s="204">
        <v>0.28000000000000003</v>
      </c>
      <c r="M1525" s="112">
        <v>444.01499999999999</v>
      </c>
      <c r="N1525" s="112">
        <v>124.3242</v>
      </c>
      <c r="O1525" s="204"/>
      <c r="P1525" s="112"/>
      <c r="Q1525" s="112"/>
      <c r="R1525" s="112"/>
      <c r="S1525" s="112"/>
      <c r="T1525" s="112"/>
      <c r="U1525" t="s">
        <v>5509</v>
      </c>
      <c r="V1525" t="s">
        <v>5510</v>
      </c>
      <c r="W1525" t="s">
        <v>3958</v>
      </c>
      <c r="X1525" t="s">
        <v>4660</v>
      </c>
    </row>
    <row r="1526" spans="1:24" x14ac:dyDescent="0.2">
      <c r="A1526" t="s">
        <v>5508</v>
      </c>
      <c r="B1526" t="s">
        <v>673</v>
      </c>
      <c r="C1526" t="s">
        <v>1718</v>
      </c>
      <c r="D1526" t="s">
        <v>56</v>
      </c>
      <c r="E1526" t="s">
        <v>674</v>
      </c>
      <c r="F1526" t="s">
        <v>84</v>
      </c>
      <c r="G1526" s="202">
        <v>9</v>
      </c>
      <c r="H1526">
        <v>2</v>
      </c>
      <c r="I1526" t="s">
        <v>3960</v>
      </c>
      <c r="J1526" t="s">
        <v>4807</v>
      </c>
      <c r="K1526" t="s">
        <v>1283</v>
      </c>
      <c r="L1526" s="204">
        <v>0.56000000000000005</v>
      </c>
      <c r="M1526" s="112">
        <v>444.01499999999999</v>
      </c>
      <c r="N1526" s="112">
        <v>248.64840000000001</v>
      </c>
      <c r="O1526" s="204"/>
      <c r="P1526" s="112"/>
      <c r="Q1526" s="112"/>
      <c r="R1526" s="112"/>
      <c r="S1526" s="112"/>
      <c r="T1526" s="112"/>
      <c r="U1526" t="s">
        <v>5509</v>
      </c>
      <c r="V1526" t="s">
        <v>5510</v>
      </c>
      <c r="W1526" t="s">
        <v>3958</v>
      </c>
      <c r="X1526" t="s">
        <v>4660</v>
      </c>
    </row>
    <row r="1527" spans="1:24" x14ac:dyDescent="0.2">
      <c r="A1527" t="s">
        <v>5508</v>
      </c>
      <c r="B1527" t="s">
        <v>673</v>
      </c>
      <c r="C1527" t="s">
        <v>1718</v>
      </c>
      <c r="D1527" t="s">
        <v>56</v>
      </c>
      <c r="E1527" t="s">
        <v>674</v>
      </c>
      <c r="F1527" t="s">
        <v>84</v>
      </c>
      <c r="G1527" s="202">
        <v>9</v>
      </c>
      <c r="H1527">
        <v>3</v>
      </c>
      <c r="I1527" t="s">
        <v>3962</v>
      </c>
      <c r="J1527" t="s">
        <v>4808</v>
      </c>
      <c r="K1527" t="s">
        <v>1283</v>
      </c>
      <c r="L1527" s="204">
        <v>0.1</v>
      </c>
      <c r="M1527" s="112">
        <v>444.01499999999999</v>
      </c>
      <c r="N1527" s="112">
        <v>44.401499999999999</v>
      </c>
      <c r="O1527" s="204"/>
      <c r="P1527" s="112"/>
      <c r="Q1527" s="112"/>
      <c r="R1527" s="112"/>
      <c r="S1527" s="112"/>
      <c r="T1527" s="112"/>
      <c r="U1527" t="s">
        <v>5509</v>
      </c>
      <c r="V1527" t="s">
        <v>5510</v>
      </c>
      <c r="W1527" t="s">
        <v>3958</v>
      </c>
      <c r="X1527" t="s">
        <v>4660</v>
      </c>
    </row>
    <row r="1528" spans="1:24" x14ac:dyDescent="0.2">
      <c r="A1528" t="s">
        <v>5508</v>
      </c>
      <c r="B1528" t="s">
        <v>673</v>
      </c>
      <c r="C1528" t="s">
        <v>1718</v>
      </c>
      <c r="D1528" t="s">
        <v>56</v>
      </c>
      <c r="E1528" t="s">
        <v>674</v>
      </c>
      <c r="F1528" t="s">
        <v>84</v>
      </c>
      <c r="G1528" s="202">
        <v>9</v>
      </c>
      <c r="H1528">
        <v>4</v>
      </c>
      <c r="I1528" t="s">
        <v>4017</v>
      </c>
      <c r="J1528" t="s">
        <v>4809</v>
      </c>
      <c r="K1528" t="s">
        <v>1283</v>
      </c>
      <c r="L1528" s="204">
        <v>0.06</v>
      </c>
      <c r="M1528" s="112">
        <v>444.01499999999999</v>
      </c>
      <c r="N1528" s="112">
        <v>26.640899999999998</v>
      </c>
      <c r="O1528" s="204"/>
      <c r="P1528" s="112"/>
      <c r="Q1528" s="112"/>
      <c r="R1528" s="112"/>
      <c r="S1528" s="112"/>
      <c r="T1528" s="112"/>
      <c r="U1528" t="s">
        <v>5509</v>
      </c>
      <c r="V1528" t="s">
        <v>5510</v>
      </c>
      <c r="W1528" t="s">
        <v>3958</v>
      </c>
      <c r="X1528" t="s">
        <v>4660</v>
      </c>
    </row>
    <row r="1529" spans="1:24" x14ac:dyDescent="0.2">
      <c r="A1529" t="s">
        <v>5508</v>
      </c>
      <c r="B1529" t="s">
        <v>673</v>
      </c>
      <c r="C1529" t="s">
        <v>1718</v>
      </c>
      <c r="D1529" t="s">
        <v>56</v>
      </c>
      <c r="E1529" t="s">
        <v>674</v>
      </c>
      <c r="F1529" t="s">
        <v>84</v>
      </c>
      <c r="G1529" s="202">
        <v>9</v>
      </c>
      <c r="H1529">
        <v>5</v>
      </c>
      <c r="I1529" t="s">
        <v>3968</v>
      </c>
      <c r="J1529" t="s">
        <v>3969</v>
      </c>
      <c r="K1529" t="s">
        <v>84</v>
      </c>
      <c r="L1529" s="204">
        <v>1</v>
      </c>
      <c r="M1529" s="112"/>
      <c r="N1529" s="112">
        <v>444.01499999999999</v>
      </c>
      <c r="O1529" s="204">
        <v>0.22228853629819811</v>
      </c>
      <c r="P1529" s="112">
        <v>98.699444444444453</v>
      </c>
      <c r="Q1529" s="112">
        <v>542.71444444444444</v>
      </c>
      <c r="R1529" s="112">
        <v>4884.43</v>
      </c>
      <c r="S1529" s="112">
        <v>4884.43</v>
      </c>
      <c r="T1529" s="112">
        <v>0</v>
      </c>
      <c r="U1529" t="s">
        <v>5509</v>
      </c>
      <c r="V1529" t="s">
        <v>5510</v>
      </c>
      <c r="W1529" t="s">
        <v>4666</v>
      </c>
      <c r="X1529" t="s">
        <v>4667</v>
      </c>
    </row>
    <row r="1530" spans="1:24" x14ac:dyDescent="0.2">
      <c r="A1530" t="s">
        <v>5511</v>
      </c>
      <c r="B1530" t="s">
        <v>675</v>
      </c>
      <c r="C1530" t="s">
        <v>1715</v>
      </c>
      <c r="D1530" t="s">
        <v>56</v>
      </c>
      <c r="E1530" t="s">
        <v>1716</v>
      </c>
      <c r="F1530" t="s">
        <v>84</v>
      </c>
      <c r="G1530" s="202">
        <v>9</v>
      </c>
      <c r="H1530">
        <v>1</v>
      </c>
      <c r="I1530" t="s">
        <v>3954</v>
      </c>
      <c r="J1530" t="s">
        <v>4734</v>
      </c>
      <c r="K1530" t="s">
        <v>1283</v>
      </c>
      <c r="L1530" s="204">
        <v>0.24</v>
      </c>
      <c r="M1530" s="112">
        <v>461.54999999999995</v>
      </c>
      <c r="N1530" s="112">
        <v>110.77199999999999</v>
      </c>
      <c r="O1530" s="204"/>
      <c r="P1530" s="112"/>
      <c r="Q1530" s="112"/>
      <c r="R1530" s="112"/>
      <c r="S1530" s="112"/>
      <c r="T1530" s="112"/>
      <c r="U1530" t="s">
        <v>5503</v>
      </c>
      <c r="V1530" t="s">
        <v>5512</v>
      </c>
      <c r="W1530" t="s">
        <v>3958</v>
      </c>
      <c r="X1530" t="s">
        <v>4660</v>
      </c>
    </row>
    <row r="1531" spans="1:24" x14ac:dyDescent="0.2">
      <c r="A1531" t="s">
        <v>5511</v>
      </c>
      <c r="B1531" t="s">
        <v>675</v>
      </c>
      <c r="C1531" t="s">
        <v>1715</v>
      </c>
      <c r="D1531" t="s">
        <v>56</v>
      </c>
      <c r="E1531" t="s">
        <v>1716</v>
      </c>
      <c r="F1531" t="s">
        <v>84</v>
      </c>
      <c r="G1531" s="202">
        <v>9</v>
      </c>
      <c r="H1531">
        <v>2</v>
      </c>
      <c r="I1531" t="s">
        <v>3962</v>
      </c>
      <c r="J1531" t="s">
        <v>4737</v>
      </c>
      <c r="K1531" t="s">
        <v>1283</v>
      </c>
      <c r="L1531" s="204">
        <v>0.46</v>
      </c>
      <c r="M1531" s="112">
        <v>461.54999999999995</v>
      </c>
      <c r="N1531" s="112">
        <v>212.31299999999999</v>
      </c>
      <c r="O1531" s="204"/>
      <c r="P1531" s="112"/>
      <c r="Q1531" s="112"/>
      <c r="R1531" s="112"/>
      <c r="S1531" s="112"/>
      <c r="T1531" s="112"/>
      <c r="U1531" t="s">
        <v>5503</v>
      </c>
      <c r="V1531" t="s">
        <v>5512</v>
      </c>
      <c r="W1531" t="s">
        <v>3958</v>
      </c>
      <c r="X1531" t="s">
        <v>4660</v>
      </c>
    </row>
    <row r="1532" spans="1:24" x14ac:dyDescent="0.2">
      <c r="A1532" t="s">
        <v>5511</v>
      </c>
      <c r="B1532" t="s">
        <v>675</v>
      </c>
      <c r="C1532" t="s">
        <v>1715</v>
      </c>
      <c r="D1532" t="s">
        <v>56</v>
      </c>
      <c r="E1532" t="s">
        <v>1716</v>
      </c>
      <c r="F1532" t="s">
        <v>84</v>
      </c>
      <c r="G1532" s="202">
        <v>9</v>
      </c>
      <c r="H1532">
        <v>3</v>
      </c>
      <c r="I1532" t="s">
        <v>4738</v>
      </c>
      <c r="J1532" t="s">
        <v>4739</v>
      </c>
      <c r="K1532" t="s">
        <v>1283</v>
      </c>
      <c r="L1532" s="204">
        <v>0.22</v>
      </c>
      <c r="M1532" s="112">
        <v>461.54999999999995</v>
      </c>
      <c r="N1532" s="112">
        <v>101.541</v>
      </c>
      <c r="O1532" s="204"/>
      <c r="P1532" s="112"/>
      <c r="Q1532" s="112"/>
      <c r="R1532" s="112"/>
      <c r="S1532" s="112"/>
      <c r="T1532" s="112"/>
      <c r="U1532" t="s">
        <v>5503</v>
      </c>
      <c r="V1532" t="s">
        <v>5512</v>
      </c>
      <c r="W1532" t="s">
        <v>3958</v>
      </c>
      <c r="X1532" t="s">
        <v>4660</v>
      </c>
    </row>
    <row r="1533" spans="1:24" x14ac:dyDescent="0.2">
      <c r="A1533" t="s">
        <v>5511</v>
      </c>
      <c r="B1533" t="s">
        <v>675</v>
      </c>
      <c r="C1533" t="s">
        <v>1715</v>
      </c>
      <c r="D1533" t="s">
        <v>56</v>
      </c>
      <c r="E1533" t="s">
        <v>1716</v>
      </c>
      <c r="F1533" t="s">
        <v>84</v>
      </c>
      <c r="G1533" s="202">
        <v>9</v>
      </c>
      <c r="H1533">
        <v>4</v>
      </c>
      <c r="I1533" t="s">
        <v>4740</v>
      </c>
      <c r="J1533" t="s">
        <v>4741</v>
      </c>
      <c r="K1533" t="s">
        <v>1283</v>
      </c>
      <c r="L1533" s="204">
        <v>0.08</v>
      </c>
      <c r="M1533" s="112">
        <v>461.54999999999995</v>
      </c>
      <c r="N1533" s="112">
        <v>36.923999999999999</v>
      </c>
      <c r="O1533" s="204"/>
      <c r="P1533" s="112"/>
      <c r="Q1533" s="112"/>
      <c r="R1533" s="112"/>
      <c r="S1533" s="112"/>
      <c r="T1533" s="112"/>
      <c r="U1533" t="s">
        <v>5503</v>
      </c>
      <c r="V1533" t="s">
        <v>5512</v>
      </c>
      <c r="W1533" t="s">
        <v>3958</v>
      </c>
      <c r="X1533" t="s">
        <v>4660</v>
      </c>
    </row>
    <row r="1534" spans="1:24" x14ac:dyDescent="0.2">
      <c r="A1534" t="s">
        <v>5511</v>
      </c>
      <c r="B1534" t="s">
        <v>675</v>
      </c>
      <c r="C1534" t="s">
        <v>1715</v>
      </c>
      <c r="D1534" t="s">
        <v>56</v>
      </c>
      <c r="E1534" t="s">
        <v>1716</v>
      </c>
      <c r="F1534" t="s">
        <v>84</v>
      </c>
      <c r="G1534" s="202">
        <v>9</v>
      </c>
      <c r="H1534">
        <v>5</v>
      </c>
      <c r="I1534" t="s">
        <v>3968</v>
      </c>
      <c r="J1534" t="s">
        <v>3969</v>
      </c>
      <c r="K1534" t="s">
        <v>84</v>
      </c>
      <c r="L1534" s="204">
        <v>1</v>
      </c>
      <c r="M1534" s="112"/>
      <c r="N1534" s="112">
        <v>461.54999999999995</v>
      </c>
      <c r="O1534" s="204">
        <v>0.22229444263893439</v>
      </c>
      <c r="P1534" s="112">
        <v>102.60000000000014</v>
      </c>
      <c r="Q1534" s="112">
        <v>564.15000000000009</v>
      </c>
      <c r="R1534" s="112">
        <v>5077.3500000000004</v>
      </c>
      <c r="S1534" s="112">
        <v>5077.3500000000004</v>
      </c>
      <c r="T1534" s="112">
        <v>0</v>
      </c>
      <c r="U1534" t="s">
        <v>5503</v>
      </c>
      <c r="V1534" t="s">
        <v>5512</v>
      </c>
      <c r="W1534" t="s">
        <v>4666</v>
      </c>
      <c r="X1534" t="s">
        <v>4667</v>
      </c>
    </row>
    <row r="1535" spans="1:24" x14ac:dyDescent="0.2">
      <c r="A1535" t="s">
        <v>5513</v>
      </c>
      <c r="B1535" t="s">
        <v>676</v>
      </c>
      <c r="C1535" t="s">
        <v>1719</v>
      </c>
      <c r="D1535" t="s">
        <v>56</v>
      </c>
      <c r="E1535" t="s">
        <v>677</v>
      </c>
      <c r="F1535" t="s">
        <v>84</v>
      </c>
      <c r="G1535" s="202">
        <v>21</v>
      </c>
      <c r="H1535">
        <v>1</v>
      </c>
      <c r="I1535" t="s">
        <v>3954</v>
      </c>
      <c r="J1535" t="s">
        <v>4734</v>
      </c>
      <c r="K1535" t="s">
        <v>1283</v>
      </c>
      <c r="L1535" s="204">
        <v>0.24</v>
      </c>
      <c r="M1535" s="112">
        <v>50.625</v>
      </c>
      <c r="N1535" s="112">
        <v>12.15</v>
      </c>
      <c r="O1535" s="204"/>
      <c r="P1535" s="112"/>
      <c r="Q1535" s="112"/>
      <c r="R1535" s="112"/>
      <c r="S1535" s="112"/>
      <c r="T1535" s="112"/>
      <c r="U1535" t="s">
        <v>5514</v>
      </c>
      <c r="V1535" t="s">
        <v>5515</v>
      </c>
      <c r="W1535" t="s">
        <v>3958</v>
      </c>
      <c r="X1535" t="s">
        <v>4660</v>
      </c>
    </row>
    <row r="1536" spans="1:24" x14ac:dyDescent="0.2">
      <c r="A1536" t="s">
        <v>5513</v>
      </c>
      <c r="B1536" t="s">
        <v>676</v>
      </c>
      <c r="C1536" t="s">
        <v>1719</v>
      </c>
      <c r="D1536" t="s">
        <v>56</v>
      </c>
      <c r="E1536" t="s">
        <v>677</v>
      </c>
      <c r="F1536" t="s">
        <v>84</v>
      </c>
      <c r="G1536" s="202">
        <v>21</v>
      </c>
      <c r="H1536">
        <v>2</v>
      </c>
      <c r="I1536" t="s">
        <v>3962</v>
      </c>
      <c r="J1536" t="s">
        <v>4737</v>
      </c>
      <c r="K1536" t="s">
        <v>1283</v>
      </c>
      <c r="L1536" s="204">
        <v>0.46</v>
      </c>
      <c r="M1536" s="112">
        <v>50.625</v>
      </c>
      <c r="N1536" s="112">
        <v>23.287500000000001</v>
      </c>
      <c r="O1536" s="204"/>
      <c r="P1536" s="112"/>
      <c r="Q1536" s="112"/>
      <c r="R1536" s="112"/>
      <c r="S1536" s="112"/>
      <c r="T1536" s="112"/>
      <c r="U1536" t="s">
        <v>5514</v>
      </c>
      <c r="V1536" t="s">
        <v>5515</v>
      </c>
      <c r="W1536" t="s">
        <v>3958</v>
      </c>
      <c r="X1536" t="s">
        <v>4660</v>
      </c>
    </row>
    <row r="1537" spans="1:24" x14ac:dyDescent="0.2">
      <c r="A1537" t="s">
        <v>5513</v>
      </c>
      <c r="B1537" t="s">
        <v>676</v>
      </c>
      <c r="C1537" t="s">
        <v>1719</v>
      </c>
      <c r="D1537" t="s">
        <v>56</v>
      </c>
      <c r="E1537" t="s">
        <v>677</v>
      </c>
      <c r="F1537" t="s">
        <v>84</v>
      </c>
      <c r="G1537" s="202">
        <v>21</v>
      </c>
      <c r="H1537">
        <v>3</v>
      </c>
      <c r="I1537" t="s">
        <v>4738</v>
      </c>
      <c r="J1537" t="s">
        <v>4739</v>
      </c>
      <c r="K1537" t="s">
        <v>1283</v>
      </c>
      <c r="L1537" s="204">
        <v>0.22</v>
      </c>
      <c r="M1537" s="112">
        <v>50.625</v>
      </c>
      <c r="N1537" s="112">
        <v>11.137499999999999</v>
      </c>
      <c r="O1537" s="204"/>
      <c r="P1537" s="112"/>
      <c r="Q1537" s="112"/>
      <c r="R1537" s="112"/>
      <c r="S1537" s="112"/>
      <c r="T1537" s="112"/>
      <c r="U1537" t="s">
        <v>5514</v>
      </c>
      <c r="V1537" t="s">
        <v>5515</v>
      </c>
      <c r="W1537" t="s">
        <v>3958</v>
      </c>
      <c r="X1537" t="s">
        <v>4660</v>
      </c>
    </row>
    <row r="1538" spans="1:24" x14ac:dyDescent="0.2">
      <c r="A1538" t="s">
        <v>5513</v>
      </c>
      <c r="B1538" t="s">
        <v>676</v>
      </c>
      <c r="C1538" t="s">
        <v>1719</v>
      </c>
      <c r="D1538" t="s">
        <v>56</v>
      </c>
      <c r="E1538" t="s">
        <v>677</v>
      </c>
      <c r="F1538" t="s">
        <v>84</v>
      </c>
      <c r="G1538" s="202">
        <v>21</v>
      </c>
      <c r="H1538">
        <v>4</v>
      </c>
      <c r="I1538" t="s">
        <v>4740</v>
      </c>
      <c r="J1538" t="s">
        <v>4741</v>
      </c>
      <c r="K1538" t="s">
        <v>1283</v>
      </c>
      <c r="L1538" s="204">
        <v>0.08</v>
      </c>
      <c r="M1538" s="112">
        <v>50.625</v>
      </c>
      <c r="N1538" s="112">
        <v>4.05</v>
      </c>
      <c r="O1538" s="204"/>
      <c r="P1538" s="112"/>
      <c r="Q1538" s="112"/>
      <c r="R1538" s="112"/>
      <c r="S1538" s="112"/>
      <c r="T1538" s="112"/>
      <c r="U1538" t="s">
        <v>5514</v>
      </c>
      <c r="V1538" t="s">
        <v>5515</v>
      </c>
      <c r="W1538" t="s">
        <v>3958</v>
      </c>
      <c r="X1538" t="s">
        <v>4660</v>
      </c>
    </row>
    <row r="1539" spans="1:24" x14ac:dyDescent="0.2">
      <c r="A1539" t="s">
        <v>5513</v>
      </c>
      <c r="B1539" t="s">
        <v>676</v>
      </c>
      <c r="C1539" t="s">
        <v>1719</v>
      </c>
      <c r="D1539" t="s">
        <v>56</v>
      </c>
      <c r="E1539" t="s">
        <v>677</v>
      </c>
      <c r="F1539" t="s">
        <v>84</v>
      </c>
      <c r="G1539" s="202">
        <v>21</v>
      </c>
      <c r="H1539">
        <v>5</v>
      </c>
      <c r="I1539" t="s">
        <v>3968</v>
      </c>
      <c r="J1539" t="s">
        <v>3969</v>
      </c>
      <c r="K1539" t="s">
        <v>84</v>
      </c>
      <c r="L1539" s="204">
        <v>1</v>
      </c>
      <c r="M1539" s="112"/>
      <c r="N1539" s="112">
        <v>50.625</v>
      </c>
      <c r="O1539" s="204">
        <v>0.22221751910640775</v>
      </c>
      <c r="P1539" s="112">
        <v>11.249761904761897</v>
      </c>
      <c r="Q1539" s="112">
        <v>61.874761904761897</v>
      </c>
      <c r="R1539" s="112">
        <v>1299.3699999999999</v>
      </c>
      <c r="S1539" s="112">
        <v>1299.3699999999999</v>
      </c>
      <c r="T1539" s="112">
        <v>0</v>
      </c>
      <c r="U1539" t="s">
        <v>5514</v>
      </c>
      <c r="V1539" t="s">
        <v>5515</v>
      </c>
      <c r="W1539" t="s">
        <v>4666</v>
      </c>
      <c r="X1539" t="s">
        <v>4667</v>
      </c>
    </row>
    <row r="1540" spans="1:24" x14ac:dyDescent="0.2">
      <c r="A1540" t="s">
        <v>5516</v>
      </c>
      <c r="B1540" t="s">
        <v>678</v>
      </c>
      <c r="C1540" t="s">
        <v>1720</v>
      </c>
      <c r="D1540" t="s">
        <v>56</v>
      </c>
      <c r="E1540" t="s">
        <v>679</v>
      </c>
      <c r="F1540" t="s">
        <v>84</v>
      </c>
      <c r="G1540" s="202">
        <v>6</v>
      </c>
      <c r="H1540">
        <v>1</v>
      </c>
      <c r="I1540" t="s">
        <v>3954</v>
      </c>
      <c r="J1540" t="s">
        <v>4734</v>
      </c>
      <c r="K1540" t="s">
        <v>1283</v>
      </c>
      <c r="L1540" s="204">
        <v>0.24</v>
      </c>
      <c r="M1540" s="112">
        <v>107.1825</v>
      </c>
      <c r="N1540" s="112">
        <v>25.723800000000001</v>
      </c>
      <c r="O1540" s="204"/>
      <c r="P1540" s="112"/>
      <c r="Q1540" s="112"/>
      <c r="R1540" s="112"/>
      <c r="S1540" s="112"/>
      <c r="T1540" s="112"/>
      <c r="U1540" t="s">
        <v>5517</v>
      </c>
      <c r="V1540" t="s">
        <v>5518</v>
      </c>
      <c r="W1540" t="s">
        <v>3958</v>
      </c>
      <c r="X1540" t="s">
        <v>4660</v>
      </c>
    </row>
    <row r="1541" spans="1:24" x14ac:dyDescent="0.2">
      <c r="A1541" t="s">
        <v>5516</v>
      </c>
      <c r="B1541" t="s">
        <v>678</v>
      </c>
      <c r="C1541" t="s">
        <v>1720</v>
      </c>
      <c r="D1541" t="s">
        <v>56</v>
      </c>
      <c r="E1541" t="s">
        <v>679</v>
      </c>
      <c r="F1541" t="s">
        <v>84</v>
      </c>
      <c r="G1541" s="202">
        <v>6</v>
      </c>
      <c r="H1541">
        <v>2</v>
      </c>
      <c r="I1541" t="s">
        <v>3962</v>
      </c>
      <c r="J1541" t="s">
        <v>4737</v>
      </c>
      <c r="K1541" t="s">
        <v>1283</v>
      </c>
      <c r="L1541" s="204">
        <v>0.46</v>
      </c>
      <c r="M1541" s="112">
        <v>107.1825</v>
      </c>
      <c r="N1541" s="112">
        <v>49.303950000000007</v>
      </c>
      <c r="O1541" s="204"/>
      <c r="P1541" s="112"/>
      <c r="Q1541" s="112"/>
      <c r="R1541" s="112"/>
      <c r="S1541" s="112"/>
      <c r="T1541" s="112"/>
      <c r="U1541" t="s">
        <v>5517</v>
      </c>
      <c r="V1541" t="s">
        <v>5518</v>
      </c>
      <c r="W1541" t="s">
        <v>3958</v>
      </c>
      <c r="X1541" t="s">
        <v>4660</v>
      </c>
    </row>
    <row r="1542" spans="1:24" x14ac:dyDescent="0.2">
      <c r="A1542" t="s">
        <v>5516</v>
      </c>
      <c r="B1542" t="s">
        <v>678</v>
      </c>
      <c r="C1542" t="s">
        <v>1720</v>
      </c>
      <c r="D1542" t="s">
        <v>56</v>
      </c>
      <c r="E1542" t="s">
        <v>679</v>
      </c>
      <c r="F1542" t="s">
        <v>84</v>
      </c>
      <c r="G1542" s="202">
        <v>6</v>
      </c>
      <c r="H1542">
        <v>3</v>
      </c>
      <c r="I1542" t="s">
        <v>4738</v>
      </c>
      <c r="J1542" t="s">
        <v>4739</v>
      </c>
      <c r="K1542" t="s">
        <v>1283</v>
      </c>
      <c r="L1542" s="204">
        <v>0.22</v>
      </c>
      <c r="M1542" s="112">
        <v>107.1825</v>
      </c>
      <c r="N1542" s="112">
        <v>23.58015</v>
      </c>
      <c r="O1542" s="204"/>
      <c r="P1542" s="112"/>
      <c r="Q1542" s="112"/>
      <c r="R1542" s="112"/>
      <c r="S1542" s="112"/>
      <c r="T1542" s="112"/>
      <c r="U1542" t="s">
        <v>5517</v>
      </c>
      <c r="V1542" t="s">
        <v>5518</v>
      </c>
      <c r="W1542" t="s">
        <v>3958</v>
      </c>
      <c r="X1542" t="s">
        <v>4660</v>
      </c>
    </row>
    <row r="1543" spans="1:24" x14ac:dyDescent="0.2">
      <c r="A1543" t="s">
        <v>5516</v>
      </c>
      <c r="B1543" t="s">
        <v>678</v>
      </c>
      <c r="C1543" t="s">
        <v>1720</v>
      </c>
      <c r="D1543" t="s">
        <v>56</v>
      </c>
      <c r="E1543" t="s">
        <v>679</v>
      </c>
      <c r="F1543" t="s">
        <v>84</v>
      </c>
      <c r="G1543" s="202">
        <v>6</v>
      </c>
      <c r="H1543">
        <v>4</v>
      </c>
      <c r="I1543" t="s">
        <v>4740</v>
      </c>
      <c r="J1543" t="s">
        <v>4741</v>
      </c>
      <c r="K1543" t="s">
        <v>1283</v>
      </c>
      <c r="L1543" s="204">
        <v>0.08</v>
      </c>
      <c r="M1543" s="112">
        <v>107.1825</v>
      </c>
      <c r="N1543" s="112">
        <v>8.5746000000000002</v>
      </c>
      <c r="O1543" s="204"/>
      <c r="P1543" s="112"/>
      <c r="Q1543" s="112"/>
      <c r="R1543" s="112"/>
      <c r="S1543" s="112"/>
      <c r="T1543" s="112"/>
      <c r="U1543" t="s">
        <v>5517</v>
      </c>
      <c r="V1543" t="s">
        <v>5518</v>
      </c>
      <c r="W1543" t="s">
        <v>3958</v>
      </c>
      <c r="X1543" t="s">
        <v>4660</v>
      </c>
    </row>
    <row r="1544" spans="1:24" x14ac:dyDescent="0.2">
      <c r="A1544" t="s">
        <v>5516</v>
      </c>
      <c r="B1544" t="s">
        <v>678</v>
      </c>
      <c r="C1544" t="s">
        <v>1720</v>
      </c>
      <c r="D1544" t="s">
        <v>56</v>
      </c>
      <c r="E1544" t="s">
        <v>679</v>
      </c>
      <c r="F1544" t="s">
        <v>84</v>
      </c>
      <c r="G1544" s="202">
        <v>6</v>
      </c>
      <c r="H1544">
        <v>5</v>
      </c>
      <c r="I1544" t="s">
        <v>3968</v>
      </c>
      <c r="J1544" t="s">
        <v>3969</v>
      </c>
      <c r="K1544" t="s">
        <v>84</v>
      </c>
      <c r="L1544" s="204">
        <v>1</v>
      </c>
      <c r="M1544" s="112"/>
      <c r="N1544" s="112">
        <v>107.1825</v>
      </c>
      <c r="O1544" s="204">
        <v>0.22222999712328662</v>
      </c>
      <c r="P1544" s="112">
        <v>23.819166666666661</v>
      </c>
      <c r="Q1544" s="112">
        <v>131.00166666666667</v>
      </c>
      <c r="R1544" s="112">
        <v>786.01</v>
      </c>
      <c r="S1544" s="112">
        <v>786.01</v>
      </c>
      <c r="T1544" s="112">
        <v>0</v>
      </c>
      <c r="U1544" t="s">
        <v>5517</v>
      </c>
      <c r="V1544" t="s">
        <v>5518</v>
      </c>
      <c r="W1544" t="s">
        <v>4666</v>
      </c>
      <c r="X1544" t="s">
        <v>4667</v>
      </c>
    </row>
    <row r="1545" spans="1:24" x14ac:dyDescent="0.2">
      <c r="A1545" t="s">
        <v>5519</v>
      </c>
      <c r="B1545" t="s">
        <v>680</v>
      </c>
      <c r="C1545" t="s">
        <v>1721</v>
      </c>
      <c r="D1545" t="s">
        <v>56</v>
      </c>
      <c r="E1545" t="s">
        <v>681</v>
      </c>
      <c r="F1545" t="s">
        <v>99</v>
      </c>
      <c r="G1545" s="202">
        <v>42.2</v>
      </c>
      <c r="H1545">
        <v>1</v>
      </c>
      <c r="I1545" t="s">
        <v>3954</v>
      </c>
      <c r="J1545" t="s">
        <v>4734</v>
      </c>
      <c r="K1545" t="s">
        <v>1283</v>
      </c>
      <c r="L1545" s="204">
        <v>0.24</v>
      </c>
      <c r="M1545" s="112">
        <v>21.337499999999999</v>
      </c>
      <c r="N1545" s="112">
        <v>5.1209999999999996</v>
      </c>
      <c r="O1545" s="204"/>
      <c r="P1545" s="112"/>
      <c r="Q1545" s="112"/>
      <c r="R1545" s="112"/>
      <c r="S1545" s="112"/>
      <c r="T1545" s="112"/>
      <c r="U1545" t="s">
        <v>5520</v>
      </c>
      <c r="V1545" t="s">
        <v>5521</v>
      </c>
      <c r="W1545" t="s">
        <v>3958</v>
      </c>
      <c r="X1545" t="s">
        <v>4660</v>
      </c>
    </row>
    <row r="1546" spans="1:24" x14ac:dyDescent="0.2">
      <c r="A1546" t="s">
        <v>5519</v>
      </c>
      <c r="B1546" t="s">
        <v>680</v>
      </c>
      <c r="C1546" t="s">
        <v>1721</v>
      </c>
      <c r="D1546" t="s">
        <v>56</v>
      </c>
      <c r="E1546" t="s">
        <v>681</v>
      </c>
      <c r="F1546" t="s">
        <v>99</v>
      </c>
      <c r="G1546" s="202">
        <v>42.2</v>
      </c>
      <c r="H1546">
        <v>2</v>
      </c>
      <c r="I1546" t="s">
        <v>3962</v>
      </c>
      <c r="J1546" t="s">
        <v>4737</v>
      </c>
      <c r="K1546" t="s">
        <v>1283</v>
      </c>
      <c r="L1546" s="204">
        <v>0.46</v>
      </c>
      <c r="M1546" s="112">
        <v>21.337499999999999</v>
      </c>
      <c r="N1546" s="112">
        <v>9.8152499999999989</v>
      </c>
      <c r="O1546" s="204"/>
      <c r="P1546" s="112"/>
      <c r="Q1546" s="112"/>
      <c r="R1546" s="112"/>
      <c r="S1546" s="112"/>
      <c r="T1546" s="112"/>
      <c r="U1546" t="s">
        <v>5520</v>
      </c>
      <c r="V1546" t="s">
        <v>5521</v>
      </c>
      <c r="W1546" t="s">
        <v>3958</v>
      </c>
      <c r="X1546" t="s">
        <v>4660</v>
      </c>
    </row>
    <row r="1547" spans="1:24" x14ac:dyDescent="0.2">
      <c r="A1547" t="s">
        <v>5519</v>
      </c>
      <c r="B1547" t="s">
        <v>680</v>
      </c>
      <c r="C1547" t="s">
        <v>1721</v>
      </c>
      <c r="D1547" t="s">
        <v>56</v>
      </c>
      <c r="E1547" t="s">
        <v>681</v>
      </c>
      <c r="F1547" t="s">
        <v>99</v>
      </c>
      <c r="G1547" s="202">
        <v>42.2</v>
      </c>
      <c r="H1547">
        <v>3</v>
      </c>
      <c r="I1547" t="s">
        <v>4738</v>
      </c>
      <c r="J1547" t="s">
        <v>4739</v>
      </c>
      <c r="K1547" t="s">
        <v>1283</v>
      </c>
      <c r="L1547" s="204">
        <v>0.22</v>
      </c>
      <c r="M1547" s="112">
        <v>21.337499999999999</v>
      </c>
      <c r="N1547" s="112">
        <v>4.6942499999999994</v>
      </c>
      <c r="O1547" s="204"/>
      <c r="P1547" s="112"/>
      <c r="Q1547" s="112"/>
      <c r="R1547" s="112"/>
      <c r="S1547" s="112"/>
      <c r="T1547" s="112"/>
      <c r="U1547" t="s">
        <v>5520</v>
      </c>
      <c r="V1547" t="s">
        <v>5521</v>
      </c>
      <c r="W1547" t="s">
        <v>3958</v>
      </c>
      <c r="X1547" t="s">
        <v>4660</v>
      </c>
    </row>
    <row r="1548" spans="1:24" x14ac:dyDescent="0.2">
      <c r="A1548" t="s">
        <v>5519</v>
      </c>
      <c r="B1548" t="s">
        <v>680</v>
      </c>
      <c r="C1548" t="s">
        <v>1721</v>
      </c>
      <c r="D1548" t="s">
        <v>56</v>
      </c>
      <c r="E1548" t="s">
        <v>681</v>
      </c>
      <c r="F1548" t="s">
        <v>99</v>
      </c>
      <c r="G1548" s="202">
        <v>42.2</v>
      </c>
      <c r="H1548">
        <v>4</v>
      </c>
      <c r="I1548" t="s">
        <v>4740</v>
      </c>
      <c r="J1548" t="s">
        <v>4741</v>
      </c>
      <c r="K1548" t="s">
        <v>1283</v>
      </c>
      <c r="L1548" s="204">
        <v>0.08</v>
      </c>
      <c r="M1548" s="112">
        <v>21.337499999999999</v>
      </c>
      <c r="N1548" s="112">
        <v>1.7069999999999999</v>
      </c>
      <c r="O1548" s="204"/>
      <c r="P1548" s="112"/>
      <c r="Q1548" s="112"/>
      <c r="R1548" s="112"/>
      <c r="S1548" s="112"/>
      <c r="T1548" s="112"/>
      <c r="U1548" t="s">
        <v>5520</v>
      </c>
      <c r="V1548" t="s">
        <v>5521</v>
      </c>
      <c r="W1548" t="s">
        <v>3958</v>
      </c>
      <c r="X1548" t="s">
        <v>4660</v>
      </c>
    </row>
    <row r="1549" spans="1:24" x14ac:dyDescent="0.2">
      <c r="A1549" t="s">
        <v>5519</v>
      </c>
      <c r="B1549" t="s">
        <v>680</v>
      </c>
      <c r="C1549" t="s">
        <v>1721</v>
      </c>
      <c r="D1549" t="s">
        <v>56</v>
      </c>
      <c r="E1549" t="s">
        <v>681</v>
      </c>
      <c r="F1549" t="s">
        <v>99</v>
      </c>
      <c r="G1549" s="202">
        <v>42.2</v>
      </c>
      <c r="H1549">
        <v>5</v>
      </c>
      <c r="I1549" t="s">
        <v>3968</v>
      </c>
      <c r="J1549" t="s">
        <v>3969</v>
      </c>
      <c r="K1549" t="s">
        <v>99</v>
      </c>
      <c r="L1549" s="204">
        <v>1</v>
      </c>
      <c r="M1549" s="112"/>
      <c r="N1549" s="112">
        <v>21.337499999999999</v>
      </c>
      <c r="O1549" s="204">
        <v>0.22214355719548995</v>
      </c>
      <c r="P1549" s="112">
        <v>4.7399881516587676</v>
      </c>
      <c r="Q1549" s="112">
        <v>26.077488151658766</v>
      </c>
      <c r="R1549" s="112">
        <v>1100.47</v>
      </c>
      <c r="S1549" s="112">
        <v>1100.47</v>
      </c>
      <c r="T1549" s="112">
        <v>0</v>
      </c>
      <c r="U1549" t="s">
        <v>5520</v>
      </c>
      <c r="V1549" t="s">
        <v>5521</v>
      </c>
      <c r="W1549" t="s">
        <v>4666</v>
      </c>
      <c r="X1549" t="s">
        <v>4667</v>
      </c>
    </row>
    <row r="1550" spans="1:24" x14ac:dyDescent="0.2">
      <c r="A1550" t="s">
        <v>5522</v>
      </c>
      <c r="B1550" t="s">
        <v>682</v>
      </c>
      <c r="C1550" t="s">
        <v>1722</v>
      </c>
      <c r="D1550" t="s">
        <v>56</v>
      </c>
      <c r="E1550" t="s">
        <v>683</v>
      </c>
      <c r="F1550" t="s">
        <v>99</v>
      </c>
      <c r="G1550" s="202">
        <v>36.299999999999997</v>
      </c>
      <c r="H1550">
        <v>1</v>
      </c>
      <c r="I1550" t="s">
        <v>3954</v>
      </c>
      <c r="J1550" t="s">
        <v>4734</v>
      </c>
      <c r="K1550" t="s">
        <v>1283</v>
      </c>
      <c r="L1550" s="204">
        <v>0.24</v>
      </c>
      <c r="M1550" s="112">
        <v>26.362499999999997</v>
      </c>
      <c r="N1550" s="112">
        <v>6.3269999999999991</v>
      </c>
      <c r="O1550" s="204"/>
      <c r="P1550" s="112"/>
      <c r="Q1550" s="112"/>
      <c r="R1550" s="112"/>
      <c r="S1550" s="112"/>
      <c r="T1550" s="112"/>
      <c r="U1550" t="s">
        <v>5523</v>
      </c>
      <c r="V1550" t="s">
        <v>5524</v>
      </c>
      <c r="W1550" t="s">
        <v>3958</v>
      </c>
      <c r="X1550" t="s">
        <v>4660</v>
      </c>
    </row>
    <row r="1551" spans="1:24" x14ac:dyDescent="0.2">
      <c r="A1551" t="s">
        <v>5522</v>
      </c>
      <c r="B1551" t="s">
        <v>682</v>
      </c>
      <c r="C1551" t="s">
        <v>1722</v>
      </c>
      <c r="D1551" t="s">
        <v>56</v>
      </c>
      <c r="E1551" t="s">
        <v>683</v>
      </c>
      <c r="F1551" t="s">
        <v>99</v>
      </c>
      <c r="G1551" s="202">
        <v>36.299999999999997</v>
      </c>
      <c r="H1551">
        <v>2</v>
      </c>
      <c r="I1551" t="s">
        <v>3962</v>
      </c>
      <c r="J1551" t="s">
        <v>4737</v>
      </c>
      <c r="K1551" t="s">
        <v>1283</v>
      </c>
      <c r="L1551" s="204">
        <v>0.46</v>
      </c>
      <c r="M1551" s="112">
        <v>26.362499999999997</v>
      </c>
      <c r="N1551" s="112">
        <v>12.126749999999999</v>
      </c>
      <c r="O1551" s="204"/>
      <c r="P1551" s="112"/>
      <c r="Q1551" s="112"/>
      <c r="R1551" s="112"/>
      <c r="S1551" s="112"/>
      <c r="T1551" s="112"/>
      <c r="U1551" t="s">
        <v>5523</v>
      </c>
      <c r="V1551" t="s">
        <v>5524</v>
      </c>
      <c r="W1551" t="s">
        <v>3958</v>
      </c>
      <c r="X1551" t="s">
        <v>4660</v>
      </c>
    </row>
    <row r="1552" spans="1:24" x14ac:dyDescent="0.2">
      <c r="A1552" t="s">
        <v>5522</v>
      </c>
      <c r="B1552" t="s">
        <v>682</v>
      </c>
      <c r="C1552" t="s">
        <v>1722</v>
      </c>
      <c r="D1552" t="s">
        <v>56</v>
      </c>
      <c r="E1552" t="s">
        <v>683</v>
      </c>
      <c r="F1552" t="s">
        <v>99</v>
      </c>
      <c r="G1552" s="202">
        <v>36.299999999999997</v>
      </c>
      <c r="H1552">
        <v>3</v>
      </c>
      <c r="I1552" t="s">
        <v>4738</v>
      </c>
      <c r="J1552" t="s">
        <v>4739</v>
      </c>
      <c r="K1552" t="s">
        <v>1283</v>
      </c>
      <c r="L1552" s="204">
        <v>0.22</v>
      </c>
      <c r="M1552" s="112">
        <v>26.362499999999997</v>
      </c>
      <c r="N1552" s="112">
        <v>5.7997499999999995</v>
      </c>
      <c r="O1552" s="204"/>
      <c r="P1552" s="112"/>
      <c r="Q1552" s="112"/>
      <c r="R1552" s="112"/>
      <c r="S1552" s="112"/>
      <c r="T1552" s="112"/>
      <c r="U1552" t="s">
        <v>5523</v>
      </c>
      <c r="V1552" t="s">
        <v>5524</v>
      </c>
      <c r="W1552" t="s">
        <v>3958</v>
      </c>
      <c r="X1552" t="s">
        <v>4660</v>
      </c>
    </row>
    <row r="1553" spans="1:24" x14ac:dyDescent="0.2">
      <c r="A1553" t="s">
        <v>5522</v>
      </c>
      <c r="B1553" t="s">
        <v>682</v>
      </c>
      <c r="C1553" t="s">
        <v>1722</v>
      </c>
      <c r="D1553" t="s">
        <v>56</v>
      </c>
      <c r="E1553" t="s">
        <v>683</v>
      </c>
      <c r="F1553" t="s">
        <v>99</v>
      </c>
      <c r="G1553" s="202">
        <v>36.299999999999997</v>
      </c>
      <c r="H1553">
        <v>4</v>
      </c>
      <c r="I1553" t="s">
        <v>4740</v>
      </c>
      <c r="J1553" t="s">
        <v>4741</v>
      </c>
      <c r="K1553" t="s">
        <v>1283</v>
      </c>
      <c r="L1553" s="204">
        <v>0.08</v>
      </c>
      <c r="M1553" s="112">
        <v>26.362499999999997</v>
      </c>
      <c r="N1553" s="112">
        <v>2.109</v>
      </c>
      <c r="O1553" s="204"/>
      <c r="P1553" s="112"/>
      <c r="Q1553" s="112"/>
      <c r="R1553" s="112"/>
      <c r="S1553" s="112"/>
      <c r="T1553" s="112"/>
      <c r="U1553" t="s">
        <v>5523</v>
      </c>
      <c r="V1553" t="s">
        <v>5524</v>
      </c>
      <c r="W1553" t="s">
        <v>3958</v>
      </c>
      <c r="X1553" t="s">
        <v>4660</v>
      </c>
    </row>
    <row r="1554" spans="1:24" x14ac:dyDescent="0.2">
      <c r="A1554" t="s">
        <v>5522</v>
      </c>
      <c r="B1554" t="s">
        <v>682</v>
      </c>
      <c r="C1554" t="s">
        <v>1722</v>
      </c>
      <c r="D1554" t="s">
        <v>56</v>
      </c>
      <c r="E1554" t="s">
        <v>683</v>
      </c>
      <c r="F1554" t="s">
        <v>99</v>
      </c>
      <c r="G1554" s="202">
        <v>36.299999999999997</v>
      </c>
      <c r="H1554">
        <v>5</v>
      </c>
      <c r="I1554" t="s">
        <v>3968</v>
      </c>
      <c r="J1554" t="s">
        <v>3969</v>
      </c>
      <c r="K1554" t="s">
        <v>99</v>
      </c>
      <c r="L1554" s="204">
        <v>1</v>
      </c>
      <c r="M1554" s="112"/>
      <c r="N1554" s="112">
        <v>26.362499999999997</v>
      </c>
      <c r="O1554" s="204">
        <v>0.22218434180156699</v>
      </c>
      <c r="P1554" s="112">
        <v>5.8573347107438067</v>
      </c>
      <c r="Q1554" s="112">
        <v>32.219834710743804</v>
      </c>
      <c r="R1554" s="112">
        <v>1169.58</v>
      </c>
      <c r="S1554" s="112">
        <v>1169.58</v>
      </c>
      <c r="T1554" s="112">
        <v>0</v>
      </c>
      <c r="U1554" t="s">
        <v>5523</v>
      </c>
      <c r="V1554" t="s">
        <v>5524</v>
      </c>
      <c r="W1554" t="s">
        <v>4666</v>
      </c>
      <c r="X1554" t="s">
        <v>4667</v>
      </c>
    </row>
    <row r="1555" spans="1:24" x14ac:dyDescent="0.2">
      <c r="A1555" t="s">
        <v>5525</v>
      </c>
      <c r="B1555" t="s">
        <v>684</v>
      </c>
      <c r="C1555" t="s">
        <v>1723</v>
      </c>
      <c r="D1555" t="s">
        <v>56</v>
      </c>
      <c r="E1555" t="s">
        <v>1724</v>
      </c>
      <c r="F1555" t="s">
        <v>99</v>
      </c>
      <c r="G1555" s="202">
        <v>5.3</v>
      </c>
      <c r="H1555">
        <v>1</v>
      </c>
      <c r="I1555" t="s">
        <v>3954</v>
      </c>
      <c r="J1555" t="s">
        <v>4734</v>
      </c>
      <c r="K1555" t="s">
        <v>1283</v>
      </c>
      <c r="L1555" s="204">
        <v>0.24</v>
      </c>
      <c r="M1555" s="112">
        <v>32.655000000000001</v>
      </c>
      <c r="N1555" s="112">
        <v>7.8372000000000002</v>
      </c>
      <c r="O1555" s="204"/>
      <c r="P1555" s="112"/>
      <c r="Q1555" s="112"/>
      <c r="R1555" s="112"/>
      <c r="S1555" s="112"/>
      <c r="T1555" s="112"/>
      <c r="U1555" t="s">
        <v>5526</v>
      </c>
      <c r="V1555" t="s">
        <v>5527</v>
      </c>
      <c r="W1555" t="s">
        <v>3958</v>
      </c>
      <c r="X1555" t="s">
        <v>4660</v>
      </c>
    </row>
    <row r="1556" spans="1:24" x14ac:dyDescent="0.2">
      <c r="A1556" t="s">
        <v>5525</v>
      </c>
      <c r="B1556" t="s">
        <v>684</v>
      </c>
      <c r="C1556" t="s">
        <v>1723</v>
      </c>
      <c r="D1556" t="s">
        <v>56</v>
      </c>
      <c r="E1556" t="s">
        <v>1724</v>
      </c>
      <c r="F1556" t="s">
        <v>99</v>
      </c>
      <c r="G1556" s="202">
        <v>5.3</v>
      </c>
      <c r="H1556">
        <v>2</v>
      </c>
      <c r="I1556" t="s">
        <v>3962</v>
      </c>
      <c r="J1556" t="s">
        <v>4737</v>
      </c>
      <c r="K1556" t="s">
        <v>1283</v>
      </c>
      <c r="L1556" s="204">
        <v>0.46</v>
      </c>
      <c r="M1556" s="112">
        <v>32.655000000000001</v>
      </c>
      <c r="N1556" s="112">
        <v>15.021300000000002</v>
      </c>
      <c r="O1556" s="204"/>
      <c r="P1556" s="112"/>
      <c r="Q1556" s="112"/>
      <c r="R1556" s="112"/>
      <c r="S1556" s="112"/>
      <c r="T1556" s="112"/>
      <c r="U1556" t="s">
        <v>5526</v>
      </c>
      <c r="V1556" t="s">
        <v>5527</v>
      </c>
      <c r="W1556" t="s">
        <v>3958</v>
      </c>
      <c r="X1556" t="s">
        <v>4660</v>
      </c>
    </row>
    <row r="1557" spans="1:24" x14ac:dyDescent="0.2">
      <c r="A1557" t="s">
        <v>5525</v>
      </c>
      <c r="B1557" t="s">
        <v>684</v>
      </c>
      <c r="C1557" t="s">
        <v>1723</v>
      </c>
      <c r="D1557" t="s">
        <v>56</v>
      </c>
      <c r="E1557" t="s">
        <v>1724</v>
      </c>
      <c r="F1557" t="s">
        <v>99</v>
      </c>
      <c r="G1557" s="202">
        <v>5.3</v>
      </c>
      <c r="H1557">
        <v>3</v>
      </c>
      <c r="I1557" t="s">
        <v>4738</v>
      </c>
      <c r="J1557" t="s">
        <v>4739</v>
      </c>
      <c r="K1557" t="s">
        <v>1283</v>
      </c>
      <c r="L1557" s="204">
        <v>0.22</v>
      </c>
      <c r="M1557" s="112">
        <v>32.655000000000001</v>
      </c>
      <c r="N1557" s="112">
        <v>7.1840999999999999</v>
      </c>
      <c r="O1557" s="204"/>
      <c r="P1557" s="112"/>
      <c r="Q1557" s="112"/>
      <c r="R1557" s="112"/>
      <c r="S1557" s="112"/>
      <c r="T1557" s="112"/>
      <c r="U1557" t="s">
        <v>5526</v>
      </c>
      <c r="V1557" t="s">
        <v>5527</v>
      </c>
      <c r="W1557" t="s">
        <v>3958</v>
      </c>
      <c r="X1557" t="s">
        <v>4660</v>
      </c>
    </row>
    <row r="1558" spans="1:24" x14ac:dyDescent="0.2">
      <c r="A1558" t="s">
        <v>5525</v>
      </c>
      <c r="B1558" t="s">
        <v>684</v>
      </c>
      <c r="C1558" t="s">
        <v>1723</v>
      </c>
      <c r="D1558" t="s">
        <v>56</v>
      </c>
      <c r="E1558" t="s">
        <v>1724</v>
      </c>
      <c r="F1558" t="s">
        <v>99</v>
      </c>
      <c r="G1558" s="202">
        <v>5.3</v>
      </c>
      <c r="H1558">
        <v>4</v>
      </c>
      <c r="I1558" t="s">
        <v>4740</v>
      </c>
      <c r="J1558" t="s">
        <v>4741</v>
      </c>
      <c r="K1558" t="s">
        <v>1283</v>
      </c>
      <c r="L1558" s="204">
        <v>0.08</v>
      </c>
      <c r="M1558" s="112">
        <v>32.655000000000001</v>
      </c>
      <c r="N1558" s="112">
        <v>2.6124000000000001</v>
      </c>
      <c r="O1558" s="204"/>
      <c r="P1558" s="112"/>
      <c r="Q1558" s="112"/>
      <c r="R1558" s="112"/>
      <c r="S1558" s="112"/>
      <c r="T1558" s="112"/>
      <c r="U1558" t="s">
        <v>5526</v>
      </c>
      <c r="V1558" t="s">
        <v>5527</v>
      </c>
      <c r="W1558" t="s">
        <v>3958</v>
      </c>
      <c r="X1558" t="s">
        <v>4660</v>
      </c>
    </row>
    <row r="1559" spans="1:24" x14ac:dyDescent="0.2">
      <c r="A1559" t="s">
        <v>5525</v>
      </c>
      <c r="B1559" t="s">
        <v>684</v>
      </c>
      <c r="C1559" t="s">
        <v>1723</v>
      </c>
      <c r="D1559" t="s">
        <v>56</v>
      </c>
      <c r="E1559" t="s">
        <v>1724</v>
      </c>
      <c r="F1559" t="s">
        <v>99</v>
      </c>
      <c r="G1559" s="202">
        <v>5.3</v>
      </c>
      <c r="H1559">
        <v>5</v>
      </c>
      <c r="I1559" t="s">
        <v>3968</v>
      </c>
      <c r="J1559" t="s">
        <v>3969</v>
      </c>
      <c r="K1559" t="s">
        <v>99</v>
      </c>
      <c r="L1559" s="204">
        <v>1</v>
      </c>
      <c r="M1559" s="112"/>
      <c r="N1559" s="112">
        <v>32.655000000000001</v>
      </c>
      <c r="O1559" s="204">
        <v>0.22203829053310353</v>
      </c>
      <c r="P1559" s="112">
        <v>7.2506603773584928</v>
      </c>
      <c r="Q1559" s="112">
        <v>39.905660377358494</v>
      </c>
      <c r="R1559" s="112">
        <v>211.5</v>
      </c>
      <c r="S1559" s="112">
        <v>211.5</v>
      </c>
      <c r="T1559" s="112">
        <v>0</v>
      </c>
      <c r="U1559" t="s">
        <v>5526</v>
      </c>
      <c r="V1559" t="s">
        <v>5527</v>
      </c>
      <c r="W1559" t="s">
        <v>4666</v>
      </c>
      <c r="X1559" t="s">
        <v>4667</v>
      </c>
    </row>
    <row r="1560" spans="1:24" x14ac:dyDescent="0.2">
      <c r="A1560" t="s">
        <v>5528</v>
      </c>
      <c r="B1560" t="s">
        <v>686</v>
      </c>
      <c r="C1560" t="s">
        <v>1725</v>
      </c>
      <c r="D1560" t="s">
        <v>56</v>
      </c>
      <c r="E1560" t="s">
        <v>1726</v>
      </c>
      <c r="F1560" t="s">
        <v>99</v>
      </c>
      <c r="G1560" s="202">
        <v>227.2</v>
      </c>
      <c r="H1560">
        <v>1</v>
      </c>
      <c r="I1560" t="s">
        <v>3954</v>
      </c>
      <c r="J1560" t="s">
        <v>4734</v>
      </c>
      <c r="K1560" t="s">
        <v>1283</v>
      </c>
      <c r="L1560" s="204">
        <v>0.24</v>
      </c>
      <c r="M1560" s="112">
        <v>36.727499999999999</v>
      </c>
      <c r="N1560" s="112">
        <v>8.8145999999999987</v>
      </c>
      <c r="O1560" s="204"/>
      <c r="P1560" s="112"/>
      <c r="Q1560" s="112"/>
      <c r="R1560" s="112"/>
      <c r="S1560" s="112"/>
      <c r="T1560" s="112"/>
      <c r="U1560" t="s">
        <v>5529</v>
      </c>
      <c r="V1560" t="s">
        <v>5530</v>
      </c>
      <c r="W1560" t="s">
        <v>3958</v>
      </c>
      <c r="X1560" t="s">
        <v>4660</v>
      </c>
    </row>
    <row r="1561" spans="1:24" x14ac:dyDescent="0.2">
      <c r="A1561" t="s">
        <v>5528</v>
      </c>
      <c r="B1561" t="s">
        <v>686</v>
      </c>
      <c r="C1561" t="s">
        <v>1725</v>
      </c>
      <c r="D1561" t="s">
        <v>56</v>
      </c>
      <c r="E1561" t="s">
        <v>1726</v>
      </c>
      <c r="F1561" t="s">
        <v>99</v>
      </c>
      <c r="G1561" s="202">
        <v>227.2</v>
      </c>
      <c r="H1561">
        <v>2</v>
      </c>
      <c r="I1561" t="s">
        <v>3962</v>
      </c>
      <c r="J1561" t="s">
        <v>4737</v>
      </c>
      <c r="K1561" t="s">
        <v>1283</v>
      </c>
      <c r="L1561" s="204">
        <v>0.46</v>
      </c>
      <c r="M1561" s="112">
        <v>36.727499999999999</v>
      </c>
      <c r="N1561" s="112">
        <v>16.894649999999999</v>
      </c>
      <c r="O1561" s="204"/>
      <c r="P1561" s="112"/>
      <c r="Q1561" s="112"/>
      <c r="R1561" s="112"/>
      <c r="S1561" s="112"/>
      <c r="T1561" s="112"/>
      <c r="U1561" t="s">
        <v>5529</v>
      </c>
      <c r="V1561" t="s">
        <v>5530</v>
      </c>
      <c r="W1561" t="s">
        <v>3958</v>
      </c>
      <c r="X1561" t="s">
        <v>4660</v>
      </c>
    </row>
    <row r="1562" spans="1:24" x14ac:dyDescent="0.2">
      <c r="A1562" t="s">
        <v>5528</v>
      </c>
      <c r="B1562" t="s">
        <v>686</v>
      </c>
      <c r="C1562" t="s">
        <v>1725</v>
      </c>
      <c r="D1562" t="s">
        <v>56</v>
      </c>
      <c r="E1562" t="s">
        <v>1726</v>
      </c>
      <c r="F1562" t="s">
        <v>99</v>
      </c>
      <c r="G1562" s="202">
        <v>227.2</v>
      </c>
      <c r="H1562">
        <v>3</v>
      </c>
      <c r="I1562" t="s">
        <v>4738</v>
      </c>
      <c r="J1562" t="s">
        <v>4739</v>
      </c>
      <c r="K1562" t="s">
        <v>1283</v>
      </c>
      <c r="L1562" s="204">
        <v>0.22</v>
      </c>
      <c r="M1562" s="112">
        <v>36.727499999999999</v>
      </c>
      <c r="N1562" s="112">
        <v>8.08005</v>
      </c>
      <c r="O1562" s="204"/>
      <c r="P1562" s="112"/>
      <c r="Q1562" s="112"/>
      <c r="R1562" s="112"/>
      <c r="S1562" s="112"/>
      <c r="T1562" s="112"/>
      <c r="U1562" t="s">
        <v>5529</v>
      </c>
      <c r="V1562" t="s">
        <v>5530</v>
      </c>
      <c r="W1562" t="s">
        <v>3958</v>
      </c>
      <c r="X1562" t="s">
        <v>4660</v>
      </c>
    </row>
    <row r="1563" spans="1:24" x14ac:dyDescent="0.2">
      <c r="A1563" t="s">
        <v>5528</v>
      </c>
      <c r="B1563" t="s">
        <v>686</v>
      </c>
      <c r="C1563" t="s">
        <v>1725</v>
      </c>
      <c r="D1563" t="s">
        <v>56</v>
      </c>
      <c r="E1563" t="s">
        <v>1726</v>
      </c>
      <c r="F1563" t="s">
        <v>99</v>
      </c>
      <c r="G1563" s="202">
        <v>227.2</v>
      </c>
      <c r="H1563">
        <v>4</v>
      </c>
      <c r="I1563" t="s">
        <v>4740</v>
      </c>
      <c r="J1563" t="s">
        <v>4741</v>
      </c>
      <c r="K1563" t="s">
        <v>1283</v>
      </c>
      <c r="L1563" s="204">
        <v>0.08</v>
      </c>
      <c r="M1563" s="112">
        <v>36.727499999999999</v>
      </c>
      <c r="N1563" s="112">
        <v>2.9382000000000001</v>
      </c>
      <c r="O1563" s="204"/>
      <c r="P1563" s="112"/>
      <c r="Q1563" s="112"/>
      <c r="R1563" s="112"/>
      <c r="S1563" s="112"/>
      <c r="T1563" s="112"/>
      <c r="U1563" t="s">
        <v>5529</v>
      </c>
      <c r="V1563" t="s">
        <v>5530</v>
      </c>
      <c r="W1563" t="s">
        <v>3958</v>
      </c>
      <c r="X1563" t="s">
        <v>4660</v>
      </c>
    </row>
    <row r="1564" spans="1:24" x14ac:dyDescent="0.2">
      <c r="A1564" t="s">
        <v>5528</v>
      </c>
      <c r="B1564" t="s">
        <v>686</v>
      </c>
      <c r="C1564" t="s">
        <v>1725</v>
      </c>
      <c r="D1564" t="s">
        <v>56</v>
      </c>
      <c r="E1564" t="s">
        <v>1726</v>
      </c>
      <c r="F1564" t="s">
        <v>99</v>
      </c>
      <c r="G1564" s="202">
        <v>227.2</v>
      </c>
      <c r="H1564">
        <v>5</v>
      </c>
      <c r="I1564" t="s">
        <v>3968</v>
      </c>
      <c r="J1564" t="s">
        <v>3969</v>
      </c>
      <c r="K1564" t="s">
        <v>99</v>
      </c>
      <c r="L1564" s="204">
        <v>1</v>
      </c>
      <c r="M1564" s="112"/>
      <c r="N1564" s="112">
        <v>36.727499999999999</v>
      </c>
      <c r="O1564" s="204">
        <v>0.22217684296508078</v>
      </c>
      <c r="P1564" s="112">
        <v>8.1600000000000037</v>
      </c>
      <c r="Q1564" s="112">
        <v>44.887500000000003</v>
      </c>
      <c r="R1564" s="112">
        <v>10198.44</v>
      </c>
      <c r="S1564" s="112">
        <v>10198.44</v>
      </c>
      <c r="T1564" s="112">
        <v>0</v>
      </c>
      <c r="U1564" t="s">
        <v>5529</v>
      </c>
      <c r="V1564" t="s">
        <v>5530</v>
      </c>
      <c r="W1564" t="s">
        <v>4666</v>
      </c>
      <c r="X1564" t="s">
        <v>4667</v>
      </c>
    </row>
    <row r="1565" spans="1:24" x14ac:dyDescent="0.2">
      <c r="A1565" t="s">
        <v>5531</v>
      </c>
      <c r="B1565" t="s">
        <v>1727</v>
      </c>
      <c r="C1565" t="s">
        <v>1728</v>
      </c>
      <c r="D1565" t="s">
        <v>56</v>
      </c>
      <c r="E1565" t="s">
        <v>1729</v>
      </c>
      <c r="F1565" t="s">
        <v>99</v>
      </c>
      <c r="G1565" s="202">
        <v>11.5</v>
      </c>
      <c r="H1565">
        <v>1</v>
      </c>
      <c r="I1565" t="s">
        <v>3954</v>
      </c>
      <c r="J1565" t="s">
        <v>5227</v>
      </c>
      <c r="K1565" t="s">
        <v>1283</v>
      </c>
      <c r="L1565" s="204">
        <v>0.26</v>
      </c>
      <c r="M1565" s="112">
        <v>82.905000000000001</v>
      </c>
      <c r="N1565" s="112">
        <v>21.555300000000003</v>
      </c>
      <c r="O1565" s="204"/>
      <c r="P1565" s="112"/>
      <c r="Q1565" s="112"/>
      <c r="R1565" s="112"/>
      <c r="S1565" s="112"/>
      <c r="T1565" s="112"/>
      <c r="U1565" t="s">
        <v>5532</v>
      </c>
      <c r="V1565" t="s">
        <v>5533</v>
      </c>
      <c r="W1565" t="s">
        <v>3958</v>
      </c>
      <c r="X1565" t="s">
        <v>4660</v>
      </c>
    </row>
    <row r="1566" spans="1:24" x14ac:dyDescent="0.2">
      <c r="A1566" t="s">
        <v>5531</v>
      </c>
      <c r="B1566" t="s">
        <v>1727</v>
      </c>
      <c r="C1566" t="s">
        <v>1728</v>
      </c>
      <c r="D1566" t="s">
        <v>56</v>
      </c>
      <c r="E1566" t="s">
        <v>1729</v>
      </c>
      <c r="F1566" t="s">
        <v>99</v>
      </c>
      <c r="G1566" s="202">
        <v>11.5</v>
      </c>
      <c r="H1566">
        <v>2</v>
      </c>
      <c r="I1566" t="s">
        <v>3960</v>
      </c>
      <c r="J1566" t="s">
        <v>5229</v>
      </c>
      <c r="K1566" t="s">
        <v>1283</v>
      </c>
      <c r="L1566" s="204">
        <v>0.64</v>
      </c>
      <c r="M1566" s="112">
        <v>82.905000000000001</v>
      </c>
      <c r="N1566" s="112">
        <v>53.059200000000004</v>
      </c>
      <c r="O1566" s="204"/>
      <c r="P1566" s="112"/>
      <c r="Q1566" s="112"/>
      <c r="R1566" s="112"/>
      <c r="S1566" s="112"/>
      <c r="T1566" s="112"/>
      <c r="U1566" t="s">
        <v>5532</v>
      </c>
      <c r="V1566" t="s">
        <v>5533</v>
      </c>
      <c r="W1566" t="s">
        <v>3958</v>
      </c>
      <c r="X1566" t="s">
        <v>4660</v>
      </c>
    </row>
    <row r="1567" spans="1:24" x14ac:dyDescent="0.2">
      <c r="A1567" t="s">
        <v>5531</v>
      </c>
      <c r="B1567" t="s">
        <v>1727</v>
      </c>
      <c r="C1567" t="s">
        <v>1728</v>
      </c>
      <c r="D1567" t="s">
        <v>56</v>
      </c>
      <c r="E1567" t="s">
        <v>1729</v>
      </c>
      <c r="F1567" t="s">
        <v>99</v>
      </c>
      <c r="G1567" s="202">
        <v>11.5</v>
      </c>
      <c r="H1567">
        <v>3</v>
      </c>
      <c r="I1567" t="s">
        <v>3976</v>
      </c>
      <c r="J1567" t="s">
        <v>5230</v>
      </c>
      <c r="K1567" t="s">
        <v>1283</v>
      </c>
      <c r="L1567" s="204">
        <v>0.04</v>
      </c>
      <c r="M1567" s="112">
        <v>82.905000000000001</v>
      </c>
      <c r="N1567" s="112">
        <v>3.3162000000000003</v>
      </c>
      <c r="O1567" s="204"/>
      <c r="P1567" s="112"/>
      <c r="Q1567" s="112"/>
      <c r="R1567" s="112"/>
      <c r="S1567" s="112"/>
      <c r="T1567" s="112"/>
      <c r="U1567" t="s">
        <v>5532</v>
      </c>
      <c r="V1567" t="s">
        <v>5533</v>
      </c>
      <c r="W1567" t="s">
        <v>3958</v>
      </c>
      <c r="X1567" t="s">
        <v>4660</v>
      </c>
    </row>
    <row r="1568" spans="1:24" x14ac:dyDescent="0.2">
      <c r="A1568" t="s">
        <v>5531</v>
      </c>
      <c r="B1568" t="s">
        <v>1727</v>
      </c>
      <c r="C1568" t="s">
        <v>1728</v>
      </c>
      <c r="D1568" t="s">
        <v>56</v>
      </c>
      <c r="E1568" t="s">
        <v>1729</v>
      </c>
      <c r="F1568" t="s">
        <v>99</v>
      </c>
      <c r="G1568" s="202">
        <v>11.5</v>
      </c>
      <c r="H1568">
        <v>4</v>
      </c>
      <c r="I1568" t="s">
        <v>4017</v>
      </c>
      <c r="J1568" t="s">
        <v>4851</v>
      </c>
      <c r="K1568" t="s">
        <v>1283</v>
      </c>
      <c r="L1568" s="204">
        <v>0.06</v>
      </c>
      <c r="M1568" s="112">
        <v>82.905000000000001</v>
      </c>
      <c r="N1568" s="112">
        <v>4.9742999999999995</v>
      </c>
      <c r="O1568" s="204"/>
      <c r="P1568" s="112"/>
      <c r="Q1568" s="112"/>
      <c r="R1568" s="112"/>
      <c r="S1568" s="112"/>
      <c r="T1568" s="112"/>
      <c r="U1568" t="s">
        <v>5532</v>
      </c>
      <c r="V1568" t="s">
        <v>5533</v>
      </c>
      <c r="W1568" t="s">
        <v>3958</v>
      </c>
      <c r="X1568" t="s">
        <v>4660</v>
      </c>
    </row>
    <row r="1569" spans="1:24" x14ac:dyDescent="0.2">
      <c r="A1569" t="s">
        <v>5531</v>
      </c>
      <c r="B1569" t="s">
        <v>1727</v>
      </c>
      <c r="C1569" t="s">
        <v>1728</v>
      </c>
      <c r="D1569" t="s">
        <v>56</v>
      </c>
      <c r="E1569" t="s">
        <v>1729</v>
      </c>
      <c r="F1569" t="s">
        <v>99</v>
      </c>
      <c r="G1569" s="202">
        <v>11.5</v>
      </c>
      <c r="H1569">
        <v>5</v>
      </c>
      <c r="I1569" t="s">
        <v>3968</v>
      </c>
      <c r="J1569" t="s">
        <v>3969</v>
      </c>
      <c r="K1569" t="s">
        <v>99</v>
      </c>
      <c r="L1569" s="204">
        <v>1</v>
      </c>
      <c r="M1569" s="112"/>
      <c r="N1569" s="112">
        <v>82.905000000000001</v>
      </c>
      <c r="O1569" s="204">
        <v>0.22226854728959022</v>
      </c>
      <c r="P1569" s="112">
        <v>18.427173913043475</v>
      </c>
      <c r="Q1569" s="112">
        <v>101.33217391304348</v>
      </c>
      <c r="R1569" s="112">
        <v>1165.32</v>
      </c>
      <c r="S1569" s="112">
        <v>1165.32</v>
      </c>
      <c r="T1569" s="112">
        <v>0</v>
      </c>
      <c r="U1569" t="s">
        <v>5532</v>
      </c>
      <c r="V1569" t="s">
        <v>5533</v>
      </c>
      <c r="W1569" t="s">
        <v>4666</v>
      </c>
      <c r="X1569" t="s">
        <v>4667</v>
      </c>
    </row>
    <row r="1570" spans="1:24" x14ac:dyDescent="0.2">
      <c r="A1570" t="s">
        <v>5534</v>
      </c>
      <c r="B1570" t="s">
        <v>1730</v>
      </c>
      <c r="C1570" t="s">
        <v>1731</v>
      </c>
      <c r="D1570" t="s">
        <v>56</v>
      </c>
      <c r="E1570" t="s">
        <v>689</v>
      </c>
      <c r="F1570" t="s">
        <v>84</v>
      </c>
      <c r="G1570" s="202">
        <v>6</v>
      </c>
      <c r="H1570">
        <v>1</v>
      </c>
      <c r="I1570" t="s">
        <v>3954</v>
      </c>
      <c r="J1570" t="s">
        <v>5227</v>
      </c>
      <c r="K1570" t="s">
        <v>1283</v>
      </c>
      <c r="L1570" s="204">
        <v>0.26</v>
      </c>
      <c r="M1570" s="112">
        <v>58.342500000000001</v>
      </c>
      <c r="N1570" s="112">
        <v>15.16905</v>
      </c>
      <c r="O1570" s="204"/>
      <c r="P1570" s="112"/>
      <c r="Q1570" s="112"/>
      <c r="R1570" s="112"/>
      <c r="S1570" s="112"/>
      <c r="T1570" s="112"/>
      <c r="U1570" t="s">
        <v>5535</v>
      </c>
      <c r="V1570" t="s">
        <v>5536</v>
      </c>
      <c r="W1570" t="s">
        <v>3958</v>
      </c>
      <c r="X1570" t="s">
        <v>4660</v>
      </c>
    </row>
    <row r="1571" spans="1:24" x14ac:dyDescent="0.2">
      <c r="A1571" t="s">
        <v>5534</v>
      </c>
      <c r="B1571" t="s">
        <v>1730</v>
      </c>
      <c r="C1571" t="s">
        <v>1731</v>
      </c>
      <c r="D1571" t="s">
        <v>56</v>
      </c>
      <c r="E1571" t="s">
        <v>689</v>
      </c>
      <c r="F1571" t="s">
        <v>84</v>
      </c>
      <c r="G1571" s="202">
        <v>6</v>
      </c>
      <c r="H1571">
        <v>2</v>
      </c>
      <c r="I1571" t="s">
        <v>3960</v>
      </c>
      <c r="J1571" t="s">
        <v>5229</v>
      </c>
      <c r="K1571" t="s">
        <v>1283</v>
      </c>
      <c r="L1571" s="204">
        <v>0.64</v>
      </c>
      <c r="M1571" s="112">
        <v>58.342500000000001</v>
      </c>
      <c r="N1571" s="112">
        <v>37.339199999999998</v>
      </c>
      <c r="O1571" s="204"/>
      <c r="P1571" s="112"/>
      <c r="Q1571" s="112"/>
      <c r="R1571" s="112"/>
      <c r="S1571" s="112"/>
      <c r="T1571" s="112"/>
      <c r="U1571" t="s">
        <v>5535</v>
      </c>
      <c r="V1571" t="s">
        <v>5536</v>
      </c>
      <c r="W1571" t="s">
        <v>3958</v>
      </c>
      <c r="X1571" t="s">
        <v>4660</v>
      </c>
    </row>
    <row r="1572" spans="1:24" x14ac:dyDescent="0.2">
      <c r="A1572" t="s">
        <v>5534</v>
      </c>
      <c r="B1572" t="s">
        <v>1730</v>
      </c>
      <c r="C1572" t="s">
        <v>1731</v>
      </c>
      <c r="D1572" t="s">
        <v>56</v>
      </c>
      <c r="E1572" t="s">
        <v>689</v>
      </c>
      <c r="F1572" t="s">
        <v>84</v>
      </c>
      <c r="G1572" s="202">
        <v>6</v>
      </c>
      <c r="H1572">
        <v>3</v>
      </c>
      <c r="I1572" t="s">
        <v>3976</v>
      </c>
      <c r="J1572" t="s">
        <v>5230</v>
      </c>
      <c r="K1572" t="s">
        <v>1283</v>
      </c>
      <c r="L1572" s="204">
        <v>0.04</v>
      </c>
      <c r="M1572" s="112">
        <v>58.342500000000001</v>
      </c>
      <c r="N1572" s="112">
        <v>2.3336999999999999</v>
      </c>
      <c r="O1572" s="204"/>
      <c r="P1572" s="112"/>
      <c r="Q1572" s="112"/>
      <c r="R1572" s="112"/>
      <c r="S1572" s="112"/>
      <c r="T1572" s="112"/>
      <c r="U1572" t="s">
        <v>5535</v>
      </c>
      <c r="V1572" t="s">
        <v>5536</v>
      </c>
      <c r="W1572" t="s">
        <v>3958</v>
      </c>
      <c r="X1572" t="s">
        <v>4660</v>
      </c>
    </row>
    <row r="1573" spans="1:24" x14ac:dyDescent="0.2">
      <c r="A1573" t="s">
        <v>5534</v>
      </c>
      <c r="B1573" t="s">
        <v>1730</v>
      </c>
      <c r="C1573" t="s">
        <v>1731</v>
      </c>
      <c r="D1573" t="s">
        <v>56</v>
      </c>
      <c r="E1573" t="s">
        <v>689</v>
      </c>
      <c r="F1573" t="s">
        <v>84</v>
      </c>
      <c r="G1573" s="202">
        <v>6</v>
      </c>
      <c r="H1573">
        <v>4</v>
      </c>
      <c r="I1573" t="s">
        <v>4017</v>
      </c>
      <c r="J1573" t="s">
        <v>4851</v>
      </c>
      <c r="K1573" t="s">
        <v>1283</v>
      </c>
      <c r="L1573" s="204">
        <v>0.06</v>
      </c>
      <c r="M1573" s="112">
        <v>58.342500000000001</v>
      </c>
      <c r="N1573" s="112">
        <v>3.5005500000000001</v>
      </c>
      <c r="O1573" s="204"/>
      <c r="P1573" s="112"/>
      <c r="Q1573" s="112"/>
      <c r="R1573" s="112"/>
      <c r="S1573" s="112"/>
      <c r="T1573" s="112"/>
      <c r="U1573" t="s">
        <v>5535</v>
      </c>
      <c r="V1573" t="s">
        <v>5536</v>
      </c>
      <c r="W1573" t="s">
        <v>3958</v>
      </c>
      <c r="X1573" t="s">
        <v>4660</v>
      </c>
    </row>
    <row r="1574" spans="1:24" x14ac:dyDescent="0.2">
      <c r="A1574" t="s">
        <v>5534</v>
      </c>
      <c r="B1574" t="s">
        <v>1730</v>
      </c>
      <c r="C1574" t="s">
        <v>1731</v>
      </c>
      <c r="D1574" t="s">
        <v>56</v>
      </c>
      <c r="E1574" t="s">
        <v>689</v>
      </c>
      <c r="F1574" t="s">
        <v>84</v>
      </c>
      <c r="G1574" s="202">
        <v>6</v>
      </c>
      <c r="H1574">
        <v>5</v>
      </c>
      <c r="I1574" t="s">
        <v>3968</v>
      </c>
      <c r="J1574" t="s">
        <v>3969</v>
      </c>
      <c r="K1574" t="s">
        <v>84</v>
      </c>
      <c r="L1574" s="204">
        <v>1</v>
      </c>
      <c r="M1574" s="112"/>
      <c r="N1574" s="112">
        <v>58.342500000000001</v>
      </c>
      <c r="O1574" s="204">
        <v>0.22226507263144368</v>
      </c>
      <c r="P1574" s="112">
        <v>12.967500000000001</v>
      </c>
      <c r="Q1574" s="112">
        <v>71.31</v>
      </c>
      <c r="R1574" s="112">
        <v>427.86</v>
      </c>
      <c r="S1574" s="112">
        <v>427.86</v>
      </c>
      <c r="T1574" s="112">
        <v>0</v>
      </c>
      <c r="U1574" t="s">
        <v>5535</v>
      </c>
      <c r="V1574" t="s">
        <v>5536</v>
      </c>
      <c r="W1574" t="s">
        <v>4666</v>
      </c>
      <c r="X1574" t="s">
        <v>4667</v>
      </c>
    </row>
    <row r="1575" spans="1:24" x14ac:dyDescent="0.2">
      <c r="A1575" t="s">
        <v>5537</v>
      </c>
      <c r="B1575" t="s">
        <v>1732</v>
      </c>
      <c r="C1575" t="s">
        <v>1733</v>
      </c>
      <c r="D1575" t="s">
        <v>56</v>
      </c>
      <c r="E1575" t="s">
        <v>690</v>
      </c>
      <c r="F1575" t="s">
        <v>84</v>
      </c>
      <c r="G1575" s="202">
        <v>14</v>
      </c>
      <c r="H1575">
        <v>1</v>
      </c>
      <c r="I1575" t="s">
        <v>3954</v>
      </c>
      <c r="J1575" t="s">
        <v>4734</v>
      </c>
      <c r="K1575" t="s">
        <v>1283</v>
      </c>
      <c r="L1575" s="204">
        <v>0.24</v>
      </c>
      <c r="M1575" s="112">
        <v>24.907499999999999</v>
      </c>
      <c r="N1575" s="112">
        <v>5.9777999999999993</v>
      </c>
      <c r="O1575" s="204"/>
      <c r="P1575" s="112"/>
      <c r="Q1575" s="112"/>
      <c r="R1575" s="112"/>
      <c r="S1575" s="112"/>
      <c r="T1575" s="112"/>
      <c r="U1575" t="s">
        <v>5538</v>
      </c>
      <c r="V1575" t="s">
        <v>5539</v>
      </c>
      <c r="W1575" t="s">
        <v>3958</v>
      </c>
      <c r="X1575" t="s">
        <v>4660</v>
      </c>
    </row>
    <row r="1576" spans="1:24" x14ac:dyDescent="0.2">
      <c r="A1576" t="s">
        <v>5537</v>
      </c>
      <c r="B1576" t="s">
        <v>1732</v>
      </c>
      <c r="C1576" t="s">
        <v>1733</v>
      </c>
      <c r="D1576" t="s">
        <v>56</v>
      </c>
      <c r="E1576" t="s">
        <v>690</v>
      </c>
      <c r="F1576" t="s">
        <v>84</v>
      </c>
      <c r="G1576" s="202">
        <v>14</v>
      </c>
      <c r="H1576">
        <v>2</v>
      </c>
      <c r="I1576" t="s">
        <v>3962</v>
      </c>
      <c r="J1576" t="s">
        <v>4737</v>
      </c>
      <c r="K1576" t="s">
        <v>1283</v>
      </c>
      <c r="L1576" s="204">
        <v>0.46</v>
      </c>
      <c r="M1576" s="112">
        <v>24.907499999999999</v>
      </c>
      <c r="N1576" s="112">
        <v>11.45745</v>
      </c>
      <c r="O1576" s="204"/>
      <c r="P1576" s="112"/>
      <c r="Q1576" s="112"/>
      <c r="R1576" s="112"/>
      <c r="S1576" s="112"/>
      <c r="T1576" s="112"/>
      <c r="U1576" t="s">
        <v>5538</v>
      </c>
      <c r="V1576" t="s">
        <v>5539</v>
      </c>
      <c r="W1576" t="s">
        <v>3958</v>
      </c>
      <c r="X1576" t="s">
        <v>4660</v>
      </c>
    </row>
    <row r="1577" spans="1:24" x14ac:dyDescent="0.2">
      <c r="A1577" t="s">
        <v>5537</v>
      </c>
      <c r="B1577" t="s">
        <v>1732</v>
      </c>
      <c r="C1577" t="s">
        <v>1733</v>
      </c>
      <c r="D1577" t="s">
        <v>56</v>
      </c>
      <c r="E1577" t="s">
        <v>690</v>
      </c>
      <c r="F1577" t="s">
        <v>84</v>
      </c>
      <c r="G1577" s="202">
        <v>14</v>
      </c>
      <c r="H1577">
        <v>3</v>
      </c>
      <c r="I1577" t="s">
        <v>4738</v>
      </c>
      <c r="J1577" t="s">
        <v>4739</v>
      </c>
      <c r="K1577" t="s">
        <v>1283</v>
      </c>
      <c r="L1577" s="204">
        <v>0.22</v>
      </c>
      <c r="M1577" s="112">
        <v>24.907499999999999</v>
      </c>
      <c r="N1577" s="112">
        <v>5.4796499999999995</v>
      </c>
      <c r="O1577" s="204"/>
      <c r="P1577" s="112"/>
      <c r="Q1577" s="112"/>
      <c r="R1577" s="112"/>
      <c r="S1577" s="112"/>
      <c r="T1577" s="112"/>
      <c r="U1577" t="s">
        <v>5538</v>
      </c>
      <c r="V1577" t="s">
        <v>5539</v>
      </c>
      <c r="W1577" t="s">
        <v>3958</v>
      </c>
      <c r="X1577" t="s">
        <v>4660</v>
      </c>
    </row>
    <row r="1578" spans="1:24" x14ac:dyDescent="0.2">
      <c r="A1578" t="s">
        <v>5537</v>
      </c>
      <c r="B1578" t="s">
        <v>1732</v>
      </c>
      <c r="C1578" t="s">
        <v>1733</v>
      </c>
      <c r="D1578" t="s">
        <v>56</v>
      </c>
      <c r="E1578" t="s">
        <v>690</v>
      </c>
      <c r="F1578" t="s">
        <v>84</v>
      </c>
      <c r="G1578" s="202">
        <v>14</v>
      </c>
      <c r="H1578">
        <v>4</v>
      </c>
      <c r="I1578" t="s">
        <v>4740</v>
      </c>
      <c r="J1578" t="s">
        <v>4741</v>
      </c>
      <c r="K1578" t="s">
        <v>1283</v>
      </c>
      <c r="L1578" s="204">
        <v>0.08</v>
      </c>
      <c r="M1578" s="112">
        <v>24.907499999999999</v>
      </c>
      <c r="N1578" s="112">
        <v>1.9925999999999999</v>
      </c>
      <c r="O1578" s="204"/>
      <c r="P1578" s="112"/>
      <c r="Q1578" s="112"/>
      <c r="R1578" s="112"/>
      <c r="S1578" s="112"/>
      <c r="T1578" s="112"/>
      <c r="U1578" t="s">
        <v>5538</v>
      </c>
      <c r="V1578" t="s">
        <v>5539</v>
      </c>
      <c r="W1578" t="s">
        <v>3958</v>
      </c>
      <c r="X1578" t="s">
        <v>4660</v>
      </c>
    </row>
    <row r="1579" spans="1:24" x14ac:dyDescent="0.2">
      <c r="A1579" t="s">
        <v>5537</v>
      </c>
      <c r="B1579" t="s">
        <v>1732</v>
      </c>
      <c r="C1579" t="s">
        <v>1733</v>
      </c>
      <c r="D1579" t="s">
        <v>56</v>
      </c>
      <c r="E1579" t="s">
        <v>690</v>
      </c>
      <c r="F1579" t="s">
        <v>84</v>
      </c>
      <c r="G1579" s="202">
        <v>14</v>
      </c>
      <c r="H1579">
        <v>5</v>
      </c>
      <c r="I1579" t="s">
        <v>3968</v>
      </c>
      <c r="J1579" t="s">
        <v>3969</v>
      </c>
      <c r="K1579" t="s">
        <v>84</v>
      </c>
      <c r="L1579" s="204">
        <v>1</v>
      </c>
      <c r="M1579" s="112"/>
      <c r="N1579" s="112">
        <v>24.907499999999999</v>
      </c>
      <c r="O1579" s="204">
        <v>0.22220788345449605</v>
      </c>
      <c r="P1579" s="112">
        <v>5.5346428571428596</v>
      </c>
      <c r="Q1579" s="112">
        <v>30.442142857142859</v>
      </c>
      <c r="R1579" s="112">
        <v>426.19</v>
      </c>
      <c r="S1579" s="112">
        <v>426.19</v>
      </c>
      <c r="T1579" s="112">
        <v>0</v>
      </c>
      <c r="U1579" t="s">
        <v>5538</v>
      </c>
      <c r="V1579" t="s">
        <v>5539</v>
      </c>
      <c r="W1579" t="s">
        <v>4666</v>
      </c>
      <c r="X1579" t="s">
        <v>4667</v>
      </c>
    </row>
    <row r="1580" spans="1:24" x14ac:dyDescent="0.2">
      <c r="A1580" t="s">
        <v>5540</v>
      </c>
      <c r="B1580" t="s">
        <v>1734</v>
      </c>
      <c r="C1580" t="s">
        <v>1735</v>
      </c>
      <c r="D1580" t="s">
        <v>56</v>
      </c>
      <c r="E1580" t="s">
        <v>691</v>
      </c>
      <c r="F1580" t="s">
        <v>84</v>
      </c>
      <c r="G1580" s="202">
        <v>2</v>
      </c>
      <c r="H1580">
        <v>1</v>
      </c>
      <c r="I1580" t="s">
        <v>3954</v>
      </c>
      <c r="J1580" t="s">
        <v>4734</v>
      </c>
      <c r="K1580" t="s">
        <v>1283</v>
      </c>
      <c r="L1580" s="204">
        <v>0.24</v>
      </c>
      <c r="M1580" s="112">
        <v>20.774999999999999</v>
      </c>
      <c r="N1580" s="112">
        <v>4.9859999999999998</v>
      </c>
      <c r="O1580" s="204"/>
      <c r="P1580" s="112"/>
      <c r="Q1580" s="112"/>
      <c r="R1580" s="112"/>
      <c r="S1580" s="112"/>
      <c r="T1580" s="112"/>
      <c r="U1580" t="s">
        <v>5541</v>
      </c>
      <c r="V1580" t="s">
        <v>5542</v>
      </c>
      <c r="W1580" t="s">
        <v>3958</v>
      </c>
      <c r="X1580" t="s">
        <v>4660</v>
      </c>
    </row>
    <row r="1581" spans="1:24" x14ac:dyDescent="0.2">
      <c r="A1581" t="s">
        <v>5540</v>
      </c>
      <c r="B1581" t="s">
        <v>1734</v>
      </c>
      <c r="C1581" t="s">
        <v>1735</v>
      </c>
      <c r="D1581" t="s">
        <v>56</v>
      </c>
      <c r="E1581" t="s">
        <v>691</v>
      </c>
      <c r="F1581" t="s">
        <v>84</v>
      </c>
      <c r="G1581" s="202">
        <v>2</v>
      </c>
      <c r="H1581">
        <v>2</v>
      </c>
      <c r="I1581" t="s">
        <v>3962</v>
      </c>
      <c r="J1581" t="s">
        <v>4737</v>
      </c>
      <c r="K1581" t="s">
        <v>1283</v>
      </c>
      <c r="L1581" s="204">
        <v>0.46</v>
      </c>
      <c r="M1581" s="112">
        <v>20.774999999999999</v>
      </c>
      <c r="N1581" s="112">
        <v>9.5564999999999998</v>
      </c>
      <c r="O1581" s="204"/>
      <c r="P1581" s="112"/>
      <c r="Q1581" s="112"/>
      <c r="R1581" s="112"/>
      <c r="S1581" s="112"/>
      <c r="T1581" s="112"/>
      <c r="U1581" t="s">
        <v>5541</v>
      </c>
      <c r="V1581" t="s">
        <v>5542</v>
      </c>
      <c r="W1581" t="s">
        <v>3958</v>
      </c>
      <c r="X1581" t="s">
        <v>4660</v>
      </c>
    </row>
    <row r="1582" spans="1:24" x14ac:dyDescent="0.2">
      <c r="A1582" t="s">
        <v>5540</v>
      </c>
      <c r="B1582" t="s">
        <v>1734</v>
      </c>
      <c r="C1582" t="s">
        <v>1735</v>
      </c>
      <c r="D1582" t="s">
        <v>56</v>
      </c>
      <c r="E1582" t="s">
        <v>691</v>
      </c>
      <c r="F1582" t="s">
        <v>84</v>
      </c>
      <c r="G1582" s="202">
        <v>2</v>
      </c>
      <c r="H1582">
        <v>3</v>
      </c>
      <c r="I1582" t="s">
        <v>4738</v>
      </c>
      <c r="J1582" t="s">
        <v>4739</v>
      </c>
      <c r="K1582" t="s">
        <v>1283</v>
      </c>
      <c r="L1582" s="204">
        <v>0.22</v>
      </c>
      <c r="M1582" s="112">
        <v>20.774999999999999</v>
      </c>
      <c r="N1582" s="112">
        <v>4.5705</v>
      </c>
      <c r="O1582" s="204"/>
      <c r="P1582" s="112"/>
      <c r="Q1582" s="112"/>
      <c r="R1582" s="112"/>
      <c r="S1582" s="112"/>
      <c r="T1582" s="112"/>
      <c r="U1582" t="s">
        <v>5541</v>
      </c>
      <c r="V1582" t="s">
        <v>5542</v>
      </c>
      <c r="W1582" t="s">
        <v>3958</v>
      </c>
      <c r="X1582" t="s">
        <v>4660</v>
      </c>
    </row>
    <row r="1583" spans="1:24" x14ac:dyDescent="0.2">
      <c r="A1583" t="s">
        <v>5540</v>
      </c>
      <c r="B1583" t="s">
        <v>1734</v>
      </c>
      <c r="C1583" t="s">
        <v>1735</v>
      </c>
      <c r="D1583" t="s">
        <v>56</v>
      </c>
      <c r="E1583" t="s">
        <v>691</v>
      </c>
      <c r="F1583" t="s">
        <v>84</v>
      </c>
      <c r="G1583" s="202">
        <v>2</v>
      </c>
      <c r="H1583">
        <v>4</v>
      </c>
      <c r="I1583" t="s">
        <v>4740</v>
      </c>
      <c r="J1583" t="s">
        <v>4741</v>
      </c>
      <c r="K1583" t="s">
        <v>1283</v>
      </c>
      <c r="L1583" s="204">
        <v>0.08</v>
      </c>
      <c r="M1583" s="112">
        <v>20.774999999999999</v>
      </c>
      <c r="N1583" s="112">
        <v>1.6619999999999999</v>
      </c>
      <c r="O1583" s="204"/>
      <c r="P1583" s="112"/>
      <c r="Q1583" s="112"/>
      <c r="R1583" s="112"/>
      <c r="S1583" s="112"/>
      <c r="T1583" s="112"/>
      <c r="U1583" t="s">
        <v>5541</v>
      </c>
      <c r="V1583" t="s">
        <v>5542</v>
      </c>
      <c r="W1583" t="s">
        <v>3958</v>
      </c>
      <c r="X1583" t="s">
        <v>4660</v>
      </c>
    </row>
    <row r="1584" spans="1:24" x14ac:dyDescent="0.2">
      <c r="A1584" t="s">
        <v>5540</v>
      </c>
      <c r="B1584" t="s">
        <v>1734</v>
      </c>
      <c r="C1584" t="s">
        <v>1735</v>
      </c>
      <c r="D1584" t="s">
        <v>56</v>
      </c>
      <c r="E1584" t="s">
        <v>691</v>
      </c>
      <c r="F1584" t="s">
        <v>84</v>
      </c>
      <c r="G1584" s="202">
        <v>2</v>
      </c>
      <c r="H1584">
        <v>5</v>
      </c>
      <c r="I1584" t="s">
        <v>3968</v>
      </c>
      <c r="J1584" t="s">
        <v>3969</v>
      </c>
      <c r="K1584" t="s">
        <v>84</v>
      </c>
      <c r="L1584" s="204">
        <v>1</v>
      </c>
      <c r="M1584" s="112"/>
      <c r="N1584" s="112">
        <v>20.774999999999999</v>
      </c>
      <c r="O1584" s="204">
        <v>0.22190132370637805</v>
      </c>
      <c r="P1584" s="112">
        <v>4.610000000000003</v>
      </c>
      <c r="Q1584" s="112">
        <v>25.385000000000002</v>
      </c>
      <c r="R1584" s="112">
        <v>50.77</v>
      </c>
      <c r="S1584" s="112">
        <v>50.77</v>
      </c>
      <c r="T1584" s="112">
        <v>0</v>
      </c>
      <c r="U1584" t="s">
        <v>5541</v>
      </c>
      <c r="V1584" t="s">
        <v>5542</v>
      </c>
      <c r="W1584" t="s">
        <v>4666</v>
      </c>
      <c r="X1584" t="s">
        <v>4667</v>
      </c>
    </row>
    <row r="1585" spans="1:24" x14ac:dyDescent="0.2">
      <c r="A1585" t="s">
        <v>5543</v>
      </c>
      <c r="B1585" t="s">
        <v>1736</v>
      </c>
      <c r="C1585" t="s">
        <v>1737</v>
      </c>
      <c r="D1585" t="s">
        <v>56</v>
      </c>
      <c r="E1585" t="s">
        <v>692</v>
      </c>
      <c r="F1585" t="s">
        <v>84</v>
      </c>
      <c r="G1585" s="202">
        <v>23</v>
      </c>
      <c r="H1585">
        <v>1</v>
      </c>
      <c r="I1585" t="s">
        <v>3954</v>
      </c>
      <c r="J1585" t="s">
        <v>4734</v>
      </c>
      <c r="K1585" t="s">
        <v>1283</v>
      </c>
      <c r="L1585" s="204">
        <v>0.24</v>
      </c>
      <c r="M1585" s="112">
        <v>14.145</v>
      </c>
      <c r="N1585" s="112">
        <v>3.3947999999999996</v>
      </c>
      <c r="O1585" s="204"/>
      <c r="P1585" s="112"/>
      <c r="Q1585" s="112"/>
      <c r="R1585" s="112"/>
      <c r="S1585" s="112"/>
      <c r="T1585" s="112"/>
      <c r="U1585" t="s">
        <v>5544</v>
      </c>
      <c r="V1585" t="s">
        <v>5545</v>
      </c>
      <c r="W1585" t="s">
        <v>3958</v>
      </c>
      <c r="X1585" t="s">
        <v>4660</v>
      </c>
    </row>
    <row r="1586" spans="1:24" x14ac:dyDescent="0.2">
      <c r="A1586" t="s">
        <v>5543</v>
      </c>
      <c r="B1586" t="s">
        <v>1736</v>
      </c>
      <c r="C1586" t="s">
        <v>1737</v>
      </c>
      <c r="D1586" t="s">
        <v>56</v>
      </c>
      <c r="E1586" t="s">
        <v>692</v>
      </c>
      <c r="F1586" t="s">
        <v>84</v>
      </c>
      <c r="G1586" s="202">
        <v>23</v>
      </c>
      <c r="H1586">
        <v>2</v>
      </c>
      <c r="I1586" t="s">
        <v>3962</v>
      </c>
      <c r="J1586" t="s">
        <v>4737</v>
      </c>
      <c r="K1586" t="s">
        <v>1283</v>
      </c>
      <c r="L1586" s="204">
        <v>0.46</v>
      </c>
      <c r="M1586" s="112">
        <v>14.145</v>
      </c>
      <c r="N1586" s="112">
        <v>6.5067000000000004</v>
      </c>
      <c r="O1586" s="204"/>
      <c r="P1586" s="112"/>
      <c r="Q1586" s="112"/>
      <c r="R1586" s="112"/>
      <c r="S1586" s="112"/>
      <c r="T1586" s="112"/>
      <c r="U1586" t="s">
        <v>5544</v>
      </c>
      <c r="V1586" t="s">
        <v>5545</v>
      </c>
      <c r="W1586" t="s">
        <v>3958</v>
      </c>
      <c r="X1586" t="s">
        <v>4660</v>
      </c>
    </row>
    <row r="1587" spans="1:24" x14ac:dyDescent="0.2">
      <c r="A1587" t="s">
        <v>5543</v>
      </c>
      <c r="B1587" t="s">
        <v>1736</v>
      </c>
      <c r="C1587" t="s">
        <v>1737</v>
      </c>
      <c r="D1587" t="s">
        <v>56</v>
      </c>
      <c r="E1587" t="s">
        <v>692</v>
      </c>
      <c r="F1587" t="s">
        <v>84</v>
      </c>
      <c r="G1587" s="202">
        <v>23</v>
      </c>
      <c r="H1587">
        <v>3</v>
      </c>
      <c r="I1587" t="s">
        <v>4738</v>
      </c>
      <c r="J1587" t="s">
        <v>4739</v>
      </c>
      <c r="K1587" t="s">
        <v>1283</v>
      </c>
      <c r="L1587" s="204">
        <v>0.22</v>
      </c>
      <c r="M1587" s="112">
        <v>14.145</v>
      </c>
      <c r="N1587" s="112">
        <v>3.1118999999999999</v>
      </c>
      <c r="O1587" s="204"/>
      <c r="P1587" s="112"/>
      <c r="Q1587" s="112"/>
      <c r="R1587" s="112"/>
      <c r="S1587" s="112"/>
      <c r="T1587" s="112"/>
      <c r="U1587" t="s">
        <v>5544</v>
      </c>
      <c r="V1587" t="s">
        <v>5545</v>
      </c>
      <c r="W1587" t="s">
        <v>3958</v>
      </c>
      <c r="X1587" t="s">
        <v>4660</v>
      </c>
    </row>
    <row r="1588" spans="1:24" x14ac:dyDescent="0.2">
      <c r="A1588" t="s">
        <v>5543</v>
      </c>
      <c r="B1588" t="s">
        <v>1736</v>
      </c>
      <c r="C1588" t="s">
        <v>1737</v>
      </c>
      <c r="D1588" t="s">
        <v>56</v>
      </c>
      <c r="E1588" t="s">
        <v>692</v>
      </c>
      <c r="F1588" t="s">
        <v>84</v>
      </c>
      <c r="G1588" s="202">
        <v>23</v>
      </c>
      <c r="H1588">
        <v>4</v>
      </c>
      <c r="I1588" t="s">
        <v>4740</v>
      </c>
      <c r="J1588" t="s">
        <v>4741</v>
      </c>
      <c r="K1588" t="s">
        <v>1283</v>
      </c>
      <c r="L1588" s="204">
        <v>0.08</v>
      </c>
      <c r="M1588" s="112">
        <v>14.145</v>
      </c>
      <c r="N1588" s="112">
        <v>1.1315999999999999</v>
      </c>
      <c r="O1588" s="204"/>
      <c r="P1588" s="112"/>
      <c r="Q1588" s="112"/>
      <c r="R1588" s="112"/>
      <c r="S1588" s="112"/>
      <c r="T1588" s="112"/>
      <c r="U1588" t="s">
        <v>5544</v>
      </c>
      <c r="V1588" t="s">
        <v>5545</v>
      </c>
      <c r="W1588" t="s">
        <v>3958</v>
      </c>
      <c r="X1588" t="s">
        <v>4660</v>
      </c>
    </row>
    <row r="1589" spans="1:24" x14ac:dyDescent="0.2">
      <c r="A1589" t="s">
        <v>5543</v>
      </c>
      <c r="B1589" t="s">
        <v>1736</v>
      </c>
      <c r="C1589" t="s">
        <v>1737</v>
      </c>
      <c r="D1589" t="s">
        <v>56</v>
      </c>
      <c r="E1589" t="s">
        <v>692</v>
      </c>
      <c r="F1589" t="s">
        <v>84</v>
      </c>
      <c r="G1589" s="202">
        <v>23</v>
      </c>
      <c r="H1589">
        <v>5</v>
      </c>
      <c r="I1589" t="s">
        <v>3968</v>
      </c>
      <c r="J1589" t="s">
        <v>3969</v>
      </c>
      <c r="K1589" t="s">
        <v>84</v>
      </c>
      <c r="L1589" s="204">
        <v>1</v>
      </c>
      <c r="M1589" s="112"/>
      <c r="N1589" s="112">
        <v>14.145</v>
      </c>
      <c r="O1589" s="204">
        <v>0.22215562420274515</v>
      </c>
      <c r="P1589" s="112">
        <v>3.1423913043478287</v>
      </c>
      <c r="Q1589" s="112">
        <v>17.287391304347828</v>
      </c>
      <c r="R1589" s="112">
        <v>397.61</v>
      </c>
      <c r="S1589" s="112">
        <v>397.61</v>
      </c>
      <c r="T1589" s="112">
        <v>0</v>
      </c>
      <c r="U1589" t="s">
        <v>5544</v>
      </c>
      <c r="V1589" t="s">
        <v>5545</v>
      </c>
      <c r="W1589" t="s">
        <v>4666</v>
      </c>
      <c r="X1589" t="s">
        <v>4667</v>
      </c>
    </row>
    <row r="1590" spans="1:24" x14ac:dyDescent="0.2">
      <c r="A1590" t="s">
        <v>5546</v>
      </c>
      <c r="B1590" t="s">
        <v>1738</v>
      </c>
      <c r="C1590" t="s">
        <v>1739</v>
      </c>
      <c r="D1590" t="s">
        <v>56</v>
      </c>
      <c r="E1590" t="s">
        <v>693</v>
      </c>
      <c r="F1590" t="s">
        <v>84</v>
      </c>
      <c r="G1590" s="202">
        <v>16</v>
      </c>
      <c r="H1590">
        <v>1</v>
      </c>
      <c r="I1590" t="s">
        <v>3954</v>
      </c>
      <c r="J1590" t="s">
        <v>4734</v>
      </c>
      <c r="K1590" t="s">
        <v>1283</v>
      </c>
      <c r="L1590" s="204">
        <v>0.24</v>
      </c>
      <c r="M1590" s="112">
        <v>10.17</v>
      </c>
      <c r="N1590" s="112">
        <v>2.4407999999999999</v>
      </c>
      <c r="O1590" s="204"/>
      <c r="P1590" s="112"/>
      <c r="Q1590" s="112"/>
      <c r="R1590" s="112"/>
      <c r="S1590" s="112"/>
      <c r="T1590" s="112"/>
      <c r="U1590" t="s">
        <v>5547</v>
      </c>
      <c r="V1590" t="s">
        <v>5548</v>
      </c>
      <c r="W1590" t="s">
        <v>3958</v>
      </c>
      <c r="X1590" t="s">
        <v>4660</v>
      </c>
    </row>
    <row r="1591" spans="1:24" x14ac:dyDescent="0.2">
      <c r="A1591" t="s">
        <v>5546</v>
      </c>
      <c r="B1591" t="s">
        <v>1738</v>
      </c>
      <c r="C1591" t="s">
        <v>1739</v>
      </c>
      <c r="D1591" t="s">
        <v>56</v>
      </c>
      <c r="E1591" t="s">
        <v>693</v>
      </c>
      <c r="F1591" t="s">
        <v>84</v>
      </c>
      <c r="G1591" s="202">
        <v>16</v>
      </c>
      <c r="H1591">
        <v>2</v>
      </c>
      <c r="I1591" t="s">
        <v>3962</v>
      </c>
      <c r="J1591" t="s">
        <v>4737</v>
      </c>
      <c r="K1591" t="s">
        <v>1283</v>
      </c>
      <c r="L1591" s="204">
        <v>0.46</v>
      </c>
      <c r="M1591" s="112">
        <v>10.17</v>
      </c>
      <c r="N1591" s="112">
        <v>4.6782000000000004</v>
      </c>
      <c r="O1591" s="204"/>
      <c r="P1591" s="112"/>
      <c r="Q1591" s="112"/>
      <c r="R1591" s="112"/>
      <c r="S1591" s="112"/>
      <c r="T1591" s="112"/>
      <c r="U1591" t="s">
        <v>5547</v>
      </c>
      <c r="V1591" t="s">
        <v>5548</v>
      </c>
      <c r="W1591" t="s">
        <v>3958</v>
      </c>
      <c r="X1591" t="s">
        <v>4660</v>
      </c>
    </row>
    <row r="1592" spans="1:24" x14ac:dyDescent="0.2">
      <c r="A1592" t="s">
        <v>5546</v>
      </c>
      <c r="B1592" t="s">
        <v>1738</v>
      </c>
      <c r="C1592" t="s">
        <v>1739</v>
      </c>
      <c r="D1592" t="s">
        <v>56</v>
      </c>
      <c r="E1592" t="s">
        <v>693</v>
      </c>
      <c r="F1592" t="s">
        <v>84</v>
      </c>
      <c r="G1592" s="202">
        <v>16</v>
      </c>
      <c r="H1592">
        <v>3</v>
      </c>
      <c r="I1592" t="s">
        <v>4738</v>
      </c>
      <c r="J1592" t="s">
        <v>4739</v>
      </c>
      <c r="K1592" t="s">
        <v>1283</v>
      </c>
      <c r="L1592" s="204">
        <v>0.22</v>
      </c>
      <c r="M1592" s="112">
        <v>10.17</v>
      </c>
      <c r="N1592" s="112">
        <v>2.2374000000000001</v>
      </c>
      <c r="O1592" s="204"/>
      <c r="P1592" s="112"/>
      <c r="Q1592" s="112"/>
      <c r="R1592" s="112"/>
      <c r="S1592" s="112"/>
      <c r="T1592" s="112"/>
      <c r="U1592" t="s">
        <v>5547</v>
      </c>
      <c r="V1592" t="s">
        <v>5548</v>
      </c>
      <c r="W1592" t="s">
        <v>3958</v>
      </c>
      <c r="X1592" t="s">
        <v>4660</v>
      </c>
    </row>
    <row r="1593" spans="1:24" x14ac:dyDescent="0.2">
      <c r="A1593" t="s">
        <v>5546</v>
      </c>
      <c r="B1593" t="s">
        <v>1738</v>
      </c>
      <c r="C1593" t="s">
        <v>1739</v>
      </c>
      <c r="D1593" t="s">
        <v>56</v>
      </c>
      <c r="E1593" t="s">
        <v>693</v>
      </c>
      <c r="F1593" t="s">
        <v>84</v>
      </c>
      <c r="G1593" s="202">
        <v>16</v>
      </c>
      <c r="H1593">
        <v>4</v>
      </c>
      <c r="I1593" t="s">
        <v>4740</v>
      </c>
      <c r="J1593" t="s">
        <v>4741</v>
      </c>
      <c r="K1593" t="s">
        <v>1283</v>
      </c>
      <c r="L1593" s="204">
        <v>0.08</v>
      </c>
      <c r="M1593" s="112">
        <v>10.17</v>
      </c>
      <c r="N1593" s="112">
        <v>0.81359999999999999</v>
      </c>
      <c r="O1593" s="204"/>
      <c r="P1593" s="112"/>
      <c r="Q1593" s="112"/>
      <c r="R1593" s="112"/>
      <c r="S1593" s="112"/>
      <c r="T1593" s="112"/>
      <c r="U1593" t="s">
        <v>5547</v>
      </c>
      <c r="V1593" t="s">
        <v>5548</v>
      </c>
      <c r="W1593" t="s">
        <v>3958</v>
      </c>
      <c r="X1593" t="s">
        <v>4660</v>
      </c>
    </row>
    <row r="1594" spans="1:24" x14ac:dyDescent="0.2">
      <c r="A1594" t="s">
        <v>5546</v>
      </c>
      <c r="B1594" t="s">
        <v>1738</v>
      </c>
      <c r="C1594" t="s">
        <v>1739</v>
      </c>
      <c r="D1594" t="s">
        <v>56</v>
      </c>
      <c r="E1594" t="s">
        <v>693</v>
      </c>
      <c r="F1594" t="s">
        <v>84</v>
      </c>
      <c r="G1594" s="202">
        <v>16</v>
      </c>
      <c r="H1594">
        <v>5</v>
      </c>
      <c r="I1594" t="s">
        <v>3968</v>
      </c>
      <c r="J1594" t="s">
        <v>3969</v>
      </c>
      <c r="K1594" t="s">
        <v>84</v>
      </c>
      <c r="L1594" s="204">
        <v>1</v>
      </c>
      <c r="M1594" s="112"/>
      <c r="N1594" s="112">
        <v>10.17</v>
      </c>
      <c r="O1594" s="204">
        <v>0.221976401179941</v>
      </c>
      <c r="P1594" s="112">
        <v>2.2575000000000003</v>
      </c>
      <c r="Q1594" s="112">
        <v>12.4275</v>
      </c>
      <c r="R1594" s="112">
        <v>198.84</v>
      </c>
      <c r="S1594" s="112">
        <v>198.84</v>
      </c>
      <c r="T1594" s="112">
        <v>0</v>
      </c>
      <c r="U1594" t="s">
        <v>5547</v>
      </c>
      <c r="V1594" t="s">
        <v>5548</v>
      </c>
      <c r="W1594" t="s">
        <v>4666</v>
      </c>
      <c r="X1594" t="s">
        <v>4667</v>
      </c>
    </row>
    <row r="1595" spans="1:24" x14ac:dyDescent="0.2">
      <c r="A1595" t="s">
        <v>5549</v>
      </c>
      <c r="B1595" t="s">
        <v>1740</v>
      </c>
      <c r="C1595" t="s">
        <v>1741</v>
      </c>
      <c r="D1595" t="s">
        <v>56</v>
      </c>
      <c r="E1595" t="s">
        <v>694</v>
      </c>
      <c r="F1595" t="s">
        <v>84</v>
      </c>
      <c r="G1595" s="202">
        <v>28</v>
      </c>
      <c r="H1595">
        <v>1</v>
      </c>
      <c r="I1595" t="s">
        <v>3954</v>
      </c>
      <c r="J1595" t="s">
        <v>4734</v>
      </c>
      <c r="K1595" t="s">
        <v>1283</v>
      </c>
      <c r="L1595" s="204">
        <v>0.24</v>
      </c>
      <c r="M1595" s="112">
        <v>24.217500000000001</v>
      </c>
      <c r="N1595" s="112">
        <v>5.8121999999999998</v>
      </c>
      <c r="O1595" s="204"/>
      <c r="P1595" s="112"/>
      <c r="Q1595" s="112"/>
      <c r="R1595" s="112"/>
      <c r="S1595" s="112"/>
      <c r="T1595" s="112"/>
      <c r="U1595" t="s">
        <v>5550</v>
      </c>
      <c r="V1595" t="s">
        <v>5551</v>
      </c>
      <c r="W1595" t="s">
        <v>3958</v>
      </c>
      <c r="X1595" t="s">
        <v>4660</v>
      </c>
    </row>
    <row r="1596" spans="1:24" x14ac:dyDescent="0.2">
      <c r="A1596" t="s">
        <v>5549</v>
      </c>
      <c r="B1596" t="s">
        <v>1740</v>
      </c>
      <c r="C1596" t="s">
        <v>1741</v>
      </c>
      <c r="D1596" t="s">
        <v>56</v>
      </c>
      <c r="E1596" t="s">
        <v>694</v>
      </c>
      <c r="F1596" t="s">
        <v>84</v>
      </c>
      <c r="G1596" s="202">
        <v>28</v>
      </c>
      <c r="H1596">
        <v>2</v>
      </c>
      <c r="I1596" t="s">
        <v>3962</v>
      </c>
      <c r="J1596" t="s">
        <v>4737</v>
      </c>
      <c r="K1596" t="s">
        <v>1283</v>
      </c>
      <c r="L1596" s="204">
        <v>0.46</v>
      </c>
      <c r="M1596" s="112">
        <v>24.217500000000001</v>
      </c>
      <c r="N1596" s="112">
        <v>11.14005</v>
      </c>
      <c r="O1596" s="204"/>
      <c r="P1596" s="112"/>
      <c r="Q1596" s="112"/>
      <c r="R1596" s="112"/>
      <c r="S1596" s="112"/>
      <c r="T1596" s="112"/>
      <c r="U1596" t="s">
        <v>5550</v>
      </c>
      <c r="V1596" t="s">
        <v>5551</v>
      </c>
      <c r="W1596" t="s">
        <v>3958</v>
      </c>
      <c r="X1596" t="s">
        <v>4660</v>
      </c>
    </row>
    <row r="1597" spans="1:24" x14ac:dyDescent="0.2">
      <c r="A1597" t="s">
        <v>5549</v>
      </c>
      <c r="B1597" t="s">
        <v>1740</v>
      </c>
      <c r="C1597" t="s">
        <v>1741</v>
      </c>
      <c r="D1597" t="s">
        <v>56</v>
      </c>
      <c r="E1597" t="s">
        <v>694</v>
      </c>
      <c r="F1597" t="s">
        <v>84</v>
      </c>
      <c r="G1597" s="202">
        <v>28</v>
      </c>
      <c r="H1597">
        <v>3</v>
      </c>
      <c r="I1597" t="s">
        <v>4738</v>
      </c>
      <c r="J1597" t="s">
        <v>4739</v>
      </c>
      <c r="K1597" t="s">
        <v>1283</v>
      </c>
      <c r="L1597" s="204">
        <v>0.22</v>
      </c>
      <c r="M1597" s="112">
        <v>24.217500000000001</v>
      </c>
      <c r="N1597" s="112">
        <v>5.3278500000000006</v>
      </c>
      <c r="O1597" s="204"/>
      <c r="P1597" s="112"/>
      <c r="Q1597" s="112"/>
      <c r="R1597" s="112"/>
      <c r="S1597" s="112"/>
      <c r="T1597" s="112"/>
      <c r="U1597" t="s">
        <v>5550</v>
      </c>
      <c r="V1597" t="s">
        <v>5551</v>
      </c>
      <c r="W1597" t="s">
        <v>3958</v>
      </c>
      <c r="X1597" t="s">
        <v>4660</v>
      </c>
    </row>
    <row r="1598" spans="1:24" x14ac:dyDescent="0.2">
      <c r="A1598" t="s">
        <v>5549</v>
      </c>
      <c r="B1598" t="s">
        <v>1740</v>
      </c>
      <c r="C1598" t="s">
        <v>1741</v>
      </c>
      <c r="D1598" t="s">
        <v>56</v>
      </c>
      <c r="E1598" t="s">
        <v>694</v>
      </c>
      <c r="F1598" t="s">
        <v>84</v>
      </c>
      <c r="G1598" s="202">
        <v>28</v>
      </c>
      <c r="H1598">
        <v>4</v>
      </c>
      <c r="I1598" t="s">
        <v>4740</v>
      </c>
      <c r="J1598" t="s">
        <v>4741</v>
      </c>
      <c r="K1598" t="s">
        <v>1283</v>
      </c>
      <c r="L1598" s="204">
        <v>0.08</v>
      </c>
      <c r="M1598" s="112">
        <v>24.217500000000001</v>
      </c>
      <c r="N1598" s="112">
        <v>1.9374000000000002</v>
      </c>
      <c r="O1598" s="204"/>
      <c r="P1598" s="112"/>
      <c r="Q1598" s="112"/>
      <c r="R1598" s="112"/>
      <c r="S1598" s="112"/>
      <c r="T1598" s="112"/>
      <c r="U1598" t="s">
        <v>5550</v>
      </c>
      <c r="V1598" t="s">
        <v>5551</v>
      </c>
      <c r="W1598" t="s">
        <v>3958</v>
      </c>
      <c r="X1598" t="s">
        <v>4660</v>
      </c>
    </row>
    <row r="1599" spans="1:24" x14ac:dyDescent="0.2">
      <c r="A1599" t="s">
        <v>5549</v>
      </c>
      <c r="B1599" t="s">
        <v>1740</v>
      </c>
      <c r="C1599" t="s">
        <v>1741</v>
      </c>
      <c r="D1599" t="s">
        <v>56</v>
      </c>
      <c r="E1599" t="s">
        <v>694</v>
      </c>
      <c r="F1599" t="s">
        <v>84</v>
      </c>
      <c r="G1599" s="202">
        <v>28</v>
      </c>
      <c r="H1599">
        <v>5</v>
      </c>
      <c r="I1599" t="s">
        <v>3968</v>
      </c>
      <c r="J1599" t="s">
        <v>3969</v>
      </c>
      <c r="K1599" t="s">
        <v>84</v>
      </c>
      <c r="L1599" s="204">
        <v>1</v>
      </c>
      <c r="M1599" s="112"/>
      <c r="N1599" s="112">
        <v>24.217500000000001</v>
      </c>
      <c r="O1599" s="204">
        <v>0.22205017033137175</v>
      </c>
      <c r="P1599" s="112">
        <v>5.3774999999999977</v>
      </c>
      <c r="Q1599" s="112">
        <v>29.594999999999999</v>
      </c>
      <c r="R1599" s="112">
        <v>828.66</v>
      </c>
      <c r="S1599" s="112">
        <v>828.66</v>
      </c>
      <c r="T1599" s="112">
        <v>0</v>
      </c>
      <c r="U1599" t="s">
        <v>5550</v>
      </c>
      <c r="V1599" t="s">
        <v>5551</v>
      </c>
      <c r="W1599" t="s">
        <v>4666</v>
      </c>
      <c r="X1599" t="s">
        <v>4667</v>
      </c>
    </row>
    <row r="1600" spans="1:24" x14ac:dyDescent="0.2">
      <c r="A1600" t="s">
        <v>5552</v>
      </c>
      <c r="B1600" t="s">
        <v>1742</v>
      </c>
      <c r="C1600" t="s">
        <v>1743</v>
      </c>
      <c r="D1600" t="s">
        <v>56</v>
      </c>
      <c r="E1600" t="s">
        <v>695</v>
      </c>
      <c r="F1600" t="s">
        <v>84</v>
      </c>
      <c r="G1600" s="202">
        <v>3</v>
      </c>
      <c r="H1600">
        <v>1</v>
      </c>
      <c r="I1600" t="s">
        <v>3954</v>
      </c>
      <c r="J1600" t="s">
        <v>4734</v>
      </c>
      <c r="K1600" t="s">
        <v>1283</v>
      </c>
      <c r="L1600" s="204">
        <v>0.24</v>
      </c>
      <c r="M1600" s="112">
        <v>13.544999999999998</v>
      </c>
      <c r="N1600" s="112">
        <v>3.2507999999999995</v>
      </c>
      <c r="O1600" s="204"/>
      <c r="P1600" s="112"/>
      <c r="Q1600" s="112"/>
      <c r="R1600" s="112"/>
      <c r="S1600" s="112"/>
      <c r="T1600" s="112"/>
      <c r="U1600" t="s">
        <v>5553</v>
      </c>
      <c r="V1600" t="s">
        <v>5554</v>
      </c>
      <c r="W1600" t="s">
        <v>3958</v>
      </c>
      <c r="X1600" t="s">
        <v>4660</v>
      </c>
    </row>
    <row r="1601" spans="1:24" x14ac:dyDescent="0.2">
      <c r="A1601" t="s">
        <v>5552</v>
      </c>
      <c r="B1601" t="s">
        <v>1742</v>
      </c>
      <c r="C1601" t="s">
        <v>1743</v>
      </c>
      <c r="D1601" t="s">
        <v>56</v>
      </c>
      <c r="E1601" t="s">
        <v>695</v>
      </c>
      <c r="F1601" t="s">
        <v>84</v>
      </c>
      <c r="G1601" s="202">
        <v>3</v>
      </c>
      <c r="H1601">
        <v>2</v>
      </c>
      <c r="I1601" t="s">
        <v>3962</v>
      </c>
      <c r="J1601" t="s">
        <v>4737</v>
      </c>
      <c r="K1601" t="s">
        <v>1283</v>
      </c>
      <c r="L1601" s="204">
        <v>0.46</v>
      </c>
      <c r="M1601" s="112">
        <v>13.544999999999998</v>
      </c>
      <c r="N1601" s="112">
        <v>6.2306999999999997</v>
      </c>
      <c r="O1601" s="204"/>
      <c r="P1601" s="112"/>
      <c r="Q1601" s="112"/>
      <c r="R1601" s="112"/>
      <c r="S1601" s="112"/>
      <c r="T1601" s="112"/>
      <c r="U1601" t="s">
        <v>5553</v>
      </c>
      <c r="V1601" t="s">
        <v>5554</v>
      </c>
      <c r="W1601" t="s">
        <v>3958</v>
      </c>
      <c r="X1601" t="s">
        <v>4660</v>
      </c>
    </row>
    <row r="1602" spans="1:24" x14ac:dyDescent="0.2">
      <c r="A1602" t="s">
        <v>5552</v>
      </c>
      <c r="B1602" t="s">
        <v>1742</v>
      </c>
      <c r="C1602" t="s">
        <v>1743</v>
      </c>
      <c r="D1602" t="s">
        <v>56</v>
      </c>
      <c r="E1602" t="s">
        <v>695</v>
      </c>
      <c r="F1602" t="s">
        <v>84</v>
      </c>
      <c r="G1602" s="202">
        <v>3</v>
      </c>
      <c r="H1602">
        <v>3</v>
      </c>
      <c r="I1602" t="s">
        <v>4738</v>
      </c>
      <c r="J1602" t="s">
        <v>4739</v>
      </c>
      <c r="K1602" t="s">
        <v>1283</v>
      </c>
      <c r="L1602" s="204">
        <v>0.22</v>
      </c>
      <c r="M1602" s="112">
        <v>13.544999999999998</v>
      </c>
      <c r="N1602" s="112">
        <v>2.9798999999999998</v>
      </c>
      <c r="O1602" s="204"/>
      <c r="P1602" s="112"/>
      <c r="Q1602" s="112"/>
      <c r="R1602" s="112"/>
      <c r="S1602" s="112"/>
      <c r="T1602" s="112"/>
      <c r="U1602" t="s">
        <v>5553</v>
      </c>
      <c r="V1602" t="s">
        <v>5554</v>
      </c>
      <c r="W1602" t="s">
        <v>3958</v>
      </c>
      <c r="X1602" t="s">
        <v>4660</v>
      </c>
    </row>
    <row r="1603" spans="1:24" x14ac:dyDescent="0.2">
      <c r="A1603" t="s">
        <v>5552</v>
      </c>
      <c r="B1603" t="s">
        <v>1742</v>
      </c>
      <c r="C1603" t="s">
        <v>1743</v>
      </c>
      <c r="D1603" t="s">
        <v>56</v>
      </c>
      <c r="E1603" t="s">
        <v>695</v>
      </c>
      <c r="F1603" t="s">
        <v>84</v>
      </c>
      <c r="G1603" s="202">
        <v>3</v>
      </c>
      <c r="H1603">
        <v>4</v>
      </c>
      <c r="I1603" t="s">
        <v>4740</v>
      </c>
      <c r="J1603" t="s">
        <v>4741</v>
      </c>
      <c r="K1603" t="s">
        <v>1283</v>
      </c>
      <c r="L1603" s="204">
        <v>0.08</v>
      </c>
      <c r="M1603" s="112">
        <v>13.544999999999998</v>
      </c>
      <c r="N1603" s="112">
        <v>1.0835999999999999</v>
      </c>
      <c r="O1603" s="204"/>
      <c r="P1603" s="112"/>
      <c r="Q1603" s="112"/>
      <c r="R1603" s="112"/>
      <c r="S1603" s="112"/>
      <c r="T1603" s="112"/>
      <c r="U1603" t="s">
        <v>5553</v>
      </c>
      <c r="V1603" t="s">
        <v>5554</v>
      </c>
      <c r="W1603" t="s">
        <v>3958</v>
      </c>
      <c r="X1603" t="s">
        <v>4660</v>
      </c>
    </row>
    <row r="1604" spans="1:24" x14ac:dyDescent="0.2">
      <c r="A1604" t="s">
        <v>5552</v>
      </c>
      <c r="B1604" t="s">
        <v>1742</v>
      </c>
      <c r="C1604" t="s">
        <v>1743</v>
      </c>
      <c r="D1604" t="s">
        <v>56</v>
      </c>
      <c r="E1604" t="s">
        <v>695</v>
      </c>
      <c r="F1604" t="s">
        <v>84</v>
      </c>
      <c r="G1604" s="202">
        <v>3</v>
      </c>
      <c r="H1604">
        <v>5</v>
      </c>
      <c r="I1604" t="s">
        <v>3968</v>
      </c>
      <c r="J1604" t="s">
        <v>3969</v>
      </c>
      <c r="K1604" t="s">
        <v>84</v>
      </c>
      <c r="L1604" s="204">
        <v>1</v>
      </c>
      <c r="M1604" s="112"/>
      <c r="N1604" s="112">
        <v>13.544999999999998</v>
      </c>
      <c r="O1604" s="204">
        <v>0.22185308231819878</v>
      </c>
      <c r="P1604" s="112">
        <v>3.0050000000000026</v>
      </c>
      <c r="Q1604" s="112">
        <v>16.55</v>
      </c>
      <c r="R1604" s="112">
        <v>49.65</v>
      </c>
      <c r="S1604" s="112">
        <v>49.65</v>
      </c>
      <c r="T1604" s="112">
        <v>0</v>
      </c>
      <c r="U1604" t="s">
        <v>5553</v>
      </c>
      <c r="V1604" t="s">
        <v>5554</v>
      </c>
      <c r="W1604" t="s">
        <v>4666</v>
      </c>
      <c r="X1604" t="s">
        <v>4667</v>
      </c>
    </row>
    <row r="1605" spans="1:24" x14ac:dyDescent="0.2">
      <c r="A1605" t="s">
        <v>5555</v>
      </c>
      <c r="B1605" t="s">
        <v>1744</v>
      </c>
      <c r="C1605" t="s">
        <v>1745</v>
      </c>
      <c r="D1605" t="s">
        <v>56</v>
      </c>
      <c r="E1605" t="s">
        <v>696</v>
      </c>
      <c r="F1605" t="s">
        <v>84</v>
      </c>
      <c r="G1605" s="202">
        <v>36</v>
      </c>
      <c r="H1605">
        <v>1</v>
      </c>
      <c r="I1605" t="s">
        <v>3954</v>
      </c>
      <c r="J1605" t="s">
        <v>4734</v>
      </c>
      <c r="K1605" t="s">
        <v>1283</v>
      </c>
      <c r="L1605" s="204">
        <v>0.24</v>
      </c>
      <c r="M1605" s="112">
        <v>9.9824999999999999</v>
      </c>
      <c r="N1605" s="112">
        <v>2.3957999999999999</v>
      </c>
      <c r="O1605" s="204"/>
      <c r="P1605" s="112"/>
      <c r="Q1605" s="112"/>
      <c r="R1605" s="112"/>
      <c r="S1605" s="112"/>
      <c r="T1605" s="112"/>
      <c r="U1605" t="s">
        <v>5556</v>
      </c>
      <c r="V1605" t="s">
        <v>5557</v>
      </c>
      <c r="W1605" t="s">
        <v>3958</v>
      </c>
      <c r="X1605" t="s">
        <v>4660</v>
      </c>
    </row>
    <row r="1606" spans="1:24" x14ac:dyDescent="0.2">
      <c r="A1606" t="s">
        <v>5555</v>
      </c>
      <c r="B1606" t="s">
        <v>1744</v>
      </c>
      <c r="C1606" t="s">
        <v>1745</v>
      </c>
      <c r="D1606" t="s">
        <v>56</v>
      </c>
      <c r="E1606" t="s">
        <v>696</v>
      </c>
      <c r="F1606" t="s">
        <v>84</v>
      </c>
      <c r="G1606" s="202">
        <v>36</v>
      </c>
      <c r="H1606">
        <v>2</v>
      </c>
      <c r="I1606" t="s">
        <v>3962</v>
      </c>
      <c r="J1606" t="s">
        <v>4737</v>
      </c>
      <c r="K1606" t="s">
        <v>1283</v>
      </c>
      <c r="L1606" s="204">
        <v>0.46</v>
      </c>
      <c r="M1606" s="112">
        <v>9.9824999999999999</v>
      </c>
      <c r="N1606" s="112">
        <v>4.5919499999999998</v>
      </c>
      <c r="O1606" s="204"/>
      <c r="P1606" s="112"/>
      <c r="Q1606" s="112"/>
      <c r="R1606" s="112"/>
      <c r="S1606" s="112"/>
      <c r="T1606" s="112"/>
      <c r="U1606" t="s">
        <v>5556</v>
      </c>
      <c r="V1606" t="s">
        <v>5557</v>
      </c>
      <c r="W1606" t="s">
        <v>3958</v>
      </c>
      <c r="X1606" t="s">
        <v>4660</v>
      </c>
    </row>
    <row r="1607" spans="1:24" x14ac:dyDescent="0.2">
      <c r="A1607" t="s">
        <v>5555</v>
      </c>
      <c r="B1607" t="s">
        <v>1744</v>
      </c>
      <c r="C1607" t="s">
        <v>1745</v>
      </c>
      <c r="D1607" t="s">
        <v>56</v>
      </c>
      <c r="E1607" t="s">
        <v>696</v>
      </c>
      <c r="F1607" t="s">
        <v>84</v>
      </c>
      <c r="G1607" s="202">
        <v>36</v>
      </c>
      <c r="H1607">
        <v>3</v>
      </c>
      <c r="I1607" t="s">
        <v>4738</v>
      </c>
      <c r="J1607" t="s">
        <v>4739</v>
      </c>
      <c r="K1607" t="s">
        <v>1283</v>
      </c>
      <c r="L1607" s="204">
        <v>0.22</v>
      </c>
      <c r="M1607" s="112">
        <v>9.9824999999999999</v>
      </c>
      <c r="N1607" s="112">
        <v>2.1961499999999998</v>
      </c>
      <c r="O1607" s="204"/>
      <c r="P1607" s="112"/>
      <c r="Q1607" s="112"/>
      <c r="R1607" s="112"/>
      <c r="S1607" s="112"/>
      <c r="T1607" s="112"/>
      <c r="U1607" t="s">
        <v>5556</v>
      </c>
      <c r="V1607" t="s">
        <v>5557</v>
      </c>
      <c r="W1607" t="s">
        <v>3958</v>
      </c>
      <c r="X1607" t="s">
        <v>4660</v>
      </c>
    </row>
    <row r="1608" spans="1:24" x14ac:dyDescent="0.2">
      <c r="A1608" t="s">
        <v>5555</v>
      </c>
      <c r="B1608" t="s">
        <v>1744</v>
      </c>
      <c r="C1608" t="s">
        <v>1745</v>
      </c>
      <c r="D1608" t="s">
        <v>56</v>
      </c>
      <c r="E1608" t="s">
        <v>696</v>
      </c>
      <c r="F1608" t="s">
        <v>84</v>
      </c>
      <c r="G1608" s="202">
        <v>36</v>
      </c>
      <c r="H1608">
        <v>4</v>
      </c>
      <c r="I1608" t="s">
        <v>4740</v>
      </c>
      <c r="J1608" t="s">
        <v>4741</v>
      </c>
      <c r="K1608" t="s">
        <v>1283</v>
      </c>
      <c r="L1608" s="204">
        <v>0.08</v>
      </c>
      <c r="M1608" s="112">
        <v>9.9824999999999999</v>
      </c>
      <c r="N1608" s="112">
        <v>0.79859999999999998</v>
      </c>
      <c r="O1608" s="204"/>
      <c r="P1608" s="112"/>
      <c r="Q1608" s="112"/>
      <c r="R1608" s="112"/>
      <c r="S1608" s="112"/>
      <c r="T1608" s="112"/>
      <c r="U1608" t="s">
        <v>5556</v>
      </c>
      <c r="V1608" t="s">
        <v>5557</v>
      </c>
      <c r="W1608" t="s">
        <v>3958</v>
      </c>
      <c r="X1608" t="s">
        <v>4660</v>
      </c>
    </row>
    <row r="1609" spans="1:24" x14ac:dyDescent="0.2">
      <c r="A1609" t="s">
        <v>5555</v>
      </c>
      <c r="B1609" t="s">
        <v>1744</v>
      </c>
      <c r="C1609" t="s">
        <v>1745</v>
      </c>
      <c r="D1609" t="s">
        <v>56</v>
      </c>
      <c r="E1609" t="s">
        <v>696</v>
      </c>
      <c r="F1609" t="s">
        <v>84</v>
      </c>
      <c r="G1609" s="202">
        <v>36</v>
      </c>
      <c r="H1609">
        <v>5</v>
      </c>
      <c r="I1609" t="s">
        <v>3968</v>
      </c>
      <c r="J1609" t="s">
        <v>3969</v>
      </c>
      <c r="K1609" t="s">
        <v>84</v>
      </c>
      <c r="L1609" s="204">
        <v>1</v>
      </c>
      <c r="M1609" s="112"/>
      <c r="N1609" s="112">
        <v>9.9824999999999999</v>
      </c>
      <c r="O1609" s="204">
        <v>0.22163786626596549</v>
      </c>
      <c r="P1609" s="112">
        <v>2.2125000000000004</v>
      </c>
      <c r="Q1609" s="112">
        <v>12.195</v>
      </c>
      <c r="R1609" s="112">
        <v>439.02</v>
      </c>
      <c r="S1609" s="112">
        <v>439.02</v>
      </c>
      <c r="T1609" s="112">
        <v>0</v>
      </c>
      <c r="U1609" t="s">
        <v>5556</v>
      </c>
      <c r="V1609" t="s">
        <v>5557</v>
      </c>
      <c r="W1609" t="s">
        <v>4666</v>
      </c>
      <c r="X1609" t="s">
        <v>4667</v>
      </c>
    </row>
    <row r="1610" spans="1:24" x14ac:dyDescent="0.2">
      <c r="A1610" t="s">
        <v>5558</v>
      </c>
      <c r="B1610" t="s">
        <v>1746</v>
      </c>
      <c r="C1610" t="s">
        <v>1747</v>
      </c>
      <c r="D1610" t="s">
        <v>56</v>
      </c>
      <c r="E1610" t="s">
        <v>697</v>
      </c>
      <c r="F1610" t="s">
        <v>84</v>
      </c>
      <c r="G1610" s="202">
        <v>18</v>
      </c>
      <c r="H1610">
        <v>1</v>
      </c>
      <c r="I1610" t="s">
        <v>3954</v>
      </c>
      <c r="J1610" t="s">
        <v>4734</v>
      </c>
      <c r="K1610" t="s">
        <v>1283</v>
      </c>
      <c r="L1610" s="204">
        <v>0.24</v>
      </c>
      <c r="M1610" s="112">
        <v>36.555</v>
      </c>
      <c r="N1610" s="112">
        <v>8.7731999999999992</v>
      </c>
      <c r="O1610" s="204"/>
      <c r="P1610" s="112"/>
      <c r="Q1610" s="112"/>
      <c r="R1610" s="112"/>
      <c r="S1610" s="112"/>
      <c r="T1610" s="112"/>
      <c r="U1610" t="s">
        <v>5559</v>
      </c>
      <c r="V1610" t="s">
        <v>5560</v>
      </c>
      <c r="W1610" t="s">
        <v>3958</v>
      </c>
      <c r="X1610" t="s">
        <v>4660</v>
      </c>
    </row>
    <row r="1611" spans="1:24" x14ac:dyDescent="0.2">
      <c r="A1611" t="s">
        <v>5558</v>
      </c>
      <c r="B1611" t="s">
        <v>1746</v>
      </c>
      <c r="C1611" t="s">
        <v>1747</v>
      </c>
      <c r="D1611" t="s">
        <v>56</v>
      </c>
      <c r="E1611" t="s">
        <v>697</v>
      </c>
      <c r="F1611" t="s">
        <v>84</v>
      </c>
      <c r="G1611" s="202">
        <v>18</v>
      </c>
      <c r="H1611">
        <v>2</v>
      </c>
      <c r="I1611" t="s">
        <v>3962</v>
      </c>
      <c r="J1611" t="s">
        <v>4737</v>
      </c>
      <c r="K1611" t="s">
        <v>1283</v>
      </c>
      <c r="L1611" s="204">
        <v>0.46</v>
      </c>
      <c r="M1611" s="112">
        <v>36.555</v>
      </c>
      <c r="N1611" s="112">
        <v>16.815300000000001</v>
      </c>
      <c r="O1611" s="204"/>
      <c r="P1611" s="112"/>
      <c r="Q1611" s="112"/>
      <c r="R1611" s="112"/>
      <c r="S1611" s="112"/>
      <c r="T1611" s="112"/>
      <c r="U1611" t="s">
        <v>5559</v>
      </c>
      <c r="V1611" t="s">
        <v>5560</v>
      </c>
      <c r="W1611" t="s">
        <v>3958</v>
      </c>
      <c r="X1611" t="s">
        <v>4660</v>
      </c>
    </row>
    <row r="1612" spans="1:24" x14ac:dyDescent="0.2">
      <c r="A1612" t="s">
        <v>5558</v>
      </c>
      <c r="B1612" t="s">
        <v>1746</v>
      </c>
      <c r="C1612" t="s">
        <v>1747</v>
      </c>
      <c r="D1612" t="s">
        <v>56</v>
      </c>
      <c r="E1612" t="s">
        <v>697</v>
      </c>
      <c r="F1612" t="s">
        <v>84</v>
      </c>
      <c r="G1612" s="202">
        <v>18</v>
      </c>
      <c r="H1612">
        <v>3</v>
      </c>
      <c r="I1612" t="s">
        <v>4738</v>
      </c>
      <c r="J1612" t="s">
        <v>4739</v>
      </c>
      <c r="K1612" t="s">
        <v>1283</v>
      </c>
      <c r="L1612" s="204">
        <v>0.22</v>
      </c>
      <c r="M1612" s="112">
        <v>36.555</v>
      </c>
      <c r="N1612" s="112">
        <v>8.0420999999999996</v>
      </c>
      <c r="O1612" s="204"/>
      <c r="P1612" s="112"/>
      <c r="Q1612" s="112"/>
      <c r="R1612" s="112"/>
      <c r="S1612" s="112"/>
      <c r="T1612" s="112"/>
      <c r="U1612" t="s">
        <v>5559</v>
      </c>
      <c r="V1612" t="s">
        <v>5560</v>
      </c>
      <c r="W1612" t="s">
        <v>3958</v>
      </c>
      <c r="X1612" t="s">
        <v>4660</v>
      </c>
    </row>
    <row r="1613" spans="1:24" x14ac:dyDescent="0.2">
      <c r="A1613" t="s">
        <v>5558</v>
      </c>
      <c r="B1613" t="s">
        <v>1746</v>
      </c>
      <c r="C1613" t="s">
        <v>1747</v>
      </c>
      <c r="D1613" t="s">
        <v>56</v>
      </c>
      <c r="E1613" t="s">
        <v>697</v>
      </c>
      <c r="F1613" t="s">
        <v>84</v>
      </c>
      <c r="G1613" s="202">
        <v>18</v>
      </c>
      <c r="H1613">
        <v>4</v>
      </c>
      <c r="I1613" t="s">
        <v>4740</v>
      </c>
      <c r="J1613" t="s">
        <v>4741</v>
      </c>
      <c r="K1613" t="s">
        <v>1283</v>
      </c>
      <c r="L1613" s="204">
        <v>0.08</v>
      </c>
      <c r="M1613" s="112">
        <v>36.555</v>
      </c>
      <c r="N1613" s="112">
        <v>2.9243999999999999</v>
      </c>
      <c r="O1613" s="204"/>
      <c r="P1613" s="112"/>
      <c r="Q1613" s="112"/>
      <c r="R1613" s="112"/>
      <c r="S1613" s="112"/>
      <c r="T1613" s="112"/>
      <c r="U1613" t="s">
        <v>5559</v>
      </c>
      <c r="V1613" t="s">
        <v>5560</v>
      </c>
      <c r="W1613" t="s">
        <v>3958</v>
      </c>
      <c r="X1613" t="s">
        <v>4660</v>
      </c>
    </row>
    <row r="1614" spans="1:24" x14ac:dyDescent="0.2">
      <c r="A1614" t="s">
        <v>5558</v>
      </c>
      <c r="B1614" t="s">
        <v>1746</v>
      </c>
      <c r="C1614" t="s">
        <v>1747</v>
      </c>
      <c r="D1614" t="s">
        <v>56</v>
      </c>
      <c r="E1614" t="s">
        <v>697</v>
      </c>
      <c r="F1614" t="s">
        <v>84</v>
      </c>
      <c r="G1614" s="202">
        <v>18</v>
      </c>
      <c r="H1614">
        <v>5</v>
      </c>
      <c r="I1614" t="s">
        <v>3968</v>
      </c>
      <c r="J1614" t="s">
        <v>3969</v>
      </c>
      <c r="K1614" t="s">
        <v>84</v>
      </c>
      <c r="L1614" s="204">
        <v>1</v>
      </c>
      <c r="M1614" s="112"/>
      <c r="N1614" s="112">
        <v>36.555</v>
      </c>
      <c r="O1614" s="204">
        <v>0.22219182662350501</v>
      </c>
      <c r="P1614" s="112">
        <v>8.1222222222222271</v>
      </c>
      <c r="Q1614" s="112">
        <v>44.677222222222227</v>
      </c>
      <c r="R1614" s="112">
        <v>804.19</v>
      </c>
      <c r="S1614" s="112">
        <v>804.19</v>
      </c>
      <c r="T1614" s="112">
        <v>0</v>
      </c>
      <c r="U1614" t="s">
        <v>5559</v>
      </c>
      <c r="V1614" t="s">
        <v>5560</v>
      </c>
      <c r="W1614" t="s">
        <v>4666</v>
      </c>
      <c r="X1614" t="s">
        <v>4667</v>
      </c>
    </row>
    <row r="1615" spans="1:24" x14ac:dyDescent="0.2">
      <c r="A1615" t="s">
        <v>5561</v>
      </c>
      <c r="B1615" t="s">
        <v>1748</v>
      </c>
      <c r="C1615" t="s">
        <v>1749</v>
      </c>
      <c r="D1615" t="s">
        <v>56</v>
      </c>
      <c r="E1615" t="s">
        <v>698</v>
      </c>
      <c r="F1615" t="s">
        <v>84</v>
      </c>
      <c r="G1615" s="202">
        <v>1</v>
      </c>
      <c r="H1615">
        <v>1</v>
      </c>
      <c r="I1615" t="s">
        <v>3954</v>
      </c>
      <c r="J1615" t="s">
        <v>4734</v>
      </c>
      <c r="K1615" t="s">
        <v>1283</v>
      </c>
      <c r="L1615" s="204">
        <v>0.24</v>
      </c>
      <c r="M1615" s="112">
        <v>33.974999999999994</v>
      </c>
      <c r="N1615" s="112">
        <v>8.1539999999999981</v>
      </c>
      <c r="O1615" s="204"/>
      <c r="P1615" s="112"/>
      <c r="Q1615" s="112"/>
      <c r="R1615" s="112"/>
      <c r="S1615" s="112"/>
      <c r="T1615" s="112"/>
      <c r="U1615" t="s">
        <v>5562</v>
      </c>
      <c r="V1615" t="s">
        <v>5563</v>
      </c>
      <c r="W1615" t="s">
        <v>3958</v>
      </c>
      <c r="X1615" t="s">
        <v>4660</v>
      </c>
    </row>
    <row r="1616" spans="1:24" x14ac:dyDescent="0.2">
      <c r="A1616" t="s">
        <v>5561</v>
      </c>
      <c r="B1616" t="s">
        <v>1748</v>
      </c>
      <c r="C1616" t="s">
        <v>1749</v>
      </c>
      <c r="D1616" t="s">
        <v>56</v>
      </c>
      <c r="E1616" t="s">
        <v>698</v>
      </c>
      <c r="F1616" t="s">
        <v>84</v>
      </c>
      <c r="G1616" s="202">
        <v>1</v>
      </c>
      <c r="H1616">
        <v>2</v>
      </c>
      <c r="I1616" t="s">
        <v>3962</v>
      </c>
      <c r="J1616" t="s">
        <v>4737</v>
      </c>
      <c r="K1616" t="s">
        <v>1283</v>
      </c>
      <c r="L1616" s="204">
        <v>0.46</v>
      </c>
      <c r="M1616" s="112">
        <v>33.974999999999994</v>
      </c>
      <c r="N1616" s="112">
        <v>15.628499999999999</v>
      </c>
      <c r="O1616" s="204"/>
      <c r="P1616" s="112"/>
      <c r="Q1616" s="112"/>
      <c r="R1616" s="112"/>
      <c r="S1616" s="112"/>
      <c r="T1616" s="112"/>
      <c r="U1616" t="s">
        <v>5562</v>
      </c>
      <c r="V1616" t="s">
        <v>5563</v>
      </c>
      <c r="W1616" t="s">
        <v>3958</v>
      </c>
      <c r="X1616" t="s">
        <v>4660</v>
      </c>
    </row>
    <row r="1617" spans="1:24" x14ac:dyDescent="0.2">
      <c r="A1617" t="s">
        <v>5561</v>
      </c>
      <c r="B1617" t="s">
        <v>1748</v>
      </c>
      <c r="C1617" t="s">
        <v>1749</v>
      </c>
      <c r="D1617" t="s">
        <v>56</v>
      </c>
      <c r="E1617" t="s">
        <v>698</v>
      </c>
      <c r="F1617" t="s">
        <v>84</v>
      </c>
      <c r="G1617" s="202">
        <v>1</v>
      </c>
      <c r="H1617">
        <v>3</v>
      </c>
      <c r="I1617" t="s">
        <v>4738</v>
      </c>
      <c r="J1617" t="s">
        <v>4739</v>
      </c>
      <c r="K1617" t="s">
        <v>1283</v>
      </c>
      <c r="L1617" s="204">
        <v>0.22</v>
      </c>
      <c r="M1617" s="112">
        <v>33.974999999999994</v>
      </c>
      <c r="N1617" s="112">
        <v>7.474499999999999</v>
      </c>
      <c r="O1617" s="204"/>
      <c r="P1617" s="112"/>
      <c r="Q1617" s="112"/>
      <c r="R1617" s="112"/>
      <c r="S1617" s="112"/>
      <c r="T1617" s="112"/>
      <c r="U1617" t="s">
        <v>5562</v>
      </c>
      <c r="V1617" t="s">
        <v>5563</v>
      </c>
      <c r="W1617" t="s">
        <v>3958</v>
      </c>
      <c r="X1617" t="s">
        <v>4660</v>
      </c>
    </row>
    <row r="1618" spans="1:24" x14ac:dyDescent="0.2">
      <c r="A1618" t="s">
        <v>5561</v>
      </c>
      <c r="B1618" t="s">
        <v>1748</v>
      </c>
      <c r="C1618" t="s">
        <v>1749</v>
      </c>
      <c r="D1618" t="s">
        <v>56</v>
      </c>
      <c r="E1618" t="s">
        <v>698</v>
      </c>
      <c r="F1618" t="s">
        <v>84</v>
      </c>
      <c r="G1618" s="202">
        <v>1</v>
      </c>
      <c r="H1618">
        <v>4</v>
      </c>
      <c r="I1618" t="s">
        <v>4740</v>
      </c>
      <c r="J1618" t="s">
        <v>4741</v>
      </c>
      <c r="K1618" t="s">
        <v>1283</v>
      </c>
      <c r="L1618" s="204">
        <v>0.08</v>
      </c>
      <c r="M1618" s="112">
        <v>33.974999999999994</v>
      </c>
      <c r="N1618" s="112">
        <v>2.7179999999999995</v>
      </c>
      <c r="O1618" s="204"/>
      <c r="P1618" s="112"/>
      <c r="Q1618" s="112"/>
      <c r="R1618" s="112"/>
      <c r="S1618" s="112"/>
      <c r="T1618" s="112"/>
      <c r="U1618" t="s">
        <v>5562</v>
      </c>
      <c r="V1618" t="s">
        <v>5563</v>
      </c>
      <c r="W1618" t="s">
        <v>3958</v>
      </c>
      <c r="X1618" t="s">
        <v>4660</v>
      </c>
    </row>
    <row r="1619" spans="1:24" x14ac:dyDescent="0.2">
      <c r="A1619" t="s">
        <v>5561</v>
      </c>
      <c r="B1619" t="s">
        <v>1748</v>
      </c>
      <c r="C1619" t="s">
        <v>1749</v>
      </c>
      <c r="D1619" t="s">
        <v>56</v>
      </c>
      <c r="E1619" t="s">
        <v>698</v>
      </c>
      <c r="F1619" t="s">
        <v>84</v>
      </c>
      <c r="G1619" s="202">
        <v>1</v>
      </c>
      <c r="H1619">
        <v>5</v>
      </c>
      <c r="I1619" t="s">
        <v>3968</v>
      </c>
      <c r="J1619" t="s">
        <v>3969</v>
      </c>
      <c r="K1619" t="s">
        <v>84</v>
      </c>
      <c r="L1619" s="204">
        <v>1</v>
      </c>
      <c r="M1619" s="112"/>
      <c r="N1619" s="112">
        <v>33.974999999999994</v>
      </c>
      <c r="O1619" s="204">
        <v>0.22207505518763826</v>
      </c>
      <c r="P1619" s="112">
        <v>7.5450000000000088</v>
      </c>
      <c r="Q1619" s="112">
        <v>41.52</v>
      </c>
      <c r="R1619" s="112">
        <v>41.52</v>
      </c>
      <c r="S1619" s="112">
        <v>41.52</v>
      </c>
      <c r="T1619" s="112">
        <v>0</v>
      </c>
      <c r="U1619" t="s">
        <v>5562</v>
      </c>
      <c r="V1619" t="s">
        <v>5563</v>
      </c>
      <c r="W1619" t="s">
        <v>4666</v>
      </c>
      <c r="X1619" t="s">
        <v>4667</v>
      </c>
    </row>
    <row r="1620" spans="1:24" x14ac:dyDescent="0.2">
      <c r="A1620" t="s">
        <v>5564</v>
      </c>
      <c r="B1620" t="s">
        <v>1750</v>
      </c>
      <c r="C1620" t="s">
        <v>1751</v>
      </c>
      <c r="D1620" t="s">
        <v>56</v>
      </c>
      <c r="E1620" t="s">
        <v>699</v>
      </c>
      <c r="F1620" t="s">
        <v>84</v>
      </c>
      <c r="G1620" s="202">
        <v>1</v>
      </c>
      <c r="H1620">
        <v>1</v>
      </c>
      <c r="I1620" t="s">
        <v>3954</v>
      </c>
      <c r="J1620" t="s">
        <v>4734</v>
      </c>
      <c r="K1620" t="s">
        <v>1283</v>
      </c>
      <c r="L1620" s="204">
        <v>0.24</v>
      </c>
      <c r="M1620" s="112">
        <v>20.482499999999998</v>
      </c>
      <c r="N1620" s="112">
        <v>4.9157999999999991</v>
      </c>
      <c r="O1620" s="204"/>
      <c r="P1620" s="112"/>
      <c r="Q1620" s="112"/>
      <c r="R1620" s="112"/>
      <c r="S1620" s="112"/>
      <c r="T1620" s="112"/>
      <c r="U1620" t="s">
        <v>5565</v>
      </c>
      <c r="V1620" t="s">
        <v>5566</v>
      </c>
      <c r="W1620" t="s">
        <v>3958</v>
      </c>
      <c r="X1620" t="s">
        <v>4660</v>
      </c>
    </row>
    <row r="1621" spans="1:24" x14ac:dyDescent="0.2">
      <c r="A1621" t="s">
        <v>5564</v>
      </c>
      <c r="B1621" t="s">
        <v>1750</v>
      </c>
      <c r="C1621" t="s">
        <v>1751</v>
      </c>
      <c r="D1621" t="s">
        <v>56</v>
      </c>
      <c r="E1621" t="s">
        <v>699</v>
      </c>
      <c r="F1621" t="s">
        <v>84</v>
      </c>
      <c r="G1621" s="202">
        <v>1</v>
      </c>
      <c r="H1621">
        <v>2</v>
      </c>
      <c r="I1621" t="s">
        <v>3962</v>
      </c>
      <c r="J1621" t="s">
        <v>4737</v>
      </c>
      <c r="K1621" t="s">
        <v>1283</v>
      </c>
      <c r="L1621" s="204">
        <v>0.46</v>
      </c>
      <c r="M1621" s="112">
        <v>20.482499999999998</v>
      </c>
      <c r="N1621" s="112">
        <v>9.4219499999999989</v>
      </c>
      <c r="O1621" s="204"/>
      <c r="P1621" s="112"/>
      <c r="Q1621" s="112"/>
      <c r="R1621" s="112"/>
      <c r="S1621" s="112"/>
      <c r="T1621" s="112"/>
      <c r="U1621" t="s">
        <v>5565</v>
      </c>
      <c r="V1621" t="s">
        <v>5566</v>
      </c>
      <c r="W1621" t="s">
        <v>3958</v>
      </c>
      <c r="X1621" t="s">
        <v>4660</v>
      </c>
    </row>
    <row r="1622" spans="1:24" x14ac:dyDescent="0.2">
      <c r="A1622" t="s">
        <v>5564</v>
      </c>
      <c r="B1622" t="s">
        <v>1750</v>
      </c>
      <c r="C1622" t="s">
        <v>1751</v>
      </c>
      <c r="D1622" t="s">
        <v>56</v>
      </c>
      <c r="E1622" t="s">
        <v>699</v>
      </c>
      <c r="F1622" t="s">
        <v>84</v>
      </c>
      <c r="G1622" s="202">
        <v>1</v>
      </c>
      <c r="H1622">
        <v>3</v>
      </c>
      <c r="I1622" t="s">
        <v>4738</v>
      </c>
      <c r="J1622" t="s">
        <v>4739</v>
      </c>
      <c r="K1622" t="s">
        <v>1283</v>
      </c>
      <c r="L1622" s="204">
        <v>0.22</v>
      </c>
      <c r="M1622" s="112">
        <v>20.482499999999998</v>
      </c>
      <c r="N1622" s="112">
        <v>4.5061499999999999</v>
      </c>
      <c r="O1622" s="204"/>
      <c r="P1622" s="112"/>
      <c r="Q1622" s="112"/>
      <c r="R1622" s="112"/>
      <c r="S1622" s="112"/>
      <c r="T1622" s="112"/>
      <c r="U1622" t="s">
        <v>5565</v>
      </c>
      <c r="V1622" t="s">
        <v>5566</v>
      </c>
      <c r="W1622" t="s">
        <v>3958</v>
      </c>
      <c r="X1622" t="s">
        <v>4660</v>
      </c>
    </row>
    <row r="1623" spans="1:24" x14ac:dyDescent="0.2">
      <c r="A1623" t="s">
        <v>5564</v>
      </c>
      <c r="B1623" t="s">
        <v>1750</v>
      </c>
      <c r="C1623" t="s">
        <v>1751</v>
      </c>
      <c r="D1623" t="s">
        <v>56</v>
      </c>
      <c r="E1623" t="s">
        <v>699</v>
      </c>
      <c r="F1623" t="s">
        <v>84</v>
      </c>
      <c r="G1623" s="202">
        <v>1</v>
      </c>
      <c r="H1623">
        <v>4</v>
      </c>
      <c r="I1623" t="s">
        <v>4740</v>
      </c>
      <c r="J1623" t="s">
        <v>4741</v>
      </c>
      <c r="K1623" t="s">
        <v>1283</v>
      </c>
      <c r="L1623" s="204">
        <v>0.08</v>
      </c>
      <c r="M1623" s="112">
        <v>20.482499999999998</v>
      </c>
      <c r="N1623" s="112">
        <v>1.6385999999999998</v>
      </c>
      <c r="O1623" s="204"/>
      <c r="P1623" s="112"/>
      <c r="Q1623" s="112"/>
      <c r="R1623" s="112"/>
      <c r="S1623" s="112"/>
      <c r="T1623" s="112"/>
      <c r="U1623" t="s">
        <v>5565</v>
      </c>
      <c r="V1623" t="s">
        <v>5566</v>
      </c>
      <c r="W1623" t="s">
        <v>3958</v>
      </c>
      <c r="X1623" t="s">
        <v>4660</v>
      </c>
    </row>
    <row r="1624" spans="1:24" x14ac:dyDescent="0.2">
      <c r="A1624" t="s">
        <v>5564</v>
      </c>
      <c r="B1624" t="s">
        <v>1750</v>
      </c>
      <c r="C1624" t="s">
        <v>1751</v>
      </c>
      <c r="D1624" t="s">
        <v>56</v>
      </c>
      <c r="E1624" t="s">
        <v>699</v>
      </c>
      <c r="F1624" t="s">
        <v>84</v>
      </c>
      <c r="G1624" s="202">
        <v>1</v>
      </c>
      <c r="H1624">
        <v>5</v>
      </c>
      <c r="I1624" t="s">
        <v>3968</v>
      </c>
      <c r="J1624" t="s">
        <v>3969</v>
      </c>
      <c r="K1624" t="s">
        <v>84</v>
      </c>
      <c r="L1624" s="204">
        <v>1</v>
      </c>
      <c r="M1624" s="112"/>
      <c r="N1624" s="112">
        <v>20.482499999999998</v>
      </c>
      <c r="O1624" s="204">
        <v>0.22201879653362644</v>
      </c>
      <c r="P1624" s="112">
        <v>4.547500000000003</v>
      </c>
      <c r="Q1624" s="112">
        <v>25.03</v>
      </c>
      <c r="R1624" s="112">
        <v>25.03</v>
      </c>
      <c r="S1624" s="112">
        <v>25.03</v>
      </c>
      <c r="T1624" s="112">
        <v>0</v>
      </c>
      <c r="U1624" t="s">
        <v>5565</v>
      </c>
      <c r="V1624" t="s">
        <v>5566</v>
      </c>
      <c r="W1624" t="s">
        <v>4666</v>
      </c>
      <c r="X1624" t="s">
        <v>4667</v>
      </c>
    </row>
    <row r="1625" spans="1:24" x14ac:dyDescent="0.2">
      <c r="A1625" t="s">
        <v>5567</v>
      </c>
      <c r="B1625" t="s">
        <v>1752</v>
      </c>
      <c r="C1625" t="s">
        <v>1753</v>
      </c>
      <c r="D1625" t="s">
        <v>56</v>
      </c>
      <c r="E1625" t="s">
        <v>700</v>
      </c>
      <c r="F1625" t="s">
        <v>84</v>
      </c>
      <c r="G1625" s="202">
        <v>36</v>
      </c>
      <c r="H1625">
        <v>1</v>
      </c>
      <c r="I1625" t="s">
        <v>3954</v>
      </c>
      <c r="J1625" t="s">
        <v>4734</v>
      </c>
      <c r="K1625" t="s">
        <v>1283</v>
      </c>
      <c r="L1625" s="204">
        <v>0.24</v>
      </c>
      <c r="M1625" s="112">
        <v>12.375</v>
      </c>
      <c r="N1625" s="112">
        <v>2.9699999999999998</v>
      </c>
      <c r="O1625" s="204"/>
      <c r="P1625" s="112"/>
      <c r="Q1625" s="112"/>
      <c r="R1625" s="112"/>
      <c r="S1625" s="112"/>
      <c r="T1625" s="112"/>
      <c r="U1625" t="s">
        <v>5568</v>
      </c>
      <c r="V1625" t="s">
        <v>5569</v>
      </c>
      <c r="W1625" t="s">
        <v>3958</v>
      </c>
      <c r="X1625" t="s">
        <v>4660</v>
      </c>
    </row>
    <row r="1626" spans="1:24" x14ac:dyDescent="0.2">
      <c r="A1626" t="s">
        <v>5567</v>
      </c>
      <c r="B1626" t="s">
        <v>1752</v>
      </c>
      <c r="C1626" t="s">
        <v>1753</v>
      </c>
      <c r="D1626" t="s">
        <v>56</v>
      </c>
      <c r="E1626" t="s">
        <v>700</v>
      </c>
      <c r="F1626" t="s">
        <v>84</v>
      </c>
      <c r="G1626" s="202">
        <v>36</v>
      </c>
      <c r="H1626">
        <v>2</v>
      </c>
      <c r="I1626" t="s">
        <v>3962</v>
      </c>
      <c r="J1626" t="s">
        <v>4737</v>
      </c>
      <c r="K1626" t="s">
        <v>1283</v>
      </c>
      <c r="L1626" s="204">
        <v>0.46</v>
      </c>
      <c r="M1626" s="112">
        <v>12.375</v>
      </c>
      <c r="N1626" s="112">
        <v>5.6924999999999999</v>
      </c>
      <c r="O1626" s="204"/>
      <c r="P1626" s="112"/>
      <c r="Q1626" s="112"/>
      <c r="R1626" s="112"/>
      <c r="S1626" s="112"/>
      <c r="T1626" s="112"/>
      <c r="U1626" t="s">
        <v>5568</v>
      </c>
      <c r="V1626" t="s">
        <v>5569</v>
      </c>
      <c r="W1626" t="s">
        <v>3958</v>
      </c>
      <c r="X1626" t="s">
        <v>4660</v>
      </c>
    </row>
    <row r="1627" spans="1:24" x14ac:dyDescent="0.2">
      <c r="A1627" t="s">
        <v>5567</v>
      </c>
      <c r="B1627" t="s">
        <v>1752</v>
      </c>
      <c r="C1627" t="s">
        <v>1753</v>
      </c>
      <c r="D1627" t="s">
        <v>56</v>
      </c>
      <c r="E1627" t="s">
        <v>700</v>
      </c>
      <c r="F1627" t="s">
        <v>84</v>
      </c>
      <c r="G1627" s="202">
        <v>36</v>
      </c>
      <c r="H1627">
        <v>3</v>
      </c>
      <c r="I1627" t="s">
        <v>4738</v>
      </c>
      <c r="J1627" t="s">
        <v>4739</v>
      </c>
      <c r="K1627" t="s">
        <v>1283</v>
      </c>
      <c r="L1627" s="204">
        <v>0.22</v>
      </c>
      <c r="M1627" s="112">
        <v>12.375</v>
      </c>
      <c r="N1627" s="112">
        <v>2.7225000000000001</v>
      </c>
      <c r="O1627" s="204"/>
      <c r="P1627" s="112"/>
      <c r="Q1627" s="112"/>
      <c r="R1627" s="112"/>
      <c r="S1627" s="112"/>
      <c r="T1627" s="112"/>
      <c r="U1627" t="s">
        <v>5568</v>
      </c>
      <c r="V1627" t="s">
        <v>5569</v>
      </c>
      <c r="W1627" t="s">
        <v>3958</v>
      </c>
      <c r="X1627" t="s">
        <v>4660</v>
      </c>
    </row>
    <row r="1628" spans="1:24" x14ac:dyDescent="0.2">
      <c r="A1628" t="s">
        <v>5567</v>
      </c>
      <c r="B1628" t="s">
        <v>1752</v>
      </c>
      <c r="C1628" t="s">
        <v>1753</v>
      </c>
      <c r="D1628" t="s">
        <v>56</v>
      </c>
      <c r="E1628" t="s">
        <v>700</v>
      </c>
      <c r="F1628" t="s">
        <v>84</v>
      </c>
      <c r="G1628" s="202">
        <v>36</v>
      </c>
      <c r="H1628">
        <v>4</v>
      </c>
      <c r="I1628" t="s">
        <v>4740</v>
      </c>
      <c r="J1628" t="s">
        <v>4741</v>
      </c>
      <c r="K1628" t="s">
        <v>1283</v>
      </c>
      <c r="L1628" s="204">
        <v>0.08</v>
      </c>
      <c r="M1628" s="112">
        <v>12.375</v>
      </c>
      <c r="N1628" s="112">
        <v>0.99</v>
      </c>
      <c r="O1628" s="204"/>
      <c r="P1628" s="112"/>
      <c r="Q1628" s="112"/>
      <c r="R1628" s="112"/>
      <c r="S1628" s="112"/>
      <c r="T1628" s="112"/>
      <c r="U1628" t="s">
        <v>5568</v>
      </c>
      <c r="V1628" t="s">
        <v>5569</v>
      </c>
      <c r="W1628" t="s">
        <v>3958</v>
      </c>
      <c r="X1628" t="s">
        <v>4660</v>
      </c>
    </row>
    <row r="1629" spans="1:24" x14ac:dyDescent="0.2">
      <c r="A1629" t="s">
        <v>5567</v>
      </c>
      <c r="B1629" t="s">
        <v>1752</v>
      </c>
      <c r="C1629" t="s">
        <v>1753</v>
      </c>
      <c r="D1629" t="s">
        <v>56</v>
      </c>
      <c r="E1629" t="s">
        <v>700</v>
      </c>
      <c r="F1629" t="s">
        <v>84</v>
      </c>
      <c r="G1629" s="202">
        <v>36</v>
      </c>
      <c r="H1629">
        <v>5</v>
      </c>
      <c r="I1629" t="s">
        <v>3968</v>
      </c>
      <c r="J1629" t="s">
        <v>3969</v>
      </c>
      <c r="K1629" t="s">
        <v>84</v>
      </c>
      <c r="L1629" s="204">
        <v>1</v>
      </c>
      <c r="M1629" s="112"/>
      <c r="N1629" s="112">
        <v>12.375</v>
      </c>
      <c r="O1629" s="204">
        <v>0.22181818181818191</v>
      </c>
      <c r="P1629" s="112">
        <v>2.745000000000001</v>
      </c>
      <c r="Q1629" s="112">
        <v>15.120000000000001</v>
      </c>
      <c r="R1629" s="112">
        <v>544.32000000000005</v>
      </c>
      <c r="S1629" s="112">
        <v>544.32000000000005</v>
      </c>
      <c r="T1629" s="112">
        <v>0</v>
      </c>
      <c r="U1629" t="s">
        <v>5568</v>
      </c>
      <c r="V1629" t="s">
        <v>5569</v>
      </c>
      <c r="W1629" t="s">
        <v>4666</v>
      </c>
      <c r="X1629" t="s">
        <v>4667</v>
      </c>
    </row>
    <row r="1630" spans="1:24" x14ac:dyDescent="0.2">
      <c r="A1630" t="s">
        <v>5570</v>
      </c>
      <c r="B1630" t="s">
        <v>1754</v>
      </c>
      <c r="C1630" t="s">
        <v>1755</v>
      </c>
      <c r="D1630" t="s">
        <v>56</v>
      </c>
      <c r="E1630" t="s">
        <v>701</v>
      </c>
      <c r="F1630" t="s">
        <v>84</v>
      </c>
      <c r="G1630" s="202">
        <v>21</v>
      </c>
      <c r="H1630">
        <v>1</v>
      </c>
      <c r="I1630" t="s">
        <v>3954</v>
      </c>
      <c r="J1630" t="s">
        <v>4734</v>
      </c>
      <c r="K1630" t="s">
        <v>1283</v>
      </c>
      <c r="L1630" s="204">
        <v>0.24</v>
      </c>
      <c r="M1630" s="112">
        <v>44.107500000000002</v>
      </c>
      <c r="N1630" s="112">
        <v>10.585800000000001</v>
      </c>
      <c r="O1630" s="204"/>
      <c r="P1630" s="112"/>
      <c r="Q1630" s="112"/>
      <c r="R1630" s="112"/>
      <c r="S1630" s="112"/>
      <c r="T1630" s="112"/>
      <c r="U1630" t="s">
        <v>5571</v>
      </c>
      <c r="V1630" t="s">
        <v>5572</v>
      </c>
      <c r="W1630" t="s">
        <v>3958</v>
      </c>
      <c r="X1630" t="s">
        <v>4660</v>
      </c>
    </row>
    <row r="1631" spans="1:24" x14ac:dyDescent="0.2">
      <c r="A1631" t="s">
        <v>5570</v>
      </c>
      <c r="B1631" t="s">
        <v>1754</v>
      </c>
      <c r="C1631" t="s">
        <v>1755</v>
      </c>
      <c r="D1631" t="s">
        <v>56</v>
      </c>
      <c r="E1631" t="s">
        <v>701</v>
      </c>
      <c r="F1631" t="s">
        <v>84</v>
      </c>
      <c r="G1631" s="202">
        <v>21</v>
      </c>
      <c r="H1631">
        <v>2</v>
      </c>
      <c r="I1631" t="s">
        <v>3962</v>
      </c>
      <c r="J1631" t="s">
        <v>4737</v>
      </c>
      <c r="K1631" t="s">
        <v>1283</v>
      </c>
      <c r="L1631" s="204">
        <v>0.46</v>
      </c>
      <c r="M1631" s="112">
        <v>44.107500000000002</v>
      </c>
      <c r="N1631" s="112">
        <v>20.289450000000002</v>
      </c>
      <c r="O1631" s="204"/>
      <c r="P1631" s="112"/>
      <c r="Q1631" s="112"/>
      <c r="R1631" s="112"/>
      <c r="S1631" s="112"/>
      <c r="T1631" s="112"/>
      <c r="U1631" t="s">
        <v>5571</v>
      </c>
      <c r="V1631" t="s">
        <v>5572</v>
      </c>
      <c r="W1631" t="s">
        <v>3958</v>
      </c>
      <c r="X1631" t="s">
        <v>4660</v>
      </c>
    </row>
    <row r="1632" spans="1:24" x14ac:dyDescent="0.2">
      <c r="A1632" t="s">
        <v>5570</v>
      </c>
      <c r="B1632" t="s">
        <v>1754</v>
      </c>
      <c r="C1632" t="s">
        <v>1755</v>
      </c>
      <c r="D1632" t="s">
        <v>56</v>
      </c>
      <c r="E1632" t="s">
        <v>701</v>
      </c>
      <c r="F1632" t="s">
        <v>84</v>
      </c>
      <c r="G1632" s="202">
        <v>21</v>
      </c>
      <c r="H1632">
        <v>3</v>
      </c>
      <c r="I1632" t="s">
        <v>4738</v>
      </c>
      <c r="J1632" t="s">
        <v>4739</v>
      </c>
      <c r="K1632" t="s">
        <v>1283</v>
      </c>
      <c r="L1632" s="204">
        <v>0.22</v>
      </c>
      <c r="M1632" s="112">
        <v>44.107500000000002</v>
      </c>
      <c r="N1632" s="112">
        <v>9.7036499999999997</v>
      </c>
      <c r="O1632" s="204"/>
      <c r="P1632" s="112"/>
      <c r="Q1632" s="112"/>
      <c r="R1632" s="112"/>
      <c r="S1632" s="112"/>
      <c r="T1632" s="112"/>
      <c r="U1632" t="s">
        <v>5571</v>
      </c>
      <c r="V1632" t="s">
        <v>5572</v>
      </c>
      <c r="W1632" t="s">
        <v>3958</v>
      </c>
      <c r="X1632" t="s">
        <v>4660</v>
      </c>
    </row>
    <row r="1633" spans="1:24" x14ac:dyDescent="0.2">
      <c r="A1633" t="s">
        <v>5570</v>
      </c>
      <c r="B1633" t="s">
        <v>1754</v>
      </c>
      <c r="C1633" t="s">
        <v>1755</v>
      </c>
      <c r="D1633" t="s">
        <v>56</v>
      </c>
      <c r="E1633" t="s">
        <v>701</v>
      </c>
      <c r="F1633" t="s">
        <v>84</v>
      </c>
      <c r="G1633" s="202">
        <v>21</v>
      </c>
      <c r="H1633">
        <v>4</v>
      </c>
      <c r="I1633" t="s">
        <v>4740</v>
      </c>
      <c r="J1633" t="s">
        <v>4741</v>
      </c>
      <c r="K1633" t="s">
        <v>1283</v>
      </c>
      <c r="L1633" s="204">
        <v>0.08</v>
      </c>
      <c r="M1633" s="112">
        <v>44.107500000000002</v>
      </c>
      <c r="N1633" s="112">
        <v>3.5286000000000004</v>
      </c>
      <c r="O1633" s="204"/>
      <c r="P1633" s="112"/>
      <c r="Q1633" s="112"/>
      <c r="R1633" s="112"/>
      <c r="S1633" s="112"/>
      <c r="T1633" s="112"/>
      <c r="U1633" t="s">
        <v>5571</v>
      </c>
      <c r="V1633" t="s">
        <v>5572</v>
      </c>
      <c r="W1633" t="s">
        <v>3958</v>
      </c>
      <c r="X1633" t="s">
        <v>4660</v>
      </c>
    </row>
    <row r="1634" spans="1:24" x14ac:dyDescent="0.2">
      <c r="A1634" t="s">
        <v>5570</v>
      </c>
      <c r="B1634" t="s">
        <v>1754</v>
      </c>
      <c r="C1634" t="s">
        <v>1755</v>
      </c>
      <c r="D1634" t="s">
        <v>56</v>
      </c>
      <c r="E1634" t="s">
        <v>701</v>
      </c>
      <c r="F1634" t="s">
        <v>84</v>
      </c>
      <c r="G1634" s="202">
        <v>21</v>
      </c>
      <c r="H1634">
        <v>5</v>
      </c>
      <c r="I1634" t="s">
        <v>3968</v>
      </c>
      <c r="J1634" t="s">
        <v>3969</v>
      </c>
      <c r="K1634" t="s">
        <v>84</v>
      </c>
      <c r="L1634" s="204">
        <v>1</v>
      </c>
      <c r="M1634" s="112"/>
      <c r="N1634" s="112">
        <v>44.107500000000002</v>
      </c>
      <c r="O1634" s="204">
        <v>0.22224111545655489</v>
      </c>
      <c r="P1634" s="112">
        <v>9.8024999999999949</v>
      </c>
      <c r="Q1634" s="112">
        <v>53.91</v>
      </c>
      <c r="R1634" s="112">
        <v>1132.1099999999999</v>
      </c>
      <c r="S1634" s="112">
        <v>1132.1099999999999</v>
      </c>
      <c r="T1634" s="112">
        <v>0</v>
      </c>
      <c r="U1634" t="s">
        <v>5571</v>
      </c>
      <c r="V1634" t="s">
        <v>5572</v>
      </c>
      <c r="W1634" t="s">
        <v>4666</v>
      </c>
      <c r="X1634" t="s">
        <v>4667</v>
      </c>
    </row>
    <row r="1635" spans="1:24" x14ac:dyDescent="0.2">
      <c r="A1635" t="s">
        <v>5573</v>
      </c>
      <c r="B1635" t="s">
        <v>1756</v>
      </c>
      <c r="C1635" t="s">
        <v>1757</v>
      </c>
      <c r="D1635" t="s">
        <v>56</v>
      </c>
      <c r="E1635" t="s">
        <v>1758</v>
      </c>
      <c r="F1635" t="s">
        <v>84</v>
      </c>
      <c r="G1635" s="202">
        <v>19</v>
      </c>
      <c r="H1635">
        <v>1</v>
      </c>
      <c r="I1635" t="s">
        <v>3954</v>
      </c>
      <c r="J1635" t="s">
        <v>4734</v>
      </c>
      <c r="K1635" t="s">
        <v>1283</v>
      </c>
      <c r="L1635" s="204">
        <v>0.24</v>
      </c>
      <c r="M1635" s="112">
        <v>37.027499999999996</v>
      </c>
      <c r="N1635" s="112">
        <v>8.8865999999999996</v>
      </c>
      <c r="O1635" s="204"/>
      <c r="P1635" s="112"/>
      <c r="Q1635" s="112"/>
      <c r="R1635" s="112"/>
      <c r="S1635" s="112"/>
      <c r="T1635" s="112"/>
      <c r="U1635" t="s">
        <v>5574</v>
      </c>
      <c r="V1635" t="s">
        <v>5575</v>
      </c>
      <c r="W1635" t="s">
        <v>3958</v>
      </c>
      <c r="X1635" t="s">
        <v>4660</v>
      </c>
    </row>
    <row r="1636" spans="1:24" x14ac:dyDescent="0.2">
      <c r="A1636" t="s">
        <v>5573</v>
      </c>
      <c r="B1636" t="s">
        <v>1756</v>
      </c>
      <c r="C1636" t="s">
        <v>1757</v>
      </c>
      <c r="D1636" t="s">
        <v>56</v>
      </c>
      <c r="E1636" t="s">
        <v>1758</v>
      </c>
      <c r="F1636" t="s">
        <v>84</v>
      </c>
      <c r="G1636" s="202">
        <v>19</v>
      </c>
      <c r="H1636">
        <v>2</v>
      </c>
      <c r="I1636" t="s">
        <v>3962</v>
      </c>
      <c r="J1636" t="s">
        <v>4737</v>
      </c>
      <c r="K1636" t="s">
        <v>1283</v>
      </c>
      <c r="L1636" s="204">
        <v>0.46</v>
      </c>
      <c r="M1636" s="112">
        <v>37.027499999999996</v>
      </c>
      <c r="N1636" s="112">
        <v>17.03265</v>
      </c>
      <c r="O1636" s="204"/>
      <c r="P1636" s="112"/>
      <c r="Q1636" s="112"/>
      <c r="R1636" s="112"/>
      <c r="S1636" s="112"/>
      <c r="T1636" s="112"/>
      <c r="U1636" t="s">
        <v>5574</v>
      </c>
      <c r="V1636" t="s">
        <v>5575</v>
      </c>
      <c r="W1636" t="s">
        <v>3958</v>
      </c>
      <c r="X1636" t="s">
        <v>4660</v>
      </c>
    </row>
    <row r="1637" spans="1:24" x14ac:dyDescent="0.2">
      <c r="A1637" t="s">
        <v>5573</v>
      </c>
      <c r="B1637" t="s">
        <v>1756</v>
      </c>
      <c r="C1637" t="s">
        <v>1757</v>
      </c>
      <c r="D1637" t="s">
        <v>56</v>
      </c>
      <c r="E1637" t="s">
        <v>1758</v>
      </c>
      <c r="F1637" t="s">
        <v>84</v>
      </c>
      <c r="G1637" s="202">
        <v>19</v>
      </c>
      <c r="H1637">
        <v>3</v>
      </c>
      <c r="I1637" t="s">
        <v>4738</v>
      </c>
      <c r="J1637" t="s">
        <v>4739</v>
      </c>
      <c r="K1637" t="s">
        <v>1283</v>
      </c>
      <c r="L1637" s="204">
        <v>0.22</v>
      </c>
      <c r="M1637" s="112">
        <v>37.027499999999996</v>
      </c>
      <c r="N1637" s="112">
        <v>8.1460499999999989</v>
      </c>
      <c r="O1637" s="204"/>
      <c r="P1637" s="112"/>
      <c r="Q1637" s="112"/>
      <c r="R1637" s="112"/>
      <c r="S1637" s="112"/>
      <c r="T1637" s="112"/>
      <c r="U1637" t="s">
        <v>5574</v>
      </c>
      <c r="V1637" t="s">
        <v>5575</v>
      </c>
      <c r="W1637" t="s">
        <v>3958</v>
      </c>
      <c r="X1637" t="s">
        <v>4660</v>
      </c>
    </row>
    <row r="1638" spans="1:24" x14ac:dyDescent="0.2">
      <c r="A1638" t="s">
        <v>5573</v>
      </c>
      <c r="B1638" t="s">
        <v>1756</v>
      </c>
      <c r="C1638" t="s">
        <v>1757</v>
      </c>
      <c r="D1638" t="s">
        <v>56</v>
      </c>
      <c r="E1638" t="s">
        <v>1758</v>
      </c>
      <c r="F1638" t="s">
        <v>84</v>
      </c>
      <c r="G1638" s="202">
        <v>19</v>
      </c>
      <c r="H1638">
        <v>4</v>
      </c>
      <c r="I1638" t="s">
        <v>4740</v>
      </c>
      <c r="J1638" t="s">
        <v>4741</v>
      </c>
      <c r="K1638" t="s">
        <v>1283</v>
      </c>
      <c r="L1638" s="204">
        <v>0.08</v>
      </c>
      <c r="M1638" s="112">
        <v>37.027499999999996</v>
      </c>
      <c r="N1638" s="112">
        <v>2.9621999999999997</v>
      </c>
      <c r="O1638" s="204"/>
      <c r="P1638" s="112"/>
      <c r="Q1638" s="112"/>
      <c r="R1638" s="112"/>
      <c r="S1638" s="112"/>
      <c r="T1638" s="112"/>
      <c r="U1638" t="s">
        <v>5574</v>
      </c>
      <c r="V1638" t="s">
        <v>5575</v>
      </c>
      <c r="W1638" t="s">
        <v>3958</v>
      </c>
      <c r="X1638" t="s">
        <v>4660</v>
      </c>
    </row>
    <row r="1639" spans="1:24" x14ac:dyDescent="0.2">
      <c r="A1639" t="s">
        <v>5573</v>
      </c>
      <c r="B1639" t="s">
        <v>1756</v>
      </c>
      <c r="C1639" t="s">
        <v>1757</v>
      </c>
      <c r="D1639" t="s">
        <v>56</v>
      </c>
      <c r="E1639" t="s">
        <v>1758</v>
      </c>
      <c r="F1639" t="s">
        <v>84</v>
      </c>
      <c r="G1639" s="202">
        <v>19</v>
      </c>
      <c r="H1639">
        <v>5</v>
      </c>
      <c r="I1639" t="s">
        <v>3968</v>
      </c>
      <c r="J1639" t="s">
        <v>3969</v>
      </c>
      <c r="K1639" t="s">
        <v>84</v>
      </c>
      <c r="L1639" s="204">
        <v>1</v>
      </c>
      <c r="M1639" s="112"/>
      <c r="N1639" s="112">
        <v>37.027499999999996</v>
      </c>
      <c r="O1639" s="204">
        <v>0.22219260933374585</v>
      </c>
      <c r="P1639" s="112">
        <v>8.2272368421052704</v>
      </c>
      <c r="Q1639" s="112">
        <v>45.254736842105267</v>
      </c>
      <c r="R1639" s="112">
        <v>859.84</v>
      </c>
      <c r="S1639" s="112">
        <v>859.84</v>
      </c>
      <c r="T1639" s="112">
        <v>0</v>
      </c>
      <c r="U1639" t="s">
        <v>5574</v>
      </c>
      <c r="V1639" t="s">
        <v>5575</v>
      </c>
      <c r="W1639" t="s">
        <v>4666</v>
      </c>
      <c r="X1639" t="s">
        <v>4667</v>
      </c>
    </row>
    <row r="1640" spans="1:24" x14ac:dyDescent="0.2">
      <c r="A1640" t="s">
        <v>5576</v>
      </c>
      <c r="B1640" t="s">
        <v>1759</v>
      </c>
      <c r="C1640" t="s">
        <v>1760</v>
      </c>
      <c r="D1640" t="s">
        <v>56</v>
      </c>
      <c r="E1640" t="s">
        <v>703</v>
      </c>
      <c r="F1640" t="s">
        <v>84</v>
      </c>
      <c r="G1640" s="202">
        <v>1</v>
      </c>
      <c r="H1640">
        <v>1</v>
      </c>
      <c r="I1640" t="s">
        <v>3954</v>
      </c>
      <c r="J1640" t="s">
        <v>4734</v>
      </c>
      <c r="K1640" t="s">
        <v>1283</v>
      </c>
      <c r="L1640" s="204">
        <v>0.24</v>
      </c>
      <c r="M1640" s="112">
        <v>35.2575</v>
      </c>
      <c r="N1640" s="112">
        <v>8.4618000000000002</v>
      </c>
      <c r="O1640" s="204"/>
      <c r="P1640" s="112"/>
      <c r="Q1640" s="112"/>
      <c r="R1640" s="112"/>
      <c r="S1640" s="112"/>
      <c r="T1640" s="112"/>
      <c r="U1640" t="s">
        <v>5577</v>
      </c>
      <c r="V1640" t="s">
        <v>5578</v>
      </c>
      <c r="W1640" t="s">
        <v>3958</v>
      </c>
      <c r="X1640" t="s">
        <v>4660</v>
      </c>
    </row>
    <row r="1641" spans="1:24" x14ac:dyDescent="0.2">
      <c r="A1641" t="s">
        <v>5576</v>
      </c>
      <c r="B1641" t="s">
        <v>1759</v>
      </c>
      <c r="C1641" t="s">
        <v>1760</v>
      </c>
      <c r="D1641" t="s">
        <v>56</v>
      </c>
      <c r="E1641" t="s">
        <v>703</v>
      </c>
      <c r="F1641" t="s">
        <v>84</v>
      </c>
      <c r="G1641" s="202">
        <v>1</v>
      </c>
      <c r="H1641">
        <v>2</v>
      </c>
      <c r="I1641" t="s">
        <v>3962</v>
      </c>
      <c r="J1641" t="s">
        <v>4737</v>
      </c>
      <c r="K1641" t="s">
        <v>1283</v>
      </c>
      <c r="L1641" s="204">
        <v>0.46</v>
      </c>
      <c r="M1641" s="112">
        <v>35.2575</v>
      </c>
      <c r="N1641" s="112">
        <v>16.218450000000001</v>
      </c>
      <c r="O1641" s="204"/>
      <c r="P1641" s="112"/>
      <c r="Q1641" s="112"/>
      <c r="R1641" s="112"/>
      <c r="S1641" s="112"/>
      <c r="T1641" s="112"/>
      <c r="U1641" t="s">
        <v>5577</v>
      </c>
      <c r="V1641" t="s">
        <v>5578</v>
      </c>
      <c r="W1641" t="s">
        <v>3958</v>
      </c>
      <c r="X1641" t="s">
        <v>4660</v>
      </c>
    </row>
    <row r="1642" spans="1:24" x14ac:dyDescent="0.2">
      <c r="A1642" t="s">
        <v>5576</v>
      </c>
      <c r="B1642" t="s">
        <v>1759</v>
      </c>
      <c r="C1642" t="s">
        <v>1760</v>
      </c>
      <c r="D1642" t="s">
        <v>56</v>
      </c>
      <c r="E1642" t="s">
        <v>703</v>
      </c>
      <c r="F1642" t="s">
        <v>84</v>
      </c>
      <c r="G1642" s="202">
        <v>1</v>
      </c>
      <c r="H1642">
        <v>3</v>
      </c>
      <c r="I1642" t="s">
        <v>4738</v>
      </c>
      <c r="J1642" t="s">
        <v>4739</v>
      </c>
      <c r="K1642" t="s">
        <v>1283</v>
      </c>
      <c r="L1642" s="204">
        <v>0.22</v>
      </c>
      <c r="M1642" s="112">
        <v>35.2575</v>
      </c>
      <c r="N1642" s="112">
        <v>7.7566500000000005</v>
      </c>
      <c r="O1642" s="204"/>
      <c r="P1642" s="112"/>
      <c r="Q1642" s="112"/>
      <c r="R1642" s="112"/>
      <c r="S1642" s="112"/>
      <c r="T1642" s="112"/>
      <c r="U1642" t="s">
        <v>5577</v>
      </c>
      <c r="V1642" t="s">
        <v>5578</v>
      </c>
      <c r="W1642" t="s">
        <v>3958</v>
      </c>
      <c r="X1642" t="s">
        <v>4660</v>
      </c>
    </row>
    <row r="1643" spans="1:24" x14ac:dyDescent="0.2">
      <c r="A1643" t="s">
        <v>5576</v>
      </c>
      <c r="B1643" t="s">
        <v>1759</v>
      </c>
      <c r="C1643" t="s">
        <v>1760</v>
      </c>
      <c r="D1643" t="s">
        <v>56</v>
      </c>
      <c r="E1643" t="s">
        <v>703</v>
      </c>
      <c r="F1643" t="s">
        <v>84</v>
      </c>
      <c r="G1643" s="202">
        <v>1</v>
      </c>
      <c r="H1643">
        <v>4</v>
      </c>
      <c r="I1643" t="s">
        <v>4740</v>
      </c>
      <c r="J1643" t="s">
        <v>4741</v>
      </c>
      <c r="K1643" t="s">
        <v>1283</v>
      </c>
      <c r="L1643" s="204">
        <v>0.08</v>
      </c>
      <c r="M1643" s="112">
        <v>35.2575</v>
      </c>
      <c r="N1643" s="112">
        <v>2.8206000000000002</v>
      </c>
      <c r="O1643" s="204"/>
      <c r="P1643" s="112"/>
      <c r="Q1643" s="112"/>
      <c r="R1643" s="112"/>
      <c r="S1643" s="112"/>
      <c r="T1643" s="112"/>
      <c r="U1643" t="s">
        <v>5577</v>
      </c>
      <c r="V1643" t="s">
        <v>5578</v>
      </c>
      <c r="W1643" t="s">
        <v>3958</v>
      </c>
      <c r="X1643" t="s">
        <v>4660</v>
      </c>
    </row>
    <row r="1644" spans="1:24" x14ac:dyDescent="0.2">
      <c r="A1644" t="s">
        <v>5576</v>
      </c>
      <c r="B1644" t="s">
        <v>1759</v>
      </c>
      <c r="C1644" t="s">
        <v>1760</v>
      </c>
      <c r="D1644" t="s">
        <v>56</v>
      </c>
      <c r="E1644" t="s">
        <v>703</v>
      </c>
      <c r="F1644" t="s">
        <v>84</v>
      </c>
      <c r="G1644" s="202">
        <v>1</v>
      </c>
      <c r="H1644">
        <v>5</v>
      </c>
      <c r="I1644" t="s">
        <v>3968</v>
      </c>
      <c r="J1644" t="s">
        <v>3969</v>
      </c>
      <c r="K1644" t="s">
        <v>84</v>
      </c>
      <c r="L1644" s="204">
        <v>1</v>
      </c>
      <c r="M1644" s="112"/>
      <c r="N1644" s="112">
        <v>35.2575</v>
      </c>
      <c r="O1644" s="204">
        <v>0.22215131532298105</v>
      </c>
      <c r="P1644" s="112">
        <v>7.8325000000000031</v>
      </c>
      <c r="Q1644" s="112">
        <v>43.09</v>
      </c>
      <c r="R1644" s="112">
        <v>43.09</v>
      </c>
      <c r="S1644" s="112">
        <v>43.09</v>
      </c>
      <c r="T1644" s="112">
        <v>0</v>
      </c>
      <c r="U1644" t="s">
        <v>5577</v>
      </c>
      <c r="V1644" t="s">
        <v>5578</v>
      </c>
      <c r="W1644" t="s">
        <v>4666</v>
      </c>
      <c r="X1644" t="s">
        <v>4667</v>
      </c>
    </row>
    <row r="1645" spans="1:24" x14ac:dyDescent="0.2">
      <c r="A1645" t="s">
        <v>5579</v>
      </c>
      <c r="B1645" t="s">
        <v>1761</v>
      </c>
      <c r="C1645" t="s">
        <v>1762</v>
      </c>
      <c r="D1645" t="s">
        <v>56</v>
      </c>
      <c r="E1645" t="s">
        <v>704</v>
      </c>
      <c r="F1645" t="s">
        <v>84</v>
      </c>
      <c r="G1645" s="202">
        <v>8</v>
      </c>
      <c r="H1645">
        <v>1</v>
      </c>
      <c r="I1645" t="s">
        <v>3954</v>
      </c>
      <c r="J1645" t="s">
        <v>4734</v>
      </c>
      <c r="K1645" t="s">
        <v>1283</v>
      </c>
      <c r="L1645" s="204">
        <v>0.24</v>
      </c>
      <c r="M1645" s="112">
        <v>14.362499999999999</v>
      </c>
      <c r="N1645" s="112">
        <v>3.4469999999999996</v>
      </c>
      <c r="O1645" s="204"/>
      <c r="P1645" s="112"/>
      <c r="Q1645" s="112"/>
      <c r="R1645" s="112"/>
      <c r="S1645" s="112"/>
      <c r="T1645" s="112"/>
      <c r="U1645" t="s">
        <v>5580</v>
      </c>
      <c r="V1645" t="s">
        <v>5581</v>
      </c>
      <c r="W1645" t="s">
        <v>3958</v>
      </c>
      <c r="X1645" t="s">
        <v>4660</v>
      </c>
    </row>
    <row r="1646" spans="1:24" x14ac:dyDescent="0.2">
      <c r="A1646" t="s">
        <v>5579</v>
      </c>
      <c r="B1646" t="s">
        <v>1761</v>
      </c>
      <c r="C1646" t="s">
        <v>1762</v>
      </c>
      <c r="D1646" t="s">
        <v>56</v>
      </c>
      <c r="E1646" t="s">
        <v>704</v>
      </c>
      <c r="F1646" t="s">
        <v>84</v>
      </c>
      <c r="G1646" s="202">
        <v>8</v>
      </c>
      <c r="H1646">
        <v>2</v>
      </c>
      <c r="I1646" t="s">
        <v>3962</v>
      </c>
      <c r="J1646" t="s">
        <v>4737</v>
      </c>
      <c r="K1646" t="s">
        <v>1283</v>
      </c>
      <c r="L1646" s="204">
        <v>0.46</v>
      </c>
      <c r="M1646" s="112">
        <v>14.362499999999999</v>
      </c>
      <c r="N1646" s="112">
        <v>6.6067499999999999</v>
      </c>
      <c r="O1646" s="204"/>
      <c r="P1646" s="112"/>
      <c r="Q1646" s="112"/>
      <c r="R1646" s="112"/>
      <c r="S1646" s="112"/>
      <c r="T1646" s="112"/>
      <c r="U1646" t="s">
        <v>5580</v>
      </c>
      <c r="V1646" t="s">
        <v>5581</v>
      </c>
      <c r="W1646" t="s">
        <v>3958</v>
      </c>
      <c r="X1646" t="s">
        <v>4660</v>
      </c>
    </row>
    <row r="1647" spans="1:24" x14ac:dyDescent="0.2">
      <c r="A1647" t="s">
        <v>5579</v>
      </c>
      <c r="B1647" t="s">
        <v>1761</v>
      </c>
      <c r="C1647" t="s">
        <v>1762</v>
      </c>
      <c r="D1647" t="s">
        <v>56</v>
      </c>
      <c r="E1647" t="s">
        <v>704</v>
      </c>
      <c r="F1647" t="s">
        <v>84</v>
      </c>
      <c r="G1647" s="202">
        <v>8</v>
      </c>
      <c r="H1647">
        <v>3</v>
      </c>
      <c r="I1647" t="s">
        <v>4738</v>
      </c>
      <c r="J1647" t="s">
        <v>4739</v>
      </c>
      <c r="K1647" t="s">
        <v>1283</v>
      </c>
      <c r="L1647" s="204">
        <v>0.22</v>
      </c>
      <c r="M1647" s="112">
        <v>14.362499999999999</v>
      </c>
      <c r="N1647" s="112">
        <v>3.1597499999999998</v>
      </c>
      <c r="O1647" s="204"/>
      <c r="P1647" s="112"/>
      <c r="Q1647" s="112"/>
      <c r="R1647" s="112"/>
      <c r="S1647" s="112"/>
      <c r="T1647" s="112"/>
      <c r="U1647" t="s">
        <v>5580</v>
      </c>
      <c r="V1647" t="s">
        <v>5581</v>
      </c>
      <c r="W1647" t="s">
        <v>3958</v>
      </c>
      <c r="X1647" t="s">
        <v>4660</v>
      </c>
    </row>
    <row r="1648" spans="1:24" x14ac:dyDescent="0.2">
      <c r="A1648" t="s">
        <v>5579</v>
      </c>
      <c r="B1648" t="s">
        <v>1761</v>
      </c>
      <c r="C1648" t="s">
        <v>1762</v>
      </c>
      <c r="D1648" t="s">
        <v>56</v>
      </c>
      <c r="E1648" t="s">
        <v>704</v>
      </c>
      <c r="F1648" t="s">
        <v>84</v>
      </c>
      <c r="G1648" s="202">
        <v>8</v>
      </c>
      <c r="H1648">
        <v>4</v>
      </c>
      <c r="I1648" t="s">
        <v>4740</v>
      </c>
      <c r="J1648" t="s">
        <v>4741</v>
      </c>
      <c r="K1648" t="s">
        <v>1283</v>
      </c>
      <c r="L1648" s="204">
        <v>0.08</v>
      </c>
      <c r="M1648" s="112">
        <v>14.362499999999999</v>
      </c>
      <c r="N1648" s="112">
        <v>1.149</v>
      </c>
      <c r="O1648" s="204"/>
      <c r="P1648" s="112"/>
      <c r="Q1648" s="112"/>
      <c r="R1648" s="112"/>
      <c r="S1648" s="112"/>
      <c r="T1648" s="112"/>
      <c r="U1648" t="s">
        <v>5580</v>
      </c>
      <c r="V1648" t="s">
        <v>5581</v>
      </c>
      <c r="W1648" t="s">
        <v>3958</v>
      </c>
      <c r="X1648" t="s">
        <v>4660</v>
      </c>
    </row>
    <row r="1649" spans="1:24" x14ac:dyDescent="0.2">
      <c r="A1649" t="s">
        <v>5579</v>
      </c>
      <c r="B1649" t="s">
        <v>1761</v>
      </c>
      <c r="C1649" t="s">
        <v>1762</v>
      </c>
      <c r="D1649" t="s">
        <v>56</v>
      </c>
      <c r="E1649" t="s">
        <v>704</v>
      </c>
      <c r="F1649" t="s">
        <v>84</v>
      </c>
      <c r="G1649" s="202">
        <v>8</v>
      </c>
      <c r="H1649">
        <v>5</v>
      </c>
      <c r="I1649" t="s">
        <v>3968</v>
      </c>
      <c r="J1649" t="s">
        <v>3969</v>
      </c>
      <c r="K1649" t="s">
        <v>84</v>
      </c>
      <c r="L1649" s="204">
        <v>1</v>
      </c>
      <c r="M1649" s="112"/>
      <c r="N1649" s="112">
        <v>14.362499999999999</v>
      </c>
      <c r="O1649" s="204">
        <v>0.22193211488250664</v>
      </c>
      <c r="P1649" s="112">
        <v>3.1875000000000018</v>
      </c>
      <c r="Q1649" s="112">
        <v>17.55</v>
      </c>
      <c r="R1649" s="112">
        <v>140.4</v>
      </c>
      <c r="S1649" s="112">
        <v>140.4</v>
      </c>
      <c r="T1649" s="112">
        <v>0</v>
      </c>
      <c r="U1649" t="s">
        <v>5580</v>
      </c>
      <c r="V1649" t="s">
        <v>5581</v>
      </c>
      <c r="W1649" t="s">
        <v>4666</v>
      </c>
      <c r="X1649" t="s">
        <v>4667</v>
      </c>
    </row>
    <row r="1650" spans="1:24" x14ac:dyDescent="0.2">
      <c r="A1650" t="s">
        <v>5582</v>
      </c>
      <c r="B1650" t="s">
        <v>1763</v>
      </c>
      <c r="C1650" t="s">
        <v>1764</v>
      </c>
      <c r="D1650" t="s">
        <v>56</v>
      </c>
      <c r="E1650" t="s">
        <v>705</v>
      </c>
      <c r="F1650" t="s">
        <v>84</v>
      </c>
      <c r="G1650" s="202">
        <v>2</v>
      </c>
      <c r="H1650">
        <v>1</v>
      </c>
      <c r="I1650" t="s">
        <v>3954</v>
      </c>
      <c r="J1650" t="s">
        <v>4734</v>
      </c>
      <c r="K1650" t="s">
        <v>1283</v>
      </c>
      <c r="L1650" s="204">
        <v>0.24</v>
      </c>
      <c r="M1650" s="112">
        <v>29.122499999999999</v>
      </c>
      <c r="N1650" s="112">
        <v>6.9893999999999998</v>
      </c>
      <c r="O1650" s="204"/>
      <c r="P1650" s="112"/>
      <c r="Q1650" s="112"/>
      <c r="R1650" s="112"/>
      <c r="S1650" s="112"/>
      <c r="T1650" s="112"/>
      <c r="U1650" t="s">
        <v>5583</v>
      </c>
      <c r="V1650" t="s">
        <v>5584</v>
      </c>
      <c r="W1650" t="s">
        <v>3958</v>
      </c>
      <c r="X1650" t="s">
        <v>4660</v>
      </c>
    </row>
    <row r="1651" spans="1:24" x14ac:dyDescent="0.2">
      <c r="A1651" t="s">
        <v>5582</v>
      </c>
      <c r="B1651" t="s">
        <v>1763</v>
      </c>
      <c r="C1651" t="s">
        <v>1764</v>
      </c>
      <c r="D1651" t="s">
        <v>56</v>
      </c>
      <c r="E1651" t="s">
        <v>705</v>
      </c>
      <c r="F1651" t="s">
        <v>84</v>
      </c>
      <c r="G1651" s="202">
        <v>2</v>
      </c>
      <c r="H1651">
        <v>2</v>
      </c>
      <c r="I1651" t="s">
        <v>3962</v>
      </c>
      <c r="J1651" t="s">
        <v>4737</v>
      </c>
      <c r="K1651" t="s">
        <v>1283</v>
      </c>
      <c r="L1651" s="204">
        <v>0.46</v>
      </c>
      <c r="M1651" s="112">
        <v>29.122499999999999</v>
      </c>
      <c r="N1651" s="112">
        <v>13.39635</v>
      </c>
      <c r="O1651" s="204"/>
      <c r="P1651" s="112"/>
      <c r="Q1651" s="112"/>
      <c r="R1651" s="112"/>
      <c r="S1651" s="112"/>
      <c r="T1651" s="112"/>
      <c r="U1651" t="s">
        <v>5583</v>
      </c>
      <c r="V1651" t="s">
        <v>5584</v>
      </c>
      <c r="W1651" t="s">
        <v>3958</v>
      </c>
      <c r="X1651" t="s">
        <v>4660</v>
      </c>
    </row>
    <row r="1652" spans="1:24" x14ac:dyDescent="0.2">
      <c r="A1652" t="s">
        <v>5582</v>
      </c>
      <c r="B1652" t="s">
        <v>1763</v>
      </c>
      <c r="C1652" t="s">
        <v>1764</v>
      </c>
      <c r="D1652" t="s">
        <v>56</v>
      </c>
      <c r="E1652" t="s">
        <v>705</v>
      </c>
      <c r="F1652" t="s">
        <v>84</v>
      </c>
      <c r="G1652" s="202">
        <v>2</v>
      </c>
      <c r="H1652">
        <v>3</v>
      </c>
      <c r="I1652" t="s">
        <v>4738</v>
      </c>
      <c r="J1652" t="s">
        <v>4739</v>
      </c>
      <c r="K1652" t="s">
        <v>1283</v>
      </c>
      <c r="L1652" s="204">
        <v>0.22</v>
      </c>
      <c r="M1652" s="112">
        <v>29.122499999999999</v>
      </c>
      <c r="N1652" s="112">
        <v>6.4069500000000001</v>
      </c>
      <c r="O1652" s="204"/>
      <c r="P1652" s="112"/>
      <c r="Q1652" s="112"/>
      <c r="R1652" s="112"/>
      <c r="S1652" s="112"/>
      <c r="T1652" s="112"/>
      <c r="U1652" t="s">
        <v>5583</v>
      </c>
      <c r="V1652" t="s">
        <v>5584</v>
      </c>
      <c r="W1652" t="s">
        <v>3958</v>
      </c>
      <c r="X1652" t="s">
        <v>4660</v>
      </c>
    </row>
    <row r="1653" spans="1:24" x14ac:dyDescent="0.2">
      <c r="A1653" t="s">
        <v>5582</v>
      </c>
      <c r="B1653" t="s">
        <v>1763</v>
      </c>
      <c r="C1653" t="s">
        <v>1764</v>
      </c>
      <c r="D1653" t="s">
        <v>56</v>
      </c>
      <c r="E1653" t="s">
        <v>705</v>
      </c>
      <c r="F1653" t="s">
        <v>84</v>
      </c>
      <c r="G1653" s="202">
        <v>2</v>
      </c>
      <c r="H1653">
        <v>4</v>
      </c>
      <c r="I1653" t="s">
        <v>4740</v>
      </c>
      <c r="J1653" t="s">
        <v>4741</v>
      </c>
      <c r="K1653" t="s">
        <v>1283</v>
      </c>
      <c r="L1653" s="204">
        <v>0.08</v>
      </c>
      <c r="M1653" s="112">
        <v>29.122499999999999</v>
      </c>
      <c r="N1653" s="112">
        <v>2.3298000000000001</v>
      </c>
      <c r="O1653" s="204"/>
      <c r="P1653" s="112"/>
      <c r="Q1653" s="112"/>
      <c r="R1653" s="112"/>
      <c r="S1653" s="112"/>
      <c r="T1653" s="112"/>
      <c r="U1653" t="s">
        <v>5583</v>
      </c>
      <c r="V1653" t="s">
        <v>5584</v>
      </c>
      <c r="W1653" t="s">
        <v>3958</v>
      </c>
      <c r="X1653" t="s">
        <v>4660</v>
      </c>
    </row>
    <row r="1654" spans="1:24" x14ac:dyDescent="0.2">
      <c r="A1654" t="s">
        <v>5582</v>
      </c>
      <c r="B1654" t="s">
        <v>1763</v>
      </c>
      <c r="C1654" t="s">
        <v>1764</v>
      </c>
      <c r="D1654" t="s">
        <v>56</v>
      </c>
      <c r="E1654" t="s">
        <v>705</v>
      </c>
      <c r="F1654" t="s">
        <v>84</v>
      </c>
      <c r="G1654" s="202">
        <v>2</v>
      </c>
      <c r="H1654">
        <v>5</v>
      </c>
      <c r="I1654" t="s">
        <v>3968</v>
      </c>
      <c r="J1654" t="s">
        <v>3969</v>
      </c>
      <c r="K1654" t="s">
        <v>84</v>
      </c>
      <c r="L1654" s="204">
        <v>1</v>
      </c>
      <c r="M1654" s="112"/>
      <c r="N1654" s="112">
        <v>29.122499999999999</v>
      </c>
      <c r="O1654" s="204">
        <v>0.22225083698171511</v>
      </c>
      <c r="P1654" s="112">
        <v>6.4725000000000001</v>
      </c>
      <c r="Q1654" s="112">
        <v>35.594999999999999</v>
      </c>
      <c r="R1654" s="112">
        <v>71.19</v>
      </c>
      <c r="S1654" s="112">
        <v>71.19</v>
      </c>
      <c r="T1654" s="112">
        <v>0</v>
      </c>
      <c r="U1654" t="s">
        <v>5583</v>
      </c>
      <c r="V1654" t="s">
        <v>5584</v>
      </c>
      <c r="W1654" t="s">
        <v>4666</v>
      </c>
      <c r="X1654" t="s">
        <v>4667</v>
      </c>
    </row>
    <row r="1655" spans="1:24" x14ac:dyDescent="0.2">
      <c r="A1655" t="s">
        <v>5585</v>
      </c>
      <c r="B1655" t="s">
        <v>1765</v>
      </c>
      <c r="C1655" t="s">
        <v>1766</v>
      </c>
      <c r="D1655" t="s">
        <v>56</v>
      </c>
      <c r="E1655" t="s">
        <v>706</v>
      </c>
      <c r="F1655" t="s">
        <v>84</v>
      </c>
      <c r="G1655" s="202">
        <v>3</v>
      </c>
      <c r="H1655">
        <v>1</v>
      </c>
      <c r="I1655" t="s">
        <v>3954</v>
      </c>
      <c r="J1655" t="s">
        <v>4734</v>
      </c>
      <c r="K1655" t="s">
        <v>1283</v>
      </c>
      <c r="L1655" s="204">
        <v>0.24</v>
      </c>
      <c r="M1655" s="112">
        <v>17.82</v>
      </c>
      <c r="N1655" s="112">
        <v>4.2767999999999997</v>
      </c>
      <c r="O1655" s="204"/>
      <c r="P1655" s="112"/>
      <c r="Q1655" s="112"/>
      <c r="R1655" s="112"/>
      <c r="S1655" s="112"/>
      <c r="T1655" s="112"/>
      <c r="U1655" t="s">
        <v>5586</v>
      </c>
      <c r="V1655" t="s">
        <v>5587</v>
      </c>
      <c r="W1655" t="s">
        <v>3958</v>
      </c>
      <c r="X1655" t="s">
        <v>4660</v>
      </c>
    </row>
    <row r="1656" spans="1:24" x14ac:dyDescent="0.2">
      <c r="A1656" t="s">
        <v>5585</v>
      </c>
      <c r="B1656" t="s">
        <v>1765</v>
      </c>
      <c r="C1656" t="s">
        <v>1766</v>
      </c>
      <c r="D1656" t="s">
        <v>56</v>
      </c>
      <c r="E1656" t="s">
        <v>706</v>
      </c>
      <c r="F1656" t="s">
        <v>84</v>
      </c>
      <c r="G1656" s="202">
        <v>3</v>
      </c>
      <c r="H1656">
        <v>2</v>
      </c>
      <c r="I1656" t="s">
        <v>3962</v>
      </c>
      <c r="J1656" t="s">
        <v>4737</v>
      </c>
      <c r="K1656" t="s">
        <v>1283</v>
      </c>
      <c r="L1656" s="204">
        <v>0.46</v>
      </c>
      <c r="M1656" s="112">
        <v>17.82</v>
      </c>
      <c r="N1656" s="112">
        <v>8.1972000000000005</v>
      </c>
      <c r="O1656" s="204"/>
      <c r="P1656" s="112"/>
      <c r="Q1656" s="112"/>
      <c r="R1656" s="112"/>
      <c r="S1656" s="112"/>
      <c r="T1656" s="112"/>
      <c r="U1656" t="s">
        <v>5586</v>
      </c>
      <c r="V1656" t="s">
        <v>5587</v>
      </c>
      <c r="W1656" t="s">
        <v>3958</v>
      </c>
      <c r="X1656" t="s">
        <v>4660</v>
      </c>
    </row>
    <row r="1657" spans="1:24" x14ac:dyDescent="0.2">
      <c r="A1657" t="s">
        <v>5585</v>
      </c>
      <c r="B1657" t="s">
        <v>1765</v>
      </c>
      <c r="C1657" t="s">
        <v>1766</v>
      </c>
      <c r="D1657" t="s">
        <v>56</v>
      </c>
      <c r="E1657" t="s">
        <v>706</v>
      </c>
      <c r="F1657" t="s">
        <v>84</v>
      </c>
      <c r="G1657" s="202">
        <v>3</v>
      </c>
      <c r="H1657">
        <v>3</v>
      </c>
      <c r="I1657" t="s">
        <v>4738</v>
      </c>
      <c r="J1657" t="s">
        <v>4739</v>
      </c>
      <c r="K1657" t="s">
        <v>1283</v>
      </c>
      <c r="L1657" s="204">
        <v>0.22</v>
      </c>
      <c r="M1657" s="112">
        <v>17.82</v>
      </c>
      <c r="N1657" s="112">
        <v>3.9203999999999999</v>
      </c>
      <c r="O1657" s="204"/>
      <c r="P1657" s="112"/>
      <c r="Q1657" s="112"/>
      <c r="R1657" s="112"/>
      <c r="S1657" s="112"/>
      <c r="T1657" s="112"/>
      <c r="U1657" t="s">
        <v>5586</v>
      </c>
      <c r="V1657" t="s">
        <v>5587</v>
      </c>
      <c r="W1657" t="s">
        <v>3958</v>
      </c>
      <c r="X1657" t="s">
        <v>4660</v>
      </c>
    </row>
    <row r="1658" spans="1:24" x14ac:dyDescent="0.2">
      <c r="A1658" t="s">
        <v>5585</v>
      </c>
      <c r="B1658" t="s">
        <v>1765</v>
      </c>
      <c r="C1658" t="s">
        <v>1766</v>
      </c>
      <c r="D1658" t="s">
        <v>56</v>
      </c>
      <c r="E1658" t="s">
        <v>706</v>
      </c>
      <c r="F1658" t="s">
        <v>84</v>
      </c>
      <c r="G1658" s="202">
        <v>3</v>
      </c>
      <c r="H1658">
        <v>4</v>
      </c>
      <c r="I1658" t="s">
        <v>4740</v>
      </c>
      <c r="J1658" t="s">
        <v>4741</v>
      </c>
      <c r="K1658" t="s">
        <v>1283</v>
      </c>
      <c r="L1658" s="204">
        <v>0.08</v>
      </c>
      <c r="M1658" s="112">
        <v>17.82</v>
      </c>
      <c r="N1658" s="112">
        <v>1.4256</v>
      </c>
      <c r="O1658" s="204"/>
      <c r="P1658" s="112"/>
      <c r="Q1658" s="112"/>
      <c r="R1658" s="112"/>
      <c r="S1658" s="112"/>
      <c r="T1658" s="112"/>
      <c r="U1658" t="s">
        <v>5586</v>
      </c>
      <c r="V1658" t="s">
        <v>5587</v>
      </c>
      <c r="W1658" t="s">
        <v>3958</v>
      </c>
      <c r="X1658" t="s">
        <v>4660</v>
      </c>
    </row>
    <row r="1659" spans="1:24" x14ac:dyDescent="0.2">
      <c r="A1659" t="s">
        <v>5585</v>
      </c>
      <c r="B1659" t="s">
        <v>1765</v>
      </c>
      <c r="C1659" t="s">
        <v>1766</v>
      </c>
      <c r="D1659" t="s">
        <v>56</v>
      </c>
      <c r="E1659" t="s">
        <v>706</v>
      </c>
      <c r="F1659" t="s">
        <v>84</v>
      </c>
      <c r="G1659" s="202">
        <v>3</v>
      </c>
      <c r="H1659">
        <v>5</v>
      </c>
      <c r="I1659" t="s">
        <v>3968</v>
      </c>
      <c r="J1659" t="s">
        <v>3969</v>
      </c>
      <c r="K1659" t="s">
        <v>84</v>
      </c>
      <c r="L1659" s="204">
        <v>1</v>
      </c>
      <c r="M1659" s="112"/>
      <c r="N1659" s="112">
        <v>17.82</v>
      </c>
      <c r="O1659" s="204">
        <v>0.22222222222222232</v>
      </c>
      <c r="P1659" s="112">
        <v>3.9600000000000009</v>
      </c>
      <c r="Q1659" s="112">
        <v>21.78</v>
      </c>
      <c r="R1659" s="112">
        <v>65.34</v>
      </c>
      <c r="S1659" s="112">
        <v>65.34</v>
      </c>
      <c r="T1659" s="112">
        <v>0</v>
      </c>
      <c r="U1659" t="s">
        <v>5586</v>
      </c>
      <c r="V1659" t="s">
        <v>5587</v>
      </c>
      <c r="W1659" t="s">
        <v>4666</v>
      </c>
      <c r="X1659" t="s">
        <v>4667</v>
      </c>
    </row>
    <row r="1660" spans="1:24" x14ac:dyDescent="0.2">
      <c r="A1660" t="s">
        <v>5588</v>
      </c>
      <c r="B1660" t="s">
        <v>1767</v>
      </c>
      <c r="C1660" t="s">
        <v>1768</v>
      </c>
      <c r="D1660" t="s">
        <v>56</v>
      </c>
      <c r="E1660" t="s">
        <v>1769</v>
      </c>
      <c r="F1660" t="s">
        <v>84</v>
      </c>
      <c r="G1660" s="202">
        <v>1</v>
      </c>
      <c r="H1660">
        <v>1</v>
      </c>
      <c r="I1660" t="s">
        <v>3954</v>
      </c>
      <c r="J1660" t="s">
        <v>5227</v>
      </c>
      <c r="K1660" t="s">
        <v>1283</v>
      </c>
      <c r="L1660" s="204">
        <v>0.26</v>
      </c>
      <c r="M1660" s="112">
        <v>25.912499999999998</v>
      </c>
      <c r="N1660" s="112">
        <v>6.7372499999999995</v>
      </c>
      <c r="O1660" s="204"/>
      <c r="P1660" s="112"/>
      <c r="Q1660" s="112"/>
      <c r="R1660" s="112"/>
      <c r="S1660" s="112"/>
      <c r="T1660" s="112"/>
      <c r="U1660" t="s">
        <v>5589</v>
      </c>
      <c r="V1660" t="s">
        <v>5590</v>
      </c>
      <c r="W1660" t="s">
        <v>3958</v>
      </c>
      <c r="X1660" t="s">
        <v>4660</v>
      </c>
    </row>
    <row r="1661" spans="1:24" x14ac:dyDescent="0.2">
      <c r="A1661" t="s">
        <v>5588</v>
      </c>
      <c r="B1661" t="s">
        <v>1767</v>
      </c>
      <c r="C1661" t="s">
        <v>1768</v>
      </c>
      <c r="D1661" t="s">
        <v>56</v>
      </c>
      <c r="E1661" t="s">
        <v>1769</v>
      </c>
      <c r="F1661" t="s">
        <v>84</v>
      </c>
      <c r="G1661" s="202">
        <v>1</v>
      </c>
      <c r="H1661">
        <v>2</v>
      </c>
      <c r="I1661" t="s">
        <v>3960</v>
      </c>
      <c r="J1661" t="s">
        <v>5229</v>
      </c>
      <c r="K1661" t="s">
        <v>1283</v>
      </c>
      <c r="L1661" s="204">
        <v>0.64</v>
      </c>
      <c r="M1661" s="112">
        <v>25.912499999999998</v>
      </c>
      <c r="N1661" s="112">
        <v>16.584</v>
      </c>
      <c r="O1661" s="204"/>
      <c r="P1661" s="112"/>
      <c r="Q1661" s="112"/>
      <c r="R1661" s="112"/>
      <c r="S1661" s="112"/>
      <c r="T1661" s="112"/>
      <c r="U1661" t="s">
        <v>5589</v>
      </c>
      <c r="V1661" t="s">
        <v>5590</v>
      </c>
      <c r="W1661" t="s">
        <v>3958</v>
      </c>
      <c r="X1661" t="s">
        <v>4660</v>
      </c>
    </row>
    <row r="1662" spans="1:24" x14ac:dyDescent="0.2">
      <c r="A1662" t="s">
        <v>5588</v>
      </c>
      <c r="B1662" t="s">
        <v>1767</v>
      </c>
      <c r="C1662" t="s">
        <v>1768</v>
      </c>
      <c r="D1662" t="s">
        <v>56</v>
      </c>
      <c r="E1662" t="s">
        <v>1769</v>
      </c>
      <c r="F1662" t="s">
        <v>84</v>
      </c>
      <c r="G1662" s="202">
        <v>1</v>
      </c>
      <c r="H1662">
        <v>3</v>
      </c>
      <c r="I1662" t="s">
        <v>3976</v>
      </c>
      <c r="J1662" t="s">
        <v>5230</v>
      </c>
      <c r="K1662" t="s">
        <v>1283</v>
      </c>
      <c r="L1662" s="204">
        <v>0.04</v>
      </c>
      <c r="M1662" s="112">
        <v>25.912499999999998</v>
      </c>
      <c r="N1662" s="112">
        <v>1.0365</v>
      </c>
      <c r="O1662" s="204"/>
      <c r="P1662" s="112"/>
      <c r="Q1662" s="112"/>
      <c r="R1662" s="112"/>
      <c r="S1662" s="112"/>
      <c r="T1662" s="112"/>
      <c r="U1662" t="s">
        <v>5589</v>
      </c>
      <c r="V1662" t="s">
        <v>5590</v>
      </c>
      <c r="W1662" t="s">
        <v>3958</v>
      </c>
      <c r="X1662" t="s">
        <v>4660</v>
      </c>
    </row>
    <row r="1663" spans="1:24" x14ac:dyDescent="0.2">
      <c r="A1663" t="s">
        <v>5588</v>
      </c>
      <c r="B1663" t="s">
        <v>1767</v>
      </c>
      <c r="C1663" t="s">
        <v>1768</v>
      </c>
      <c r="D1663" t="s">
        <v>56</v>
      </c>
      <c r="E1663" t="s">
        <v>1769</v>
      </c>
      <c r="F1663" t="s">
        <v>84</v>
      </c>
      <c r="G1663" s="202">
        <v>1</v>
      </c>
      <c r="H1663">
        <v>4</v>
      </c>
      <c r="I1663" t="s">
        <v>4017</v>
      </c>
      <c r="J1663" t="s">
        <v>4851</v>
      </c>
      <c r="K1663" t="s">
        <v>1283</v>
      </c>
      <c r="L1663" s="204">
        <v>0.06</v>
      </c>
      <c r="M1663" s="112">
        <v>25.912499999999998</v>
      </c>
      <c r="N1663" s="112">
        <v>1.5547499999999999</v>
      </c>
      <c r="O1663" s="204"/>
      <c r="P1663" s="112"/>
      <c r="Q1663" s="112"/>
      <c r="R1663" s="112"/>
      <c r="S1663" s="112"/>
      <c r="T1663" s="112"/>
      <c r="U1663" t="s">
        <v>5589</v>
      </c>
      <c r="V1663" t="s">
        <v>5590</v>
      </c>
      <c r="W1663" t="s">
        <v>3958</v>
      </c>
      <c r="X1663" t="s">
        <v>4660</v>
      </c>
    </row>
    <row r="1664" spans="1:24" x14ac:dyDescent="0.2">
      <c r="A1664" t="s">
        <v>5588</v>
      </c>
      <c r="B1664" t="s">
        <v>1767</v>
      </c>
      <c r="C1664" t="s">
        <v>1768</v>
      </c>
      <c r="D1664" t="s">
        <v>56</v>
      </c>
      <c r="E1664" t="s">
        <v>1769</v>
      </c>
      <c r="F1664" t="s">
        <v>84</v>
      </c>
      <c r="G1664" s="202">
        <v>1</v>
      </c>
      <c r="H1664">
        <v>5</v>
      </c>
      <c r="I1664" t="s">
        <v>3968</v>
      </c>
      <c r="J1664" t="s">
        <v>3969</v>
      </c>
      <c r="K1664" t="s">
        <v>84</v>
      </c>
      <c r="L1664" s="204">
        <v>1</v>
      </c>
      <c r="M1664" s="112"/>
      <c r="N1664" s="112">
        <v>25.912499999999998</v>
      </c>
      <c r="O1664" s="204">
        <v>0.22219006271104691</v>
      </c>
      <c r="P1664" s="112">
        <v>5.7575000000000038</v>
      </c>
      <c r="Q1664" s="112">
        <v>31.67</v>
      </c>
      <c r="R1664" s="112">
        <v>31.67</v>
      </c>
      <c r="S1664" s="112">
        <v>31.67</v>
      </c>
      <c r="T1664" s="112">
        <v>0</v>
      </c>
      <c r="U1664" t="s">
        <v>5589</v>
      </c>
      <c r="V1664" t="s">
        <v>5590</v>
      </c>
      <c r="W1664" t="s">
        <v>4666</v>
      </c>
      <c r="X1664" t="s">
        <v>4667</v>
      </c>
    </row>
    <row r="1665" spans="1:24" x14ac:dyDescent="0.2">
      <c r="A1665" t="s">
        <v>5591</v>
      </c>
      <c r="B1665" t="s">
        <v>1770</v>
      </c>
      <c r="C1665" t="s">
        <v>1771</v>
      </c>
      <c r="D1665" t="s">
        <v>335</v>
      </c>
      <c r="E1665" t="s">
        <v>708</v>
      </c>
      <c r="F1665" t="s">
        <v>84</v>
      </c>
      <c r="G1665" s="202">
        <v>4</v>
      </c>
      <c r="H1665">
        <v>1</v>
      </c>
      <c r="I1665" t="s">
        <v>3954</v>
      </c>
      <c r="J1665" t="s">
        <v>4110</v>
      </c>
      <c r="K1665" t="s">
        <v>1283</v>
      </c>
      <c r="L1665" s="204">
        <v>0.3</v>
      </c>
      <c r="M1665" s="112">
        <v>28.724999999999998</v>
      </c>
      <c r="N1665" s="112">
        <v>8.6174999999999997</v>
      </c>
      <c r="O1665" s="204"/>
      <c r="P1665" s="112"/>
      <c r="Q1665" s="112"/>
      <c r="R1665" s="112"/>
      <c r="S1665" s="112"/>
      <c r="T1665" s="112"/>
      <c r="U1665" t="s">
        <v>5592</v>
      </c>
      <c r="V1665" t="s">
        <v>5593</v>
      </c>
      <c r="W1665" t="s">
        <v>3958</v>
      </c>
      <c r="X1665" t="s">
        <v>4660</v>
      </c>
    </row>
    <row r="1666" spans="1:24" x14ac:dyDescent="0.2">
      <c r="A1666" t="s">
        <v>5591</v>
      </c>
      <c r="B1666" t="s">
        <v>1770</v>
      </c>
      <c r="C1666" t="s">
        <v>1771</v>
      </c>
      <c r="D1666" t="s">
        <v>335</v>
      </c>
      <c r="E1666" t="s">
        <v>708</v>
      </c>
      <c r="F1666" t="s">
        <v>84</v>
      </c>
      <c r="G1666" s="202">
        <v>4</v>
      </c>
      <c r="H1666">
        <v>2</v>
      </c>
      <c r="I1666" t="s">
        <v>3960</v>
      </c>
      <c r="J1666" t="s">
        <v>4113</v>
      </c>
      <c r="K1666" t="s">
        <v>1283</v>
      </c>
      <c r="L1666" s="204">
        <v>0.55000000000000004</v>
      </c>
      <c r="M1666" s="112">
        <v>28.724999999999998</v>
      </c>
      <c r="N1666" s="112">
        <v>15.79875</v>
      </c>
      <c r="O1666" s="204"/>
      <c r="P1666" s="112"/>
      <c r="Q1666" s="112"/>
      <c r="R1666" s="112"/>
      <c r="S1666" s="112"/>
      <c r="T1666" s="112"/>
      <c r="U1666" t="s">
        <v>5592</v>
      </c>
      <c r="V1666" t="s">
        <v>5593</v>
      </c>
      <c r="W1666" t="s">
        <v>3958</v>
      </c>
      <c r="X1666" t="s">
        <v>4660</v>
      </c>
    </row>
    <row r="1667" spans="1:24" x14ac:dyDescent="0.2">
      <c r="A1667" t="s">
        <v>5591</v>
      </c>
      <c r="B1667" t="s">
        <v>1770</v>
      </c>
      <c r="C1667" t="s">
        <v>1771</v>
      </c>
      <c r="D1667" t="s">
        <v>335</v>
      </c>
      <c r="E1667" t="s">
        <v>708</v>
      </c>
      <c r="F1667" t="s">
        <v>84</v>
      </c>
      <c r="G1667" s="202">
        <v>4</v>
      </c>
      <c r="H1667">
        <v>3</v>
      </c>
      <c r="I1667" t="s">
        <v>3976</v>
      </c>
      <c r="J1667" t="s">
        <v>4114</v>
      </c>
      <c r="K1667" t="s">
        <v>1283</v>
      </c>
      <c r="L1667" s="204">
        <v>0.1</v>
      </c>
      <c r="M1667" s="112">
        <v>28.724999999999998</v>
      </c>
      <c r="N1667" s="112">
        <v>2.8725000000000001</v>
      </c>
      <c r="O1667" s="204"/>
      <c r="P1667" s="112"/>
      <c r="Q1667" s="112"/>
      <c r="R1667" s="112"/>
      <c r="S1667" s="112"/>
      <c r="T1667" s="112"/>
      <c r="U1667" t="s">
        <v>5592</v>
      </c>
      <c r="V1667" t="s">
        <v>5593</v>
      </c>
      <c r="W1667" t="s">
        <v>3958</v>
      </c>
      <c r="X1667" t="s">
        <v>4660</v>
      </c>
    </row>
    <row r="1668" spans="1:24" x14ac:dyDescent="0.2">
      <c r="A1668" t="s">
        <v>5591</v>
      </c>
      <c r="B1668" t="s">
        <v>1770</v>
      </c>
      <c r="C1668" t="s">
        <v>1771</v>
      </c>
      <c r="D1668" t="s">
        <v>335</v>
      </c>
      <c r="E1668" t="s">
        <v>708</v>
      </c>
      <c r="F1668" t="s">
        <v>84</v>
      </c>
      <c r="G1668" s="202">
        <v>4</v>
      </c>
      <c r="H1668">
        <v>4</v>
      </c>
      <c r="I1668" t="s">
        <v>4017</v>
      </c>
      <c r="J1668" t="s">
        <v>4115</v>
      </c>
      <c r="K1668" t="s">
        <v>1283</v>
      </c>
      <c r="L1668" s="204">
        <v>0.05</v>
      </c>
      <c r="M1668" s="112">
        <v>28.724999999999998</v>
      </c>
      <c r="N1668" s="112">
        <v>1.43625</v>
      </c>
      <c r="O1668" s="204"/>
      <c r="P1668" s="112"/>
      <c r="Q1668" s="112"/>
      <c r="R1668" s="112"/>
      <c r="S1668" s="112"/>
      <c r="T1668" s="112"/>
      <c r="U1668" t="s">
        <v>5592</v>
      </c>
      <c r="V1668" t="s">
        <v>5593</v>
      </c>
      <c r="W1668" t="s">
        <v>3958</v>
      </c>
      <c r="X1668" t="s">
        <v>4660</v>
      </c>
    </row>
    <row r="1669" spans="1:24" x14ac:dyDescent="0.2">
      <c r="A1669" t="s">
        <v>5591</v>
      </c>
      <c r="B1669" t="s">
        <v>1770</v>
      </c>
      <c r="C1669" t="s">
        <v>1771</v>
      </c>
      <c r="D1669" t="s">
        <v>335</v>
      </c>
      <c r="E1669" t="s">
        <v>708</v>
      </c>
      <c r="F1669" t="s">
        <v>84</v>
      </c>
      <c r="G1669" s="202">
        <v>4</v>
      </c>
      <c r="H1669">
        <v>5</v>
      </c>
      <c r="I1669" t="s">
        <v>3968</v>
      </c>
      <c r="J1669" t="s">
        <v>3969</v>
      </c>
      <c r="K1669" t="s">
        <v>84</v>
      </c>
      <c r="L1669" s="204">
        <v>1</v>
      </c>
      <c r="M1669" s="112"/>
      <c r="N1669" s="112">
        <v>28.724999999999998</v>
      </c>
      <c r="O1669" s="204">
        <v>0.22219321148825077</v>
      </c>
      <c r="P1669" s="112">
        <v>6.3825000000000038</v>
      </c>
      <c r="Q1669" s="112">
        <v>35.107500000000002</v>
      </c>
      <c r="R1669" s="112">
        <v>140.43</v>
      </c>
      <c r="S1669" s="112">
        <v>140.43</v>
      </c>
      <c r="T1669" s="112">
        <v>0</v>
      </c>
      <c r="U1669" t="s">
        <v>5592</v>
      </c>
      <c r="V1669" t="s">
        <v>5593</v>
      </c>
      <c r="W1669" t="s">
        <v>4666</v>
      </c>
      <c r="X1669" t="s">
        <v>4667</v>
      </c>
    </row>
    <row r="1670" spans="1:24" x14ac:dyDescent="0.2">
      <c r="A1670" t="s">
        <v>5594</v>
      </c>
      <c r="B1670" t="s">
        <v>1772</v>
      </c>
      <c r="C1670" t="s">
        <v>1773</v>
      </c>
      <c r="D1670" t="s">
        <v>56</v>
      </c>
      <c r="E1670" t="s">
        <v>737</v>
      </c>
      <c r="F1670" t="s">
        <v>84</v>
      </c>
      <c r="G1670" s="202">
        <v>2</v>
      </c>
      <c r="H1670">
        <v>1</v>
      </c>
      <c r="I1670" t="s">
        <v>3954</v>
      </c>
      <c r="J1670" t="s">
        <v>5227</v>
      </c>
      <c r="K1670" t="s">
        <v>1283</v>
      </c>
      <c r="L1670" s="204">
        <v>0.26</v>
      </c>
      <c r="M1670" s="112">
        <v>15.51</v>
      </c>
      <c r="N1670" s="112">
        <v>4.0326000000000004</v>
      </c>
      <c r="O1670" s="204"/>
      <c r="P1670" s="112"/>
      <c r="Q1670" s="112"/>
      <c r="R1670" s="112"/>
      <c r="S1670" s="112"/>
      <c r="T1670" s="112"/>
      <c r="U1670" t="s">
        <v>5595</v>
      </c>
      <c r="V1670" t="s">
        <v>5596</v>
      </c>
      <c r="W1670" t="s">
        <v>3958</v>
      </c>
      <c r="X1670" t="s">
        <v>4660</v>
      </c>
    </row>
    <row r="1671" spans="1:24" x14ac:dyDescent="0.2">
      <c r="A1671" t="s">
        <v>5594</v>
      </c>
      <c r="B1671" t="s">
        <v>1772</v>
      </c>
      <c r="C1671" t="s">
        <v>1773</v>
      </c>
      <c r="D1671" t="s">
        <v>56</v>
      </c>
      <c r="E1671" t="s">
        <v>737</v>
      </c>
      <c r="F1671" t="s">
        <v>84</v>
      </c>
      <c r="G1671" s="202">
        <v>2</v>
      </c>
      <c r="H1671">
        <v>2</v>
      </c>
      <c r="I1671" t="s">
        <v>3960</v>
      </c>
      <c r="J1671" t="s">
        <v>5229</v>
      </c>
      <c r="K1671" t="s">
        <v>1283</v>
      </c>
      <c r="L1671" s="204">
        <v>0.64</v>
      </c>
      <c r="M1671" s="112">
        <v>15.51</v>
      </c>
      <c r="N1671" s="112">
        <v>9.9263999999999992</v>
      </c>
      <c r="O1671" s="204"/>
      <c r="P1671" s="112"/>
      <c r="Q1671" s="112"/>
      <c r="R1671" s="112"/>
      <c r="S1671" s="112"/>
      <c r="T1671" s="112"/>
      <c r="U1671" t="s">
        <v>5595</v>
      </c>
      <c r="V1671" t="s">
        <v>5596</v>
      </c>
      <c r="W1671" t="s">
        <v>3958</v>
      </c>
      <c r="X1671" t="s">
        <v>4660</v>
      </c>
    </row>
    <row r="1672" spans="1:24" x14ac:dyDescent="0.2">
      <c r="A1672" t="s">
        <v>5594</v>
      </c>
      <c r="B1672" t="s">
        <v>1772</v>
      </c>
      <c r="C1672" t="s">
        <v>1773</v>
      </c>
      <c r="D1672" t="s">
        <v>56</v>
      </c>
      <c r="E1672" t="s">
        <v>737</v>
      </c>
      <c r="F1672" t="s">
        <v>84</v>
      </c>
      <c r="G1672" s="202">
        <v>2</v>
      </c>
      <c r="H1672">
        <v>3</v>
      </c>
      <c r="I1672" t="s">
        <v>3976</v>
      </c>
      <c r="J1672" t="s">
        <v>5230</v>
      </c>
      <c r="K1672" t="s">
        <v>1283</v>
      </c>
      <c r="L1672" s="204">
        <v>0.04</v>
      </c>
      <c r="M1672" s="112">
        <v>15.51</v>
      </c>
      <c r="N1672" s="112">
        <v>0.62039999999999995</v>
      </c>
      <c r="O1672" s="204"/>
      <c r="P1672" s="112"/>
      <c r="Q1672" s="112"/>
      <c r="R1672" s="112"/>
      <c r="S1672" s="112"/>
      <c r="T1672" s="112"/>
      <c r="U1672" t="s">
        <v>5595</v>
      </c>
      <c r="V1672" t="s">
        <v>5596</v>
      </c>
      <c r="W1672" t="s">
        <v>3958</v>
      </c>
      <c r="X1672" t="s">
        <v>4660</v>
      </c>
    </row>
    <row r="1673" spans="1:24" x14ac:dyDescent="0.2">
      <c r="A1673" t="s">
        <v>5594</v>
      </c>
      <c r="B1673" t="s">
        <v>1772</v>
      </c>
      <c r="C1673" t="s">
        <v>1773</v>
      </c>
      <c r="D1673" t="s">
        <v>56</v>
      </c>
      <c r="E1673" t="s">
        <v>737</v>
      </c>
      <c r="F1673" t="s">
        <v>84</v>
      </c>
      <c r="G1673" s="202">
        <v>2</v>
      </c>
      <c r="H1673">
        <v>4</v>
      </c>
      <c r="I1673" t="s">
        <v>4017</v>
      </c>
      <c r="J1673" t="s">
        <v>4851</v>
      </c>
      <c r="K1673" t="s">
        <v>1283</v>
      </c>
      <c r="L1673" s="204">
        <v>0.06</v>
      </c>
      <c r="M1673" s="112">
        <v>15.51</v>
      </c>
      <c r="N1673" s="112">
        <v>0.93059999999999998</v>
      </c>
      <c r="O1673" s="204"/>
      <c r="P1673" s="112"/>
      <c r="Q1673" s="112"/>
      <c r="R1673" s="112"/>
      <c r="S1673" s="112"/>
      <c r="T1673" s="112"/>
      <c r="U1673" t="s">
        <v>5595</v>
      </c>
      <c r="V1673" t="s">
        <v>5596</v>
      </c>
      <c r="W1673" t="s">
        <v>3958</v>
      </c>
      <c r="X1673" t="s">
        <v>4660</v>
      </c>
    </row>
    <row r="1674" spans="1:24" x14ac:dyDescent="0.2">
      <c r="A1674" t="s">
        <v>5594</v>
      </c>
      <c r="B1674" t="s">
        <v>1772</v>
      </c>
      <c r="C1674" t="s">
        <v>1773</v>
      </c>
      <c r="D1674" t="s">
        <v>56</v>
      </c>
      <c r="E1674" t="s">
        <v>737</v>
      </c>
      <c r="F1674" t="s">
        <v>84</v>
      </c>
      <c r="G1674" s="202">
        <v>2</v>
      </c>
      <c r="H1674">
        <v>5</v>
      </c>
      <c r="I1674" t="s">
        <v>3968</v>
      </c>
      <c r="J1674" t="s">
        <v>3969</v>
      </c>
      <c r="K1674" t="s">
        <v>84</v>
      </c>
      <c r="L1674" s="204">
        <v>1</v>
      </c>
      <c r="M1674" s="112"/>
      <c r="N1674" s="112">
        <v>15.51</v>
      </c>
      <c r="O1674" s="204">
        <v>0.22179239200515788</v>
      </c>
      <c r="P1674" s="112">
        <v>3.4399999999999995</v>
      </c>
      <c r="Q1674" s="112">
        <v>18.95</v>
      </c>
      <c r="R1674" s="112">
        <v>37.9</v>
      </c>
      <c r="S1674" s="112">
        <v>37.9</v>
      </c>
      <c r="T1674" s="112">
        <v>0</v>
      </c>
      <c r="U1674" t="s">
        <v>5595</v>
      </c>
      <c r="V1674" t="s">
        <v>5596</v>
      </c>
      <c r="W1674" t="s">
        <v>4666</v>
      </c>
      <c r="X1674" t="s">
        <v>4667</v>
      </c>
    </row>
    <row r="1675" spans="1:24" x14ac:dyDescent="0.2">
      <c r="A1675" t="s">
        <v>5597</v>
      </c>
      <c r="B1675" t="s">
        <v>1774</v>
      </c>
      <c r="C1675" t="s">
        <v>1775</v>
      </c>
      <c r="D1675" t="s">
        <v>56</v>
      </c>
      <c r="E1675" t="s">
        <v>710</v>
      </c>
      <c r="F1675" t="s">
        <v>84</v>
      </c>
      <c r="G1675" s="202">
        <v>1</v>
      </c>
      <c r="H1675">
        <v>1</v>
      </c>
      <c r="I1675" t="s">
        <v>3954</v>
      </c>
      <c r="J1675" t="s">
        <v>4734</v>
      </c>
      <c r="K1675" t="s">
        <v>1283</v>
      </c>
      <c r="L1675" s="204">
        <v>0.24</v>
      </c>
      <c r="M1675" s="112">
        <v>37.515000000000001</v>
      </c>
      <c r="N1675" s="112">
        <v>9.0036000000000005</v>
      </c>
      <c r="O1675" s="204"/>
      <c r="P1675" s="112"/>
      <c r="Q1675" s="112"/>
      <c r="R1675" s="112"/>
      <c r="S1675" s="112"/>
      <c r="T1675" s="112"/>
      <c r="U1675" t="s">
        <v>5598</v>
      </c>
      <c r="V1675" t="s">
        <v>5599</v>
      </c>
      <c r="W1675" t="s">
        <v>3958</v>
      </c>
      <c r="X1675" t="s">
        <v>4660</v>
      </c>
    </row>
    <row r="1676" spans="1:24" x14ac:dyDescent="0.2">
      <c r="A1676" t="s">
        <v>5597</v>
      </c>
      <c r="B1676" t="s">
        <v>1774</v>
      </c>
      <c r="C1676" t="s">
        <v>1775</v>
      </c>
      <c r="D1676" t="s">
        <v>56</v>
      </c>
      <c r="E1676" t="s">
        <v>710</v>
      </c>
      <c r="F1676" t="s">
        <v>84</v>
      </c>
      <c r="G1676" s="202">
        <v>1</v>
      </c>
      <c r="H1676">
        <v>2</v>
      </c>
      <c r="I1676" t="s">
        <v>3962</v>
      </c>
      <c r="J1676" t="s">
        <v>4737</v>
      </c>
      <c r="K1676" t="s">
        <v>1283</v>
      </c>
      <c r="L1676" s="204">
        <v>0.46</v>
      </c>
      <c r="M1676" s="112">
        <v>37.515000000000001</v>
      </c>
      <c r="N1676" s="112">
        <v>17.256900000000002</v>
      </c>
      <c r="O1676" s="204"/>
      <c r="P1676" s="112"/>
      <c r="Q1676" s="112"/>
      <c r="R1676" s="112"/>
      <c r="S1676" s="112"/>
      <c r="T1676" s="112"/>
      <c r="U1676" t="s">
        <v>5598</v>
      </c>
      <c r="V1676" t="s">
        <v>5599</v>
      </c>
      <c r="W1676" t="s">
        <v>3958</v>
      </c>
      <c r="X1676" t="s">
        <v>4660</v>
      </c>
    </row>
    <row r="1677" spans="1:24" x14ac:dyDescent="0.2">
      <c r="A1677" t="s">
        <v>5597</v>
      </c>
      <c r="B1677" t="s">
        <v>1774</v>
      </c>
      <c r="C1677" t="s">
        <v>1775</v>
      </c>
      <c r="D1677" t="s">
        <v>56</v>
      </c>
      <c r="E1677" t="s">
        <v>710</v>
      </c>
      <c r="F1677" t="s">
        <v>84</v>
      </c>
      <c r="G1677" s="202">
        <v>1</v>
      </c>
      <c r="H1677">
        <v>3</v>
      </c>
      <c r="I1677" t="s">
        <v>4738</v>
      </c>
      <c r="J1677" t="s">
        <v>4739</v>
      </c>
      <c r="K1677" t="s">
        <v>1283</v>
      </c>
      <c r="L1677" s="204">
        <v>0.22</v>
      </c>
      <c r="M1677" s="112">
        <v>37.515000000000001</v>
      </c>
      <c r="N1677" s="112">
        <v>8.2532999999999994</v>
      </c>
      <c r="O1677" s="204"/>
      <c r="P1677" s="112"/>
      <c r="Q1677" s="112"/>
      <c r="R1677" s="112"/>
      <c r="S1677" s="112"/>
      <c r="T1677" s="112"/>
      <c r="U1677" t="s">
        <v>5598</v>
      </c>
      <c r="V1677" t="s">
        <v>5599</v>
      </c>
      <c r="W1677" t="s">
        <v>3958</v>
      </c>
      <c r="X1677" t="s">
        <v>4660</v>
      </c>
    </row>
    <row r="1678" spans="1:24" x14ac:dyDescent="0.2">
      <c r="A1678" t="s">
        <v>5597</v>
      </c>
      <c r="B1678" t="s">
        <v>1774</v>
      </c>
      <c r="C1678" t="s">
        <v>1775</v>
      </c>
      <c r="D1678" t="s">
        <v>56</v>
      </c>
      <c r="E1678" t="s">
        <v>710</v>
      </c>
      <c r="F1678" t="s">
        <v>84</v>
      </c>
      <c r="G1678" s="202">
        <v>1</v>
      </c>
      <c r="H1678">
        <v>4</v>
      </c>
      <c r="I1678" t="s">
        <v>4740</v>
      </c>
      <c r="J1678" t="s">
        <v>4741</v>
      </c>
      <c r="K1678" t="s">
        <v>1283</v>
      </c>
      <c r="L1678" s="204">
        <v>0.08</v>
      </c>
      <c r="M1678" s="112">
        <v>37.515000000000001</v>
      </c>
      <c r="N1678" s="112">
        <v>3.0012000000000003</v>
      </c>
      <c r="O1678" s="204"/>
      <c r="P1678" s="112"/>
      <c r="Q1678" s="112"/>
      <c r="R1678" s="112"/>
      <c r="S1678" s="112"/>
      <c r="T1678" s="112"/>
      <c r="U1678" t="s">
        <v>5598</v>
      </c>
      <c r="V1678" t="s">
        <v>5599</v>
      </c>
      <c r="W1678" t="s">
        <v>3958</v>
      </c>
      <c r="X1678" t="s">
        <v>4660</v>
      </c>
    </row>
    <row r="1679" spans="1:24" x14ac:dyDescent="0.2">
      <c r="A1679" t="s">
        <v>5597</v>
      </c>
      <c r="B1679" t="s">
        <v>1774</v>
      </c>
      <c r="C1679" t="s">
        <v>1775</v>
      </c>
      <c r="D1679" t="s">
        <v>56</v>
      </c>
      <c r="E1679" t="s">
        <v>710</v>
      </c>
      <c r="F1679" t="s">
        <v>84</v>
      </c>
      <c r="G1679" s="202">
        <v>1</v>
      </c>
      <c r="H1679">
        <v>5</v>
      </c>
      <c r="I1679" t="s">
        <v>3968</v>
      </c>
      <c r="J1679" t="s">
        <v>3969</v>
      </c>
      <c r="K1679" t="s">
        <v>84</v>
      </c>
      <c r="L1679" s="204">
        <v>1</v>
      </c>
      <c r="M1679" s="112"/>
      <c r="N1679" s="112">
        <v>37.515000000000001</v>
      </c>
      <c r="O1679" s="204">
        <v>0.22191123550579772</v>
      </c>
      <c r="P1679" s="112">
        <v>8.3250000000000028</v>
      </c>
      <c r="Q1679" s="112">
        <v>45.84</v>
      </c>
      <c r="R1679" s="112">
        <v>45.84</v>
      </c>
      <c r="S1679" s="112">
        <v>45.84</v>
      </c>
      <c r="T1679" s="112">
        <v>0</v>
      </c>
      <c r="U1679" t="s">
        <v>5598</v>
      </c>
      <c r="V1679" t="s">
        <v>5599</v>
      </c>
      <c r="W1679" t="s">
        <v>4666</v>
      </c>
      <c r="X1679" t="s">
        <v>4667</v>
      </c>
    </row>
    <row r="1680" spans="1:24" x14ac:dyDescent="0.2">
      <c r="A1680" t="s">
        <v>5600</v>
      </c>
      <c r="B1680" t="s">
        <v>1776</v>
      </c>
      <c r="C1680" t="s">
        <v>1777</v>
      </c>
      <c r="D1680" t="s">
        <v>56</v>
      </c>
      <c r="E1680" t="s">
        <v>711</v>
      </c>
      <c r="F1680" t="s">
        <v>84</v>
      </c>
      <c r="G1680" s="202">
        <v>3</v>
      </c>
      <c r="H1680">
        <v>1</v>
      </c>
      <c r="I1680" t="s">
        <v>3954</v>
      </c>
      <c r="J1680" t="s">
        <v>4734</v>
      </c>
      <c r="K1680" t="s">
        <v>1283</v>
      </c>
      <c r="L1680" s="204">
        <v>0.24</v>
      </c>
      <c r="M1680" s="112">
        <v>35.325000000000003</v>
      </c>
      <c r="N1680" s="112">
        <v>8.4779999999999998</v>
      </c>
      <c r="O1680" s="204"/>
      <c r="P1680" s="112"/>
      <c r="Q1680" s="112"/>
      <c r="R1680" s="112"/>
      <c r="S1680" s="112"/>
      <c r="T1680" s="112"/>
      <c r="U1680" t="s">
        <v>5601</v>
      </c>
      <c r="V1680" t="s">
        <v>5602</v>
      </c>
      <c r="W1680" t="s">
        <v>3958</v>
      </c>
      <c r="X1680" t="s">
        <v>4660</v>
      </c>
    </row>
    <row r="1681" spans="1:24" x14ac:dyDescent="0.2">
      <c r="A1681" t="s">
        <v>5600</v>
      </c>
      <c r="B1681" t="s">
        <v>1776</v>
      </c>
      <c r="C1681" t="s">
        <v>1777</v>
      </c>
      <c r="D1681" t="s">
        <v>56</v>
      </c>
      <c r="E1681" t="s">
        <v>711</v>
      </c>
      <c r="F1681" t="s">
        <v>84</v>
      </c>
      <c r="G1681" s="202">
        <v>3</v>
      </c>
      <c r="H1681">
        <v>2</v>
      </c>
      <c r="I1681" t="s">
        <v>3962</v>
      </c>
      <c r="J1681" t="s">
        <v>4737</v>
      </c>
      <c r="K1681" t="s">
        <v>1283</v>
      </c>
      <c r="L1681" s="204">
        <v>0.46</v>
      </c>
      <c r="M1681" s="112">
        <v>35.325000000000003</v>
      </c>
      <c r="N1681" s="112">
        <v>16.249500000000001</v>
      </c>
      <c r="O1681" s="204"/>
      <c r="P1681" s="112"/>
      <c r="Q1681" s="112"/>
      <c r="R1681" s="112"/>
      <c r="S1681" s="112"/>
      <c r="T1681" s="112"/>
      <c r="U1681" t="s">
        <v>5601</v>
      </c>
      <c r="V1681" t="s">
        <v>5602</v>
      </c>
      <c r="W1681" t="s">
        <v>3958</v>
      </c>
      <c r="X1681" t="s">
        <v>4660</v>
      </c>
    </row>
    <row r="1682" spans="1:24" x14ac:dyDescent="0.2">
      <c r="A1682" t="s">
        <v>5600</v>
      </c>
      <c r="B1682" t="s">
        <v>1776</v>
      </c>
      <c r="C1682" t="s">
        <v>1777</v>
      </c>
      <c r="D1682" t="s">
        <v>56</v>
      </c>
      <c r="E1682" t="s">
        <v>711</v>
      </c>
      <c r="F1682" t="s">
        <v>84</v>
      </c>
      <c r="G1682" s="202">
        <v>3</v>
      </c>
      <c r="H1682">
        <v>3</v>
      </c>
      <c r="I1682" t="s">
        <v>4738</v>
      </c>
      <c r="J1682" t="s">
        <v>4739</v>
      </c>
      <c r="K1682" t="s">
        <v>1283</v>
      </c>
      <c r="L1682" s="204">
        <v>0.22</v>
      </c>
      <c r="M1682" s="112">
        <v>35.325000000000003</v>
      </c>
      <c r="N1682" s="112">
        <v>7.7715000000000005</v>
      </c>
      <c r="O1682" s="204"/>
      <c r="P1682" s="112"/>
      <c r="Q1682" s="112"/>
      <c r="R1682" s="112"/>
      <c r="S1682" s="112"/>
      <c r="T1682" s="112"/>
      <c r="U1682" t="s">
        <v>5601</v>
      </c>
      <c r="V1682" t="s">
        <v>5602</v>
      </c>
      <c r="W1682" t="s">
        <v>3958</v>
      </c>
      <c r="X1682" t="s">
        <v>4660</v>
      </c>
    </row>
    <row r="1683" spans="1:24" x14ac:dyDescent="0.2">
      <c r="A1683" t="s">
        <v>5600</v>
      </c>
      <c r="B1683" t="s">
        <v>1776</v>
      </c>
      <c r="C1683" t="s">
        <v>1777</v>
      </c>
      <c r="D1683" t="s">
        <v>56</v>
      </c>
      <c r="E1683" t="s">
        <v>711</v>
      </c>
      <c r="F1683" t="s">
        <v>84</v>
      </c>
      <c r="G1683" s="202">
        <v>3</v>
      </c>
      <c r="H1683">
        <v>4</v>
      </c>
      <c r="I1683" t="s">
        <v>4740</v>
      </c>
      <c r="J1683" t="s">
        <v>4741</v>
      </c>
      <c r="K1683" t="s">
        <v>1283</v>
      </c>
      <c r="L1683" s="204">
        <v>0.08</v>
      </c>
      <c r="M1683" s="112">
        <v>35.325000000000003</v>
      </c>
      <c r="N1683" s="112">
        <v>2.8260000000000001</v>
      </c>
      <c r="O1683" s="204"/>
      <c r="P1683" s="112"/>
      <c r="Q1683" s="112"/>
      <c r="R1683" s="112"/>
      <c r="S1683" s="112"/>
      <c r="T1683" s="112"/>
      <c r="U1683" t="s">
        <v>5601</v>
      </c>
      <c r="V1683" t="s">
        <v>5602</v>
      </c>
      <c r="W1683" t="s">
        <v>3958</v>
      </c>
      <c r="X1683" t="s">
        <v>4660</v>
      </c>
    </row>
    <row r="1684" spans="1:24" x14ac:dyDescent="0.2">
      <c r="A1684" t="s">
        <v>5600</v>
      </c>
      <c r="B1684" t="s">
        <v>1776</v>
      </c>
      <c r="C1684" t="s">
        <v>1777</v>
      </c>
      <c r="D1684" t="s">
        <v>56</v>
      </c>
      <c r="E1684" t="s">
        <v>711</v>
      </c>
      <c r="F1684" t="s">
        <v>84</v>
      </c>
      <c r="G1684" s="202">
        <v>3</v>
      </c>
      <c r="H1684">
        <v>5</v>
      </c>
      <c r="I1684" t="s">
        <v>3968</v>
      </c>
      <c r="J1684" t="s">
        <v>3969</v>
      </c>
      <c r="K1684" t="s">
        <v>84</v>
      </c>
      <c r="L1684" s="204">
        <v>1</v>
      </c>
      <c r="M1684" s="112"/>
      <c r="N1684" s="112">
        <v>35.325000000000003</v>
      </c>
      <c r="O1684" s="204">
        <v>0.22226940316112298</v>
      </c>
      <c r="P1684" s="112">
        <v>7.8516666666666666</v>
      </c>
      <c r="Q1684" s="112">
        <v>43.176666666666669</v>
      </c>
      <c r="R1684" s="112">
        <v>129.53</v>
      </c>
      <c r="S1684" s="112">
        <v>129.53</v>
      </c>
      <c r="T1684" s="112">
        <v>0</v>
      </c>
      <c r="U1684" t="s">
        <v>5601</v>
      </c>
      <c r="V1684" t="s">
        <v>5602</v>
      </c>
      <c r="W1684" t="s">
        <v>4666</v>
      </c>
      <c r="X1684" t="s">
        <v>4667</v>
      </c>
    </row>
    <row r="1685" spans="1:24" x14ac:dyDescent="0.2">
      <c r="A1685" t="s">
        <v>5603</v>
      </c>
      <c r="B1685" t="s">
        <v>1778</v>
      </c>
      <c r="C1685" t="s">
        <v>1779</v>
      </c>
      <c r="D1685" t="s">
        <v>56</v>
      </c>
      <c r="E1685" t="s">
        <v>712</v>
      </c>
      <c r="F1685" t="s">
        <v>84</v>
      </c>
      <c r="G1685" s="202">
        <v>1</v>
      </c>
      <c r="H1685">
        <v>1</v>
      </c>
      <c r="I1685" t="s">
        <v>3954</v>
      </c>
      <c r="J1685" t="s">
        <v>4734</v>
      </c>
      <c r="K1685" t="s">
        <v>1283</v>
      </c>
      <c r="L1685" s="204">
        <v>0.24</v>
      </c>
      <c r="M1685" s="112">
        <v>21.502500000000001</v>
      </c>
      <c r="N1685" s="112">
        <v>5.1606000000000005</v>
      </c>
      <c r="O1685" s="204"/>
      <c r="P1685" s="112"/>
      <c r="Q1685" s="112"/>
      <c r="R1685" s="112"/>
      <c r="S1685" s="112"/>
      <c r="T1685" s="112"/>
      <c r="U1685" t="s">
        <v>5604</v>
      </c>
      <c r="V1685" t="s">
        <v>5605</v>
      </c>
      <c r="W1685" t="s">
        <v>3958</v>
      </c>
      <c r="X1685" t="s">
        <v>4660</v>
      </c>
    </row>
    <row r="1686" spans="1:24" x14ac:dyDescent="0.2">
      <c r="A1686" t="s">
        <v>5603</v>
      </c>
      <c r="B1686" t="s">
        <v>1778</v>
      </c>
      <c r="C1686" t="s">
        <v>1779</v>
      </c>
      <c r="D1686" t="s">
        <v>56</v>
      </c>
      <c r="E1686" t="s">
        <v>712</v>
      </c>
      <c r="F1686" t="s">
        <v>84</v>
      </c>
      <c r="G1686" s="202">
        <v>1</v>
      </c>
      <c r="H1686">
        <v>2</v>
      </c>
      <c r="I1686" t="s">
        <v>3962</v>
      </c>
      <c r="J1686" t="s">
        <v>4737</v>
      </c>
      <c r="K1686" t="s">
        <v>1283</v>
      </c>
      <c r="L1686" s="204">
        <v>0.46</v>
      </c>
      <c r="M1686" s="112">
        <v>21.502500000000001</v>
      </c>
      <c r="N1686" s="112">
        <v>9.8911500000000014</v>
      </c>
      <c r="O1686" s="204"/>
      <c r="P1686" s="112"/>
      <c r="Q1686" s="112"/>
      <c r="R1686" s="112"/>
      <c r="S1686" s="112"/>
      <c r="T1686" s="112"/>
      <c r="U1686" t="s">
        <v>5604</v>
      </c>
      <c r="V1686" t="s">
        <v>5605</v>
      </c>
      <c r="W1686" t="s">
        <v>3958</v>
      </c>
      <c r="X1686" t="s">
        <v>4660</v>
      </c>
    </row>
    <row r="1687" spans="1:24" x14ac:dyDescent="0.2">
      <c r="A1687" t="s">
        <v>5603</v>
      </c>
      <c r="B1687" t="s">
        <v>1778</v>
      </c>
      <c r="C1687" t="s">
        <v>1779</v>
      </c>
      <c r="D1687" t="s">
        <v>56</v>
      </c>
      <c r="E1687" t="s">
        <v>712</v>
      </c>
      <c r="F1687" t="s">
        <v>84</v>
      </c>
      <c r="G1687" s="202">
        <v>1</v>
      </c>
      <c r="H1687">
        <v>3</v>
      </c>
      <c r="I1687" t="s">
        <v>4738</v>
      </c>
      <c r="J1687" t="s">
        <v>4739</v>
      </c>
      <c r="K1687" t="s">
        <v>1283</v>
      </c>
      <c r="L1687" s="204">
        <v>0.22</v>
      </c>
      <c r="M1687" s="112">
        <v>21.502500000000001</v>
      </c>
      <c r="N1687" s="112">
        <v>4.73055</v>
      </c>
      <c r="O1687" s="204"/>
      <c r="P1687" s="112"/>
      <c r="Q1687" s="112"/>
      <c r="R1687" s="112"/>
      <c r="S1687" s="112"/>
      <c r="T1687" s="112"/>
      <c r="U1687" t="s">
        <v>5604</v>
      </c>
      <c r="V1687" t="s">
        <v>5605</v>
      </c>
      <c r="W1687" t="s">
        <v>3958</v>
      </c>
      <c r="X1687" t="s">
        <v>4660</v>
      </c>
    </row>
    <row r="1688" spans="1:24" x14ac:dyDescent="0.2">
      <c r="A1688" t="s">
        <v>5603</v>
      </c>
      <c r="B1688" t="s">
        <v>1778</v>
      </c>
      <c r="C1688" t="s">
        <v>1779</v>
      </c>
      <c r="D1688" t="s">
        <v>56</v>
      </c>
      <c r="E1688" t="s">
        <v>712</v>
      </c>
      <c r="F1688" t="s">
        <v>84</v>
      </c>
      <c r="G1688" s="202">
        <v>1</v>
      </c>
      <c r="H1688">
        <v>4</v>
      </c>
      <c r="I1688" t="s">
        <v>4740</v>
      </c>
      <c r="J1688" t="s">
        <v>4741</v>
      </c>
      <c r="K1688" t="s">
        <v>1283</v>
      </c>
      <c r="L1688" s="204">
        <v>0.08</v>
      </c>
      <c r="M1688" s="112">
        <v>21.502500000000001</v>
      </c>
      <c r="N1688" s="112">
        <v>1.7202000000000002</v>
      </c>
      <c r="O1688" s="204"/>
      <c r="P1688" s="112"/>
      <c r="Q1688" s="112"/>
      <c r="R1688" s="112"/>
      <c r="S1688" s="112"/>
      <c r="T1688" s="112"/>
      <c r="U1688" t="s">
        <v>5604</v>
      </c>
      <c r="V1688" t="s">
        <v>5605</v>
      </c>
      <c r="W1688" t="s">
        <v>3958</v>
      </c>
      <c r="X1688" t="s">
        <v>4660</v>
      </c>
    </row>
    <row r="1689" spans="1:24" x14ac:dyDescent="0.2">
      <c r="A1689" t="s">
        <v>5603</v>
      </c>
      <c r="B1689" t="s">
        <v>1778</v>
      </c>
      <c r="C1689" t="s">
        <v>1779</v>
      </c>
      <c r="D1689" t="s">
        <v>56</v>
      </c>
      <c r="E1689" t="s">
        <v>712</v>
      </c>
      <c r="F1689" t="s">
        <v>84</v>
      </c>
      <c r="G1689" s="202">
        <v>1</v>
      </c>
      <c r="H1689">
        <v>5</v>
      </c>
      <c r="I1689" t="s">
        <v>3968</v>
      </c>
      <c r="J1689" t="s">
        <v>3969</v>
      </c>
      <c r="K1689" t="s">
        <v>84</v>
      </c>
      <c r="L1689" s="204">
        <v>1</v>
      </c>
      <c r="M1689" s="112"/>
      <c r="N1689" s="112">
        <v>21.502500000000001</v>
      </c>
      <c r="O1689" s="204">
        <v>0.22218346703871639</v>
      </c>
      <c r="P1689" s="112">
        <v>4.7774999999999999</v>
      </c>
      <c r="Q1689" s="112">
        <v>26.28</v>
      </c>
      <c r="R1689" s="112">
        <v>26.28</v>
      </c>
      <c r="S1689" s="112">
        <v>26.28</v>
      </c>
      <c r="T1689" s="112">
        <v>0</v>
      </c>
      <c r="U1689" t="s">
        <v>5604</v>
      </c>
      <c r="V1689" t="s">
        <v>5605</v>
      </c>
      <c r="W1689" t="s">
        <v>4666</v>
      </c>
      <c r="X1689" t="s">
        <v>4667</v>
      </c>
    </row>
    <row r="1690" spans="1:24" x14ac:dyDescent="0.2">
      <c r="A1690" t="s">
        <v>5606</v>
      </c>
      <c r="B1690" t="s">
        <v>1780</v>
      </c>
      <c r="C1690" t="s">
        <v>1781</v>
      </c>
      <c r="D1690" t="s">
        <v>56</v>
      </c>
      <c r="E1690" t="s">
        <v>1782</v>
      </c>
      <c r="F1690" t="s">
        <v>84</v>
      </c>
      <c r="G1690" s="202">
        <v>2</v>
      </c>
      <c r="H1690">
        <v>1</v>
      </c>
      <c r="I1690" t="s">
        <v>3954</v>
      </c>
      <c r="J1690" t="s">
        <v>4734</v>
      </c>
      <c r="K1690" t="s">
        <v>1283</v>
      </c>
      <c r="L1690" s="204">
        <v>0.24</v>
      </c>
      <c r="M1690" s="112">
        <v>9.81</v>
      </c>
      <c r="N1690" s="112">
        <v>2.3544</v>
      </c>
      <c r="O1690" s="204"/>
      <c r="P1690" s="112"/>
      <c r="Q1690" s="112"/>
      <c r="R1690" s="112"/>
      <c r="S1690" s="112"/>
      <c r="T1690" s="112"/>
      <c r="U1690" t="s">
        <v>5607</v>
      </c>
      <c r="V1690" t="s">
        <v>5608</v>
      </c>
      <c r="W1690" t="s">
        <v>3958</v>
      </c>
      <c r="X1690" t="s">
        <v>4660</v>
      </c>
    </row>
    <row r="1691" spans="1:24" x14ac:dyDescent="0.2">
      <c r="A1691" t="s">
        <v>5606</v>
      </c>
      <c r="B1691" t="s">
        <v>1780</v>
      </c>
      <c r="C1691" t="s">
        <v>1781</v>
      </c>
      <c r="D1691" t="s">
        <v>56</v>
      </c>
      <c r="E1691" t="s">
        <v>1782</v>
      </c>
      <c r="F1691" t="s">
        <v>84</v>
      </c>
      <c r="G1691" s="202">
        <v>2</v>
      </c>
      <c r="H1691">
        <v>2</v>
      </c>
      <c r="I1691" t="s">
        <v>3962</v>
      </c>
      <c r="J1691" t="s">
        <v>4737</v>
      </c>
      <c r="K1691" t="s">
        <v>1283</v>
      </c>
      <c r="L1691" s="204">
        <v>0.46</v>
      </c>
      <c r="M1691" s="112">
        <v>9.81</v>
      </c>
      <c r="N1691" s="112">
        <v>4.5126000000000008</v>
      </c>
      <c r="O1691" s="204"/>
      <c r="P1691" s="112"/>
      <c r="Q1691" s="112"/>
      <c r="R1691" s="112"/>
      <c r="S1691" s="112"/>
      <c r="T1691" s="112"/>
      <c r="U1691" t="s">
        <v>5607</v>
      </c>
      <c r="V1691" t="s">
        <v>5608</v>
      </c>
      <c r="W1691" t="s">
        <v>3958</v>
      </c>
      <c r="X1691" t="s">
        <v>4660</v>
      </c>
    </row>
    <row r="1692" spans="1:24" x14ac:dyDescent="0.2">
      <c r="A1692" t="s">
        <v>5606</v>
      </c>
      <c r="B1692" t="s">
        <v>1780</v>
      </c>
      <c r="C1692" t="s">
        <v>1781</v>
      </c>
      <c r="D1692" t="s">
        <v>56</v>
      </c>
      <c r="E1692" t="s">
        <v>1782</v>
      </c>
      <c r="F1692" t="s">
        <v>84</v>
      </c>
      <c r="G1692" s="202">
        <v>2</v>
      </c>
      <c r="H1692">
        <v>3</v>
      </c>
      <c r="I1692" t="s">
        <v>4738</v>
      </c>
      <c r="J1692" t="s">
        <v>4739</v>
      </c>
      <c r="K1692" t="s">
        <v>1283</v>
      </c>
      <c r="L1692" s="204">
        <v>0.22</v>
      </c>
      <c r="M1692" s="112">
        <v>9.81</v>
      </c>
      <c r="N1692" s="112">
        <v>2.1582000000000003</v>
      </c>
      <c r="O1692" s="204"/>
      <c r="P1692" s="112"/>
      <c r="Q1692" s="112"/>
      <c r="R1692" s="112"/>
      <c r="S1692" s="112"/>
      <c r="T1692" s="112"/>
      <c r="U1692" t="s">
        <v>5607</v>
      </c>
      <c r="V1692" t="s">
        <v>5608</v>
      </c>
      <c r="W1692" t="s">
        <v>3958</v>
      </c>
      <c r="X1692" t="s">
        <v>4660</v>
      </c>
    </row>
    <row r="1693" spans="1:24" x14ac:dyDescent="0.2">
      <c r="A1693" t="s">
        <v>5606</v>
      </c>
      <c r="B1693" t="s">
        <v>1780</v>
      </c>
      <c r="C1693" t="s">
        <v>1781</v>
      </c>
      <c r="D1693" t="s">
        <v>56</v>
      </c>
      <c r="E1693" t="s">
        <v>1782</v>
      </c>
      <c r="F1693" t="s">
        <v>84</v>
      </c>
      <c r="G1693" s="202">
        <v>2</v>
      </c>
      <c r="H1693">
        <v>4</v>
      </c>
      <c r="I1693" t="s">
        <v>4740</v>
      </c>
      <c r="J1693" t="s">
        <v>4741</v>
      </c>
      <c r="K1693" t="s">
        <v>1283</v>
      </c>
      <c r="L1693" s="204">
        <v>0.08</v>
      </c>
      <c r="M1693" s="112">
        <v>9.81</v>
      </c>
      <c r="N1693" s="112">
        <v>0.78480000000000005</v>
      </c>
      <c r="O1693" s="204"/>
      <c r="P1693" s="112"/>
      <c r="Q1693" s="112"/>
      <c r="R1693" s="112"/>
      <c r="S1693" s="112"/>
      <c r="T1693" s="112"/>
      <c r="U1693" t="s">
        <v>5607</v>
      </c>
      <c r="V1693" t="s">
        <v>5608</v>
      </c>
      <c r="W1693" t="s">
        <v>3958</v>
      </c>
      <c r="X1693" t="s">
        <v>4660</v>
      </c>
    </row>
    <row r="1694" spans="1:24" x14ac:dyDescent="0.2">
      <c r="A1694" t="s">
        <v>5606</v>
      </c>
      <c r="B1694" t="s">
        <v>1780</v>
      </c>
      <c r="C1694" t="s">
        <v>1781</v>
      </c>
      <c r="D1694" t="s">
        <v>56</v>
      </c>
      <c r="E1694" t="s">
        <v>1782</v>
      </c>
      <c r="F1694" t="s">
        <v>84</v>
      </c>
      <c r="G1694" s="202">
        <v>2</v>
      </c>
      <c r="H1694">
        <v>5</v>
      </c>
      <c r="I1694" t="s">
        <v>3968</v>
      </c>
      <c r="J1694" t="s">
        <v>3969</v>
      </c>
      <c r="K1694" t="s">
        <v>84</v>
      </c>
      <c r="L1694" s="204">
        <v>1</v>
      </c>
      <c r="M1694" s="112"/>
      <c r="N1694" s="112">
        <v>9.81</v>
      </c>
      <c r="O1694" s="204">
        <v>0.22171253822629966</v>
      </c>
      <c r="P1694" s="112">
        <v>2.1749999999999989</v>
      </c>
      <c r="Q1694" s="112">
        <v>11.984999999999999</v>
      </c>
      <c r="R1694" s="112">
        <v>23.97</v>
      </c>
      <c r="S1694" s="112">
        <v>23.97</v>
      </c>
      <c r="T1694" s="112">
        <v>0</v>
      </c>
      <c r="U1694" t="s">
        <v>5607</v>
      </c>
      <c r="V1694" t="s">
        <v>5608</v>
      </c>
      <c r="W1694" t="s">
        <v>4666</v>
      </c>
      <c r="X1694" t="s">
        <v>4667</v>
      </c>
    </row>
    <row r="1695" spans="1:24" x14ac:dyDescent="0.2">
      <c r="A1695" t="s">
        <v>5609</v>
      </c>
      <c r="B1695" t="s">
        <v>716</v>
      </c>
      <c r="C1695" t="s">
        <v>1783</v>
      </c>
      <c r="D1695" t="s">
        <v>56</v>
      </c>
      <c r="E1695" t="s">
        <v>1784</v>
      </c>
      <c r="F1695" t="s">
        <v>99</v>
      </c>
      <c r="G1695" s="202">
        <v>6.6</v>
      </c>
      <c r="H1695">
        <v>1</v>
      </c>
      <c r="I1695" t="s">
        <v>3954</v>
      </c>
      <c r="J1695" t="s">
        <v>5227</v>
      </c>
      <c r="K1695" t="s">
        <v>1283</v>
      </c>
      <c r="L1695" s="204">
        <v>0.26</v>
      </c>
      <c r="M1695" s="112">
        <v>20.377500000000001</v>
      </c>
      <c r="N1695" s="112">
        <v>5.2981500000000006</v>
      </c>
      <c r="O1695" s="204"/>
      <c r="P1695" s="112"/>
      <c r="Q1695" s="112"/>
      <c r="R1695" s="112"/>
      <c r="S1695" s="112"/>
      <c r="T1695" s="112"/>
      <c r="U1695" t="s">
        <v>5610</v>
      </c>
      <c r="V1695" t="s">
        <v>5611</v>
      </c>
      <c r="W1695" t="s">
        <v>3958</v>
      </c>
      <c r="X1695" t="s">
        <v>4660</v>
      </c>
    </row>
    <row r="1696" spans="1:24" x14ac:dyDescent="0.2">
      <c r="A1696" t="s">
        <v>5609</v>
      </c>
      <c r="B1696" t="s">
        <v>716</v>
      </c>
      <c r="C1696" t="s">
        <v>1783</v>
      </c>
      <c r="D1696" t="s">
        <v>56</v>
      </c>
      <c r="E1696" t="s">
        <v>1784</v>
      </c>
      <c r="F1696" t="s">
        <v>99</v>
      </c>
      <c r="G1696" s="202">
        <v>6.6</v>
      </c>
      <c r="H1696">
        <v>2</v>
      </c>
      <c r="I1696" t="s">
        <v>3960</v>
      </c>
      <c r="J1696" t="s">
        <v>5229</v>
      </c>
      <c r="K1696" t="s">
        <v>1283</v>
      </c>
      <c r="L1696" s="204">
        <v>0.64</v>
      </c>
      <c r="M1696" s="112">
        <v>20.377500000000001</v>
      </c>
      <c r="N1696" s="112">
        <v>13.041600000000001</v>
      </c>
      <c r="O1696" s="204"/>
      <c r="P1696" s="112"/>
      <c r="Q1696" s="112"/>
      <c r="R1696" s="112"/>
      <c r="S1696" s="112"/>
      <c r="T1696" s="112"/>
      <c r="U1696" t="s">
        <v>5610</v>
      </c>
      <c r="V1696" t="s">
        <v>5611</v>
      </c>
      <c r="W1696" t="s">
        <v>3958</v>
      </c>
      <c r="X1696" t="s">
        <v>4660</v>
      </c>
    </row>
    <row r="1697" spans="1:24" x14ac:dyDescent="0.2">
      <c r="A1697" t="s">
        <v>5609</v>
      </c>
      <c r="B1697" t="s">
        <v>716</v>
      </c>
      <c r="C1697" t="s">
        <v>1783</v>
      </c>
      <c r="D1697" t="s">
        <v>56</v>
      </c>
      <c r="E1697" t="s">
        <v>1784</v>
      </c>
      <c r="F1697" t="s">
        <v>99</v>
      </c>
      <c r="G1697" s="202">
        <v>6.6</v>
      </c>
      <c r="H1697">
        <v>3</v>
      </c>
      <c r="I1697" t="s">
        <v>3976</v>
      </c>
      <c r="J1697" t="s">
        <v>5230</v>
      </c>
      <c r="K1697" t="s">
        <v>1283</v>
      </c>
      <c r="L1697" s="204">
        <v>0.04</v>
      </c>
      <c r="M1697" s="112">
        <v>20.377500000000001</v>
      </c>
      <c r="N1697" s="112">
        <v>0.81510000000000005</v>
      </c>
      <c r="O1697" s="204"/>
      <c r="P1697" s="112"/>
      <c r="Q1697" s="112"/>
      <c r="R1697" s="112"/>
      <c r="S1697" s="112"/>
      <c r="T1697" s="112"/>
      <c r="U1697" t="s">
        <v>5610</v>
      </c>
      <c r="V1697" t="s">
        <v>5611</v>
      </c>
      <c r="W1697" t="s">
        <v>3958</v>
      </c>
      <c r="X1697" t="s">
        <v>4660</v>
      </c>
    </row>
    <row r="1698" spans="1:24" x14ac:dyDescent="0.2">
      <c r="A1698" t="s">
        <v>5609</v>
      </c>
      <c r="B1698" t="s">
        <v>716</v>
      </c>
      <c r="C1698" t="s">
        <v>1783</v>
      </c>
      <c r="D1698" t="s">
        <v>56</v>
      </c>
      <c r="E1698" t="s">
        <v>1784</v>
      </c>
      <c r="F1698" t="s">
        <v>99</v>
      </c>
      <c r="G1698" s="202">
        <v>6.6</v>
      </c>
      <c r="H1698">
        <v>4</v>
      </c>
      <c r="I1698" t="s">
        <v>4017</v>
      </c>
      <c r="J1698" t="s">
        <v>4851</v>
      </c>
      <c r="K1698" t="s">
        <v>1283</v>
      </c>
      <c r="L1698" s="204">
        <v>0.06</v>
      </c>
      <c r="M1698" s="112">
        <v>20.377500000000001</v>
      </c>
      <c r="N1698" s="112">
        <v>1.22265</v>
      </c>
      <c r="O1698" s="204"/>
      <c r="P1698" s="112"/>
      <c r="Q1698" s="112"/>
      <c r="R1698" s="112"/>
      <c r="S1698" s="112"/>
      <c r="T1698" s="112"/>
      <c r="U1698" t="s">
        <v>5610</v>
      </c>
      <c r="V1698" t="s">
        <v>5611</v>
      </c>
      <c r="W1698" t="s">
        <v>3958</v>
      </c>
      <c r="X1698" t="s">
        <v>4660</v>
      </c>
    </row>
    <row r="1699" spans="1:24" x14ac:dyDescent="0.2">
      <c r="A1699" t="s">
        <v>5609</v>
      </c>
      <c r="B1699" t="s">
        <v>716</v>
      </c>
      <c r="C1699" t="s">
        <v>1783</v>
      </c>
      <c r="D1699" t="s">
        <v>56</v>
      </c>
      <c r="E1699" t="s">
        <v>1784</v>
      </c>
      <c r="F1699" t="s">
        <v>99</v>
      </c>
      <c r="G1699" s="202">
        <v>6.6</v>
      </c>
      <c r="H1699">
        <v>5</v>
      </c>
      <c r="I1699" t="s">
        <v>3968</v>
      </c>
      <c r="J1699" t="s">
        <v>3969</v>
      </c>
      <c r="K1699" t="s">
        <v>99</v>
      </c>
      <c r="L1699" s="204">
        <v>1</v>
      </c>
      <c r="M1699" s="112"/>
      <c r="N1699" s="112">
        <v>20.377500000000001</v>
      </c>
      <c r="O1699" s="204">
        <v>0.22193595877806405</v>
      </c>
      <c r="P1699" s="112">
        <v>4.5225000000000009</v>
      </c>
      <c r="Q1699" s="112">
        <v>24.900000000000002</v>
      </c>
      <c r="R1699" s="112">
        <v>164.34</v>
      </c>
      <c r="S1699" s="112">
        <v>164.34</v>
      </c>
      <c r="T1699" s="112">
        <v>0</v>
      </c>
      <c r="U1699" t="s">
        <v>5610</v>
      </c>
      <c r="V1699" t="s">
        <v>5611</v>
      </c>
      <c r="W1699" t="s">
        <v>4666</v>
      </c>
      <c r="X1699" t="s">
        <v>4667</v>
      </c>
    </row>
    <row r="1700" spans="1:24" x14ac:dyDescent="0.2">
      <c r="A1700" t="s">
        <v>5612</v>
      </c>
      <c r="B1700" t="s">
        <v>718</v>
      </c>
      <c r="C1700" t="s">
        <v>1785</v>
      </c>
      <c r="D1700" t="s">
        <v>56</v>
      </c>
      <c r="E1700" t="s">
        <v>1786</v>
      </c>
      <c r="F1700" t="s">
        <v>99</v>
      </c>
      <c r="G1700" s="202">
        <v>154.5</v>
      </c>
      <c r="H1700">
        <v>1</v>
      </c>
      <c r="I1700" t="s">
        <v>3954</v>
      </c>
      <c r="J1700" t="s">
        <v>5227</v>
      </c>
      <c r="K1700" t="s">
        <v>1283</v>
      </c>
      <c r="L1700" s="204">
        <v>0.26</v>
      </c>
      <c r="M1700" s="112">
        <v>11.557500000000001</v>
      </c>
      <c r="N1700" s="112">
        <v>3.0049500000000005</v>
      </c>
      <c r="O1700" s="204"/>
      <c r="P1700" s="112"/>
      <c r="Q1700" s="112"/>
      <c r="R1700" s="112"/>
      <c r="S1700" s="112"/>
      <c r="T1700" s="112"/>
      <c r="U1700" t="s">
        <v>5613</v>
      </c>
      <c r="V1700" t="s">
        <v>5614</v>
      </c>
      <c r="W1700" t="s">
        <v>3958</v>
      </c>
      <c r="X1700" t="s">
        <v>4660</v>
      </c>
    </row>
    <row r="1701" spans="1:24" x14ac:dyDescent="0.2">
      <c r="A1701" t="s">
        <v>5612</v>
      </c>
      <c r="B1701" t="s">
        <v>718</v>
      </c>
      <c r="C1701" t="s">
        <v>1785</v>
      </c>
      <c r="D1701" t="s">
        <v>56</v>
      </c>
      <c r="E1701" t="s">
        <v>1786</v>
      </c>
      <c r="F1701" t="s">
        <v>99</v>
      </c>
      <c r="G1701" s="202">
        <v>154.5</v>
      </c>
      <c r="H1701">
        <v>2</v>
      </c>
      <c r="I1701" t="s">
        <v>3960</v>
      </c>
      <c r="J1701" t="s">
        <v>5229</v>
      </c>
      <c r="K1701" t="s">
        <v>1283</v>
      </c>
      <c r="L1701" s="204">
        <v>0.64</v>
      </c>
      <c r="M1701" s="112">
        <v>11.557500000000001</v>
      </c>
      <c r="N1701" s="112">
        <v>7.3968000000000007</v>
      </c>
      <c r="O1701" s="204"/>
      <c r="P1701" s="112"/>
      <c r="Q1701" s="112"/>
      <c r="R1701" s="112"/>
      <c r="S1701" s="112"/>
      <c r="T1701" s="112"/>
      <c r="U1701" t="s">
        <v>5613</v>
      </c>
      <c r="V1701" t="s">
        <v>5614</v>
      </c>
      <c r="W1701" t="s">
        <v>3958</v>
      </c>
      <c r="X1701" t="s">
        <v>4660</v>
      </c>
    </row>
    <row r="1702" spans="1:24" x14ac:dyDescent="0.2">
      <c r="A1702" t="s">
        <v>5612</v>
      </c>
      <c r="B1702" t="s">
        <v>718</v>
      </c>
      <c r="C1702" t="s">
        <v>1785</v>
      </c>
      <c r="D1702" t="s">
        <v>56</v>
      </c>
      <c r="E1702" t="s">
        <v>1786</v>
      </c>
      <c r="F1702" t="s">
        <v>99</v>
      </c>
      <c r="G1702" s="202">
        <v>154.5</v>
      </c>
      <c r="H1702">
        <v>3</v>
      </c>
      <c r="I1702" t="s">
        <v>3976</v>
      </c>
      <c r="J1702" t="s">
        <v>5230</v>
      </c>
      <c r="K1702" t="s">
        <v>1283</v>
      </c>
      <c r="L1702" s="204">
        <v>0.04</v>
      </c>
      <c r="M1702" s="112">
        <v>11.557500000000001</v>
      </c>
      <c r="N1702" s="112">
        <v>0.46230000000000004</v>
      </c>
      <c r="O1702" s="204"/>
      <c r="P1702" s="112"/>
      <c r="Q1702" s="112"/>
      <c r="R1702" s="112"/>
      <c r="S1702" s="112"/>
      <c r="T1702" s="112"/>
      <c r="U1702" t="s">
        <v>5613</v>
      </c>
      <c r="V1702" t="s">
        <v>5614</v>
      </c>
      <c r="W1702" t="s">
        <v>3958</v>
      </c>
      <c r="X1702" t="s">
        <v>4660</v>
      </c>
    </row>
    <row r="1703" spans="1:24" x14ac:dyDescent="0.2">
      <c r="A1703" t="s">
        <v>5612</v>
      </c>
      <c r="B1703" t="s">
        <v>718</v>
      </c>
      <c r="C1703" t="s">
        <v>1785</v>
      </c>
      <c r="D1703" t="s">
        <v>56</v>
      </c>
      <c r="E1703" t="s">
        <v>1786</v>
      </c>
      <c r="F1703" t="s">
        <v>99</v>
      </c>
      <c r="G1703" s="202">
        <v>154.5</v>
      </c>
      <c r="H1703">
        <v>4</v>
      </c>
      <c r="I1703" t="s">
        <v>4017</v>
      </c>
      <c r="J1703" t="s">
        <v>4851</v>
      </c>
      <c r="K1703" t="s">
        <v>1283</v>
      </c>
      <c r="L1703" s="204">
        <v>0.06</v>
      </c>
      <c r="M1703" s="112">
        <v>11.557500000000001</v>
      </c>
      <c r="N1703" s="112">
        <v>0.69345000000000001</v>
      </c>
      <c r="O1703" s="204"/>
      <c r="P1703" s="112"/>
      <c r="Q1703" s="112"/>
      <c r="R1703" s="112"/>
      <c r="S1703" s="112"/>
      <c r="T1703" s="112"/>
      <c r="U1703" t="s">
        <v>5613</v>
      </c>
      <c r="V1703" t="s">
        <v>5614</v>
      </c>
      <c r="W1703" t="s">
        <v>3958</v>
      </c>
      <c r="X1703" t="s">
        <v>4660</v>
      </c>
    </row>
    <row r="1704" spans="1:24" x14ac:dyDescent="0.2">
      <c r="A1704" t="s">
        <v>5612</v>
      </c>
      <c r="B1704" t="s">
        <v>718</v>
      </c>
      <c r="C1704" t="s">
        <v>1785</v>
      </c>
      <c r="D1704" t="s">
        <v>56</v>
      </c>
      <c r="E1704" t="s">
        <v>1786</v>
      </c>
      <c r="F1704" t="s">
        <v>99</v>
      </c>
      <c r="G1704" s="202">
        <v>154.5</v>
      </c>
      <c r="H1704">
        <v>5</v>
      </c>
      <c r="I1704" t="s">
        <v>3968</v>
      </c>
      <c r="J1704" t="s">
        <v>3969</v>
      </c>
      <c r="K1704" t="s">
        <v>99</v>
      </c>
      <c r="L1704" s="204">
        <v>1</v>
      </c>
      <c r="M1704" s="112"/>
      <c r="N1704" s="112">
        <v>11.557500000000001</v>
      </c>
      <c r="O1704" s="204">
        <v>0.22193030905693845</v>
      </c>
      <c r="P1704" s="112">
        <v>2.5649595469255662</v>
      </c>
      <c r="Q1704" s="112">
        <v>14.122459546925567</v>
      </c>
      <c r="R1704" s="112">
        <v>2181.92</v>
      </c>
      <c r="S1704" s="112">
        <v>2181.92</v>
      </c>
      <c r="T1704" s="112">
        <v>0</v>
      </c>
      <c r="U1704" t="s">
        <v>5613</v>
      </c>
      <c r="V1704" t="s">
        <v>5614</v>
      </c>
      <c r="W1704" t="s">
        <v>4666</v>
      </c>
      <c r="X1704" t="s">
        <v>4667</v>
      </c>
    </row>
    <row r="1705" spans="1:24" x14ac:dyDescent="0.2">
      <c r="A1705" t="s">
        <v>5615</v>
      </c>
      <c r="B1705" t="s">
        <v>720</v>
      </c>
      <c r="C1705" t="s">
        <v>1787</v>
      </c>
      <c r="D1705" t="s">
        <v>56</v>
      </c>
      <c r="E1705" t="s">
        <v>721</v>
      </c>
      <c r="F1705" t="s">
        <v>84</v>
      </c>
      <c r="G1705" s="202">
        <v>2</v>
      </c>
      <c r="H1705">
        <v>1</v>
      </c>
      <c r="I1705" t="s">
        <v>3954</v>
      </c>
      <c r="J1705" t="s">
        <v>5227</v>
      </c>
      <c r="K1705" t="s">
        <v>1283</v>
      </c>
      <c r="L1705" s="204">
        <v>0.26</v>
      </c>
      <c r="M1705" s="112">
        <v>18.66</v>
      </c>
      <c r="N1705" s="112">
        <v>4.8516000000000004</v>
      </c>
      <c r="O1705" s="204"/>
      <c r="P1705" s="112"/>
      <c r="Q1705" s="112"/>
      <c r="R1705" s="112"/>
      <c r="S1705" s="112"/>
      <c r="T1705" s="112"/>
      <c r="U1705" t="s">
        <v>5616</v>
      </c>
      <c r="V1705" t="s">
        <v>5617</v>
      </c>
      <c r="W1705" t="s">
        <v>3958</v>
      </c>
      <c r="X1705" t="s">
        <v>4660</v>
      </c>
    </row>
    <row r="1706" spans="1:24" x14ac:dyDescent="0.2">
      <c r="A1706" t="s">
        <v>5615</v>
      </c>
      <c r="B1706" t="s">
        <v>720</v>
      </c>
      <c r="C1706" t="s">
        <v>1787</v>
      </c>
      <c r="D1706" t="s">
        <v>56</v>
      </c>
      <c r="E1706" t="s">
        <v>721</v>
      </c>
      <c r="F1706" t="s">
        <v>84</v>
      </c>
      <c r="G1706" s="202">
        <v>2</v>
      </c>
      <c r="H1706">
        <v>2</v>
      </c>
      <c r="I1706" t="s">
        <v>3960</v>
      </c>
      <c r="J1706" t="s">
        <v>5229</v>
      </c>
      <c r="K1706" t="s">
        <v>1283</v>
      </c>
      <c r="L1706" s="204">
        <v>0.64</v>
      </c>
      <c r="M1706" s="112">
        <v>18.66</v>
      </c>
      <c r="N1706" s="112">
        <v>11.942400000000001</v>
      </c>
      <c r="O1706" s="204"/>
      <c r="P1706" s="112"/>
      <c r="Q1706" s="112"/>
      <c r="R1706" s="112"/>
      <c r="S1706" s="112"/>
      <c r="T1706" s="112"/>
      <c r="U1706" t="s">
        <v>5616</v>
      </c>
      <c r="V1706" t="s">
        <v>5617</v>
      </c>
      <c r="W1706" t="s">
        <v>3958</v>
      </c>
      <c r="X1706" t="s">
        <v>4660</v>
      </c>
    </row>
    <row r="1707" spans="1:24" x14ac:dyDescent="0.2">
      <c r="A1707" t="s">
        <v>5615</v>
      </c>
      <c r="B1707" t="s">
        <v>720</v>
      </c>
      <c r="C1707" t="s">
        <v>1787</v>
      </c>
      <c r="D1707" t="s">
        <v>56</v>
      </c>
      <c r="E1707" t="s">
        <v>721</v>
      </c>
      <c r="F1707" t="s">
        <v>84</v>
      </c>
      <c r="G1707" s="202">
        <v>2</v>
      </c>
      <c r="H1707">
        <v>3</v>
      </c>
      <c r="I1707" t="s">
        <v>3976</v>
      </c>
      <c r="J1707" t="s">
        <v>5230</v>
      </c>
      <c r="K1707" t="s">
        <v>1283</v>
      </c>
      <c r="L1707" s="204">
        <v>0.04</v>
      </c>
      <c r="M1707" s="112">
        <v>18.66</v>
      </c>
      <c r="N1707" s="112">
        <v>0.74640000000000006</v>
      </c>
      <c r="O1707" s="204"/>
      <c r="P1707" s="112"/>
      <c r="Q1707" s="112"/>
      <c r="R1707" s="112"/>
      <c r="S1707" s="112"/>
      <c r="T1707" s="112"/>
      <c r="U1707" t="s">
        <v>5616</v>
      </c>
      <c r="V1707" t="s">
        <v>5617</v>
      </c>
      <c r="W1707" t="s">
        <v>3958</v>
      </c>
      <c r="X1707" t="s">
        <v>4660</v>
      </c>
    </row>
    <row r="1708" spans="1:24" x14ac:dyDescent="0.2">
      <c r="A1708" t="s">
        <v>5615</v>
      </c>
      <c r="B1708" t="s">
        <v>720</v>
      </c>
      <c r="C1708" t="s">
        <v>1787</v>
      </c>
      <c r="D1708" t="s">
        <v>56</v>
      </c>
      <c r="E1708" t="s">
        <v>721</v>
      </c>
      <c r="F1708" t="s">
        <v>84</v>
      </c>
      <c r="G1708" s="202">
        <v>2</v>
      </c>
      <c r="H1708">
        <v>4</v>
      </c>
      <c r="I1708" t="s">
        <v>4017</v>
      </c>
      <c r="J1708" t="s">
        <v>4851</v>
      </c>
      <c r="K1708" t="s">
        <v>1283</v>
      </c>
      <c r="L1708" s="204">
        <v>0.06</v>
      </c>
      <c r="M1708" s="112">
        <v>18.66</v>
      </c>
      <c r="N1708" s="112">
        <v>1.1195999999999999</v>
      </c>
      <c r="O1708" s="204"/>
      <c r="P1708" s="112"/>
      <c r="Q1708" s="112"/>
      <c r="R1708" s="112"/>
      <c r="S1708" s="112"/>
      <c r="T1708" s="112"/>
      <c r="U1708" t="s">
        <v>5616</v>
      </c>
      <c r="V1708" t="s">
        <v>5617</v>
      </c>
      <c r="W1708" t="s">
        <v>3958</v>
      </c>
      <c r="X1708" t="s">
        <v>4660</v>
      </c>
    </row>
    <row r="1709" spans="1:24" x14ac:dyDescent="0.2">
      <c r="A1709" t="s">
        <v>5615</v>
      </c>
      <c r="B1709" t="s">
        <v>720</v>
      </c>
      <c r="C1709" t="s">
        <v>1787</v>
      </c>
      <c r="D1709" t="s">
        <v>56</v>
      </c>
      <c r="E1709" t="s">
        <v>721</v>
      </c>
      <c r="F1709" t="s">
        <v>84</v>
      </c>
      <c r="G1709" s="202">
        <v>2</v>
      </c>
      <c r="H1709">
        <v>5</v>
      </c>
      <c r="I1709" t="s">
        <v>3968</v>
      </c>
      <c r="J1709" t="s">
        <v>3969</v>
      </c>
      <c r="K1709" t="s">
        <v>84</v>
      </c>
      <c r="L1709" s="204">
        <v>1</v>
      </c>
      <c r="M1709" s="112"/>
      <c r="N1709" s="112">
        <v>18.66</v>
      </c>
      <c r="O1709" s="204">
        <v>0.22213290460878876</v>
      </c>
      <c r="P1709" s="112">
        <v>4.1449999999999996</v>
      </c>
      <c r="Q1709" s="112">
        <v>22.805</v>
      </c>
      <c r="R1709" s="112">
        <v>45.61</v>
      </c>
      <c r="S1709" s="112">
        <v>45.61</v>
      </c>
      <c r="T1709" s="112">
        <v>0</v>
      </c>
      <c r="U1709" t="s">
        <v>5616</v>
      </c>
      <c r="V1709" t="s">
        <v>5617</v>
      </c>
      <c r="W1709" t="s">
        <v>4666</v>
      </c>
      <c r="X1709" t="s">
        <v>4667</v>
      </c>
    </row>
    <row r="1710" spans="1:24" x14ac:dyDescent="0.2">
      <c r="A1710" t="s">
        <v>5618</v>
      </c>
      <c r="B1710" t="s">
        <v>722</v>
      </c>
      <c r="C1710" t="s">
        <v>1788</v>
      </c>
      <c r="D1710" t="s">
        <v>56</v>
      </c>
      <c r="E1710" t="s">
        <v>723</v>
      </c>
      <c r="F1710" t="s">
        <v>84</v>
      </c>
      <c r="G1710" s="202">
        <v>41</v>
      </c>
      <c r="H1710">
        <v>1</v>
      </c>
      <c r="I1710" t="s">
        <v>3954</v>
      </c>
      <c r="J1710" t="s">
        <v>5227</v>
      </c>
      <c r="K1710" t="s">
        <v>1283</v>
      </c>
      <c r="L1710" s="204">
        <v>0.26</v>
      </c>
      <c r="M1710" s="112">
        <v>8.6025000000000009</v>
      </c>
      <c r="N1710" s="112">
        <v>2.2366500000000005</v>
      </c>
      <c r="O1710" s="204"/>
      <c r="P1710" s="112"/>
      <c r="Q1710" s="112"/>
      <c r="R1710" s="112"/>
      <c r="S1710" s="112"/>
      <c r="T1710" s="112"/>
      <c r="U1710" t="s">
        <v>5619</v>
      </c>
      <c r="V1710" t="s">
        <v>5620</v>
      </c>
      <c r="W1710" t="s">
        <v>3958</v>
      </c>
      <c r="X1710" t="s">
        <v>4660</v>
      </c>
    </row>
    <row r="1711" spans="1:24" x14ac:dyDescent="0.2">
      <c r="A1711" t="s">
        <v>5618</v>
      </c>
      <c r="B1711" t="s">
        <v>722</v>
      </c>
      <c r="C1711" t="s">
        <v>1788</v>
      </c>
      <c r="D1711" t="s">
        <v>56</v>
      </c>
      <c r="E1711" t="s">
        <v>723</v>
      </c>
      <c r="F1711" t="s">
        <v>84</v>
      </c>
      <c r="G1711" s="202">
        <v>41</v>
      </c>
      <c r="H1711">
        <v>2</v>
      </c>
      <c r="I1711" t="s">
        <v>3960</v>
      </c>
      <c r="J1711" t="s">
        <v>5229</v>
      </c>
      <c r="K1711" t="s">
        <v>1283</v>
      </c>
      <c r="L1711" s="204">
        <v>0.64</v>
      </c>
      <c r="M1711" s="112">
        <v>8.6025000000000009</v>
      </c>
      <c r="N1711" s="112">
        <v>5.5056000000000003</v>
      </c>
      <c r="O1711" s="204"/>
      <c r="P1711" s="112"/>
      <c r="Q1711" s="112"/>
      <c r="R1711" s="112"/>
      <c r="S1711" s="112"/>
      <c r="T1711" s="112"/>
      <c r="U1711" t="s">
        <v>5619</v>
      </c>
      <c r="V1711" t="s">
        <v>5620</v>
      </c>
      <c r="W1711" t="s">
        <v>3958</v>
      </c>
      <c r="X1711" t="s">
        <v>4660</v>
      </c>
    </row>
    <row r="1712" spans="1:24" x14ac:dyDescent="0.2">
      <c r="A1712" t="s">
        <v>5618</v>
      </c>
      <c r="B1712" t="s">
        <v>722</v>
      </c>
      <c r="C1712" t="s">
        <v>1788</v>
      </c>
      <c r="D1712" t="s">
        <v>56</v>
      </c>
      <c r="E1712" t="s">
        <v>723</v>
      </c>
      <c r="F1712" t="s">
        <v>84</v>
      </c>
      <c r="G1712" s="202">
        <v>41</v>
      </c>
      <c r="H1712">
        <v>3</v>
      </c>
      <c r="I1712" t="s">
        <v>3976</v>
      </c>
      <c r="J1712" t="s">
        <v>5230</v>
      </c>
      <c r="K1712" t="s">
        <v>1283</v>
      </c>
      <c r="L1712" s="204">
        <v>0.04</v>
      </c>
      <c r="M1712" s="112">
        <v>8.6025000000000009</v>
      </c>
      <c r="N1712" s="112">
        <v>0.34410000000000002</v>
      </c>
      <c r="O1712" s="204"/>
      <c r="P1712" s="112"/>
      <c r="Q1712" s="112"/>
      <c r="R1712" s="112"/>
      <c r="S1712" s="112"/>
      <c r="T1712" s="112"/>
      <c r="U1712" t="s">
        <v>5619</v>
      </c>
      <c r="V1712" t="s">
        <v>5620</v>
      </c>
      <c r="W1712" t="s">
        <v>3958</v>
      </c>
      <c r="X1712" t="s">
        <v>4660</v>
      </c>
    </row>
    <row r="1713" spans="1:24" x14ac:dyDescent="0.2">
      <c r="A1713" t="s">
        <v>5618</v>
      </c>
      <c r="B1713" t="s">
        <v>722</v>
      </c>
      <c r="C1713" t="s">
        <v>1788</v>
      </c>
      <c r="D1713" t="s">
        <v>56</v>
      </c>
      <c r="E1713" t="s">
        <v>723</v>
      </c>
      <c r="F1713" t="s">
        <v>84</v>
      </c>
      <c r="G1713" s="202">
        <v>41</v>
      </c>
      <c r="H1713">
        <v>4</v>
      </c>
      <c r="I1713" t="s">
        <v>4017</v>
      </c>
      <c r="J1713" t="s">
        <v>4851</v>
      </c>
      <c r="K1713" t="s">
        <v>1283</v>
      </c>
      <c r="L1713" s="204">
        <v>0.06</v>
      </c>
      <c r="M1713" s="112">
        <v>8.6025000000000009</v>
      </c>
      <c r="N1713" s="112">
        <v>0.51615</v>
      </c>
      <c r="O1713" s="204"/>
      <c r="P1713" s="112"/>
      <c r="Q1713" s="112"/>
      <c r="R1713" s="112"/>
      <c r="S1713" s="112"/>
      <c r="T1713" s="112"/>
      <c r="U1713" t="s">
        <v>5619</v>
      </c>
      <c r="V1713" t="s">
        <v>5620</v>
      </c>
      <c r="W1713" t="s">
        <v>3958</v>
      </c>
      <c r="X1713" t="s">
        <v>4660</v>
      </c>
    </row>
    <row r="1714" spans="1:24" x14ac:dyDescent="0.2">
      <c r="A1714" t="s">
        <v>5618</v>
      </c>
      <c r="B1714" t="s">
        <v>722</v>
      </c>
      <c r="C1714" t="s">
        <v>1788</v>
      </c>
      <c r="D1714" t="s">
        <v>56</v>
      </c>
      <c r="E1714" t="s">
        <v>723</v>
      </c>
      <c r="F1714" t="s">
        <v>84</v>
      </c>
      <c r="G1714" s="202">
        <v>41</v>
      </c>
      <c r="H1714">
        <v>5</v>
      </c>
      <c r="I1714" t="s">
        <v>3968</v>
      </c>
      <c r="J1714" t="s">
        <v>3969</v>
      </c>
      <c r="K1714" t="s">
        <v>84</v>
      </c>
      <c r="L1714" s="204">
        <v>1</v>
      </c>
      <c r="M1714" s="112"/>
      <c r="N1714" s="112">
        <v>8.6025000000000009</v>
      </c>
      <c r="O1714" s="204">
        <v>0.22142598932528124</v>
      </c>
      <c r="P1714" s="112">
        <v>1.9048170731707312</v>
      </c>
      <c r="Q1714" s="112">
        <v>10.507317073170732</v>
      </c>
      <c r="R1714" s="112">
        <v>430.8</v>
      </c>
      <c r="S1714" s="112">
        <v>430.8</v>
      </c>
      <c r="T1714" s="112">
        <v>0</v>
      </c>
      <c r="U1714" t="s">
        <v>5619</v>
      </c>
      <c r="V1714" t="s">
        <v>5620</v>
      </c>
      <c r="W1714" t="s">
        <v>4666</v>
      </c>
      <c r="X1714" t="s">
        <v>4667</v>
      </c>
    </row>
    <row r="1715" spans="1:24" x14ac:dyDescent="0.2">
      <c r="A1715" t="s">
        <v>5621</v>
      </c>
      <c r="B1715" t="s">
        <v>724</v>
      </c>
      <c r="C1715" t="s">
        <v>1789</v>
      </c>
      <c r="D1715" t="s">
        <v>56</v>
      </c>
      <c r="E1715" t="s">
        <v>725</v>
      </c>
      <c r="F1715" t="s">
        <v>84</v>
      </c>
      <c r="G1715" s="202">
        <v>45</v>
      </c>
      <c r="H1715">
        <v>1</v>
      </c>
      <c r="I1715" t="s">
        <v>3954</v>
      </c>
      <c r="J1715" t="s">
        <v>5227</v>
      </c>
      <c r="K1715" t="s">
        <v>1283</v>
      </c>
      <c r="L1715" s="204">
        <v>0.26</v>
      </c>
      <c r="M1715" s="112">
        <v>8.0024999999999995</v>
      </c>
      <c r="N1715" s="112">
        <v>2.0806499999999999</v>
      </c>
      <c r="O1715" s="204"/>
      <c r="P1715" s="112"/>
      <c r="Q1715" s="112"/>
      <c r="R1715" s="112"/>
      <c r="S1715" s="112"/>
      <c r="T1715" s="112"/>
      <c r="U1715" t="s">
        <v>5622</v>
      </c>
      <c r="V1715" t="s">
        <v>5623</v>
      </c>
      <c r="W1715" t="s">
        <v>3958</v>
      </c>
      <c r="X1715" t="s">
        <v>4660</v>
      </c>
    </row>
    <row r="1716" spans="1:24" x14ac:dyDescent="0.2">
      <c r="A1716" t="s">
        <v>5621</v>
      </c>
      <c r="B1716" t="s">
        <v>724</v>
      </c>
      <c r="C1716" t="s">
        <v>1789</v>
      </c>
      <c r="D1716" t="s">
        <v>56</v>
      </c>
      <c r="E1716" t="s">
        <v>725</v>
      </c>
      <c r="F1716" t="s">
        <v>84</v>
      </c>
      <c r="G1716" s="202">
        <v>45</v>
      </c>
      <c r="H1716">
        <v>2</v>
      </c>
      <c r="I1716" t="s">
        <v>3960</v>
      </c>
      <c r="J1716" t="s">
        <v>5229</v>
      </c>
      <c r="K1716" t="s">
        <v>1283</v>
      </c>
      <c r="L1716" s="204">
        <v>0.64</v>
      </c>
      <c r="M1716" s="112">
        <v>8.0024999999999995</v>
      </c>
      <c r="N1716" s="112">
        <v>5.1215999999999999</v>
      </c>
      <c r="O1716" s="204"/>
      <c r="P1716" s="112"/>
      <c r="Q1716" s="112"/>
      <c r="R1716" s="112"/>
      <c r="S1716" s="112"/>
      <c r="T1716" s="112"/>
      <c r="U1716" t="s">
        <v>5622</v>
      </c>
      <c r="V1716" t="s">
        <v>5623</v>
      </c>
      <c r="W1716" t="s">
        <v>3958</v>
      </c>
      <c r="X1716" t="s">
        <v>4660</v>
      </c>
    </row>
    <row r="1717" spans="1:24" x14ac:dyDescent="0.2">
      <c r="A1717" t="s">
        <v>5621</v>
      </c>
      <c r="B1717" t="s">
        <v>724</v>
      </c>
      <c r="C1717" t="s">
        <v>1789</v>
      </c>
      <c r="D1717" t="s">
        <v>56</v>
      </c>
      <c r="E1717" t="s">
        <v>725</v>
      </c>
      <c r="F1717" t="s">
        <v>84</v>
      </c>
      <c r="G1717" s="202">
        <v>45</v>
      </c>
      <c r="H1717">
        <v>3</v>
      </c>
      <c r="I1717" t="s">
        <v>3976</v>
      </c>
      <c r="J1717" t="s">
        <v>5230</v>
      </c>
      <c r="K1717" t="s">
        <v>1283</v>
      </c>
      <c r="L1717" s="204">
        <v>0.04</v>
      </c>
      <c r="M1717" s="112">
        <v>8.0024999999999995</v>
      </c>
      <c r="N1717" s="112">
        <v>0.3201</v>
      </c>
      <c r="O1717" s="204"/>
      <c r="P1717" s="112"/>
      <c r="Q1717" s="112"/>
      <c r="R1717" s="112"/>
      <c r="S1717" s="112"/>
      <c r="T1717" s="112"/>
      <c r="U1717" t="s">
        <v>5622</v>
      </c>
      <c r="V1717" t="s">
        <v>5623</v>
      </c>
      <c r="W1717" t="s">
        <v>3958</v>
      </c>
      <c r="X1717" t="s">
        <v>4660</v>
      </c>
    </row>
    <row r="1718" spans="1:24" x14ac:dyDescent="0.2">
      <c r="A1718" t="s">
        <v>5621</v>
      </c>
      <c r="B1718" t="s">
        <v>724</v>
      </c>
      <c r="C1718" t="s">
        <v>1789</v>
      </c>
      <c r="D1718" t="s">
        <v>56</v>
      </c>
      <c r="E1718" t="s">
        <v>725</v>
      </c>
      <c r="F1718" t="s">
        <v>84</v>
      </c>
      <c r="G1718" s="202">
        <v>45</v>
      </c>
      <c r="H1718">
        <v>4</v>
      </c>
      <c r="I1718" t="s">
        <v>4017</v>
      </c>
      <c r="J1718" t="s">
        <v>4851</v>
      </c>
      <c r="K1718" t="s">
        <v>1283</v>
      </c>
      <c r="L1718" s="204">
        <v>0.06</v>
      </c>
      <c r="M1718" s="112">
        <v>8.0024999999999995</v>
      </c>
      <c r="N1718" s="112">
        <v>0.48014999999999997</v>
      </c>
      <c r="O1718" s="204"/>
      <c r="P1718" s="112"/>
      <c r="Q1718" s="112"/>
      <c r="R1718" s="112"/>
      <c r="S1718" s="112"/>
      <c r="T1718" s="112"/>
      <c r="U1718" t="s">
        <v>5622</v>
      </c>
      <c r="V1718" t="s">
        <v>5623</v>
      </c>
      <c r="W1718" t="s">
        <v>3958</v>
      </c>
      <c r="X1718" t="s">
        <v>4660</v>
      </c>
    </row>
    <row r="1719" spans="1:24" x14ac:dyDescent="0.2">
      <c r="A1719" t="s">
        <v>5621</v>
      </c>
      <c r="B1719" t="s">
        <v>724</v>
      </c>
      <c r="C1719" t="s">
        <v>1789</v>
      </c>
      <c r="D1719" t="s">
        <v>56</v>
      </c>
      <c r="E1719" t="s">
        <v>725</v>
      </c>
      <c r="F1719" t="s">
        <v>84</v>
      </c>
      <c r="G1719" s="202">
        <v>45</v>
      </c>
      <c r="H1719">
        <v>5</v>
      </c>
      <c r="I1719" t="s">
        <v>3968</v>
      </c>
      <c r="J1719" t="s">
        <v>3969</v>
      </c>
      <c r="K1719" t="s">
        <v>84</v>
      </c>
      <c r="L1719" s="204">
        <v>1</v>
      </c>
      <c r="M1719" s="112"/>
      <c r="N1719" s="112">
        <v>8.0024999999999995</v>
      </c>
      <c r="O1719" s="204">
        <v>0.2221180880974698</v>
      </c>
      <c r="P1719" s="112">
        <v>1.7775000000000016</v>
      </c>
      <c r="Q1719" s="112">
        <v>9.7800000000000011</v>
      </c>
      <c r="R1719" s="112">
        <v>440.1</v>
      </c>
      <c r="S1719" s="112">
        <v>440.1</v>
      </c>
      <c r="T1719" s="112">
        <v>0</v>
      </c>
      <c r="U1719" t="s">
        <v>5622</v>
      </c>
      <c r="V1719" t="s">
        <v>5623</v>
      </c>
      <c r="W1719" t="s">
        <v>4666</v>
      </c>
      <c r="X1719" t="s">
        <v>4667</v>
      </c>
    </row>
    <row r="1720" spans="1:24" x14ac:dyDescent="0.2">
      <c r="A1720" t="s">
        <v>5624</v>
      </c>
      <c r="B1720" t="s">
        <v>726</v>
      </c>
      <c r="C1720" t="s">
        <v>1790</v>
      </c>
      <c r="D1720" t="s">
        <v>56</v>
      </c>
      <c r="E1720" t="s">
        <v>727</v>
      </c>
      <c r="F1720" t="s">
        <v>84</v>
      </c>
      <c r="G1720" s="202">
        <v>24</v>
      </c>
      <c r="H1720">
        <v>1</v>
      </c>
      <c r="I1720" t="s">
        <v>3954</v>
      </c>
      <c r="J1720" t="s">
        <v>5227</v>
      </c>
      <c r="K1720" t="s">
        <v>1283</v>
      </c>
      <c r="L1720" s="204">
        <v>0.26</v>
      </c>
      <c r="M1720" s="112">
        <v>14.940000000000001</v>
      </c>
      <c r="N1720" s="112">
        <v>3.8844000000000003</v>
      </c>
      <c r="O1720" s="204"/>
      <c r="P1720" s="112"/>
      <c r="Q1720" s="112"/>
      <c r="R1720" s="112"/>
      <c r="S1720" s="112"/>
      <c r="T1720" s="112"/>
      <c r="U1720" t="s">
        <v>5625</v>
      </c>
      <c r="V1720" t="s">
        <v>5626</v>
      </c>
      <c r="W1720" t="s">
        <v>3958</v>
      </c>
      <c r="X1720" t="s">
        <v>4660</v>
      </c>
    </row>
    <row r="1721" spans="1:24" x14ac:dyDescent="0.2">
      <c r="A1721" t="s">
        <v>5624</v>
      </c>
      <c r="B1721" t="s">
        <v>726</v>
      </c>
      <c r="C1721" t="s">
        <v>1790</v>
      </c>
      <c r="D1721" t="s">
        <v>56</v>
      </c>
      <c r="E1721" t="s">
        <v>727</v>
      </c>
      <c r="F1721" t="s">
        <v>84</v>
      </c>
      <c r="G1721" s="202">
        <v>24</v>
      </c>
      <c r="H1721">
        <v>2</v>
      </c>
      <c r="I1721" t="s">
        <v>3960</v>
      </c>
      <c r="J1721" t="s">
        <v>5229</v>
      </c>
      <c r="K1721" t="s">
        <v>1283</v>
      </c>
      <c r="L1721" s="204">
        <v>0.64</v>
      </c>
      <c r="M1721" s="112">
        <v>14.940000000000001</v>
      </c>
      <c r="N1721" s="112">
        <v>9.5616000000000003</v>
      </c>
      <c r="O1721" s="204"/>
      <c r="P1721" s="112"/>
      <c r="Q1721" s="112"/>
      <c r="R1721" s="112"/>
      <c r="S1721" s="112"/>
      <c r="T1721" s="112"/>
      <c r="U1721" t="s">
        <v>5625</v>
      </c>
      <c r="V1721" t="s">
        <v>5626</v>
      </c>
      <c r="W1721" t="s">
        <v>3958</v>
      </c>
      <c r="X1721" t="s">
        <v>4660</v>
      </c>
    </row>
    <row r="1722" spans="1:24" x14ac:dyDescent="0.2">
      <c r="A1722" t="s">
        <v>5624</v>
      </c>
      <c r="B1722" t="s">
        <v>726</v>
      </c>
      <c r="C1722" t="s">
        <v>1790</v>
      </c>
      <c r="D1722" t="s">
        <v>56</v>
      </c>
      <c r="E1722" t="s">
        <v>727</v>
      </c>
      <c r="F1722" t="s">
        <v>84</v>
      </c>
      <c r="G1722" s="202">
        <v>24</v>
      </c>
      <c r="H1722">
        <v>3</v>
      </c>
      <c r="I1722" t="s">
        <v>3976</v>
      </c>
      <c r="J1722" t="s">
        <v>5230</v>
      </c>
      <c r="K1722" t="s">
        <v>1283</v>
      </c>
      <c r="L1722" s="204">
        <v>0.04</v>
      </c>
      <c r="M1722" s="112">
        <v>14.940000000000001</v>
      </c>
      <c r="N1722" s="112">
        <v>0.59760000000000002</v>
      </c>
      <c r="O1722" s="204"/>
      <c r="P1722" s="112"/>
      <c r="Q1722" s="112"/>
      <c r="R1722" s="112"/>
      <c r="S1722" s="112"/>
      <c r="T1722" s="112"/>
      <c r="U1722" t="s">
        <v>5625</v>
      </c>
      <c r="V1722" t="s">
        <v>5626</v>
      </c>
      <c r="W1722" t="s">
        <v>3958</v>
      </c>
      <c r="X1722" t="s">
        <v>4660</v>
      </c>
    </row>
    <row r="1723" spans="1:24" x14ac:dyDescent="0.2">
      <c r="A1723" t="s">
        <v>5624</v>
      </c>
      <c r="B1723" t="s">
        <v>726</v>
      </c>
      <c r="C1723" t="s">
        <v>1790</v>
      </c>
      <c r="D1723" t="s">
        <v>56</v>
      </c>
      <c r="E1723" t="s">
        <v>727</v>
      </c>
      <c r="F1723" t="s">
        <v>84</v>
      </c>
      <c r="G1723" s="202">
        <v>24</v>
      </c>
      <c r="H1723">
        <v>4</v>
      </c>
      <c r="I1723" t="s">
        <v>4017</v>
      </c>
      <c r="J1723" t="s">
        <v>4851</v>
      </c>
      <c r="K1723" t="s">
        <v>1283</v>
      </c>
      <c r="L1723" s="204">
        <v>0.06</v>
      </c>
      <c r="M1723" s="112">
        <v>14.940000000000001</v>
      </c>
      <c r="N1723" s="112">
        <v>0.89640000000000009</v>
      </c>
      <c r="O1723" s="204"/>
      <c r="P1723" s="112"/>
      <c r="Q1723" s="112"/>
      <c r="R1723" s="112"/>
      <c r="S1723" s="112"/>
      <c r="T1723" s="112"/>
      <c r="U1723" t="s">
        <v>5625</v>
      </c>
      <c r="V1723" t="s">
        <v>5626</v>
      </c>
      <c r="W1723" t="s">
        <v>3958</v>
      </c>
      <c r="X1723" t="s">
        <v>4660</v>
      </c>
    </row>
    <row r="1724" spans="1:24" x14ac:dyDescent="0.2">
      <c r="A1724" t="s">
        <v>5624</v>
      </c>
      <c r="B1724" t="s">
        <v>726</v>
      </c>
      <c r="C1724" t="s">
        <v>1790</v>
      </c>
      <c r="D1724" t="s">
        <v>56</v>
      </c>
      <c r="E1724" t="s">
        <v>727</v>
      </c>
      <c r="F1724" t="s">
        <v>84</v>
      </c>
      <c r="G1724" s="202">
        <v>24</v>
      </c>
      <c r="H1724">
        <v>5</v>
      </c>
      <c r="I1724" t="s">
        <v>3968</v>
      </c>
      <c r="J1724" t="s">
        <v>3969</v>
      </c>
      <c r="K1724" t="s">
        <v>84</v>
      </c>
      <c r="L1724" s="204">
        <v>1</v>
      </c>
      <c r="M1724" s="112"/>
      <c r="N1724" s="112">
        <v>14.940000000000001</v>
      </c>
      <c r="O1724" s="204">
        <v>0.22188755020080309</v>
      </c>
      <c r="P1724" s="112">
        <v>3.3149999999999977</v>
      </c>
      <c r="Q1724" s="112">
        <v>18.254999999999999</v>
      </c>
      <c r="R1724" s="112">
        <v>438.12</v>
      </c>
      <c r="S1724" s="112">
        <v>438.12</v>
      </c>
      <c r="T1724" s="112">
        <v>0</v>
      </c>
      <c r="U1724" t="s">
        <v>5625</v>
      </c>
      <c r="V1724" t="s">
        <v>5626</v>
      </c>
      <c r="W1724" t="s">
        <v>4666</v>
      </c>
      <c r="X1724" t="s">
        <v>4667</v>
      </c>
    </row>
    <row r="1725" spans="1:24" x14ac:dyDescent="0.2">
      <c r="A1725" t="s">
        <v>5627</v>
      </c>
      <c r="B1725" t="s">
        <v>728</v>
      </c>
      <c r="C1725" t="s">
        <v>1791</v>
      </c>
      <c r="D1725" t="s">
        <v>56</v>
      </c>
      <c r="E1725" t="s">
        <v>729</v>
      </c>
      <c r="F1725" t="s">
        <v>84</v>
      </c>
      <c r="G1725" s="202">
        <v>3</v>
      </c>
      <c r="H1725">
        <v>1</v>
      </c>
      <c r="I1725" t="s">
        <v>3954</v>
      </c>
      <c r="J1725" t="s">
        <v>5227</v>
      </c>
      <c r="K1725" t="s">
        <v>1283</v>
      </c>
      <c r="L1725" s="204">
        <v>0.26</v>
      </c>
      <c r="M1725" s="112">
        <v>31.86</v>
      </c>
      <c r="N1725" s="112">
        <v>8.2835999999999999</v>
      </c>
      <c r="O1725" s="204"/>
      <c r="P1725" s="112"/>
      <c r="Q1725" s="112"/>
      <c r="R1725" s="112"/>
      <c r="S1725" s="112"/>
      <c r="T1725" s="112"/>
      <c r="U1725" t="s">
        <v>5628</v>
      </c>
      <c r="V1725" t="s">
        <v>5629</v>
      </c>
      <c r="W1725" t="s">
        <v>3958</v>
      </c>
      <c r="X1725" t="s">
        <v>4660</v>
      </c>
    </row>
    <row r="1726" spans="1:24" x14ac:dyDescent="0.2">
      <c r="A1726" t="s">
        <v>5627</v>
      </c>
      <c r="B1726" t="s">
        <v>728</v>
      </c>
      <c r="C1726" t="s">
        <v>1791</v>
      </c>
      <c r="D1726" t="s">
        <v>56</v>
      </c>
      <c r="E1726" t="s">
        <v>729</v>
      </c>
      <c r="F1726" t="s">
        <v>84</v>
      </c>
      <c r="G1726" s="202">
        <v>3</v>
      </c>
      <c r="H1726">
        <v>2</v>
      </c>
      <c r="I1726" t="s">
        <v>3960</v>
      </c>
      <c r="J1726" t="s">
        <v>5229</v>
      </c>
      <c r="K1726" t="s">
        <v>1283</v>
      </c>
      <c r="L1726" s="204">
        <v>0.64</v>
      </c>
      <c r="M1726" s="112">
        <v>31.86</v>
      </c>
      <c r="N1726" s="112">
        <v>20.3904</v>
      </c>
      <c r="O1726" s="204"/>
      <c r="P1726" s="112"/>
      <c r="Q1726" s="112"/>
      <c r="R1726" s="112"/>
      <c r="S1726" s="112"/>
      <c r="T1726" s="112"/>
      <c r="U1726" t="s">
        <v>5628</v>
      </c>
      <c r="V1726" t="s">
        <v>5629</v>
      </c>
      <c r="W1726" t="s">
        <v>3958</v>
      </c>
      <c r="X1726" t="s">
        <v>4660</v>
      </c>
    </row>
    <row r="1727" spans="1:24" x14ac:dyDescent="0.2">
      <c r="A1727" t="s">
        <v>5627</v>
      </c>
      <c r="B1727" t="s">
        <v>728</v>
      </c>
      <c r="C1727" t="s">
        <v>1791</v>
      </c>
      <c r="D1727" t="s">
        <v>56</v>
      </c>
      <c r="E1727" t="s">
        <v>729</v>
      </c>
      <c r="F1727" t="s">
        <v>84</v>
      </c>
      <c r="G1727" s="202">
        <v>3</v>
      </c>
      <c r="H1727">
        <v>3</v>
      </c>
      <c r="I1727" t="s">
        <v>3976</v>
      </c>
      <c r="J1727" t="s">
        <v>5230</v>
      </c>
      <c r="K1727" t="s">
        <v>1283</v>
      </c>
      <c r="L1727" s="204">
        <v>0.04</v>
      </c>
      <c r="M1727" s="112">
        <v>31.86</v>
      </c>
      <c r="N1727" s="112">
        <v>1.2744</v>
      </c>
      <c r="O1727" s="204"/>
      <c r="P1727" s="112"/>
      <c r="Q1727" s="112"/>
      <c r="R1727" s="112"/>
      <c r="S1727" s="112"/>
      <c r="T1727" s="112"/>
      <c r="U1727" t="s">
        <v>5628</v>
      </c>
      <c r="V1727" t="s">
        <v>5629</v>
      </c>
      <c r="W1727" t="s">
        <v>3958</v>
      </c>
      <c r="X1727" t="s">
        <v>4660</v>
      </c>
    </row>
    <row r="1728" spans="1:24" x14ac:dyDescent="0.2">
      <c r="A1728" t="s">
        <v>5627</v>
      </c>
      <c r="B1728" t="s">
        <v>728</v>
      </c>
      <c r="C1728" t="s">
        <v>1791</v>
      </c>
      <c r="D1728" t="s">
        <v>56</v>
      </c>
      <c r="E1728" t="s">
        <v>729</v>
      </c>
      <c r="F1728" t="s">
        <v>84</v>
      </c>
      <c r="G1728" s="202">
        <v>3</v>
      </c>
      <c r="H1728">
        <v>4</v>
      </c>
      <c r="I1728" t="s">
        <v>4017</v>
      </c>
      <c r="J1728" t="s">
        <v>4851</v>
      </c>
      <c r="K1728" t="s">
        <v>1283</v>
      </c>
      <c r="L1728" s="204">
        <v>0.06</v>
      </c>
      <c r="M1728" s="112">
        <v>31.86</v>
      </c>
      <c r="N1728" s="112">
        <v>1.9116</v>
      </c>
      <c r="O1728" s="204"/>
      <c r="P1728" s="112"/>
      <c r="Q1728" s="112"/>
      <c r="R1728" s="112"/>
      <c r="S1728" s="112"/>
      <c r="T1728" s="112"/>
      <c r="U1728" t="s">
        <v>5628</v>
      </c>
      <c r="V1728" t="s">
        <v>5629</v>
      </c>
      <c r="W1728" t="s">
        <v>3958</v>
      </c>
      <c r="X1728" t="s">
        <v>4660</v>
      </c>
    </row>
    <row r="1729" spans="1:24" x14ac:dyDescent="0.2">
      <c r="A1729" t="s">
        <v>5627</v>
      </c>
      <c r="B1729" t="s">
        <v>728</v>
      </c>
      <c r="C1729" t="s">
        <v>1791</v>
      </c>
      <c r="D1729" t="s">
        <v>56</v>
      </c>
      <c r="E1729" t="s">
        <v>729</v>
      </c>
      <c r="F1729" t="s">
        <v>84</v>
      </c>
      <c r="G1729" s="202">
        <v>3</v>
      </c>
      <c r="H1729">
        <v>5</v>
      </c>
      <c r="I1729" t="s">
        <v>3968</v>
      </c>
      <c r="J1729" t="s">
        <v>3969</v>
      </c>
      <c r="K1729" t="s">
        <v>84</v>
      </c>
      <c r="L1729" s="204">
        <v>1</v>
      </c>
      <c r="M1729" s="112"/>
      <c r="N1729" s="112">
        <v>31.86</v>
      </c>
      <c r="O1729" s="204">
        <v>0.2222222222222221</v>
      </c>
      <c r="P1729" s="112">
        <v>7.0799999999999983</v>
      </c>
      <c r="Q1729" s="112">
        <v>38.94</v>
      </c>
      <c r="R1729" s="112">
        <v>116.82</v>
      </c>
      <c r="S1729" s="112">
        <v>116.82</v>
      </c>
      <c r="T1729" s="112">
        <v>0</v>
      </c>
      <c r="U1729" t="s">
        <v>5628</v>
      </c>
      <c r="V1729" t="s">
        <v>5629</v>
      </c>
      <c r="W1729" t="s">
        <v>4666</v>
      </c>
      <c r="X1729" t="s">
        <v>4667</v>
      </c>
    </row>
    <row r="1730" spans="1:24" x14ac:dyDescent="0.2">
      <c r="A1730" t="s">
        <v>5630</v>
      </c>
      <c r="B1730" t="s">
        <v>730</v>
      </c>
      <c r="C1730" t="s">
        <v>1792</v>
      </c>
      <c r="D1730" t="s">
        <v>56</v>
      </c>
      <c r="E1730" t="s">
        <v>731</v>
      </c>
      <c r="F1730" t="s">
        <v>84</v>
      </c>
      <c r="G1730" s="202">
        <v>3</v>
      </c>
      <c r="H1730">
        <v>1</v>
      </c>
      <c r="I1730" t="s">
        <v>3954</v>
      </c>
      <c r="J1730" t="s">
        <v>5227</v>
      </c>
      <c r="K1730" t="s">
        <v>1283</v>
      </c>
      <c r="L1730" s="204">
        <v>0.26</v>
      </c>
      <c r="M1730" s="112">
        <v>16.035</v>
      </c>
      <c r="N1730" s="112">
        <v>4.1691000000000003</v>
      </c>
      <c r="O1730" s="204"/>
      <c r="P1730" s="112"/>
      <c r="Q1730" s="112"/>
      <c r="R1730" s="112"/>
      <c r="S1730" s="112"/>
      <c r="T1730" s="112"/>
      <c r="U1730" t="s">
        <v>5631</v>
      </c>
      <c r="V1730" t="s">
        <v>5632</v>
      </c>
      <c r="W1730" t="s">
        <v>3958</v>
      </c>
      <c r="X1730" t="s">
        <v>4660</v>
      </c>
    </row>
    <row r="1731" spans="1:24" x14ac:dyDescent="0.2">
      <c r="A1731" t="s">
        <v>5630</v>
      </c>
      <c r="B1731" t="s">
        <v>730</v>
      </c>
      <c r="C1731" t="s">
        <v>1792</v>
      </c>
      <c r="D1731" t="s">
        <v>56</v>
      </c>
      <c r="E1731" t="s">
        <v>731</v>
      </c>
      <c r="F1731" t="s">
        <v>84</v>
      </c>
      <c r="G1731" s="202">
        <v>3</v>
      </c>
      <c r="H1731">
        <v>2</v>
      </c>
      <c r="I1731" t="s">
        <v>3960</v>
      </c>
      <c r="J1731" t="s">
        <v>5229</v>
      </c>
      <c r="K1731" t="s">
        <v>1283</v>
      </c>
      <c r="L1731" s="204">
        <v>0.64</v>
      </c>
      <c r="M1731" s="112">
        <v>16.035</v>
      </c>
      <c r="N1731" s="112">
        <v>10.2624</v>
      </c>
      <c r="O1731" s="204"/>
      <c r="P1731" s="112"/>
      <c r="Q1731" s="112"/>
      <c r="R1731" s="112"/>
      <c r="S1731" s="112"/>
      <c r="T1731" s="112"/>
      <c r="U1731" t="s">
        <v>5631</v>
      </c>
      <c r="V1731" t="s">
        <v>5632</v>
      </c>
      <c r="W1731" t="s">
        <v>3958</v>
      </c>
      <c r="X1731" t="s">
        <v>4660</v>
      </c>
    </row>
    <row r="1732" spans="1:24" x14ac:dyDescent="0.2">
      <c r="A1732" t="s">
        <v>5630</v>
      </c>
      <c r="B1732" t="s">
        <v>730</v>
      </c>
      <c r="C1732" t="s">
        <v>1792</v>
      </c>
      <c r="D1732" t="s">
        <v>56</v>
      </c>
      <c r="E1732" t="s">
        <v>731</v>
      </c>
      <c r="F1732" t="s">
        <v>84</v>
      </c>
      <c r="G1732" s="202">
        <v>3</v>
      </c>
      <c r="H1732">
        <v>3</v>
      </c>
      <c r="I1732" t="s">
        <v>3976</v>
      </c>
      <c r="J1732" t="s">
        <v>5230</v>
      </c>
      <c r="K1732" t="s">
        <v>1283</v>
      </c>
      <c r="L1732" s="204">
        <v>0.04</v>
      </c>
      <c r="M1732" s="112">
        <v>16.035</v>
      </c>
      <c r="N1732" s="112">
        <v>0.64139999999999997</v>
      </c>
      <c r="O1732" s="204"/>
      <c r="P1732" s="112"/>
      <c r="Q1732" s="112"/>
      <c r="R1732" s="112"/>
      <c r="S1732" s="112"/>
      <c r="T1732" s="112"/>
      <c r="U1732" t="s">
        <v>5631</v>
      </c>
      <c r="V1732" t="s">
        <v>5632</v>
      </c>
      <c r="W1732" t="s">
        <v>3958</v>
      </c>
      <c r="X1732" t="s">
        <v>4660</v>
      </c>
    </row>
    <row r="1733" spans="1:24" x14ac:dyDescent="0.2">
      <c r="A1733" t="s">
        <v>5630</v>
      </c>
      <c r="B1733" t="s">
        <v>730</v>
      </c>
      <c r="C1733" t="s">
        <v>1792</v>
      </c>
      <c r="D1733" t="s">
        <v>56</v>
      </c>
      <c r="E1733" t="s">
        <v>731</v>
      </c>
      <c r="F1733" t="s">
        <v>84</v>
      </c>
      <c r="G1733" s="202">
        <v>3</v>
      </c>
      <c r="H1733">
        <v>4</v>
      </c>
      <c r="I1733" t="s">
        <v>4017</v>
      </c>
      <c r="J1733" t="s">
        <v>4851</v>
      </c>
      <c r="K1733" t="s">
        <v>1283</v>
      </c>
      <c r="L1733" s="204">
        <v>0.06</v>
      </c>
      <c r="M1733" s="112">
        <v>16.035</v>
      </c>
      <c r="N1733" s="112">
        <v>0.96209999999999996</v>
      </c>
      <c r="O1733" s="204"/>
      <c r="P1733" s="112"/>
      <c r="Q1733" s="112"/>
      <c r="R1733" s="112"/>
      <c r="S1733" s="112"/>
      <c r="T1733" s="112"/>
      <c r="U1733" t="s">
        <v>5631</v>
      </c>
      <c r="V1733" t="s">
        <v>5632</v>
      </c>
      <c r="W1733" t="s">
        <v>3958</v>
      </c>
      <c r="X1733" t="s">
        <v>4660</v>
      </c>
    </row>
    <row r="1734" spans="1:24" x14ac:dyDescent="0.2">
      <c r="A1734" t="s">
        <v>5630</v>
      </c>
      <c r="B1734" t="s">
        <v>730</v>
      </c>
      <c r="C1734" t="s">
        <v>1792</v>
      </c>
      <c r="D1734" t="s">
        <v>56</v>
      </c>
      <c r="E1734" t="s">
        <v>731</v>
      </c>
      <c r="F1734" t="s">
        <v>84</v>
      </c>
      <c r="G1734" s="202">
        <v>3</v>
      </c>
      <c r="H1734">
        <v>5</v>
      </c>
      <c r="I1734" t="s">
        <v>3968</v>
      </c>
      <c r="J1734" t="s">
        <v>3969</v>
      </c>
      <c r="K1734" t="s">
        <v>84</v>
      </c>
      <c r="L1734" s="204">
        <v>1</v>
      </c>
      <c r="M1734" s="112"/>
      <c r="N1734" s="112">
        <v>16.035</v>
      </c>
      <c r="O1734" s="204">
        <v>0.22211828292277325</v>
      </c>
      <c r="P1734" s="112">
        <v>3.5616666666666674</v>
      </c>
      <c r="Q1734" s="112">
        <v>19.596666666666668</v>
      </c>
      <c r="R1734" s="112">
        <v>58.79</v>
      </c>
      <c r="S1734" s="112">
        <v>58.79</v>
      </c>
      <c r="T1734" s="112">
        <v>0</v>
      </c>
      <c r="U1734" t="s">
        <v>5631</v>
      </c>
      <c r="V1734" t="s">
        <v>5632</v>
      </c>
      <c r="W1734" t="s">
        <v>4666</v>
      </c>
      <c r="X1734" t="s">
        <v>4667</v>
      </c>
    </row>
    <row r="1735" spans="1:24" x14ac:dyDescent="0.2">
      <c r="A1735" t="s">
        <v>5633</v>
      </c>
      <c r="B1735" t="s">
        <v>732</v>
      </c>
      <c r="C1735" t="s">
        <v>1793</v>
      </c>
      <c r="D1735" t="s">
        <v>56</v>
      </c>
      <c r="E1735" t="s">
        <v>733</v>
      </c>
      <c r="F1735" t="s">
        <v>84</v>
      </c>
      <c r="G1735" s="202">
        <v>3</v>
      </c>
      <c r="H1735">
        <v>1</v>
      </c>
      <c r="I1735" t="s">
        <v>3954</v>
      </c>
      <c r="J1735" t="s">
        <v>5227</v>
      </c>
      <c r="K1735" t="s">
        <v>1283</v>
      </c>
      <c r="L1735" s="204">
        <v>0.26</v>
      </c>
      <c r="M1735" s="112">
        <v>25.244999999999997</v>
      </c>
      <c r="N1735" s="112">
        <v>6.5636999999999999</v>
      </c>
      <c r="O1735" s="204"/>
      <c r="P1735" s="112"/>
      <c r="Q1735" s="112"/>
      <c r="R1735" s="112"/>
      <c r="S1735" s="112"/>
      <c r="T1735" s="112"/>
      <c r="U1735" t="s">
        <v>5634</v>
      </c>
      <c r="V1735" t="s">
        <v>5635</v>
      </c>
      <c r="W1735" t="s">
        <v>3958</v>
      </c>
      <c r="X1735" t="s">
        <v>4660</v>
      </c>
    </row>
    <row r="1736" spans="1:24" x14ac:dyDescent="0.2">
      <c r="A1736" t="s">
        <v>5633</v>
      </c>
      <c r="B1736" t="s">
        <v>732</v>
      </c>
      <c r="C1736" t="s">
        <v>1793</v>
      </c>
      <c r="D1736" t="s">
        <v>56</v>
      </c>
      <c r="E1736" t="s">
        <v>733</v>
      </c>
      <c r="F1736" t="s">
        <v>84</v>
      </c>
      <c r="G1736" s="202">
        <v>3</v>
      </c>
      <c r="H1736">
        <v>2</v>
      </c>
      <c r="I1736" t="s">
        <v>3960</v>
      </c>
      <c r="J1736" t="s">
        <v>5229</v>
      </c>
      <c r="K1736" t="s">
        <v>1283</v>
      </c>
      <c r="L1736" s="204">
        <v>0.64</v>
      </c>
      <c r="M1736" s="112">
        <v>25.244999999999997</v>
      </c>
      <c r="N1736" s="112">
        <v>16.156799999999997</v>
      </c>
      <c r="O1736" s="204"/>
      <c r="P1736" s="112"/>
      <c r="Q1736" s="112"/>
      <c r="R1736" s="112"/>
      <c r="S1736" s="112"/>
      <c r="T1736" s="112"/>
      <c r="U1736" t="s">
        <v>5634</v>
      </c>
      <c r="V1736" t="s">
        <v>5635</v>
      </c>
      <c r="W1736" t="s">
        <v>3958</v>
      </c>
      <c r="X1736" t="s">
        <v>4660</v>
      </c>
    </row>
    <row r="1737" spans="1:24" x14ac:dyDescent="0.2">
      <c r="A1737" t="s">
        <v>5633</v>
      </c>
      <c r="B1737" t="s">
        <v>732</v>
      </c>
      <c r="C1737" t="s">
        <v>1793</v>
      </c>
      <c r="D1737" t="s">
        <v>56</v>
      </c>
      <c r="E1737" t="s">
        <v>733</v>
      </c>
      <c r="F1737" t="s">
        <v>84</v>
      </c>
      <c r="G1737" s="202">
        <v>3</v>
      </c>
      <c r="H1737">
        <v>3</v>
      </c>
      <c r="I1737" t="s">
        <v>3976</v>
      </c>
      <c r="J1737" t="s">
        <v>5230</v>
      </c>
      <c r="K1737" t="s">
        <v>1283</v>
      </c>
      <c r="L1737" s="204">
        <v>0.04</v>
      </c>
      <c r="M1737" s="112">
        <v>25.244999999999997</v>
      </c>
      <c r="N1737" s="112">
        <v>1.0097999999999998</v>
      </c>
      <c r="O1737" s="204"/>
      <c r="P1737" s="112"/>
      <c r="Q1737" s="112"/>
      <c r="R1737" s="112"/>
      <c r="S1737" s="112"/>
      <c r="T1737" s="112"/>
      <c r="U1737" t="s">
        <v>5634</v>
      </c>
      <c r="V1737" t="s">
        <v>5635</v>
      </c>
      <c r="W1737" t="s">
        <v>3958</v>
      </c>
      <c r="X1737" t="s">
        <v>4660</v>
      </c>
    </row>
    <row r="1738" spans="1:24" x14ac:dyDescent="0.2">
      <c r="A1738" t="s">
        <v>5633</v>
      </c>
      <c r="B1738" t="s">
        <v>732</v>
      </c>
      <c r="C1738" t="s">
        <v>1793</v>
      </c>
      <c r="D1738" t="s">
        <v>56</v>
      </c>
      <c r="E1738" t="s">
        <v>733</v>
      </c>
      <c r="F1738" t="s">
        <v>84</v>
      </c>
      <c r="G1738" s="202">
        <v>3</v>
      </c>
      <c r="H1738">
        <v>4</v>
      </c>
      <c r="I1738" t="s">
        <v>4017</v>
      </c>
      <c r="J1738" t="s">
        <v>4851</v>
      </c>
      <c r="K1738" t="s">
        <v>1283</v>
      </c>
      <c r="L1738" s="204">
        <v>0.06</v>
      </c>
      <c r="M1738" s="112">
        <v>25.244999999999997</v>
      </c>
      <c r="N1738" s="112">
        <v>1.5146999999999997</v>
      </c>
      <c r="O1738" s="204"/>
      <c r="P1738" s="112"/>
      <c r="Q1738" s="112"/>
      <c r="R1738" s="112"/>
      <c r="S1738" s="112"/>
      <c r="T1738" s="112"/>
      <c r="U1738" t="s">
        <v>5634</v>
      </c>
      <c r="V1738" t="s">
        <v>5635</v>
      </c>
      <c r="W1738" t="s">
        <v>3958</v>
      </c>
      <c r="X1738" t="s">
        <v>4660</v>
      </c>
    </row>
    <row r="1739" spans="1:24" x14ac:dyDescent="0.2">
      <c r="A1739" t="s">
        <v>5633</v>
      </c>
      <c r="B1739" t="s">
        <v>732</v>
      </c>
      <c r="C1739" t="s">
        <v>1793</v>
      </c>
      <c r="D1739" t="s">
        <v>56</v>
      </c>
      <c r="E1739" t="s">
        <v>733</v>
      </c>
      <c r="F1739" t="s">
        <v>84</v>
      </c>
      <c r="G1739" s="202">
        <v>3</v>
      </c>
      <c r="H1739">
        <v>5</v>
      </c>
      <c r="I1739" t="s">
        <v>3968</v>
      </c>
      <c r="J1739" t="s">
        <v>3969</v>
      </c>
      <c r="K1739" t="s">
        <v>84</v>
      </c>
      <c r="L1739" s="204">
        <v>1</v>
      </c>
      <c r="M1739" s="112"/>
      <c r="N1739" s="112">
        <v>25.244999999999997</v>
      </c>
      <c r="O1739" s="204">
        <v>0.22215620254835966</v>
      </c>
      <c r="P1739" s="112">
        <v>5.6083333333333378</v>
      </c>
      <c r="Q1739" s="112">
        <v>30.853333333333335</v>
      </c>
      <c r="R1739" s="112">
        <v>92.56</v>
      </c>
      <c r="S1739" s="112">
        <v>92.56</v>
      </c>
      <c r="T1739" s="112">
        <v>0</v>
      </c>
      <c r="U1739" t="s">
        <v>5634</v>
      </c>
      <c r="V1739" t="s">
        <v>5635</v>
      </c>
      <c r="W1739" t="s">
        <v>4666</v>
      </c>
      <c r="X1739" t="s">
        <v>4667</v>
      </c>
    </row>
    <row r="1740" spans="1:24" x14ac:dyDescent="0.2">
      <c r="A1740" t="s">
        <v>5636</v>
      </c>
      <c r="B1740" t="s">
        <v>1794</v>
      </c>
      <c r="C1740" t="s">
        <v>1795</v>
      </c>
      <c r="D1740" t="s">
        <v>56</v>
      </c>
      <c r="E1740" t="s">
        <v>734</v>
      </c>
      <c r="F1740" t="s">
        <v>84</v>
      </c>
      <c r="G1740" s="202">
        <v>1</v>
      </c>
      <c r="H1740">
        <v>1</v>
      </c>
      <c r="I1740" t="s">
        <v>3954</v>
      </c>
      <c r="J1740" t="s">
        <v>5227</v>
      </c>
      <c r="K1740" t="s">
        <v>1283</v>
      </c>
      <c r="L1740" s="204">
        <v>0.26</v>
      </c>
      <c r="M1740" s="112">
        <v>14.115</v>
      </c>
      <c r="N1740" s="112">
        <v>3.6699000000000002</v>
      </c>
      <c r="O1740" s="204"/>
      <c r="P1740" s="112"/>
      <c r="Q1740" s="112"/>
      <c r="R1740" s="112"/>
      <c r="S1740" s="112"/>
      <c r="T1740" s="112"/>
      <c r="U1740" t="s">
        <v>5637</v>
      </c>
      <c r="V1740" t="s">
        <v>5638</v>
      </c>
      <c r="W1740" t="s">
        <v>3958</v>
      </c>
      <c r="X1740" t="s">
        <v>4660</v>
      </c>
    </row>
    <row r="1741" spans="1:24" x14ac:dyDescent="0.2">
      <c r="A1741" t="s">
        <v>5636</v>
      </c>
      <c r="B1741" t="s">
        <v>1794</v>
      </c>
      <c r="C1741" t="s">
        <v>1795</v>
      </c>
      <c r="D1741" t="s">
        <v>56</v>
      </c>
      <c r="E1741" t="s">
        <v>734</v>
      </c>
      <c r="F1741" t="s">
        <v>84</v>
      </c>
      <c r="G1741" s="202">
        <v>1</v>
      </c>
      <c r="H1741">
        <v>2</v>
      </c>
      <c r="I1741" t="s">
        <v>3960</v>
      </c>
      <c r="J1741" t="s">
        <v>5229</v>
      </c>
      <c r="K1741" t="s">
        <v>1283</v>
      </c>
      <c r="L1741" s="204">
        <v>0.64</v>
      </c>
      <c r="M1741" s="112">
        <v>14.115</v>
      </c>
      <c r="N1741" s="112">
        <v>9.0335999999999999</v>
      </c>
      <c r="O1741" s="204"/>
      <c r="P1741" s="112"/>
      <c r="Q1741" s="112"/>
      <c r="R1741" s="112"/>
      <c r="S1741" s="112"/>
      <c r="T1741" s="112"/>
      <c r="U1741" t="s">
        <v>5637</v>
      </c>
      <c r="V1741" t="s">
        <v>5638</v>
      </c>
      <c r="W1741" t="s">
        <v>3958</v>
      </c>
      <c r="X1741" t="s">
        <v>4660</v>
      </c>
    </row>
    <row r="1742" spans="1:24" x14ac:dyDescent="0.2">
      <c r="A1742" t="s">
        <v>5636</v>
      </c>
      <c r="B1742" t="s">
        <v>1794</v>
      </c>
      <c r="C1742" t="s">
        <v>1795</v>
      </c>
      <c r="D1742" t="s">
        <v>56</v>
      </c>
      <c r="E1742" t="s">
        <v>734</v>
      </c>
      <c r="F1742" t="s">
        <v>84</v>
      </c>
      <c r="G1742" s="202">
        <v>1</v>
      </c>
      <c r="H1742">
        <v>3</v>
      </c>
      <c r="I1742" t="s">
        <v>3976</v>
      </c>
      <c r="J1742" t="s">
        <v>5230</v>
      </c>
      <c r="K1742" t="s">
        <v>1283</v>
      </c>
      <c r="L1742" s="204">
        <v>0.04</v>
      </c>
      <c r="M1742" s="112">
        <v>14.115</v>
      </c>
      <c r="N1742" s="112">
        <v>0.56459999999999999</v>
      </c>
      <c r="O1742" s="204"/>
      <c r="P1742" s="112"/>
      <c r="Q1742" s="112"/>
      <c r="R1742" s="112"/>
      <c r="S1742" s="112"/>
      <c r="T1742" s="112"/>
      <c r="U1742" t="s">
        <v>5637</v>
      </c>
      <c r="V1742" t="s">
        <v>5638</v>
      </c>
      <c r="W1742" t="s">
        <v>3958</v>
      </c>
      <c r="X1742" t="s">
        <v>4660</v>
      </c>
    </row>
    <row r="1743" spans="1:24" x14ac:dyDescent="0.2">
      <c r="A1743" t="s">
        <v>5636</v>
      </c>
      <c r="B1743" t="s">
        <v>1794</v>
      </c>
      <c r="C1743" t="s">
        <v>1795</v>
      </c>
      <c r="D1743" t="s">
        <v>56</v>
      </c>
      <c r="E1743" t="s">
        <v>734</v>
      </c>
      <c r="F1743" t="s">
        <v>84</v>
      </c>
      <c r="G1743" s="202">
        <v>1</v>
      </c>
      <c r="H1743">
        <v>4</v>
      </c>
      <c r="I1743" t="s">
        <v>4017</v>
      </c>
      <c r="J1743" t="s">
        <v>4851</v>
      </c>
      <c r="K1743" t="s">
        <v>1283</v>
      </c>
      <c r="L1743" s="204">
        <v>0.06</v>
      </c>
      <c r="M1743" s="112">
        <v>14.115</v>
      </c>
      <c r="N1743" s="112">
        <v>0.84689999999999999</v>
      </c>
      <c r="O1743" s="204"/>
      <c r="P1743" s="112"/>
      <c r="Q1743" s="112"/>
      <c r="R1743" s="112"/>
      <c r="S1743" s="112"/>
      <c r="T1743" s="112"/>
      <c r="U1743" t="s">
        <v>5637</v>
      </c>
      <c r="V1743" t="s">
        <v>5638</v>
      </c>
      <c r="W1743" t="s">
        <v>3958</v>
      </c>
      <c r="X1743" t="s">
        <v>4660</v>
      </c>
    </row>
    <row r="1744" spans="1:24" x14ac:dyDescent="0.2">
      <c r="A1744" t="s">
        <v>5636</v>
      </c>
      <c r="B1744" t="s">
        <v>1794</v>
      </c>
      <c r="C1744" t="s">
        <v>1795</v>
      </c>
      <c r="D1744" t="s">
        <v>56</v>
      </c>
      <c r="E1744" t="s">
        <v>734</v>
      </c>
      <c r="F1744" t="s">
        <v>84</v>
      </c>
      <c r="G1744" s="202">
        <v>1</v>
      </c>
      <c r="H1744">
        <v>5</v>
      </c>
      <c r="I1744" t="s">
        <v>3968</v>
      </c>
      <c r="J1744" t="s">
        <v>3969</v>
      </c>
      <c r="K1744" t="s">
        <v>84</v>
      </c>
      <c r="L1744" s="204">
        <v>1</v>
      </c>
      <c r="M1744" s="112"/>
      <c r="N1744" s="112">
        <v>14.115</v>
      </c>
      <c r="O1744" s="204">
        <v>0.22210414452709881</v>
      </c>
      <c r="P1744" s="112">
        <v>3.1349999999999998</v>
      </c>
      <c r="Q1744" s="112">
        <v>17.25</v>
      </c>
      <c r="R1744" s="112">
        <v>17.25</v>
      </c>
      <c r="S1744" s="112">
        <v>17.25</v>
      </c>
      <c r="T1744" s="112">
        <v>0</v>
      </c>
      <c r="U1744" t="s">
        <v>5637</v>
      </c>
      <c r="V1744" t="s">
        <v>5638</v>
      </c>
      <c r="W1744" t="s">
        <v>4666</v>
      </c>
      <c r="X1744" t="s">
        <v>4667</v>
      </c>
    </row>
    <row r="1745" spans="1:24" x14ac:dyDescent="0.2">
      <c r="A1745" t="s">
        <v>5639</v>
      </c>
      <c r="B1745" t="s">
        <v>1796</v>
      </c>
      <c r="C1745" t="s">
        <v>1797</v>
      </c>
      <c r="D1745" t="s">
        <v>56</v>
      </c>
      <c r="E1745" t="s">
        <v>1798</v>
      </c>
      <c r="F1745" t="s">
        <v>84</v>
      </c>
      <c r="G1745" s="202">
        <v>38</v>
      </c>
      <c r="H1745">
        <v>1</v>
      </c>
      <c r="I1745" t="s">
        <v>3954</v>
      </c>
      <c r="J1745" t="s">
        <v>5227</v>
      </c>
      <c r="K1745" t="s">
        <v>1283</v>
      </c>
      <c r="L1745" s="204">
        <v>0.26</v>
      </c>
      <c r="M1745" s="112">
        <v>14.107499999999998</v>
      </c>
      <c r="N1745" s="112">
        <v>3.6679499999999998</v>
      </c>
      <c r="O1745" s="204"/>
      <c r="P1745" s="112"/>
      <c r="Q1745" s="112"/>
      <c r="R1745" s="112"/>
      <c r="S1745" s="112"/>
      <c r="T1745" s="112"/>
      <c r="U1745" t="s">
        <v>5640</v>
      </c>
      <c r="V1745" t="s">
        <v>5641</v>
      </c>
      <c r="W1745" t="s">
        <v>3958</v>
      </c>
      <c r="X1745" t="s">
        <v>4660</v>
      </c>
    </row>
    <row r="1746" spans="1:24" x14ac:dyDescent="0.2">
      <c r="A1746" t="s">
        <v>5639</v>
      </c>
      <c r="B1746" t="s">
        <v>1796</v>
      </c>
      <c r="C1746" t="s">
        <v>1797</v>
      </c>
      <c r="D1746" t="s">
        <v>56</v>
      </c>
      <c r="E1746" t="s">
        <v>1798</v>
      </c>
      <c r="F1746" t="s">
        <v>84</v>
      </c>
      <c r="G1746" s="202">
        <v>38</v>
      </c>
      <c r="H1746">
        <v>2</v>
      </c>
      <c r="I1746" t="s">
        <v>3960</v>
      </c>
      <c r="J1746" t="s">
        <v>5229</v>
      </c>
      <c r="K1746" t="s">
        <v>1283</v>
      </c>
      <c r="L1746" s="204">
        <v>0.64</v>
      </c>
      <c r="M1746" s="112">
        <v>14.107499999999998</v>
      </c>
      <c r="N1746" s="112">
        <v>9.0287999999999986</v>
      </c>
      <c r="O1746" s="204"/>
      <c r="P1746" s="112"/>
      <c r="Q1746" s="112"/>
      <c r="R1746" s="112"/>
      <c r="S1746" s="112"/>
      <c r="T1746" s="112"/>
      <c r="U1746" t="s">
        <v>5640</v>
      </c>
      <c r="V1746" t="s">
        <v>5641</v>
      </c>
      <c r="W1746" t="s">
        <v>3958</v>
      </c>
      <c r="X1746" t="s">
        <v>4660</v>
      </c>
    </row>
    <row r="1747" spans="1:24" x14ac:dyDescent="0.2">
      <c r="A1747" t="s">
        <v>5639</v>
      </c>
      <c r="B1747" t="s">
        <v>1796</v>
      </c>
      <c r="C1747" t="s">
        <v>1797</v>
      </c>
      <c r="D1747" t="s">
        <v>56</v>
      </c>
      <c r="E1747" t="s">
        <v>1798</v>
      </c>
      <c r="F1747" t="s">
        <v>84</v>
      </c>
      <c r="G1747" s="202">
        <v>38</v>
      </c>
      <c r="H1747">
        <v>3</v>
      </c>
      <c r="I1747" t="s">
        <v>3976</v>
      </c>
      <c r="J1747" t="s">
        <v>5230</v>
      </c>
      <c r="K1747" t="s">
        <v>1283</v>
      </c>
      <c r="L1747" s="204">
        <v>0.04</v>
      </c>
      <c r="M1747" s="112">
        <v>14.107499999999998</v>
      </c>
      <c r="N1747" s="112">
        <v>0.56429999999999991</v>
      </c>
      <c r="O1747" s="204"/>
      <c r="P1747" s="112"/>
      <c r="Q1747" s="112"/>
      <c r="R1747" s="112"/>
      <c r="S1747" s="112"/>
      <c r="T1747" s="112"/>
      <c r="U1747" t="s">
        <v>5640</v>
      </c>
      <c r="V1747" t="s">
        <v>5641</v>
      </c>
      <c r="W1747" t="s">
        <v>3958</v>
      </c>
      <c r="X1747" t="s">
        <v>4660</v>
      </c>
    </row>
    <row r="1748" spans="1:24" x14ac:dyDescent="0.2">
      <c r="A1748" t="s">
        <v>5639</v>
      </c>
      <c r="B1748" t="s">
        <v>1796</v>
      </c>
      <c r="C1748" t="s">
        <v>1797</v>
      </c>
      <c r="D1748" t="s">
        <v>56</v>
      </c>
      <c r="E1748" t="s">
        <v>1798</v>
      </c>
      <c r="F1748" t="s">
        <v>84</v>
      </c>
      <c r="G1748" s="202">
        <v>38</v>
      </c>
      <c r="H1748">
        <v>4</v>
      </c>
      <c r="I1748" t="s">
        <v>4017</v>
      </c>
      <c r="J1748" t="s">
        <v>4851</v>
      </c>
      <c r="K1748" t="s">
        <v>1283</v>
      </c>
      <c r="L1748" s="204">
        <v>0.06</v>
      </c>
      <c r="M1748" s="112">
        <v>14.107499999999998</v>
      </c>
      <c r="N1748" s="112">
        <v>0.84644999999999981</v>
      </c>
      <c r="O1748" s="204"/>
      <c r="P1748" s="112"/>
      <c r="Q1748" s="112"/>
      <c r="R1748" s="112"/>
      <c r="S1748" s="112"/>
      <c r="T1748" s="112"/>
      <c r="U1748" t="s">
        <v>5640</v>
      </c>
      <c r="V1748" t="s">
        <v>5641</v>
      </c>
      <c r="W1748" t="s">
        <v>3958</v>
      </c>
      <c r="X1748" t="s">
        <v>4660</v>
      </c>
    </row>
    <row r="1749" spans="1:24" x14ac:dyDescent="0.2">
      <c r="A1749" t="s">
        <v>5639</v>
      </c>
      <c r="B1749" t="s">
        <v>1796</v>
      </c>
      <c r="C1749" t="s">
        <v>1797</v>
      </c>
      <c r="D1749" t="s">
        <v>56</v>
      </c>
      <c r="E1749" t="s">
        <v>1798</v>
      </c>
      <c r="F1749" t="s">
        <v>84</v>
      </c>
      <c r="G1749" s="202">
        <v>38</v>
      </c>
      <c r="H1749">
        <v>5</v>
      </c>
      <c r="I1749" t="s">
        <v>3968</v>
      </c>
      <c r="J1749" t="s">
        <v>3969</v>
      </c>
      <c r="K1749" t="s">
        <v>84</v>
      </c>
      <c r="L1749" s="204">
        <v>1</v>
      </c>
      <c r="M1749" s="112"/>
      <c r="N1749" s="112">
        <v>14.107499999999998</v>
      </c>
      <c r="O1749" s="204">
        <v>0.22221289534308952</v>
      </c>
      <c r="P1749" s="112">
        <v>3.1348684210526336</v>
      </c>
      <c r="Q1749" s="112">
        <v>17.242368421052632</v>
      </c>
      <c r="R1749" s="112">
        <v>655.21</v>
      </c>
      <c r="S1749" s="112">
        <v>655.21</v>
      </c>
      <c r="T1749" s="112">
        <v>0</v>
      </c>
      <c r="U1749" t="s">
        <v>5640</v>
      </c>
      <c r="V1749" t="s">
        <v>5641</v>
      </c>
      <c r="W1749" t="s">
        <v>4666</v>
      </c>
      <c r="X1749" t="s">
        <v>4667</v>
      </c>
    </row>
    <row r="1750" spans="1:24" x14ac:dyDescent="0.2">
      <c r="A1750" t="s">
        <v>5642</v>
      </c>
      <c r="B1750" t="s">
        <v>1799</v>
      </c>
      <c r="C1750" t="s">
        <v>1800</v>
      </c>
      <c r="D1750" t="s">
        <v>335</v>
      </c>
      <c r="E1750" t="s">
        <v>736</v>
      </c>
      <c r="F1750" t="s">
        <v>84</v>
      </c>
      <c r="G1750" s="202">
        <v>1</v>
      </c>
      <c r="H1750">
        <v>1</v>
      </c>
      <c r="I1750" t="s">
        <v>3954</v>
      </c>
      <c r="J1750" t="s">
        <v>5227</v>
      </c>
      <c r="K1750" t="s">
        <v>1283</v>
      </c>
      <c r="L1750" s="204">
        <v>0.26</v>
      </c>
      <c r="M1750" s="112">
        <v>32.917500000000004</v>
      </c>
      <c r="N1750" s="112">
        <v>8.5585500000000021</v>
      </c>
      <c r="O1750" s="204"/>
      <c r="P1750" s="112"/>
      <c r="Q1750" s="112"/>
      <c r="R1750" s="112"/>
      <c r="S1750" s="112"/>
      <c r="T1750" s="112"/>
      <c r="U1750" t="s">
        <v>5643</v>
      </c>
      <c r="V1750" t="s">
        <v>5644</v>
      </c>
      <c r="W1750" t="s">
        <v>3958</v>
      </c>
      <c r="X1750" t="s">
        <v>4660</v>
      </c>
    </row>
    <row r="1751" spans="1:24" x14ac:dyDescent="0.2">
      <c r="A1751" t="s">
        <v>5642</v>
      </c>
      <c r="B1751" t="s">
        <v>1799</v>
      </c>
      <c r="C1751" t="s">
        <v>1800</v>
      </c>
      <c r="D1751" t="s">
        <v>335</v>
      </c>
      <c r="E1751" t="s">
        <v>736</v>
      </c>
      <c r="F1751" t="s">
        <v>84</v>
      </c>
      <c r="G1751" s="202">
        <v>1</v>
      </c>
      <c r="H1751">
        <v>2</v>
      </c>
      <c r="I1751" t="s">
        <v>3960</v>
      </c>
      <c r="J1751" t="s">
        <v>5229</v>
      </c>
      <c r="K1751" t="s">
        <v>1283</v>
      </c>
      <c r="L1751" s="204">
        <v>0.64</v>
      </c>
      <c r="M1751" s="112">
        <v>32.917500000000004</v>
      </c>
      <c r="N1751" s="112">
        <v>21.067200000000003</v>
      </c>
      <c r="O1751" s="204"/>
      <c r="P1751" s="112"/>
      <c r="Q1751" s="112"/>
      <c r="R1751" s="112"/>
      <c r="S1751" s="112"/>
      <c r="T1751" s="112"/>
      <c r="U1751" t="s">
        <v>5643</v>
      </c>
      <c r="V1751" t="s">
        <v>5644</v>
      </c>
      <c r="W1751" t="s">
        <v>3958</v>
      </c>
      <c r="X1751" t="s">
        <v>4660</v>
      </c>
    </row>
    <row r="1752" spans="1:24" x14ac:dyDescent="0.2">
      <c r="A1752" t="s">
        <v>5642</v>
      </c>
      <c r="B1752" t="s">
        <v>1799</v>
      </c>
      <c r="C1752" t="s">
        <v>1800</v>
      </c>
      <c r="D1752" t="s">
        <v>335</v>
      </c>
      <c r="E1752" t="s">
        <v>736</v>
      </c>
      <c r="F1752" t="s">
        <v>84</v>
      </c>
      <c r="G1752" s="202">
        <v>1</v>
      </c>
      <c r="H1752">
        <v>3</v>
      </c>
      <c r="I1752" t="s">
        <v>3976</v>
      </c>
      <c r="J1752" t="s">
        <v>5230</v>
      </c>
      <c r="K1752" t="s">
        <v>1283</v>
      </c>
      <c r="L1752" s="204">
        <v>0.04</v>
      </c>
      <c r="M1752" s="112">
        <v>32.917500000000004</v>
      </c>
      <c r="N1752" s="112">
        <v>1.3167000000000002</v>
      </c>
      <c r="O1752" s="204"/>
      <c r="P1752" s="112"/>
      <c r="Q1752" s="112"/>
      <c r="R1752" s="112"/>
      <c r="S1752" s="112"/>
      <c r="T1752" s="112"/>
      <c r="U1752" t="s">
        <v>5643</v>
      </c>
      <c r="V1752" t="s">
        <v>5644</v>
      </c>
      <c r="W1752" t="s">
        <v>3958</v>
      </c>
      <c r="X1752" t="s">
        <v>4660</v>
      </c>
    </row>
    <row r="1753" spans="1:24" x14ac:dyDescent="0.2">
      <c r="A1753" t="s">
        <v>5642</v>
      </c>
      <c r="B1753" t="s">
        <v>1799</v>
      </c>
      <c r="C1753" t="s">
        <v>1800</v>
      </c>
      <c r="D1753" t="s">
        <v>335</v>
      </c>
      <c r="E1753" t="s">
        <v>736</v>
      </c>
      <c r="F1753" t="s">
        <v>84</v>
      </c>
      <c r="G1753" s="202">
        <v>1</v>
      </c>
      <c r="H1753">
        <v>4</v>
      </c>
      <c r="I1753" t="s">
        <v>4017</v>
      </c>
      <c r="J1753" t="s">
        <v>4851</v>
      </c>
      <c r="K1753" t="s">
        <v>1283</v>
      </c>
      <c r="L1753" s="204">
        <v>0.06</v>
      </c>
      <c r="M1753" s="112">
        <v>32.917500000000004</v>
      </c>
      <c r="N1753" s="112">
        <v>1.9750500000000002</v>
      </c>
      <c r="O1753" s="204"/>
      <c r="P1753" s="112"/>
      <c r="Q1753" s="112"/>
      <c r="R1753" s="112"/>
      <c r="S1753" s="112"/>
      <c r="T1753" s="112"/>
      <c r="U1753" t="s">
        <v>5643</v>
      </c>
      <c r="V1753" t="s">
        <v>5644</v>
      </c>
      <c r="W1753" t="s">
        <v>3958</v>
      </c>
      <c r="X1753" t="s">
        <v>4660</v>
      </c>
    </row>
    <row r="1754" spans="1:24" x14ac:dyDescent="0.2">
      <c r="A1754" t="s">
        <v>5642</v>
      </c>
      <c r="B1754" t="s">
        <v>1799</v>
      </c>
      <c r="C1754" t="s">
        <v>1800</v>
      </c>
      <c r="D1754" t="s">
        <v>335</v>
      </c>
      <c r="E1754" t="s">
        <v>736</v>
      </c>
      <c r="F1754" t="s">
        <v>84</v>
      </c>
      <c r="G1754" s="202">
        <v>1</v>
      </c>
      <c r="H1754">
        <v>5</v>
      </c>
      <c r="I1754" t="s">
        <v>3968</v>
      </c>
      <c r="J1754" t="s">
        <v>3969</v>
      </c>
      <c r="K1754" t="s">
        <v>84</v>
      </c>
      <c r="L1754" s="204">
        <v>1</v>
      </c>
      <c r="M1754" s="112"/>
      <c r="N1754" s="112">
        <v>32.917500000000004</v>
      </c>
      <c r="O1754" s="204">
        <v>0.22214627477785354</v>
      </c>
      <c r="P1754" s="112">
        <v>7.3124999999999929</v>
      </c>
      <c r="Q1754" s="112">
        <v>40.229999999999997</v>
      </c>
      <c r="R1754" s="112">
        <v>40.229999999999997</v>
      </c>
      <c r="S1754" s="112">
        <v>40.229999999999997</v>
      </c>
      <c r="T1754" s="112">
        <v>0</v>
      </c>
      <c r="U1754" t="s">
        <v>5643</v>
      </c>
      <c r="V1754" t="s">
        <v>5644</v>
      </c>
      <c r="W1754" t="s">
        <v>4666</v>
      </c>
      <c r="X1754" t="s">
        <v>4667</v>
      </c>
    </row>
    <row r="1755" spans="1:24" x14ac:dyDescent="0.2">
      <c r="A1755" t="s">
        <v>5645</v>
      </c>
      <c r="B1755" t="s">
        <v>1801</v>
      </c>
      <c r="C1755" t="s">
        <v>1773</v>
      </c>
      <c r="D1755" t="s">
        <v>56</v>
      </c>
      <c r="E1755" t="s">
        <v>737</v>
      </c>
      <c r="F1755" t="s">
        <v>84</v>
      </c>
      <c r="G1755" s="202">
        <v>3</v>
      </c>
      <c r="H1755">
        <v>1</v>
      </c>
      <c r="I1755" t="s">
        <v>3954</v>
      </c>
      <c r="J1755" t="s">
        <v>5227</v>
      </c>
      <c r="K1755" t="s">
        <v>1283</v>
      </c>
      <c r="L1755" s="204">
        <v>0.26</v>
      </c>
      <c r="M1755" s="112">
        <v>15.51</v>
      </c>
      <c r="N1755" s="112">
        <v>4.0326000000000004</v>
      </c>
      <c r="O1755" s="204"/>
      <c r="P1755" s="112"/>
      <c r="Q1755" s="112"/>
      <c r="R1755" s="112"/>
      <c r="S1755" s="112"/>
      <c r="T1755" s="112"/>
      <c r="U1755" t="s">
        <v>5595</v>
      </c>
      <c r="V1755" t="s">
        <v>5646</v>
      </c>
      <c r="W1755" t="s">
        <v>3958</v>
      </c>
      <c r="X1755" t="s">
        <v>4660</v>
      </c>
    </row>
    <row r="1756" spans="1:24" x14ac:dyDescent="0.2">
      <c r="A1756" t="s">
        <v>5645</v>
      </c>
      <c r="B1756" t="s">
        <v>1801</v>
      </c>
      <c r="C1756" t="s">
        <v>1773</v>
      </c>
      <c r="D1756" t="s">
        <v>56</v>
      </c>
      <c r="E1756" t="s">
        <v>737</v>
      </c>
      <c r="F1756" t="s">
        <v>84</v>
      </c>
      <c r="G1756" s="202">
        <v>3</v>
      </c>
      <c r="H1756">
        <v>2</v>
      </c>
      <c r="I1756" t="s">
        <v>3960</v>
      </c>
      <c r="J1756" t="s">
        <v>5229</v>
      </c>
      <c r="K1756" t="s">
        <v>1283</v>
      </c>
      <c r="L1756" s="204">
        <v>0.64</v>
      </c>
      <c r="M1756" s="112">
        <v>15.51</v>
      </c>
      <c r="N1756" s="112">
        <v>9.9263999999999992</v>
      </c>
      <c r="O1756" s="204"/>
      <c r="P1756" s="112"/>
      <c r="Q1756" s="112"/>
      <c r="R1756" s="112"/>
      <c r="S1756" s="112"/>
      <c r="T1756" s="112"/>
      <c r="U1756" t="s">
        <v>5595</v>
      </c>
      <c r="V1756" t="s">
        <v>5646</v>
      </c>
      <c r="W1756" t="s">
        <v>3958</v>
      </c>
      <c r="X1756" t="s">
        <v>4660</v>
      </c>
    </row>
    <row r="1757" spans="1:24" x14ac:dyDescent="0.2">
      <c r="A1757" t="s">
        <v>5645</v>
      </c>
      <c r="B1757" t="s">
        <v>1801</v>
      </c>
      <c r="C1757" t="s">
        <v>1773</v>
      </c>
      <c r="D1757" t="s">
        <v>56</v>
      </c>
      <c r="E1757" t="s">
        <v>737</v>
      </c>
      <c r="F1757" t="s">
        <v>84</v>
      </c>
      <c r="G1757" s="202">
        <v>3</v>
      </c>
      <c r="H1757">
        <v>3</v>
      </c>
      <c r="I1757" t="s">
        <v>3976</v>
      </c>
      <c r="J1757" t="s">
        <v>5230</v>
      </c>
      <c r="K1757" t="s">
        <v>1283</v>
      </c>
      <c r="L1757" s="204">
        <v>0.04</v>
      </c>
      <c r="M1757" s="112">
        <v>15.51</v>
      </c>
      <c r="N1757" s="112">
        <v>0.62039999999999995</v>
      </c>
      <c r="O1757" s="204"/>
      <c r="P1757" s="112"/>
      <c r="Q1757" s="112"/>
      <c r="R1757" s="112"/>
      <c r="S1757" s="112"/>
      <c r="T1757" s="112"/>
      <c r="U1757" t="s">
        <v>5595</v>
      </c>
      <c r="V1757" t="s">
        <v>5646</v>
      </c>
      <c r="W1757" t="s">
        <v>3958</v>
      </c>
      <c r="X1757" t="s">
        <v>4660</v>
      </c>
    </row>
    <row r="1758" spans="1:24" x14ac:dyDescent="0.2">
      <c r="A1758" t="s">
        <v>5645</v>
      </c>
      <c r="B1758" t="s">
        <v>1801</v>
      </c>
      <c r="C1758" t="s">
        <v>1773</v>
      </c>
      <c r="D1758" t="s">
        <v>56</v>
      </c>
      <c r="E1758" t="s">
        <v>737</v>
      </c>
      <c r="F1758" t="s">
        <v>84</v>
      </c>
      <c r="G1758" s="202">
        <v>3</v>
      </c>
      <c r="H1758">
        <v>4</v>
      </c>
      <c r="I1758" t="s">
        <v>4017</v>
      </c>
      <c r="J1758" t="s">
        <v>4851</v>
      </c>
      <c r="K1758" t="s">
        <v>1283</v>
      </c>
      <c r="L1758" s="204">
        <v>0.06</v>
      </c>
      <c r="M1758" s="112">
        <v>15.51</v>
      </c>
      <c r="N1758" s="112">
        <v>0.93059999999999998</v>
      </c>
      <c r="O1758" s="204"/>
      <c r="P1758" s="112"/>
      <c r="Q1758" s="112"/>
      <c r="R1758" s="112"/>
      <c r="S1758" s="112"/>
      <c r="T1758" s="112"/>
      <c r="U1758" t="s">
        <v>5595</v>
      </c>
      <c r="V1758" t="s">
        <v>5646</v>
      </c>
      <c r="W1758" t="s">
        <v>3958</v>
      </c>
      <c r="X1758" t="s">
        <v>4660</v>
      </c>
    </row>
    <row r="1759" spans="1:24" x14ac:dyDescent="0.2">
      <c r="A1759" t="s">
        <v>5645</v>
      </c>
      <c r="B1759" t="s">
        <v>1801</v>
      </c>
      <c r="C1759" t="s">
        <v>1773</v>
      </c>
      <c r="D1759" t="s">
        <v>56</v>
      </c>
      <c r="E1759" t="s">
        <v>737</v>
      </c>
      <c r="F1759" t="s">
        <v>84</v>
      </c>
      <c r="G1759" s="202">
        <v>3</v>
      </c>
      <c r="H1759">
        <v>5</v>
      </c>
      <c r="I1759" t="s">
        <v>3968</v>
      </c>
      <c r="J1759" t="s">
        <v>3969</v>
      </c>
      <c r="K1759" t="s">
        <v>84</v>
      </c>
      <c r="L1759" s="204">
        <v>1</v>
      </c>
      <c r="M1759" s="112"/>
      <c r="N1759" s="112">
        <v>15.51</v>
      </c>
      <c r="O1759" s="204">
        <v>0.22179239200515788</v>
      </c>
      <c r="P1759" s="112">
        <v>3.4399999999999995</v>
      </c>
      <c r="Q1759" s="112">
        <v>18.95</v>
      </c>
      <c r="R1759" s="112">
        <v>56.85</v>
      </c>
      <c r="S1759" s="112">
        <v>56.85</v>
      </c>
      <c r="T1759" s="112">
        <v>0</v>
      </c>
      <c r="U1759" t="s">
        <v>5595</v>
      </c>
      <c r="V1759" t="s">
        <v>5646</v>
      </c>
      <c r="W1759" t="s">
        <v>4666</v>
      </c>
      <c r="X1759" t="s">
        <v>4667</v>
      </c>
    </row>
    <row r="1760" spans="1:24" x14ac:dyDescent="0.2">
      <c r="A1760" t="s">
        <v>5647</v>
      </c>
      <c r="B1760" t="s">
        <v>1802</v>
      </c>
      <c r="C1760" t="s">
        <v>1803</v>
      </c>
      <c r="D1760" t="s">
        <v>56</v>
      </c>
      <c r="E1760" t="s">
        <v>738</v>
      </c>
      <c r="F1760" t="s">
        <v>84</v>
      </c>
      <c r="G1760" s="202">
        <v>3</v>
      </c>
      <c r="H1760">
        <v>1</v>
      </c>
      <c r="I1760" t="s">
        <v>3954</v>
      </c>
      <c r="J1760" t="s">
        <v>5227</v>
      </c>
      <c r="K1760" t="s">
        <v>1283</v>
      </c>
      <c r="L1760" s="204">
        <v>0.26</v>
      </c>
      <c r="M1760" s="112">
        <v>19.2075</v>
      </c>
      <c r="N1760" s="112">
        <v>4.9939499999999999</v>
      </c>
      <c r="O1760" s="204"/>
      <c r="P1760" s="112"/>
      <c r="Q1760" s="112"/>
      <c r="R1760" s="112"/>
      <c r="S1760" s="112"/>
      <c r="T1760" s="112"/>
      <c r="U1760" t="s">
        <v>5648</v>
      </c>
      <c r="V1760" t="s">
        <v>5649</v>
      </c>
      <c r="W1760" t="s">
        <v>3958</v>
      </c>
      <c r="X1760" t="s">
        <v>4660</v>
      </c>
    </row>
    <row r="1761" spans="1:24" x14ac:dyDescent="0.2">
      <c r="A1761" t="s">
        <v>5647</v>
      </c>
      <c r="B1761" t="s">
        <v>1802</v>
      </c>
      <c r="C1761" t="s">
        <v>1803</v>
      </c>
      <c r="D1761" t="s">
        <v>56</v>
      </c>
      <c r="E1761" t="s">
        <v>738</v>
      </c>
      <c r="F1761" t="s">
        <v>84</v>
      </c>
      <c r="G1761" s="202">
        <v>3</v>
      </c>
      <c r="H1761">
        <v>2</v>
      </c>
      <c r="I1761" t="s">
        <v>3960</v>
      </c>
      <c r="J1761" t="s">
        <v>5229</v>
      </c>
      <c r="K1761" t="s">
        <v>1283</v>
      </c>
      <c r="L1761" s="204">
        <v>0.64</v>
      </c>
      <c r="M1761" s="112">
        <v>19.2075</v>
      </c>
      <c r="N1761" s="112">
        <v>12.2928</v>
      </c>
      <c r="O1761" s="204"/>
      <c r="P1761" s="112"/>
      <c r="Q1761" s="112"/>
      <c r="R1761" s="112"/>
      <c r="S1761" s="112"/>
      <c r="T1761" s="112"/>
      <c r="U1761" t="s">
        <v>5648</v>
      </c>
      <c r="V1761" t="s">
        <v>5649</v>
      </c>
      <c r="W1761" t="s">
        <v>3958</v>
      </c>
      <c r="X1761" t="s">
        <v>4660</v>
      </c>
    </row>
    <row r="1762" spans="1:24" x14ac:dyDescent="0.2">
      <c r="A1762" t="s">
        <v>5647</v>
      </c>
      <c r="B1762" t="s">
        <v>1802</v>
      </c>
      <c r="C1762" t="s">
        <v>1803</v>
      </c>
      <c r="D1762" t="s">
        <v>56</v>
      </c>
      <c r="E1762" t="s">
        <v>738</v>
      </c>
      <c r="F1762" t="s">
        <v>84</v>
      </c>
      <c r="G1762" s="202">
        <v>3</v>
      </c>
      <c r="H1762">
        <v>3</v>
      </c>
      <c r="I1762" t="s">
        <v>3976</v>
      </c>
      <c r="J1762" t="s">
        <v>5230</v>
      </c>
      <c r="K1762" t="s">
        <v>1283</v>
      </c>
      <c r="L1762" s="204">
        <v>0.04</v>
      </c>
      <c r="M1762" s="112">
        <v>19.2075</v>
      </c>
      <c r="N1762" s="112">
        <v>0.76829999999999998</v>
      </c>
      <c r="O1762" s="204"/>
      <c r="P1762" s="112"/>
      <c r="Q1762" s="112"/>
      <c r="R1762" s="112"/>
      <c r="S1762" s="112"/>
      <c r="T1762" s="112"/>
      <c r="U1762" t="s">
        <v>5648</v>
      </c>
      <c r="V1762" t="s">
        <v>5649</v>
      </c>
      <c r="W1762" t="s">
        <v>3958</v>
      </c>
      <c r="X1762" t="s">
        <v>4660</v>
      </c>
    </row>
    <row r="1763" spans="1:24" x14ac:dyDescent="0.2">
      <c r="A1763" t="s">
        <v>5647</v>
      </c>
      <c r="B1763" t="s">
        <v>1802</v>
      </c>
      <c r="C1763" t="s">
        <v>1803</v>
      </c>
      <c r="D1763" t="s">
        <v>56</v>
      </c>
      <c r="E1763" t="s">
        <v>738</v>
      </c>
      <c r="F1763" t="s">
        <v>84</v>
      </c>
      <c r="G1763" s="202">
        <v>3</v>
      </c>
      <c r="H1763">
        <v>4</v>
      </c>
      <c r="I1763" t="s">
        <v>4017</v>
      </c>
      <c r="J1763" t="s">
        <v>4851</v>
      </c>
      <c r="K1763" t="s">
        <v>1283</v>
      </c>
      <c r="L1763" s="204">
        <v>0.06</v>
      </c>
      <c r="M1763" s="112">
        <v>19.2075</v>
      </c>
      <c r="N1763" s="112">
        <v>1.15245</v>
      </c>
      <c r="O1763" s="204"/>
      <c r="P1763" s="112"/>
      <c r="Q1763" s="112"/>
      <c r="R1763" s="112"/>
      <c r="S1763" s="112"/>
      <c r="T1763" s="112"/>
      <c r="U1763" t="s">
        <v>5648</v>
      </c>
      <c r="V1763" t="s">
        <v>5649</v>
      </c>
      <c r="W1763" t="s">
        <v>3958</v>
      </c>
      <c r="X1763" t="s">
        <v>4660</v>
      </c>
    </row>
    <row r="1764" spans="1:24" x14ac:dyDescent="0.2">
      <c r="A1764" t="s">
        <v>5647</v>
      </c>
      <c r="B1764" t="s">
        <v>1802</v>
      </c>
      <c r="C1764" t="s">
        <v>1803</v>
      </c>
      <c r="D1764" t="s">
        <v>56</v>
      </c>
      <c r="E1764" t="s">
        <v>738</v>
      </c>
      <c r="F1764" t="s">
        <v>84</v>
      </c>
      <c r="G1764" s="202">
        <v>3</v>
      </c>
      <c r="H1764">
        <v>5</v>
      </c>
      <c r="I1764" t="s">
        <v>3968</v>
      </c>
      <c r="J1764" t="s">
        <v>3969</v>
      </c>
      <c r="K1764" t="s">
        <v>84</v>
      </c>
      <c r="L1764" s="204">
        <v>1</v>
      </c>
      <c r="M1764" s="112"/>
      <c r="N1764" s="112">
        <v>19.2075</v>
      </c>
      <c r="O1764" s="204">
        <v>0.22209206473165866</v>
      </c>
      <c r="P1764" s="112">
        <v>4.2658333333333331</v>
      </c>
      <c r="Q1764" s="112">
        <v>23.473333333333333</v>
      </c>
      <c r="R1764" s="112">
        <v>70.42</v>
      </c>
      <c r="S1764" s="112">
        <v>70.42</v>
      </c>
      <c r="T1764" s="112">
        <v>0</v>
      </c>
      <c r="U1764" t="s">
        <v>5648</v>
      </c>
      <c r="V1764" t="s">
        <v>5649</v>
      </c>
      <c r="W1764" t="s">
        <v>4666</v>
      </c>
      <c r="X1764" t="s">
        <v>4667</v>
      </c>
    </row>
    <row r="1765" spans="1:24" x14ac:dyDescent="0.2">
      <c r="A1765" t="s">
        <v>5650</v>
      </c>
      <c r="B1765" t="s">
        <v>1804</v>
      </c>
      <c r="C1765" t="s">
        <v>1805</v>
      </c>
      <c r="D1765" t="s">
        <v>56</v>
      </c>
      <c r="E1765" t="s">
        <v>739</v>
      </c>
      <c r="F1765" t="s">
        <v>84</v>
      </c>
      <c r="G1765" s="202">
        <v>7</v>
      </c>
      <c r="H1765">
        <v>1</v>
      </c>
      <c r="I1765" t="s">
        <v>3954</v>
      </c>
      <c r="J1765" t="s">
        <v>5227</v>
      </c>
      <c r="K1765" t="s">
        <v>1283</v>
      </c>
      <c r="L1765" s="204">
        <v>0.26</v>
      </c>
      <c r="M1765" s="112">
        <v>9.18</v>
      </c>
      <c r="N1765" s="112">
        <v>2.3868</v>
      </c>
      <c r="O1765" s="204"/>
      <c r="P1765" s="112"/>
      <c r="Q1765" s="112"/>
      <c r="R1765" s="112"/>
      <c r="S1765" s="112"/>
      <c r="T1765" s="112"/>
      <c r="U1765" t="s">
        <v>5651</v>
      </c>
      <c r="V1765" t="s">
        <v>5652</v>
      </c>
      <c r="W1765" t="s">
        <v>3958</v>
      </c>
      <c r="X1765" t="s">
        <v>4660</v>
      </c>
    </row>
    <row r="1766" spans="1:24" x14ac:dyDescent="0.2">
      <c r="A1766" t="s">
        <v>5650</v>
      </c>
      <c r="B1766" t="s">
        <v>1804</v>
      </c>
      <c r="C1766" t="s">
        <v>1805</v>
      </c>
      <c r="D1766" t="s">
        <v>56</v>
      </c>
      <c r="E1766" t="s">
        <v>739</v>
      </c>
      <c r="F1766" t="s">
        <v>84</v>
      </c>
      <c r="G1766" s="202">
        <v>7</v>
      </c>
      <c r="H1766">
        <v>2</v>
      </c>
      <c r="I1766" t="s">
        <v>3960</v>
      </c>
      <c r="J1766" t="s">
        <v>5229</v>
      </c>
      <c r="K1766" t="s">
        <v>1283</v>
      </c>
      <c r="L1766" s="204">
        <v>0.64</v>
      </c>
      <c r="M1766" s="112">
        <v>9.18</v>
      </c>
      <c r="N1766" s="112">
        <v>5.8751999999999995</v>
      </c>
      <c r="O1766" s="204"/>
      <c r="P1766" s="112"/>
      <c r="Q1766" s="112"/>
      <c r="R1766" s="112"/>
      <c r="S1766" s="112"/>
      <c r="T1766" s="112"/>
      <c r="U1766" t="s">
        <v>5651</v>
      </c>
      <c r="V1766" t="s">
        <v>5652</v>
      </c>
      <c r="W1766" t="s">
        <v>3958</v>
      </c>
      <c r="X1766" t="s">
        <v>4660</v>
      </c>
    </row>
    <row r="1767" spans="1:24" x14ac:dyDescent="0.2">
      <c r="A1767" t="s">
        <v>5650</v>
      </c>
      <c r="B1767" t="s">
        <v>1804</v>
      </c>
      <c r="C1767" t="s">
        <v>1805</v>
      </c>
      <c r="D1767" t="s">
        <v>56</v>
      </c>
      <c r="E1767" t="s">
        <v>739</v>
      </c>
      <c r="F1767" t="s">
        <v>84</v>
      </c>
      <c r="G1767" s="202">
        <v>7</v>
      </c>
      <c r="H1767">
        <v>3</v>
      </c>
      <c r="I1767" t="s">
        <v>3976</v>
      </c>
      <c r="J1767" t="s">
        <v>5230</v>
      </c>
      <c r="K1767" t="s">
        <v>1283</v>
      </c>
      <c r="L1767" s="204">
        <v>0.04</v>
      </c>
      <c r="M1767" s="112">
        <v>9.18</v>
      </c>
      <c r="N1767" s="112">
        <v>0.36719999999999997</v>
      </c>
      <c r="O1767" s="204"/>
      <c r="P1767" s="112"/>
      <c r="Q1767" s="112"/>
      <c r="R1767" s="112"/>
      <c r="S1767" s="112"/>
      <c r="T1767" s="112"/>
      <c r="U1767" t="s">
        <v>5651</v>
      </c>
      <c r="V1767" t="s">
        <v>5652</v>
      </c>
      <c r="W1767" t="s">
        <v>3958</v>
      </c>
      <c r="X1767" t="s">
        <v>4660</v>
      </c>
    </row>
    <row r="1768" spans="1:24" x14ac:dyDescent="0.2">
      <c r="A1768" t="s">
        <v>5650</v>
      </c>
      <c r="B1768" t="s">
        <v>1804</v>
      </c>
      <c r="C1768" t="s">
        <v>1805</v>
      </c>
      <c r="D1768" t="s">
        <v>56</v>
      </c>
      <c r="E1768" t="s">
        <v>739</v>
      </c>
      <c r="F1768" t="s">
        <v>84</v>
      </c>
      <c r="G1768" s="202">
        <v>7</v>
      </c>
      <c r="H1768">
        <v>4</v>
      </c>
      <c r="I1768" t="s">
        <v>4017</v>
      </c>
      <c r="J1768" t="s">
        <v>4851</v>
      </c>
      <c r="K1768" t="s">
        <v>1283</v>
      </c>
      <c r="L1768" s="204">
        <v>0.06</v>
      </c>
      <c r="M1768" s="112">
        <v>9.18</v>
      </c>
      <c r="N1768" s="112">
        <v>0.55079999999999996</v>
      </c>
      <c r="O1768" s="204"/>
      <c r="P1768" s="112"/>
      <c r="Q1768" s="112"/>
      <c r="R1768" s="112"/>
      <c r="S1768" s="112"/>
      <c r="T1768" s="112"/>
      <c r="U1768" t="s">
        <v>5651</v>
      </c>
      <c r="V1768" t="s">
        <v>5652</v>
      </c>
      <c r="W1768" t="s">
        <v>3958</v>
      </c>
      <c r="X1768" t="s">
        <v>4660</v>
      </c>
    </row>
    <row r="1769" spans="1:24" x14ac:dyDescent="0.2">
      <c r="A1769" t="s">
        <v>5650</v>
      </c>
      <c r="B1769" t="s">
        <v>1804</v>
      </c>
      <c r="C1769" t="s">
        <v>1805</v>
      </c>
      <c r="D1769" t="s">
        <v>56</v>
      </c>
      <c r="E1769" t="s">
        <v>739</v>
      </c>
      <c r="F1769" t="s">
        <v>84</v>
      </c>
      <c r="G1769" s="202">
        <v>7</v>
      </c>
      <c r="H1769">
        <v>5</v>
      </c>
      <c r="I1769" t="s">
        <v>3968</v>
      </c>
      <c r="J1769" t="s">
        <v>3969</v>
      </c>
      <c r="K1769" t="s">
        <v>84</v>
      </c>
      <c r="L1769" s="204">
        <v>1</v>
      </c>
      <c r="M1769" s="112"/>
      <c r="N1769" s="112">
        <v>9.18</v>
      </c>
      <c r="O1769" s="204">
        <v>0.22222222222222232</v>
      </c>
      <c r="P1769" s="112">
        <v>2.0400000000000009</v>
      </c>
      <c r="Q1769" s="112">
        <v>11.22</v>
      </c>
      <c r="R1769" s="112">
        <v>78.540000000000006</v>
      </c>
      <c r="S1769" s="112">
        <v>78.540000000000006</v>
      </c>
      <c r="T1769" s="112">
        <v>0</v>
      </c>
      <c r="U1769" t="s">
        <v>5651</v>
      </c>
      <c r="V1769" t="s">
        <v>5652</v>
      </c>
      <c r="W1769" t="s">
        <v>4666</v>
      </c>
      <c r="X1769" t="s">
        <v>4667</v>
      </c>
    </row>
    <row r="1770" spans="1:24" x14ac:dyDescent="0.2">
      <c r="A1770" t="s">
        <v>5653</v>
      </c>
      <c r="B1770" t="s">
        <v>742</v>
      </c>
      <c r="C1770" t="s">
        <v>1806</v>
      </c>
      <c r="D1770" t="s">
        <v>56</v>
      </c>
      <c r="E1770" t="s">
        <v>743</v>
      </c>
      <c r="F1770" t="s">
        <v>84</v>
      </c>
      <c r="G1770" s="202">
        <v>6</v>
      </c>
      <c r="H1770">
        <v>1</v>
      </c>
      <c r="I1770" t="s">
        <v>3954</v>
      </c>
      <c r="J1770" t="s">
        <v>4804</v>
      </c>
      <c r="K1770" t="s">
        <v>1283</v>
      </c>
      <c r="L1770" s="204">
        <v>0.28000000000000003</v>
      </c>
      <c r="M1770" s="112">
        <v>1477.23</v>
      </c>
      <c r="N1770" s="112">
        <v>413.62440000000004</v>
      </c>
      <c r="O1770" s="204"/>
      <c r="P1770" s="112"/>
      <c r="Q1770" s="112"/>
      <c r="R1770" s="112"/>
      <c r="S1770" s="112"/>
      <c r="T1770" s="112"/>
      <c r="U1770" t="s">
        <v>5654</v>
      </c>
      <c r="V1770" t="s">
        <v>5655</v>
      </c>
      <c r="W1770" t="s">
        <v>3958</v>
      </c>
      <c r="X1770" t="s">
        <v>4660</v>
      </c>
    </row>
    <row r="1771" spans="1:24" x14ac:dyDescent="0.2">
      <c r="A1771" t="s">
        <v>5653</v>
      </c>
      <c r="B1771" t="s">
        <v>742</v>
      </c>
      <c r="C1771" t="s">
        <v>1806</v>
      </c>
      <c r="D1771" t="s">
        <v>56</v>
      </c>
      <c r="E1771" t="s">
        <v>743</v>
      </c>
      <c r="F1771" t="s">
        <v>84</v>
      </c>
      <c r="G1771" s="202">
        <v>6</v>
      </c>
      <c r="H1771">
        <v>2</v>
      </c>
      <c r="I1771" t="s">
        <v>3960</v>
      </c>
      <c r="J1771" t="s">
        <v>4807</v>
      </c>
      <c r="K1771" t="s">
        <v>1283</v>
      </c>
      <c r="L1771" s="204">
        <v>0.56000000000000005</v>
      </c>
      <c r="M1771" s="112">
        <v>1477.23</v>
      </c>
      <c r="N1771" s="112">
        <v>827.24880000000007</v>
      </c>
      <c r="O1771" s="204"/>
      <c r="P1771" s="112"/>
      <c r="Q1771" s="112"/>
      <c r="R1771" s="112"/>
      <c r="S1771" s="112"/>
      <c r="T1771" s="112"/>
      <c r="U1771" t="s">
        <v>5654</v>
      </c>
      <c r="V1771" t="s">
        <v>5655</v>
      </c>
      <c r="W1771" t="s">
        <v>3958</v>
      </c>
      <c r="X1771" t="s">
        <v>4660</v>
      </c>
    </row>
    <row r="1772" spans="1:24" x14ac:dyDescent="0.2">
      <c r="A1772" t="s">
        <v>5653</v>
      </c>
      <c r="B1772" t="s">
        <v>742</v>
      </c>
      <c r="C1772" t="s">
        <v>1806</v>
      </c>
      <c r="D1772" t="s">
        <v>56</v>
      </c>
      <c r="E1772" t="s">
        <v>743</v>
      </c>
      <c r="F1772" t="s">
        <v>84</v>
      </c>
      <c r="G1772" s="202">
        <v>6</v>
      </c>
      <c r="H1772">
        <v>3</v>
      </c>
      <c r="I1772" t="s">
        <v>3962</v>
      </c>
      <c r="J1772" t="s">
        <v>4808</v>
      </c>
      <c r="K1772" t="s">
        <v>1283</v>
      </c>
      <c r="L1772" s="204">
        <v>0.1</v>
      </c>
      <c r="M1772" s="112">
        <v>1477.23</v>
      </c>
      <c r="N1772" s="112">
        <v>147.72300000000001</v>
      </c>
      <c r="O1772" s="204"/>
      <c r="P1772" s="112"/>
      <c r="Q1772" s="112"/>
      <c r="R1772" s="112"/>
      <c r="S1772" s="112"/>
      <c r="T1772" s="112"/>
      <c r="U1772" t="s">
        <v>5654</v>
      </c>
      <c r="V1772" t="s">
        <v>5655</v>
      </c>
      <c r="W1772" t="s">
        <v>3958</v>
      </c>
      <c r="X1772" t="s">
        <v>4660</v>
      </c>
    </row>
    <row r="1773" spans="1:24" x14ac:dyDescent="0.2">
      <c r="A1773" t="s">
        <v>5653</v>
      </c>
      <c r="B1773" t="s">
        <v>742</v>
      </c>
      <c r="C1773" t="s">
        <v>1806</v>
      </c>
      <c r="D1773" t="s">
        <v>56</v>
      </c>
      <c r="E1773" t="s">
        <v>743</v>
      </c>
      <c r="F1773" t="s">
        <v>84</v>
      </c>
      <c r="G1773" s="202">
        <v>6</v>
      </c>
      <c r="H1773">
        <v>4</v>
      </c>
      <c r="I1773" t="s">
        <v>4017</v>
      </c>
      <c r="J1773" t="s">
        <v>4809</v>
      </c>
      <c r="K1773" t="s">
        <v>1283</v>
      </c>
      <c r="L1773" s="204">
        <v>0.06</v>
      </c>
      <c r="M1773" s="112">
        <v>1477.23</v>
      </c>
      <c r="N1773" s="112">
        <v>88.633799999999994</v>
      </c>
      <c r="O1773" s="204"/>
      <c r="P1773" s="112"/>
      <c r="Q1773" s="112"/>
      <c r="R1773" s="112"/>
      <c r="S1773" s="112"/>
      <c r="T1773" s="112"/>
      <c r="U1773" t="s">
        <v>5654</v>
      </c>
      <c r="V1773" t="s">
        <v>5655</v>
      </c>
      <c r="W1773" t="s">
        <v>3958</v>
      </c>
      <c r="X1773" t="s">
        <v>4660</v>
      </c>
    </row>
    <row r="1774" spans="1:24" x14ac:dyDescent="0.2">
      <c r="A1774" t="s">
        <v>5653</v>
      </c>
      <c r="B1774" t="s">
        <v>742</v>
      </c>
      <c r="C1774" t="s">
        <v>1806</v>
      </c>
      <c r="D1774" t="s">
        <v>56</v>
      </c>
      <c r="E1774" t="s">
        <v>743</v>
      </c>
      <c r="F1774" t="s">
        <v>84</v>
      </c>
      <c r="G1774" s="202">
        <v>6</v>
      </c>
      <c r="H1774">
        <v>5</v>
      </c>
      <c r="I1774" t="s">
        <v>3968</v>
      </c>
      <c r="J1774" t="s">
        <v>3969</v>
      </c>
      <c r="K1774" t="s">
        <v>84</v>
      </c>
      <c r="L1774" s="204">
        <v>1</v>
      </c>
      <c r="M1774" s="112"/>
      <c r="N1774" s="112">
        <v>1477.23</v>
      </c>
      <c r="O1774" s="204">
        <v>0.22229894238992354</v>
      </c>
      <c r="P1774" s="112">
        <v>328.38666666666677</v>
      </c>
      <c r="Q1774" s="112">
        <v>1805.6166666666668</v>
      </c>
      <c r="R1774" s="112">
        <v>10833.7</v>
      </c>
      <c r="S1774" s="112">
        <v>10833.7</v>
      </c>
      <c r="T1774" s="112">
        <v>0</v>
      </c>
      <c r="U1774" t="s">
        <v>5654</v>
      </c>
      <c r="V1774" t="s">
        <v>5655</v>
      </c>
      <c r="W1774" t="s">
        <v>4666</v>
      </c>
      <c r="X1774" t="s">
        <v>4667</v>
      </c>
    </row>
    <row r="1775" spans="1:24" x14ac:dyDescent="0.2">
      <c r="A1775" t="s">
        <v>5656</v>
      </c>
      <c r="B1775" t="s">
        <v>744</v>
      </c>
      <c r="C1775" t="s">
        <v>1807</v>
      </c>
      <c r="D1775" t="s">
        <v>56</v>
      </c>
      <c r="E1775" t="s">
        <v>745</v>
      </c>
      <c r="F1775" t="s">
        <v>84</v>
      </c>
      <c r="G1775" s="202">
        <v>7</v>
      </c>
      <c r="H1775">
        <v>1</v>
      </c>
      <c r="I1775" t="s">
        <v>3954</v>
      </c>
      <c r="J1775" t="s">
        <v>4804</v>
      </c>
      <c r="K1775" t="s">
        <v>1283</v>
      </c>
      <c r="L1775" s="204">
        <v>0.28000000000000003</v>
      </c>
      <c r="M1775" s="112">
        <v>1173.105</v>
      </c>
      <c r="N1775" s="112">
        <v>328.46940000000006</v>
      </c>
      <c r="O1775" s="204"/>
      <c r="P1775" s="112"/>
      <c r="Q1775" s="112"/>
      <c r="R1775" s="112"/>
      <c r="S1775" s="112"/>
      <c r="T1775" s="112"/>
      <c r="U1775" t="s">
        <v>5657</v>
      </c>
      <c r="V1775" t="s">
        <v>5658</v>
      </c>
      <c r="W1775" t="s">
        <v>3958</v>
      </c>
      <c r="X1775" t="s">
        <v>4660</v>
      </c>
    </row>
    <row r="1776" spans="1:24" x14ac:dyDescent="0.2">
      <c r="A1776" t="s">
        <v>5656</v>
      </c>
      <c r="B1776" t="s">
        <v>744</v>
      </c>
      <c r="C1776" t="s">
        <v>1807</v>
      </c>
      <c r="D1776" t="s">
        <v>56</v>
      </c>
      <c r="E1776" t="s">
        <v>745</v>
      </c>
      <c r="F1776" t="s">
        <v>84</v>
      </c>
      <c r="G1776" s="202">
        <v>7</v>
      </c>
      <c r="H1776">
        <v>2</v>
      </c>
      <c r="I1776" t="s">
        <v>3960</v>
      </c>
      <c r="J1776" t="s">
        <v>4807</v>
      </c>
      <c r="K1776" t="s">
        <v>1283</v>
      </c>
      <c r="L1776" s="204">
        <v>0.56000000000000005</v>
      </c>
      <c r="M1776" s="112">
        <v>1173.105</v>
      </c>
      <c r="N1776" s="112">
        <v>656.93880000000013</v>
      </c>
      <c r="O1776" s="204"/>
      <c r="P1776" s="112"/>
      <c r="Q1776" s="112"/>
      <c r="R1776" s="112"/>
      <c r="S1776" s="112"/>
      <c r="T1776" s="112"/>
      <c r="U1776" t="s">
        <v>5657</v>
      </c>
      <c r="V1776" t="s">
        <v>5658</v>
      </c>
      <c r="W1776" t="s">
        <v>3958</v>
      </c>
      <c r="X1776" t="s">
        <v>4660</v>
      </c>
    </row>
    <row r="1777" spans="1:24" x14ac:dyDescent="0.2">
      <c r="A1777" t="s">
        <v>5656</v>
      </c>
      <c r="B1777" t="s">
        <v>744</v>
      </c>
      <c r="C1777" t="s">
        <v>1807</v>
      </c>
      <c r="D1777" t="s">
        <v>56</v>
      </c>
      <c r="E1777" t="s">
        <v>745</v>
      </c>
      <c r="F1777" t="s">
        <v>84</v>
      </c>
      <c r="G1777" s="202">
        <v>7</v>
      </c>
      <c r="H1777">
        <v>3</v>
      </c>
      <c r="I1777" t="s">
        <v>3962</v>
      </c>
      <c r="J1777" t="s">
        <v>4808</v>
      </c>
      <c r="K1777" t="s">
        <v>1283</v>
      </c>
      <c r="L1777" s="204">
        <v>0.1</v>
      </c>
      <c r="M1777" s="112">
        <v>1173.105</v>
      </c>
      <c r="N1777" s="112">
        <v>117.3105</v>
      </c>
      <c r="O1777" s="204"/>
      <c r="P1777" s="112"/>
      <c r="Q1777" s="112"/>
      <c r="R1777" s="112"/>
      <c r="S1777" s="112"/>
      <c r="T1777" s="112"/>
      <c r="U1777" t="s">
        <v>5657</v>
      </c>
      <c r="V1777" t="s">
        <v>5658</v>
      </c>
      <c r="W1777" t="s">
        <v>3958</v>
      </c>
      <c r="X1777" t="s">
        <v>4660</v>
      </c>
    </row>
    <row r="1778" spans="1:24" x14ac:dyDescent="0.2">
      <c r="A1778" t="s">
        <v>5656</v>
      </c>
      <c r="B1778" t="s">
        <v>744</v>
      </c>
      <c r="C1778" t="s">
        <v>1807</v>
      </c>
      <c r="D1778" t="s">
        <v>56</v>
      </c>
      <c r="E1778" t="s">
        <v>745</v>
      </c>
      <c r="F1778" t="s">
        <v>84</v>
      </c>
      <c r="G1778" s="202">
        <v>7</v>
      </c>
      <c r="H1778">
        <v>4</v>
      </c>
      <c r="I1778" t="s">
        <v>4017</v>
      </c>
      <c r="J1778" t="s">
        <v>4809</v>
      </c>
      <c r="K1778" t="s">
        <v>1283</v>
      </c>
      <c r="L1778" s="204">
        <v>0.06</v>
      </c>
      <c r="M1778" s="112">
        <v>1173.105</v>
      </c>
      <c r="N1778" s="112">
        <v>70.386299999999991</v>
      </c>
      <c r="O1778" s="204"/>
      <c r="P1778" s="112"/>
      <c r="Q1778" s="112"/>
      <c r="R1778" s="112"/>
      <c r="S1778" s="112"/>
      <c r="T1778" s="112"/>
      <c r="U1778" t="s">
        <v>5657</v>
      </c>
      <c r="V1778" t="s">
        <v>5658</v>
      </c>
      <c r="W1778" t="s">
        <v>3958</v>
      </c>
      <c r="X1778" t="s">
        <v>4660</v>
      </c>
    </row>
    <row r="1779" spans="1:24" x14ac:dyDescent="0.2">
      <c r="A1779" t="s">
        <v>5656</v>
      </c>
      <c r="B1779" t="s">
        <v>744</v>
      </c>
      <c r="C1779" t="s">
        <v>1807</v>
      </c>
      <c r="D1779" t="s">
        <v>56</v>
      </c>
      <c r="E1779" t="s">
        <v>745</v>
      </c>
      <c r="F1779" t="s">
        <v>84</v>
      </c>
      <c r="G1779" s="202">
        <v>7</v>
      </c>
      <c r="H1779">
        <v>5</v>
      </c>
      <c r="I1779" t="s">
        <v>3968</v>
      </c>
      <c r="J1779" t="s">
        <v>3969</v>
      </c>
      <c r="K1779" t="s">
        <v>84</v>
      </c>
      <c r="L1779" s="204">
        <v>1</v>
      </c>
      <c r="M1779" s="112"/>
      <c r="N1779" s="112">
        <v>1173.105</v>
      </c>
      <c r="O1779" s="204">
        <v>0.22229467950439208</v>
      </c>
      <c r="P1779" s="112">
        <v>260.77499999999986</v>
      </c>
      <c r="Q1779" s="112">
        <v>1433.8799999999999</v>
      </c>
      <c r="R1779" s="112">
        <v>10037.16</v>
      </c>
      <c r="S1779" s="112">
        <v>10037.16</v>
      </c>
      <c r="T1779" s="112">
        <v>0</v>
      </c>
      <c r="U1779" t="s">
        <v>5657</v>
      </c>
      <c r="V1779" t="s">
        <v>5658</v>
      </c>
      <c r="W1779" t="s">
        <v>4666</v>
      </c>
      <c r="X1779" t="s">
        <v>4667</v>
      </c>
    </row>
    <row r="1780" spans="1:24" x14ac:dyDescent="0.2">
      <c r="A1780" t="s">
        <v>5659</v>
      </c>
      <c r="B1780" t="s">
        <v>746</v>
      </c>
      <c r="C1780" t="s">
        <v>1808</v>
      </c>
      <c r="D1780" t="s">
        <v>56</v>
      </c>
      <c r="E1780" t="s">
        <v>747</v>
      </c>
      <c r="F1780" t="s">
        <v>84</v>
      </c>
      <c r="G1780" s="202">
        <v>13</v>
      </c>
      <c r="H1780">
        <v>1</v>
      </c>
      <c r="I1780" t="s">
        <v>3954</v>
      </c>
      <c r="J1780" t="s">
        <v>4804</v>
      </c>
      <c r="K1780" t="s">
        <v>1283</v>
      </c>
      <c r="L1780" s="204">
        <v>0.28000000000000003</v>
      </c>
      <c r="M1780" s="112">
        <v>1017.4875000000001</v>
      </c>
      <c r="N1780" s="112">
        <v>284.89650000000006</v>
      </c>
      <c r="O1780" s="204"/>
      <c r="P1780" s="112"/>
      <c r="Q1780" s="112"/>
      <c r="R1780" s="112"/>
      <c r="S1780" s="112"/>
      <c r="T1780" s="112"/>
      <c r="U1780" t="s">
        <v>5660</v>
      </c>
      <c r="V1780" t="s">
        <v>5661</v>
      </c>
      <c r="W1780" t="s">
        <v>3958</v>
      </c>
      <c r="X1780" t="s">
        <v>4660</v>
      </c>
    </row>
    <row r="1781" spans="1:24" x14ac:dyDescent="0.2">
      <c r="A1781" t="s">
        <v>5659</v>
      </c>
      <c r="B1781" t="s">
        <v>746</v>
      </c>
      <c r="C1781" t="s">
        <v>1808</v>
      </c>
      <c r="D1781" t="s">
        <v>56</v>
      </c>
      <c r="E1781" t="s">
        <v>747</v>
      </c>
      <c r="F1781" t="s">
        <v>84</v>
      </c>
      <c r="G1781" s="202">
        <v>13</v>
      </c>
      <c r="H1781">
        <v>2</v>
      </c>
      <c r="I1781" t="s">
        <v>3960</v>
      </c>
      <c r="J1781" t="s">
        <v>4807</v>
      </c>
      <c r="K1781" t="s">
        <v>1283</v>
      </c>
      <c r="L1781" s="204">
        <v>0.56000000000000005</v>
      </c>
      <c r="M1781" s="112">
        <v>1017.4875000000001</v>
      </c>
      <c r="N1781" s="112">
        <v>569.79300000000012</v>
      </c>
      <c r="O1781" s="204"/>
      <c r="P1781" s="112"/>
      <c r="Q1781" s="112"/>
      <c r="R1781" s="112"/>
      <c r="S1781" s="112"/>
      <c r="T1781" s="112"/>
      <c r="U1781" t="s">
        <v>5660</v>
      </c>
      <c r="V1781" t="s">
        <v>5661</v>
      </c>
      <c r="W1781" t="s">
        <v>3958</v>
      </c>
      <c r="X1781" t="s">
        <v>4660</v>
      </c>
    </row>
    <row r="1782" spans="1:24" x14ac:dyDescent="0.2">
      <c r="A1782" t="s">
        <v>5659</v>
      </c>
      <c r="B1782" t="s">
        <v>746</v>
      </c>
      <c r="C1782" t="s">
        <v>1808</v>
      </c>
      <c r="D1782" t="s">
        <v>56</v>
      </c>
      <c r="E1782" t="s">
        <v>747</v>
      </c>
      <c r="F1782" t="s">
        <v>84</v>
      </c>
      <c r="G1782" s="202">
        <v>13</v>
      </c>
      <c r="H1782">
        <v>3</v>
      </c>
      <c r="I1782" t="s">
        <v>3962</v>
      </c>
      <c r="J1782" t="s">
        <v>4808</v>
      </c>
      <c r="K1782" t="s">
        <v>1283</v>
      </c>
      <c r="L1782" s="204">
        <v>0.1</v>
      </c>
      <c r="M1782" s="112">
        <v>1017.4875000000001</v>
      </c>
      <c r="N1782" s="112">
        <v>101.74875000000002</v>
      </c>
      <c r="O1782" s="204"/>
      <c r="P1782" s="112"/>
      <c r="Q1782" s="112"/>
      <c r="R1782" s="112"/>
      <c r="S1782" s="112"/>
      <c r="T1782" s="112"/>
      <c r="U1782" t="s">
        <v>5660</v>
      </c>
      <c r="V1782" t="s">
        <v>5661</v>
      </c>
      <c r="W1782" t="s">
        <v>3958</v>
      </c>
      <c r="X1782" t="s">
        <v>4660</v>
      </c>
    </row>
    <row r="1783" spans="1:24" x14ac:dyDescent="0.2">
      <c r="A1783" t="s">
        <v>5659</v>
      </c>
      <c r="B1783" t="s">
        <v>746</v>
      </c>
      <c r="C1783" t="s">
        <v>1808</v>
      </c>
      <c r="D1783" t="s">
        <v>56</v>
      </c>
      <c r="E1783" t="s">
        <v>747</v>
      </c>
      <c r="F1783" t="s">
        <v>84</v>
      </c>
      <c r="G1783" s="202">
        <v>13</v>
      </c>
      <c r="H1783">
        <v>4</v>
      </c>
      <c r="I1783" t="s">
        <v>4017</v>
      </c>
      <c r="J1783" t="s">
        <v>4809</v>
      </c>
      <c r="K1783" t="s">
        <v>1283</v>
      </c>
      <c r="L1783" s="204">
        <v>0.06</v>
      </c>
      <c r="M1783" s="112">
        <v>1017.4875000000001</v>
      </c>
      <c r="N1783" s="112">
        <v>61.049250000000001</v>
      </c>
      <c r="O1783" s="204"/>
      <c r="P1783" s="112"/>
      <c r="Q1783" s="112"/>
      <c r="R1783" s="112"/>
      <c r="S1783" s="112"/>
      <c r="T1783" s="112"/>
      <c r="U1783" t="s">
        <v>5660</v>
      </c>
      <c r="V1783" t="s">
        <v>5661</v>
      </c>
      <c r="W1783" t="s">
        <v>3958</v>
      </c>
      <c r="X1783" t="s">
        <v>4660</v>
      </c>
    </row>
    <row r="1784" spans="1:24" x14ac:dyDescent="0.2">
      <c r="A1784" t="s">
        <v>5659</v>
      </c>
      <c r="B1784" t="s">
        <v>746</v>
      </c>
      <c r="C1784" t="s">
        <v>1808</v>
      </c>
      <c r="D1784" t="s">
        <v>56</v>
      </c>
      <c r="E1784" t="s">
        <v>747</v>
      </c>
      <c r="F1784" t="s">
        <v>84</v>
      </c>
      <c r="G1784" s="202">
        <v>13</v>
      </c>
      <c r="H1784">
        <v>5</v>
      </c>
      <c r="I1784" t="s">
        <v>3968</v>
      </c>
      <c r="J1784" t="s">
        <v>3969</v>
      </c>
      <c r="K1784" t="s">
        <v>84</v>
      </c>
      <c r="L1784" s="204">
        <v>1</v>
      </c>
      <c r="M1784" s="112"/>
      <c r="N1784" s="112">
        <v>1017.4875000000001</v>
      </c>
      <c r="O1784" s="204">
        <v>0.22229738222072259</v>
      </c>
      <c r="P1784" s="112">
        <v>226.18480769230757</v>
      </c>
      <c r="Q1784" s="112">
        <v>1243.6723076923076</v>
      </c>
      <c r="R1784" s="112">
        <v>16167.74</v>
      </c>
      <c r="S1784" s="112">
        <v>16167.74</v>
      </c>
      <c r="T1784" s="112">
        <v>0</v>
      </c>
      <c r="U1784" t="s">
        <v>5660</v>
      </c>
      <c r="V1784" t="s">
        <v>5661</v>
      </c>
      <c r="W1784" t="s">
        <v>4666</v>
      </c>
      <c r="X1784" t="s">
        <v>4667</v>
      </c>
    </row>
    <row r="1785" spans="1:24" x14ac:dyDescent="0.2">
      <c r="A1785" t="s">
        <v>5662</v>
      </c>
      <c r="B1785" t="s">
        <v>748</v>
      </c>
      <c r="C1785" t="s">
        <v>1809</v>
      </c>
      <c r="D1785" t="s">
        <v>335</v>
      </c>
      <c r="E1785" t="s">
        <v>749</v>
      </c>
      <c r="F1785" t="s">
        <v>99</v>
      </c>
      <c r="G1785" s="202">
        <v>6</v>
      </c>
      <c r="H1785">
        <v>1</v>
      </c>
      <c r="I1785" t="s">
        <v>3954</v>
      </c>
      <c r="J1785" t="s">
        <v>4110</v>
      </c>
      <c r="K1785" t="s">
        <v>1283</v>
      </c>
      <c r="L1785" s="204">
        <v>0.3</v>
      </c>
      <c r="M1785" s="112">
        <v>72.352499999999992</v>
      </c>
      <c r="N1785" s="112">
        <v>21.705749999999998</v>
      </c>
      <c r="O1785" s="204"/>
      <c r="P1785" s="112"/>
      <c r="Q1785" s="112"/>
      <c r="R1785" s="112"/>
      <c r="S1785" s="112"/>
      <c r="T1785" s="112"/>
      <c r="U1785" t="s">
        <v>5663</v>
      </c>
      <c r="V1785" t="s">
        <v>5664</v>
      </c>
      <c r="W1785" t="s">
        <v>3958</v>
      </c>
      <c r="X1785" t="s">
        <v>4660</v>
      </c>
    </row>
    <row r="1786" spans="1:24" x14ac:dyDescent="0.2">
      <c r="A1786" t="s">
        <v>5662</v>
      </c>
      <c r="B1786" t="s">
        <v>748</v>
      </c>
      <c r="C1786" t="s">
        <v>1809</v>
      </c>
      <c r="D1786" t="s">
        <v>335</v>
      </c>
      <c r="E1786" t="s">
        <v>749</v>
      </c>
      <c r="F1786" t="s">
        <v>99</v>
      </c>
      <c r="G1786" s="202">
        <v>6</v>
      </c>
      <c r="H1786">
        <v>2</v>
      </c>
      <c r="I1786" t="s">
        <v>3960</v>
      </c>
      <c r="J1786" t="s">
        <v>4113</v>
      </c>
      <c r="K1786" t="s">
        <v>1283</v>
      </c>
      <c r="L1786" s="204">
        <v>0.55000000000000004</v>
      </c>
      <c r="M1786" s="112">
        <v>72.352499999999992</v>
      </c>
      <c r="N1786" s="112">
        <v>39.793875</v>
      </c>
      <c r="O1786" s="204"/>
      <c r="P1786" s="112"/>
      <c r="Q1786" s="112"/>
      <c r="R1786" s="112"/>
      <c r="S1786" s="112"/>
      <c r="T1786" s="112"/>
      <c r="U1786" t="s">
        <v>5663</v>
      </c>
      <c r="V1786" t="s">
        <v>5664</v>
      </c>
      <c r="W1786" t="s">
        <v>3958</v>
      </c>
      <c r="X1786" t="s">
        <v>4660</v>
      </c>
    </row>
    <row r="1787" spans="1:24" x14ac:dyDescent="0.2">
      <c r="A1787" t="s">
        <v>5662</v>
      </c>
      <c r="B1787" t="s">
        <v>748</v>
      </c>
      <c r="C1787" t="s">
        <v>1809</v>
      </c>
      <c r="D1787" t="s">
        <v>335</v>
      </c>
      <c r="E1787" t="s">
        <v>749</v>
      </c>
      <c r="F1787" t="s">
        <v>99</v>
      </c>
      <c r="G1787" s="202">
        <v>6</v>
      </c>
      <c r="H1787">
        <v>3</v>
      </c>
      <c r="I1787" t="s">
        <v>3976</v>
      </c>
      <c r="J1787" t="s">
        <v>4114</v>
      </c>
      <c r="K1787" t="s">
        <v>1283</v>
      </c>
      <c r="L1787" s="204">
        <v>0.1</v>
      </c>
      <c r="M1787" s="112">
        <v>72.352499999999992</v>
      </c>
      <c r="N1787" s="112">
        <v>7.2352499999999997</v>
      </c>
      <c r="O1787" s="204"/>
      <c r="P1787" s="112"/>
      <c r="Q1787" s="112"/>
      <c r="R1787" s="112"/>
      <c r="S1787" s="112"/>
      <c r="T1787" s="112"/>
      <c r="U1787" t="s">
        <v>5663</v>
      </c>
      <c r="V1787" t="s">
        <v>5664</v>
      </c>
      <c r="W1787" t="s">
        <v>3958</v>
      </c>
      <c r="X1787" t="s">
        <v>4660</v>
      </c>
    </row>
    <row r="1788" spans="1:24" x14ac:dyDescent="0.2">
      <c r="A1788" t="s">
        <v>5662</v>
      </c>
      <c r="B1788" t="s">
        <v>748</v>
      </c>
      <c r="C1788" t="s">
        <v>1809</v>
      </c>
      <c r="D1788" t="s">
        <v>335</v>
      </c>
      <c r="E1788" t="s">
        <v>749</v>
      </c>
      <c r="F1788" t="s">
        <v>99</v>
      </c>
      <c r="G1788" s="202">
        <v>6</v>
      </c>
      <c r="H1788">
        <v>4</v>
      </c>
      <c r="I1788" t="s">
        <v>4017</v>
      </c>
      <c r="J1788" t="s">
        <v>4115</v>
      </c>
      <c r="K1788" t="s">
        <v>1283</v>
      </c>
      <c r="L1788" s="204">
        <v>0.05</v>
      </c>
      <c r="M1788" s="112">
        <v>72.352499999999992</v>
      </c>
      <c r="N1788" s="112">
        <v>3.6176249999999999</v>
      </c>
      <c r="O1788" s="204"/>
      <c r="P1788" s="112"/>
      <c r="Q1788" s="112"/>
      <c r="R1788" s="112"/>
      <c r="S1788" s="112"/>
      <c r="T1788" s="112"/>
      <c r="U1788" t="s">
        <v>5663</v>
      </c>
      <c r="V1788" t="s">
        <v>5664</v>
      </c>
      <c r="W1788" t="s">
        <v>3958</v>
      </c>
      <c r="X1788" t="s">
        <v>4660</v>
      </c>
    </row>
    <row r="1789" spans="1:24" x14ac:dyDescent="0.2">
      <c r="A1789" t="s">
        <v>5662</v>
      </c>
      <c r="B1789" t="s">
        <v>748</v>
      </c>
      <c r="C1789" t="s">
        <v>1809</v>
      </c>
      <c r="D1789" t="s">
        <v>335</v>
      </c>
      <c r="E1789" t="s">
        <v>749</v>
      </c>
      <c r="F1789" t="s">
        <v>99</v>
      </c>
      <c r="G1789" s="202">
        <v>6</v>
      </c>
      <c r="H1789">
        <v>5</v>
      </c>
      <c r="I1789" t="s">
        <v>3968</v>
      </c>
      <c r="J1789" t="s">
        <v>3969</v>
      </c>
      <c r="K1789" t="s">
        <v>99</v>
      </c>
      <c r="L1789" s="204">
        <v>1</v>
      </c>
      <c r="M1789" s="112"/>
      <c r="N1789" s="112">
        <v>72.352499999999992</v>
      </c>
      <c r="O1789" s="204">
        <v>0.2222337399076284</v>
      </c>
      <c r="P1789" s="112">
        <v>16.07916666666668</v>
      </c>
      <c r="Q1789" s="112">
        <v>88.431666666666672</v>
      </c>
      <c r="R1789" s="112">
        <v>530.59</v>
      </c>
      <c r="S1789" s="112">
        <v>530.59</v>
      </c>
      <c r="T1789" s="112">
        <v>0</v>
      </c>
      <c r="U1789" t="s">
        <v>5663</v>
      </c>
      <c r="V1789" t="s">
        <v>5664</v>
      </c>
      <c r="W1789" t="s">
        <v>4666</v>
      </c>
      <c r="X1789" t="s">
        <v>4667</v>
      </c>
    </row>
    <row r="1790" spans="1:24" x14ac:dyDescent="0.2">
      <c r="A1790" t="s">
        <v>5665</v>
      </c>
      <c r="B1790" t="s">
        <v>750</v>
      </c>
      <c r="C1790" t="s">
        <v>1715</v>
      </c>
      <c r="D1790" t="s">
        <v>56</v>
      </c>
      <c r="E1790" t="s">
        <v>1716</v>
      </c>
      <c r="F1790" t="s">
        <v>84</v>
      </c>
      <c r="G1790" s="202">
        <v>7</v>
      </c>
      <c r="H1790">
        <v>1</v>
      </c>
      <c r="I1790" t="s">
        <v>3954</v>
      </c>
      <c r="J1790" t="s">
        <v>4734</v>
      </c>
      <c r="K1790" t="s">
        <v>1283</v>
      </c>
      <c r="L1790" s="204">
        <v>0.24</v>
      </c>
      <c r="M1790" s="112">
        <v>461.54999999999995</v>
      </c>
      <c r="N1790" s="112">
        <v>110.77199999999999</v>
      </c>
      <c r="O1790" s="204"/>
      <c r="P1790" s="112"/>
      <c r="Q1790" s="112"/>
      <c r="R1790" s="112"/>
      <c r="S1790" s="112"/>
      <c r="T1790" s="112"/>
      <c r="U1790" t="s">
        <v>5503</v>
      </c>
      <c r="V1790" t="s">
        <v>5666</v>
      </c>
      <c r="W1790" t="s">
        <v>3958</v>
      </c>
      <c r="X1790" t="s">
        <v>4660</v>
      </c>
    </row>
    <row r="1791" spans="1:24" x14ac:dyDescent="0.2">
      <c r="A1791" t="s">
        <v>5665</v>
      </c>
      <c r="B1791" t="s">
        <v>750</v>
      </c>
      <c r="C1791" t="s">
        <v>1715</v>
      </c>
      <c r="D1791" t="s">
        <v>56</v>
      </c>
      <c r="E1791" t="s">
        <v>1716</v>
      </c>
      <c r="F1791" t="s">
        <v>84</v>
      </c>
      <c r="G1791" s="202">
        <v>7</v>
      </c>
      <c r="H1791">
        <v>2</v>
      </c>
      <c r="I1791" t="s">
        <v>3962</v>
      </c>
      <c r="J1791" t="s">
        <v>4737</v>
      </c>
      <c r="K1791" t="s">
        <v>1283</v>
      </c>
      <c r="L1791" s="204">
        <v>0.46</v>
      </c>
      <c r="M1791" s="112">
        <v>461.54999999999995</v>
      </c>
      <c r="N1791" s="112">
        <v>212.31299999999999</v>
      </c>
      <c r="O1791" s="204"/>
      <c r="P1791" s="112"/>
      <c r="Q1791" s="112"/>
      <c r="R1791" s="112"/>
      <c r="S1791" s="112"/>
      <c r="T1791" s="112"/>
      <c r="U1791" t="s">
        <v>5503</v>
      </c>
      <c r="V1791" t="s">
        <v>5666</v>
      </c>
      <c r="W1791" t="s">
        <v>3958</v>
      </c>
      <c r="X1791" t="s">
        <v>4660</v>
      </c>
    </row>
    <row r="1792" spans="1:24" x14ac:dyDescent="0.2">
      <c r="A1792" t="s">
        <v>5665</v>
      </c>
      <c r="B1792" t="s">
        <v>750</v>
      </c>
      <c r="C1792" t="s">
        <v>1715</v>
      </c>
      <c r="D1792" t="s">
        <v>56</v>
      </c>
      <c r="E1792" t="s">
        <v>1716</v>
      </c>
      <c r="F1792" t="s">
        <v>84</v>
      </c>
      <c r="G1792" s="202">
        <v>7</v>
      </c>
      <c r="H1792">
        <v>3</v>
      </c>
      <c r="I1792" t="s">
        <v>4738</v>
      </c>
      <c r="J1792" t="s">
        <v>4739</v>
      </c>
      <c r="K1792" t="s">
        <v>1283</v>
      </c>
      <c r="L1792" s="204">
        <v>0.22</v>
      </c>
      <c r="M1792" s="112">
        <v>461.54999999999995</v>
      </c>
      <c r="N1792" s="112">
        <v>101.541</v>
      </c>
      <c r="O1792" s="204"/>
      <c r="P1792" s="112"/>
      <c r="Q1792" s="112"/>
      <c r="R1792" s="112"/>
      <c r="S1792" s="112"/>
      <c r="T1792" s="112"/>
      <c r="U1792" t="s">
        <v>5503</v>
      </c>
      <c r="V1792" t="s">
        <v>5666</v>
      </c>
      <c r="W1792" t="s">
        <v>3958</v>
      </c>
      <c r="X1792" t="s">
        <v>4660</v>
      </c>
    </row>
    <row r="1793" spans="1:24" x14ac:dyDescent="0.2">
      <c r="A1793" t="s">
        <v>5665</v>
      </c>
      <c r="B1793" t="s">
        <v>750</v>
      </c>
      <c r="C1793" t="s">
        <v>1715</v>
      </c>
      <c r="D1793" t="s">
        <v>56</v>
      </c>
      <c r="E1793" t="s">
        <v>1716</v>
      </c>
      <c r="F1793" t="s">
        <v>84</v>
      </c>
      <c r="G1793" s="202">
        <v>7</v>
      </c>
      <c r="H1793">
        <v>4</v>
      </c>
      <c r="I1793" t="s">
        <v>4740</v>
      </c>
      <c r="J1793" t="s">
        <v>4741</v>
      </c>
      <c r="K1793" t="s">
        <v>1283</v>
      </c>
      <c r="L1793" s="204">
        <v>0.08</v>
      </c>
      <c r="M1793" s="112">
        <v>461.54999999999995</v>
      </c>
      <c r="N1793" s="112">
        <v>36.923999999999999</v>
      </c>
      <c r="O1793" s="204"/>
      <c r="P1793" s="112"/>
      <c r="Q1793" s="112"/>
      <c r="R1793" s="112"/>
      <c r="S1793" s="112"/>
      <c r="T1793" s="112"/>
      <c r="U1793" t="s">
        <v>5503</v>
      </c>
      <c r="V1793" t="s">
        <v>5666</v>
      </c>
      <c r="W1793" t="s">
        <v>3958</v>
      </c>
      <c r="X1793" t="s">
        <v>4660</v>
      </c>
    </row>
    <row r="1794" spans="1:24" x14ac:dyDescent="0.2">
      <c r="A1794" t="s">
        <v>5665</v>
      </c>
      <c r="B1794" t="s">
        <v>750</v>
      </c>
      <c r="C1794" t="s">
        <v>1715</v>
      </c>
      <c r="D1794" t="s">
        <v>56</v>
      </c>
      <c r="E1794" t="s">
        <v>1716</v>
      </c>
      <c r="F1794" t="s">
        <v>84</v>
      </c>
      <c r="G1794" s="202">
        <v>7</v>
      </c>
      <c r="H1794">
        <v>5</v>
      </c>
      <c r="I1794" t="s">
        <v>3968</v>
      </c>
      <c r="J1794" t="s">
        <v>3969</v>
      </c>
      <c r="K1794" t="s">
        <v>84</v>
      </c>
      <c r="L1794" s="204">
        <v>1</v>
      </c>
      <c r="M1794" s="112"/>
      <c r="N1794" s="112">
        <v>461.54999999999995</v>
      </c>
      <c r="O1794" s="204">
        <v>0.22229444263893416</v>
      </c>
      <c r="P1794" s="112">
        <v>102.60000000000002</v>
      </c>
      <c r="Q1794" s="112">
        <v>564.15</v>
      </c>
      <c r="R1794" s="112">
        <v>3949.05</v>
      </c>
      <c r="S1794" s="112">
        <v>3949.05</v>
      </c>
      <c r="T1794" s="112">
        <v>0</v>
      </c>
      <c r="U1794" t="s">
        <v>5503</v>
      </c>
      <c r="V1794" t="s">
        <v>5666</v>
      </c>
      <c r="W1794" t="s">
        <v>4666</v>
      </c>
      <c r="X1794" t="s">
        <v>4667</v>
      </c>
    </row>
    <row r="1795" spans="1:24" x14ac:dyDescent="0.2">
      <c r="A1795" t="s">
        <v>5667</v>
      </c>
      <c r="B1795" t="s">
        <v>751</v>
      </c>
      <c r="C1795" t="s">
        <v>1810</v>
      </c>
      <c r="D1795" t="s">
        <v>56</v>
      </c>
      <c r="E1795" t="s">
        <v>752</v>
      </c>
      <c r="F1795" t="s">
        <v>99</v>
      </c>
      <c r="G1795" s="202">
        <v>259.8</v>
      </c>
      <c r="H1795">
        <v>1</v>
      </c>
      <c r="I1795" t="s">
        <v>3954</v>
      </c>
      <c r="J1795" t="s">
        <v>5227</v>
      </c>
      <c r="K1795" t="s">
        <v>1283</v>
      </c>
      <c r="L1795" s="204">
        <v>0.26</v>
      </c>
      <c r="M1795" s="112">
        <v>45.435000000000002</v>
      </c>
      <c r="N1795" s="112">
        <v>11.8131</v>
      </c>
      <c r="O1795" s="204"/>
      <c r="P1795" s="112"/>
      <c r="Q1795" s="112"/>
      <c r="R1795" s="112"/>
      <c r="S1795" s="112"/>
      <c r="T1795" s="112"/>
      <c r="U1795" t="s">
        <v>5668</v>
      </c>
      <c r="V1795" t="s">
        <v>5669</v>
      </c>
      <c r="W1795" t="s">
        <v>3958</v>
      </c>
      <c r="X1795" t="s">
        <v>4660</v>
      </c>
    </row>
    <row r="1796" spans="1:24" x14ac:dyDescent="0.2">
      <c r="A1796" t="s">
        <v>5667</v>
      </c>
      <c r="B1796" t="s">
        <v>751</v>
      </c>
      <c r="C1796" t="s">
        <v>1810</v>
      </c>
      <c r="D1796" t="s">
        <v>56</v>
      </c>
      <c r="E1796" t="s">
        <v>752</v>
      </c>
      <c r="F1796" t="s">
        <v>99</v>
      </c>
      <c r="G1796" s="202">
        <v>259.8</v>
      </c>
      <c r="H1796">
        <v>2</v>
      </c>
      <c r="I1796" t="s">
        <v>3960</v>
      </c>
      <c r="J1796" t="s">
        <v>5229</v>
      </c>
      <c r="K1796" t="s">
        <v>1283</v>
      </c>
      <c r="L1796" s="204">
        <v>0.64</v>
      </c>
      <c r="M1796" s="112">
        <v>45.435000000000002</v>
      </c>
      <c r="N1796" s="112">
        <v>29.078400000000002</v>
      </c>
      <c r="O1796" s="204"/>
      <c r="P1796" s="112"/>
      <c r="Q1796" s="112"/>
      <c r="R1796" s="112"/>
      <c r="S1796" s="112"/>
      <c r="T1796" s="112"/>
      <c r="U1796" t="s">
        <v>5668</v>
      </c>
      <c r="V1796" t="s">
        <v>5669</v>
      </c>
      <c r="W1796" t="s">
        <v>3958</v>
      </c>
      <c r="X1796" t="s">
        <v>4660</v>
      </c>
    </row>
    <row r="1797" spans="1:24" x14ac:dyDescent="0.2">
      <c r="A1797" t="s">
        <v>5667</v>
      </c>
      <c r="B1797" t="s">
        <v>751</v>
      </c>
      <c r="C1797" t="s">
        <v>1810</v>
      </c>
      <c r="D1797" t="s">
        <v>56</v>
      </c>
      <c r="E1797" t="s">
        <v>752</v>
      </c>
      <c r="F1797" t="s">
        <v>99</v>
      </c>
      <c r="G1797" s="202">
        <v>259.8</v>
      </c>
      <c r="H1797">
        <v>3</v>
      </c>
      <c r="I1797" t="s">
        <v>3976</v>
      </c>
      <c r="J1797" t="s">
        <v>5230</v>
      </c>
      <c r="K1797" t="s">
        <v>1283</v>
      </c>
      <c r="L1797" s="204">
        <v>0.04</v>
      </c>
      <c r="M1797" s="112">
        <v>45.435000000000002</v>
      </c>
      <c r="N1797" s="112">
        <v>1.8174000000000001</v>
      </c>
      <c r="O1797" s="204"/>
      <c r="P1797" s="112"/>
      <c r="Q1797" s="112"/>
      <c r="R1797" s="112"/>
      <c r="S1797" s="112"/>
      <c r="T1797" s="112"/>
      <c r="U1797" t="s">
        <v>5668</v>
      </c>
      <c r="V1797" t="s">
        <v>5669</v>
      </c>
      <c r="W1797" t="s">
        <v>3958</v>
      </c>
      <c r="X1797" t="s">
        <v>4660</v>
      </c>
    </row>
    <row r="1798" spans="1:24" x14ac:dyDescent="0.2">
      <c r="A1798" t="s">
        <v>5667</v>
      </c>
      <c r="B1798" t="s">
        <v>751</v>
      </c>
      <c r="C1798" t="s">
        <v>1810</v>
      </c>
      <c r="D1798" t="s">
        <v>56</v>
      </c>
      <c r="E1798" t="s">
        <v>752</v>
      </c>
      <c r="F1798" t="s">
        <v>99</v>
      </c>
      <c r="G1798" s="202">
        <v>259.8</v>
      </c>
      <c r="H1798">
        <v>4</v>
      </c>
      <c r="I1798" t="s">
        <v>4017</v>
      </c>
      <c r="J1798" t="s">
        <v>4851</v>
      </c>
      <c r="K1798" t="s">
        <v>1283</v>
      </c>
      <c r="L1798" s="204">
        <v>0.06</v>
      </c>
      <c r="M1798" s="112">
        <v>45.435000000000002</v>
      </c>
      <c r="N1798" s="112">
        <v>2.7261000000000002</v>
      </c>
      <c r="O1798" s="204"/>
      <c r="P1798" s="112"/>
      <c r="Q1798" s="112"/>
      <c r="R1798" s="112"/>
      <c r="S1798" s="112"/>
      <c r="T1798" s="112"/>
      <c r="U1798" t="s">
        <v>5668</v>
      </c>
      <c r="V1798" t="s">
        <v>5669</v>
      </c>
      <c r="W1798" t="s">
        <v>3958</v>
      </c>
      <c r="X1798" t="s">
        <v>4660</v>
      </c>
    </row>
    <row r="1799" spans="1:24" x14ac:dyDescent="0.2">
      <c r="A1799" t="s">
        <v>5667</v>
      </c>
      <c r="B1799" t="s">
        <v>751</v>
      </c>
      <c r="C1799" t="s">
        <v>1810</v>
      </c>
      <c r="D1799" t="s">
        <v>56</v>
      </c>
      <c r="E1799" t="s">
        <v>752</v>
      </c>
      <c r="F1799" t="s">
        <v>99</v>
      </c>
      <c r="G1799" s="202">
        <v>259.8</v>
      </c>
      <c r="H1799">
        <v>5</v>
      </c>
      <c r="I1799" t="s">
        <v>3968</v>
      </c>
      <c r="J1799" t="s">
        <v>3969</v>
      </c>
      <c r="K1799" t="s">
        <v>99</v>
      </c>
      <c r="L1799" s="204">
        <v>1</v>
      </c>
      <c r="M1799" s="112"/>
      <c r="N1799" s="112">
        <v>45.435000000000002</v>
      </c>
      <c r="O1799" s="204">
        <v>0.22218520091429927</v>
      </c>
      <c r="P1799" s="112">
        <v>10.094984603541185</v>
      </c>
      <c r="Q1799" s="112">
        <v>55.529984603541187</v>
      </c>
      <c r="R1799" s="112">
        <v>14426.69</v>
      </c>
      <c r="S1799" s="112">
        <v>14426.69</v>
      </c>
      <c r="T1799" s="112">
        <v>0</v>
      </c>
      <c r="U1799" t="s">
        <v>5668</v>
      </c>
      <c r="V1799" t="s">
        <v>5669</v>
      </c>
      <c r="W1799" t="s">
        <v>4666</v>
      </c>
      <c r="X1799" t="s">
        <v>4667</v>
      </c>
    </row>
    <row r="1800" spans="1:24" x14ac:dyDescent="0.2">
      <c r="A1800" t="s">
        <v>5670</v>
      </c>
      <c r="B1800" t="s">
        <v>753</v>
      </c>
      <c r="C1800" t="s">
        <v>1811</v>
      </c>
      <c r="D1800" t="s">
        <v>56</v>
      </c>
      <c r="E1800" t="s">
        <v>754</v>
      </c>
      <c r="F1800" t="s">
        <v>99</v>
      </c>
      <c r="G1800" s="202">
        <v>59.4</v>
      </c>
      <c r="H1800">
        <v>1</v>
      </c>
      <c r="I1800" t="s">
        <v>3954</v>
      </c>
      <c r="J1800" t="s">
        <v>5227</v>
      </c>
      <c r="K1800" t="s">
        <v>1283</v>
      </c>
      <c r="L1800" s="204">
        <v>0.26</v>
      </c>
      <c r="M1800" s="112">
        <v>63.997500000000002</v>
      </c>
      <c r="N1800" s="112">
        <v>16.63935</v>
      </c>
      <c r="O1800" s="204"/>
      <c r="P1800" s="112"/>
      <c r="Q1800" s="112"/>
      <c r="R1800" s="112"/>
      <c r="S1800" s="112"/>
      <c r="T1800" s="112"/>
      <c r="U1800" t="s">
        <v>5671</v>
      </c>
      <c r="V1800" t="s">
        <v>5672</v>
      </c>
      <c r="W1800" t="s">
        <v>3958</v>
      </c>
      <c r="X1800" t="s">
        <v>4660</v>
      </c>
    </row>
    <row r="1801" spans="1:24" x14ac:dyDescent="0.2">
      <c r="A1801" t="s">
        <v>5670</v>
      </c>
      <c r="B1801" t="s">
        <v>753</v>
      </c>
      <c r="C1801" t="s">
        <v>1811</v>
      </c>
      <c r="D1801" t="s">
        <v>56</v>
      </c>
      <c r="E1801" t="s">
        <v>754</v>
      </c>
      <c r="F1801" t="s">
        <v>99</v>
      </c>
      <c r="G1801" s="202">
        <v>59.4</v>
      </c>
      <c r="H1801">
        <v>2</v>
      </c>
      <c r="I1801" t="s">
        <v>3960</v>
      </c>
      <c r="J1801" t="s">
        <v>5229</v>
      </c>
      <c r="K1801" t="s">
        <v>1283</v>
      </c>
      <c r="L1801" s="204">
        <v>0.64</v>
      </c>
      <c r="M1801" s="112">
        <v>63.997500000000002</v>
      </c>
      <c r="N1801" s="112">
        <v>40.958400000000005</v>
      </c>
      <c r="O1801" s="204"/>
      <c r="P1801" s="112"/>
      <c r="Q1801" s="112"/>
      <c r="R1801" s="112"/>
      <c r="S1801" s="112"/>
      <c r="T1801" s="112"/>
      <c r="U1801" t="s">
        <v>5671</v>
      </c>
      <c r="V1801" t="s">
        <v>5672</v>
      </c>
      <c r="W1801" t="s">
        <v>3958</v>
      </c>
      <c r="X1801" t="s">
        <v>4660</v>
      </c>
    </row>
    <row r="1802" spans="1:24" x14ac:dyDescent="0.2">
      <c r="A1802" t="s">
        <v>5670</v>
      </c>
      <c r="B1802" t="s">
        <v>753</v>
      </c>
      <c r="C1802" t="s">
        <v>1811</v>
      </c>
      <c r="D1802" t="s">
        <v>56</v>
      </c>
      <c r="E1802" t="s">
        <v>754</v>
      </c>
      <c r="F1802" t="s">
        <v>99</v>
      </c>
      <c r="G1802" s="202">
        <v>59.4</v>
      </c>
      <c r="H1802">
        <v>3</v>
      </c>
      <c r="I1802" t="s">
        <v>3976</v>
      </c>
      <c r="J1802" t="s">
        <v>5230</v>
      </c>
      <c r="K1802" t="s">
        <v>1283</v>
      </c>
      <c r="L1802" s="204">
        <v>0.04</v>
      </c>
      <c r="M1802" s="112">
        <v>63.997500000000002</v>
      </c>
      <c r="N1802" s="112">
        <v>2.5599000000000003</v>
      </c>
      <c r="O1802" s="204"/>
      <c r="P1802" s="112"/>
      <c r="Q1802" s="112"/>
      <c r="R1802" s="112"/>
      <c r="S1802" s="112"/>
      <c r="T1802" s="112"/>
      <c r="U1802" t="s">
        <v>5671</v>
      </c>
      <c r="V1802" t="s">
        <v>5672</v>
      </c>
      <c r="W1802" t="s">
        <v>3958</v>
      </c>
      <c r="X1802" t="s">
        <v>4660</v>
      </c>
    </row>
    <row r="1803" spans="1:24" x14ac:dyDescent="0.2">
      <c r="A1803" t="s">
        <v>5670</v>
      </c>
      <c r="B1803" t="s">
        <v>753</v>
      </c>
      <c r="C1803" t="s">
        <v>1811</v>
      </c>
      <c r="D1803" t="s">
        <v>56</v>
      </c>
      <c r="E1803" t="s">
        <v>754</v>
      </c>
      <c r="F1803" t="s">
        <v>99</v>
      </c>
      <c r="G1803" s="202">
        <v>59.4</v>
      </c>
      <c r="H1803">
        <v>4</v>
      </c>
      <c r="I1803" t="s">
        <v>4017</v>
      </c>
      <c r="J1803" t="s">
        <v>4851</v>
      </c>
      <c r="K1803" t="s">
        <v>1283</v>
      </c>
      <c r="L1803" s="204">
        <v>0.06</v>
      </c>
      <c r="M1803" s="112">
        <v>63.997500000000002</v>
      </c>
      <c r="N1803" s="112">
        <v>3.8398500000000002</v>
      </c>
      <c r="O1803" s="204"/>
      <c r="P1803" s="112"/>
      <c r="Q1803" s="112"/>
      <c r="R1803" s="112"/>
      <c r="S1803" s="112"/>
      <c r="T1803" s="112"/>
      <c r="U1803" t="s">
        <v>5671</v>
      </c>
      <c r="V1803" t="s">
        <v>5672</v>
      </c>
      <c r="W1803" t="s">
        <v>3958</v>
      </c>
      <c r="X1803" t="s">
        <v>4660</v>
      </c>
    </row>
    <row r="1804" spans="1:24" x14ac:dyDescent="0.2">
      <c r="A1804" t="s">
        <v>5670</v>
      </c>
      <c r="B1804" t="s">
        <v>753</v>
      </c>
      <c r="C1804" t="s">
        <v>1811</v>
      </c>
      <c r="D1804" t="s">
        <v>56</v>
      </c>
      <c r="E1804" t="s">
        <v>754</v>
      </c>
      <c r="F1804" t="s">
        <v>99</v>
      </c>
      <c r="G1804" s="202">
        <v>59.4</v>
      </c>
      <c r="H1804">
        <v>5</v>
      </c>
      <c r="I1804" t="s">
        <v>3968</v>
      </c>
      <c r="J1804" t="s">
        <v>3969</v>
      </c>
      <c r="K1804" t="s">
        <v>99</v>
      </c>
      <c r="L1804" s="204">
        <v>1</v>
      </c>
      <c r="M1804" s="112"/>
      <c r="N1804" s="112">
        <v>63.997500000000002</v>
      </c>
      <c r="O1804" s="204">
        <v>0.22219368049283261</v>
      </c>
      <c r="P1804" s="112">
        <v>14.219840067340058</v>
      </c>
      <c r="Q1804" s="112">
        <v>78.217340067340061</v>
      </c>
      <c r="R1804" s="112">
        <v>4646.1099999999997</v>
      </c>
      <c r="S1804" s="112">
        <v>4646.1099999999997</v>
      </c>
      <c r="T1804" s="112">
        <v>0</v>
      </c>
      <c r="U1804" t="s">
        <v>5671</v>
      </c>
      <c r="V1804" t="s">
        <v>5672</v>
      </c>
      <c r="W1804" t="s">
        <v>4666</v>
      </c>
      <c r="X1804" t="s">
        <v>4667</v>
      </c>
    </row>
    <row r="1805" spans="1:24" x14ac:dyDescent="0.2">
      <c r="A1805" t="s">
        <v>5673</v>
      </c>
      <c r="B1805" t="s">
        <v>755</v>
      </c>
      <c r="C1805" t="s">
        <v>1812</v>
      </c>
      <c r="D1805" t="s">
        <v>56</v>
      </c>
      <c r="E1805" t="s">
        <v>1813</v>
      </c>
      <c r="F1805" t="s">
        <v>99</v>
      </c>
      <c r="G1805" s="202">
        <v>46.6</v>
      </c>
      <c r="H1805">
        <v>1</v>
      </c>
      <c r="I1805" t="s">
        <v>3954</v>
      </c>
      <c r="J1805" t="s">
        <v>5227</v>
      </c>
      <c r="K1805" t="s">
        <v>1283</v>
      </c>
      <c r="L1805" s="204">
        <v>0.26</v>
      </c>
      <c r="M1805" s="112">
        <v>121.185</v>
      </c>
      <c r="N1805" s="112">
        <v>31.508100000000002</v>
      </c>
      <c r="O1805" s="204"/>
      <c r="P1805" s="112"/>
      <c r="Q1805" s="112"/>
      <c r="R1805" s="112"/>
      <c r="S1805" s="112"/>
      <c r="T1805" s="112"/>
      <c r="U1805" t="s">
        <v>5674</v>
      </c>
      <c r="V1805" t="s">
        <v>5675</v>
      </c>
      <c r="W1805" t="s">
        <v>3958</v>
      </c>
      <c r="X1805" t="s">
        <v>4660</v>
      </c>
    </row>
    <row r="1806" spans="1:24" x14ac:dyDescent="0.2">
      <c r="A1806" t="s">
        <v>5673</v>
      </c>
      <c r="B1806" t="s">
        <v>755</v>
      </c>
      <c r="C1806" t="s">
        <v>1812</v>
      </c>
      <c r="D1806" t="s">
        <v>56</v>
      </c>
      <c r="E1806" t="s">
        <v>1813</v>
      </c>
      <c r="F1806" t="s">
        <v>99</v>
      </c>
      <c r="G1806" s="202">
        <v>46.6</v>
      </c>
      <c r="H1806">
        <v>2</v>
      </c>
      <c r="I1806" t="s">
        <v>3960</v>
      </c>
      <c r="J1806" t="s">
        <v>5229</v>
      </c>
      <c r="K1806" t="s">
        <v>1283</v>
      </c>
      <c r="L1806" s="204">
        <v>0.64</v>
      </c>
      <c r="M1806" s="112">
        <v>121.185</v>
      </c>
      <c r="N1806" s="112">
        <v>77.558400000000006</v>
      </c>
      <c r="O1806" s="204"/>
      <c r="P1806" s="112"/>
      <c r="Q1806" s="112"/>
      <c r="R1806" s="112"/>
      <c r="S1806" s="112"/>
      <c r="T1806" s="112"/>
      <c r="U1806" t="s">
        <v>5674</v>
      </c>
      <c r="V1806" t="s">
        <v>5675</v>
      </c>
      <c r="W1806" t="s">
        <v>3958</v>
      </c>
      <c r="X1806" t="s">
        <v>4660</v>
      </c>
    </row>
    <row r="1807" spans="1:24" x14ac:dyDescent="0.2">
      <c r="A1807" t="s">
        <v>5673</v>
      </c>
      <c r="B1807" t="s">
        <v>755</v>
      </c>
      <c r="C1807" t="s">
        <v>1812</v>
      </c>
      <c r="D1807" t="s">
        <v>56</v>
      </c>
      <c r="E1807" t="s">
        <v>1813</v>
      </c>
      <c r="F1807" t="s">
        <v>99</v>
      </c>
      <c r="G1807" s="202">
        <v>46.6</v>
      </c>
      <c r="H1807">
        <v>3</v>
      </c>
      <c r="I1807" t="s">
        <v>3976</v>
      </c>
      <c r="J1807" t="s">
        <v>5230</v>
      </c>
      <c r="K1807" t="s">
        <v>1283</v>
      </c>
      <c r="L1807" s="204">
        <v>0.04</v>
      </c>
      <c r="M1807" s="112">
        <v>121.185</v>
      </c>
      <c r="N1807" s="112">
        <v>4.8474000000000004</v>
      </c>
      <c r="O1807" s="204"/>
      <c r="P1807" s="112"/>
      <c r="Q1807" s="112"/>
      <c r="R1807" s="112"/>
      <c r="S1807" s="112"/>
      <c r="T1807" s="112"/>
      <c r="U1807" t="s">
        <v>5674</v>
      </c>
      <c r="V1807" t="s">
        <v>5675</v>
      </c>
      <c r="W1807" t="s">
        <v>3958</v>
      </c>
      <c r="X1807" t="s">
        <v>4660</v>
      </c>
    </row>
    <row r="1808" spans="1:24" x14ac:dyDescent="0.2">
      <c r="A1808" t="s">
        <v>5673</v>
      </c>
      <c r="B1808" t="s">
        <v>755</v>
      </c>
      <c r="C1808" t="s">
        <v>1812</v>
      </c>
      <c r="D1808" t="s">
        <v>56</v>
      </c>
      <c r="E1808" t="s">
        <v>1813</v>
      </c>
      <c r="F1808" t="s">
        <v>99</v>
      </c>
      <c r="G1808" s="202">
        <v>46.6</v>
      </c>
      <c r="H1808">
        <v>4</v>
      </c>
      <c r="I1808" t="s">
        <v>4017</v>
      </c>
      <c r="J1808" t="s">
        <v>4851</v>
      </c>
      <c r="K1808" t="s">
        <v>1283</v>
      </c>
      <c r="L1808" s="204">
        <v>0.06</v>
      </c>
      <c r="M1808" s="112">
        <v>121.185</v>
      </c>
      <c r="N1808" s="112">
        <v>7.2710999999999997</v>
      </c>
      <c r="O1808" s="204"/>
      <c r="P1808" s="112"/>
      <c r="Q1808" s="112"/>
      <c r="R1808" s="112"/>
      <c r="S1808" s="112"/>
      <c r="T1808" s="112"/>
      <c r="U1808" t="s">
        <v>5674</v>
      </c>
      <c r="V1808" t="s">
        <v>5675</v>
      </c>
      <c r="W1808" t="s">
        <v>3958</v>
      </c>
      <c r="X1808" t="s">
        <v>4660</v>
      </c>
    </row>
    <row r="1809" spans="1:24" x14ac:dyDescent="0.2">
      <c r="A1809" t="s">
        <v>5673</v>
      </c>
      <c r="B1809" t="s">
        <v>755</v>
      </c>
      <c r="C1809" t="s">
        <v>1812</v>
      </c>
      <c r="D1809" t="s">
        <v>56</v>
      </c>
      <c r="E1809" t="s">
        <v>1813</v>
      </c>
      <c r="F1809" t="s">
        <v>99</v>
      </c>
      <c r="G1809" s="202">
        <v>46.6</v>
      </c>
      <c r="H1809">
        <v>5</v>
      </c>
      <c r="I1809" t="s">
        <v>3968</v>
      </c>
      <c r="J1809" t="s">
        <v>3969</v>
      </c>
      <c r="K1809" t="s">
        <v>99</v>
      </c>
      <c r="L1809" s="204">
        <v>1</v>
      </c>
      <c r="M1809" s="112"/>
      <c r="N1809" s="112">
        <v>121.185</v>
      </c>
      <c r="O1809" s="204">
        <v>0.22224187790773553</v>
      </c>
      <c r="P1809" s="112">
        <v>26.932381974248926</v>
      </c>
      <c r="Q1809" s="112">
        <v>148.11738197424893</v>
      </c>
      <c r="R1809" s="112">
        <v>6902.27</v>
      </c>
      <c r="S1809" s="112">
        <v>6902.27</v>
      </c>
      <c r="T1809" s="112">
        <v>0</v>
      </c>
      <c r="U1809" t="s">
        <v>5674</v>
      </c>
      <c r="V1809" t="s">
        <v>5675</v>
      </c>
      <c r="W1809" t="s">
        <v>4666</v>
      </c>
      <c r="X1809" t="s">
        <v>4667</v>
      </c>
    </row>
    <row r="1810" spans="1:24" x14ac:dyDescent="0.2">
      <c r="A1810" t="s">
        <v>5676</v>
      </c>
      <c r="B1810" t="s">
        <v>757</v>
      </c>
      <c r="C1810" t="s">
        <v>1814</v>
      </c>
      <c r="D1810" t="s">
        <v>56</v>
      </c>
      <c r="E1810" t="s">
        <v>1815</v>
      </c>
      <c r="F1810" t="s">
        <v>99</v>
      </c>
      <c r="G1810" s="202">
        <v>48.2</v>
      </c>
      <c r="H1810">
        <v>1</v>
      </c>
      <c r="I1810" t="s">
        <v>3954</v>
      </c>
      <c r="J1810" t="s">
        <v>5227</v>
      </c>
      <c r="K1810" t="s">
        <v>1283</v>
      </c>
      <c r="L1810" s="204">
        <v>0.26</v>
      </c>
      <c r="M1810" s="112">
        <v>187.3425</v>
      </c>
      <c r="N1810" s="112">
        <v>48.709050000000005</v>
      </c>
      <c r="O1810" s="204"/>
      <c r="P1810" s="112"/>
      <c r="Q1810" s="112"/>
      <c r="R1810" s="112"/>
      <c r="S1810" s="112"/>
      <c r="T1810" s="112"/>
      <c r="U1810" t="s">
        <v>5677</v>
      </c>
      <c r="V1810" t="s">
        <v>5678</v>
      </c>
      <c r="W1810" t="s">
        <v>3958</v>
      </c>
      <c r="X1810" t="s">
        <v>4660</v>
      </c>
    </row>
    <row r="1811" spans="1:24" x14ac:dyDescent="0.2">
      <c r="A1811" t="s">
        <v>5676</v>
      </c>
      <c r="B1811" t="s">
        <v>757</v>
      </c>
      <c r="C1811" t="s">
        <v>1814</v>
      </c>
      <c r="D1811" t="s">
        <v>56</v>
      </c>
      <c r="E1811" t="s">
        <v>1815</v>
      </c>
      <c r="F1811" t="s">
        <v>99</v>
      </c>
      <c r="G1811" s="202">
        <v>48.2</v>
      </c>
      <c r="H1811">
        <v>2</v>
      </c>
      <c r="I1811" t="s">
        <v>3960</v>
      </c>
      <c r="J1811" t="s">
        <v>5229</v>
      </c>
      <c r="K1811" t="s">
        <v>1283</v>
      </c>
      <c r="L1811" s="204">
        <v>0.64</v>
      </c>
      <c r="M1811" s="112">
        <v>187.3425</v>
      </c>
      <c r="N1811" s="112">
        <v>119.89920000000001</v>
      </c>
      <c r="O1811" s="204"/>
      <c r="P1811" s="112"/>
      <c r="Q1811" s="112"/>
      <c r="R1811" s="112"/>
      <c r="S1811" s="112"/>
      <c r="T1811" s="112"/>
      <c r="U1811" t="s">
        <v>5677</v>
      </c>
      <c r="V1811" t="s">
        <v>5678</v>
      </c>
      <c r="W1811" t="s">
        <v>3958</v>
      </c>
      <c r="X1811" t="s">
        <v>4660</v>
      </c>
    </row>
    <row r="1812" spans="1:24" x14ac:dyDescent="0.2">
      <c r="A1812" t="s">
        <v>5676</v>
      </c>
      <c r="B1812" t="s">
        <v>757</v>
      </c>
      <c r="C1812" t="s">
        <v>1814</v>
      </c>
      <c r="D1812" t="s">
        <v>56</v>
      </c>
      <c r="E1812" t="s">
        <v>1815</v>
      </c>
      <c r="F1812" t="s">
        <v>99</v>
      </c>
      <c r="G1812" s="202">
        <v>48.2</v>
      </c>
      <c r="H1812">
        <v>3</v>
      </c>
      <c r="I1812" t="s">
        <v>3976</v>
      </c>
      <c r="J1812" t="s">
        <v>5230</v>
      </c>
      <c r="K1812" t="s">
        <v>1283</v>
      </c>
      <c r="L1812" s="204">
        <v>0.04</v>
      </c>
      <c r="M1812" s="112">
        <v>187.3425</v>
      </c>
      <c r="N1812" s="112">
        <v>7.4937000000000005</v>
      </c>
      <c r="O1812" s="204"/>
      <c r="P1812" s="112"/>
      <c r="Q1812" s="112"/>
      <c r="R1812" s="112"/>
      <c r="S1812" s="112"/>
      <c r="T1812" s="112"/>
      <c r="U1812" t="s">
        <v>5677</v>
      </c>
      <c r="V1812" t="s">
        <v>5678</v>
      </c>
      <c r="W1812" t="s">
        <v>3958</v>
      </c>
      <c r="X1812" t="s">
        <v>4660</v>
      </c>
    </row>
    <row r="1813" spans="1:24" x14ac:dyDescent="0.2">
      <c r="A1813" t="s">
        <v>5676</v>
      </c>
      <c r="B1813" t="s">
        <v>757</v>
      </c>
      <c r="C1813" t="s">
        <v>1814</v>
      </c>
      <c r="D1813" t="s">
        <v>56</v>
      </c>
      <c r="E1813" t="s">
        <v>1815</v>
      </c>
      <c r="F1813" t="s">
        <v>99</v>
      </c>
      <c r="G1813" s="202">
        <v>48.2</v>
      </c>
      <c r="H1813">
        <v>4</v>
      </c>
      <c r="I1813" t="s">
        <v>4017</v>
      </c>
      <c r="J1813" t="s">
        <v>4851</v>
      </c>
      <c r="K1813" t="s">
        <v>1283</v>
      </c>
      <c r="L1813" s="204">
        <v>0.06</v>
      </c>
      <c r="M1813" s="112">
        <v>187.3425</v>
      </c>
      <c r="N1813" s="112">
        <v>11.240549999999999</v>
      </c>
      <c r="O1813" s="204"/>
      <c r="P1813" s="112"/>
      <c r="Q1813" s="112"/>
      <c r="R1813" s="112"/>
      <c r="S1813" s="112"/>
      <c r="T1813" s="112"/>
      <c r="U1813" t="s">
        <v>5677</v>
      </c>
      <c r="V1813" t="s">
        <v>5678</v>
      </c>
      <c r="W1813" t="s">
        <v>3958</v>
      </c>
      <c r="X1813" t="s">
        <v>4660</v>
      </c>
    </row>
    <row r="1814" spans="1:24" x14ac:dyDescent="0.2">
      <c r="A1814" t="s">
        <v>5676</v>
      </c>
      <c r="B1814" t="s">
        <v>757</v>
      </c>
      <c r="C1814" t="s">
        <v>1814</v>
      </c>
      <c r="D1814" t="s">
        <v>56</v>
      </c>
      <c r="E1814" t="s">
        <v>1815</v>
      </c>
      <c r="F1814" t="s">
        <v>99</v>
      </c>
      <c r="G1814" s="202">
        <v>48.2</v>
      </c>
      <c r="H1814">
        <v>5</v>
      </c>
      <c r="I1814" t="s">
        <v>3968</v>
      </c>
      <c r="J1814" t="s">
        <v>3969</v>
      </c>
      <c r="K1814" t="s">
        <v>99</v>
      </c>
      <c r="L1814" s="204">
        <v>1</v>
      </c>
      <c r="M1814" s="112"/>
      <c r="N1814" s="112">
        <v>187.3425</v>
      </c>
      <c r="O1814" s="204">
        <v>0.22226598420127952</v>
      </c>
      <c r="P1814" s="112">
        <v>41.639865145228214</v>
      </c>
      <c r="Q1814" s="112">
        <v>228.98236514522821</v>
      </c>
      <c r="R1814" s="112">
        <v>11036.95</v>
      </c>
      <c r="S1814" s="112">
        <v>11036.95</v>
      </c>
      <c r="T1814" s="112">
        <v>0</v>
      </c>
      <c r="U1814" t="s">
        <v>5677</v>
      </c>
      <c r="V1814" t="s">
        <v>5678</v>
      </c>
      <c r="W1814" t="s">
        <v>4666</v>
      </c>
      <c r="X1814" t="s">
        <v>4667</v>
      </c>
    </row>
    <row r="1815" spans="1:24" x14ac:dyDescent="0.2">
      <c r="A1815" t="s">
        <v>5679</v>
      </c>
      <c r="B1815" t="s">
        <v>1816</v>
      </c>
      <c r="C1815" t="s">
        <v>1817</v>
      </c>
      <c r="D1815" t="s">
        <v>56</v>
      </c>
      <c r="E1815" t="s">
        <v>1818</v>
      </c>
      <c r="F1815" t="s">
        <v>99</v>
      </c>
      <c r="G1815" s="202">
        <v>88.7</v>
      </c>
      <c r="H1815">
        <v>1</v>
      </c>
      <c r="I1815" t="s">
        <v>3954</v>
      </c>
      <c r="J1815" t="s">
        <v>5227</v>
      </c>
      <c r="K1815" t="s">
        <v>1283</v>
      </c>
      <c r="L1815" s="204">
        <v>0.26</v>
      </c>
      <c r="M1815" s="112">
        <v>285.59250000000003</v>
      </c>
      <c r="N1815" s="112">
        <v>74.254050000000007</v>
      </c>
      <c r="O1815" s="204"/>
      <c r="P1815" s="112"/>
      <c r="Q1815" s="112"/>
      <c r="R1815" s="112"/>
      <c r="S1815" s="112"/>
      <c r="T1815" s="112"/>
      <c r="U1815" t="s">
        <v>5680</v>
      </c>
      <c r="V1815" t="s">
        <v>5681</v>
      </c>
      <c r="W1815" t="s">
        <v>3958</v>
      </c>
      <c r="X1815" t="s">
        <v>4660</v>
      </c>
    </row>
    <row r="1816" spans="1:24" x14ac:dyDescent="0.2">
      <c r="A1816" t="s">
        <v>5679</v>
      </c>
      <c r="B1816" t="s">
        <v>1816</v>
      </c>
      <c r="C1816" t="s">
        <v>1817</v>
      </c>
      <c r="D1816" t="s">
        <v>56</v>
      </c>
      <c r="E1816" t="s">
        <v>1818</v>
      </c>
      <c r="F1816" t="s">
        <v>99</v>
      </c>
      <c r="G1816" s="202">
        <v>88.7</v>
      </c>
      <c r="H1816">
        <v>2</v>
      </c>
      <c r="I1816" t="s">
        <v>3960</v>
      </c>
      <c r="J1816" t="s">
        <v>5229</v>
      </c>
      <c r="K1816" t="s">
        <v>1283</v>
      </c>
      <c r="L1816" s="204">
        <v>0.64</v>
      </c>
      <c r="M1816" s="112">
        <v>285.59250000000003</v>
      </c>
      <c r="N1816" s="112">
        <v>182.77920000000003</v>
      </c>
      <c r="O1816" s="204"/>
      <c r="P1816" s="112"/>
      <c r="Q1816" s="112"/>
      <c r="R1816" s="112"/>
      <c r="S1816" s="112"/>
      <c r="T1816" s="112"/>
      <c r="U1816" t="s">
        <v>5680</v>
      </c>
      <c r="V1816" t="s">
        <v>5681</v>
      </c>
      <c r="W1816" t="s">
        <v>3958</v>
      </c>
      <c r="X1816" t="s">
        <v>4660</v>
      </c>
    </row>
    <row r="1817" spans="1:24" x14ac:dyDescent="0.2">
      <c r="A1817" t="s">
        <v>5679</v>
      </c>
      <c r="B1817" t="s">
        <v>1816</v>
      </c>
      <c r="C1817" t="s">
        <v>1817</v>
      </c>
      <c r="D1817" t="s">
        <v>56</v>
      </c>
      <c r="E1817" t="s">
        <v>1818</v>
      </c>
      <c r="F1817" t="s">
        <v>99</v>
      </c>
      <c r="G1817" s="202">
        <v>88.7</v>
      </c>
      <c r="H1817">
        <v>3</v>
      </c>
      <c r="I1817" t="s">
        <v>3976</v>
      </c>
      <c r="J1817" t="s">
        <v>5230</v>
      </c>
      <c r="K1817" t="s">
        <v>1283</v>
      </c>
      <c r="L1817" s="204">
        <v>0.04</v>
      </c>
      <c r="M1817" s="112">
        <v>285.59250000000003</v>
      </c>
      <c r="N1817" s="112">
        <v>11.423700000000002</v>
      </c>
      <c r="O1817" s="204"/>
      <c r="P1817" s="112"/>
      <c r="Q1817" s="112"/>
      <c r="R1817" s="112"/>
      <c r="S1817" s="112"/>
      <c r="T1817" s="112"/>
      <c r="U1817" t="s">
        <v>5680</v>
      </c>
      <c r="V1817" t="s">
        <v>5681</v>
      </c>
      <c r="W1817" t="s">
        <v>3958</v>
      </c>
      <c r="X1817" t="s">
        <v>4660</v>
      </c>
    </row>
    <row r="1818" spans="1:24" x14ac:dyDescent="0.2">
      <c r="A1818" t="s">
        <v>5679</v>
      </c>
      <c r="B1818" t="s">
        <v>1816</v>
      </c>
      <c r="C1818" t="s">
        <v>1817</v>
      </c>
      <c r="D1818" t="s">
        <v>56</v>
      </c>
      <c r="E1818" t="s">
        <v>1818</v>
      </c>
      <c r="F1818" t="s">
        <v>99</v>
      </c>
      <c r="G1818" s="202">
        <v>88.7</v>
      </c>
      <c r="H1818">
        <v>4</v>
      </c>
      <c r="I1818" t="s">
        <v>4017</v>
      </c>
      <c r="J1818" t="s">
        <v>4851</v>
      </c>
      <c r="K1818" t="s">
        <v>1283</v>
      </c>
      <c r="L1818" s="204">
        <v>0.06</v>
      </c>
      <c r="M1818" s="112">
        <v>285.59250000000003</v>
      </c>
      <c r="N1818" s="112">
        <v>17.135550000000002</v>
      </c>
      <c r="O1818" s="204"/>
      <c r="P1818" s="112"/>
      <c r="Q1818" s="112"/>
      <c r="R1818" s="112"/>
      <c r="S1818" s="112"/>
      <c r="T1818" s="112"/>
      <c r="U1818" t="s">
        <v>5680</v>
      </c>
      <c r="V1818" t="s">
        <v>5681</v>
      </c>
      <c r="W1818" t="s">
        <v>3958</v>
      </c>
      <c r="X1818" t="s">
        <v>4660</v>
      </c>
    </row>
    <row r="1819" spans="1:24" x14ac:dyDescent="0.2">
      <c r="A1819" t="s">
        <v>5679</v>
      </c>
      <c r="B1819" t="s">
        <v>1816</v>
      </c>
      <c r="C1819" t="s">
        <v>1817</v>
      </c>
      <c r="D1819" t="s">
        <v>56</v>
      </c>
      <c r="E1819" t="s">
        <v>1818</v>
      </c>
      <c r="F1819" t="s">
        <v>99</v>
      </c>
      <c r="G1819" s="202">
        <v>88.7</v>
      </c>
      <c r="H1819">
        <v>5</v>
      </c>
      <c r="I1819" t="s">
        <v>3968</v>
      </c>
      <c r="J1819" t="s">
        <v>3969</v>
      </c>
      <c r="K1819" t="s">
        <v>99</v>
      </c>
      <c r="L1819" s="204">
        <v>1</v>
      </c>
      <c r="M1819" s="112"/>
      <c r="N1819" s="112">
        <v>285.59250000000003</v>
      </c>
      <c r="O1819" s="204">
        <v>0.22227471500313234</v>
      </c>
      <c r="P1819" s="112">
        <v>63.479991544532083</v>
      </c>
      <c r="Q1819" s="112">
        <v>349.07249154453211</v>
      </c>
      <c r="R1819" s="112">
        <v>30962.73</v>
      </c>
      <c r="S1819" s="112">
        <v>30962.73</v>
      </c>
      <c r="T1819" s="112">
        <v>0</v>
      </c>
      <c r="U1819" t="s">
        <v>5680</v>
      </c>
      <c r="V1819" t="s">
        <v>5681</v>
      </c>
      <c r="W1819" t="s">
        <v>4666</v>
      </c>
      <c r="X1819" t="s">
        <v>4667</v>
      </c>
    </row>
    <row r="1820" spans="1:24" x14ac:dyDescent="0.2">
      <c r="A1820" t="s">
        <v>5682</v>
      </c>
      <c r="B1820" t="s">
        <v>1819</v>
      </c>
      <c r="C1820" t="s">
        <v>1820</v>
      </c>
      <c r="D1820" t="s">
        <v>56</v>
      </c>
      <c r="E1820" t="s">
        <v>1821</v>
      </c>
      <c r="F1820" t="s">
        <v>84</v>
      </c>
      <c r="G1820" s="202">
        <v>1</v>
      </c>
      <c r="H1820">
        <v>1</v>
      </c>
      <c r="I1820" t="s">
        <v>3954</v>
      </c>
      <c r="J1820" t="s">
        <v>5227</v>
      </c>
      <c r="K1820" t="s">
        <v>1283</v>
      </c>
      <c r="L1820" s="204">
        <v>0.26</v>
      </c>
      <c r="M1820" s="112">
        <v>96.877499999999998</v>
      </c>
      <c r="N1820" s="112">
        <v>25.18815</v>
      </c>
      <c r="O1820" s="204"/>
      <c r="P1820" s="112"/>
      <c r="Q1820" s="112"/>
      <c r="R1820" s="112"/>
      <c r="S1820" s="112"/>
      <c r="T1820" s="112"/>
      <c r="U1820" t="s">
        <v>5683</v>
      </c>
      <c r="V1820" t="s">
        <v>5684</v>
      </c>
      <c r="W1820" t="s">
        <v>3958</v>
      </c>
      <c r="X1820" t="s">
        <v>4660</v>
      </c>
    </row>
    <row r="1821" spans="1:24" x14ac:dyDescent="0.2">
      <c r="A1821" t="s">
        <v>5682</v>
      </c>
      <c r="B1821" t="s">
        <v>1819</v>
      </c>
      <c r="C1821" t="s">
        <v>1820</v>
      </c>
      <c r="D1821" t="s">
        <v>56</v>
      </c>
      <c r="E1821" t="s">
        <v>1821</v>
      </c>
      <c r="F1821" t="s">
        <v>84</v>
      </c>
      <c r="G1821" s="202">
        <v>1</v>
      </c>
      <c r="H1821">
        <v>2</v>
      </c>
      <c r="I1821" t="s">
        <v>3960</v>
      </c>
      <c r="J1821" t="s">
        <v>5229</v>
      </c>
      <c r="K1821" t="s">
        <v>1283</v>
      </c>
      <c r="L1821" s="204">
        <v>0.64</v>
      </c>
      <c r="M1821" s="112">
        <v>96.877499999999998</v>
      </c>
      <c r="N1821" s="112">
        <v>62.001600000000003</v>
      </c>
      <c r="O1821" s="204"/>
      <c r="P1821" s="112"/>
      <c r="Q1821" s="112"/>
      <c r="R1821" s="112"/>
      <c r="S1821" s="112"/>
      <c r="T1821" s="112"/>
      <c r="U1821" t="s">
        <v>5683</v>
      </c>
      <c r="V1821" t="s">
        <v>5684</v>
      </c>
      <c r="W1821" t="s">
        <v>3958</v>
      </c>
      <c r="X1821" t="s">
        <v>4660</v>
      </c>
    </row>
    <row r="1822" spans="1:24" x14ac:dyDescent="0.2">
      <c r="A1822" t="s">
        <v>5682</v>
      </c>
      <c r="B1822" t="s">
        <v>1819</v>
      </c>
      <c r="C1822" t="s">
        <v>1820</v>
      </c>
      <c r="D1822" t="s">
        <v>56</v>
      </c>
      <c r="E1822" t="s">
        <v>1821</v>
      </c>
      <c r="F1822" t="s">
        <v>84</v>
      </c>
      <c r="G1822" s="202">
        <v>1</v>
      </c>
      <c r="H1822">
        <v>3</v>
      </c>
      <c r="I1822" t="s">
        <v>3976</v>
      </c>
      <c r="J1822" t="s">
        <v>5230</v>
      </c>
      <c r="K1822" t="s">
        <v>1283</v>
      </c>
      <c r="L1822" s="204">
        <v>0.04</v>
      </c>
      <c r="M1822" s="112">
        <v>96.877499999999998</v>
      </c>
      <c r="N1822" s="112">
        <v>3.8751000000000002</v>
      </c>
      <c r="O1822" s="204"/>
      <c r="P1822" s="112"/>
      <c r="Q1822" s="112"/>
      <c r="R1822" s="112"/>
      <c r="S1822" s="112"/>
      <c r="T1822" s="112"/>
      <c r="U1822" t="s">
        <v>5683</v>
      </c>
      <c r="V1822" t="s">
        <v>5684</v>
      </c>
      <c r="W1822" t="s">
        <v>3958</v>
      </c>
      <c r="X1822" t="s">
        <v>4660</v>
      </c>
    </row>
    <row r="1823" spans="1:24" x14ac:dyDescent="0.2">
      <c r="A1823" t="s">
        <v>5682</v>
      </c>
      <c r="B1823" t="s">
        <v>1819</v>
      </c>
      <c r="C1823" t="s">
        <v>1820</v>
      </c>
      <c r="D1823" t="s">
        <v>56</v>
      </c>
      <c r="E1823" t="s">
        <v>1821</v>
      </c>
      <c r="F1823" t="s">
        <v>84</v>
      </c>
      <c r="G1823" s="202">
        <v>1</v>
      </c>
      <c r="H1823">
        <v>4</v>
      </c>
      <c r="I1823" t="s">
        <v>4017</v>
      </c>
      <c r="J1823" t="s">
        <v>4851</v>
      </c>
      <c r="K1823" t="s">
        <v>1283</v>
      </c>
      <c r="L1823" s="204">
        <v>0.06</v>
      </c>
      <c r="M1823" s="112">
        <v>96.877499999999998</v>
      </c>
      <c r="N1823" s="112">
        <v>5.8126499999999997</v>
      </c>
      <c r="O1823" s="204"/>
      <c r="P1823" s="112"/>
      <c r="Q1823" s="112"/>
      <c r="R1823" s="112"/>
      <c r="S1823" s="112"/>
      <c r="T1823" s="112"/>
      <c r="U1823" t="s">
        <v>5683</v>
      </c>
      <c r="V1823" t="s">
        <v>5684</v>
      </c>
      <c r="W1823" t="s">
        <v>3958</v>
      </c>
      <c r="X1823" t="s">
        <v>4660</v>
      </c>
    </row>
    <row r="1824" spans="1:24" x14ac:dyDescent="0.2">
      <c r="A1824" t="s">
        <v>5682</v>
      </c>
      <c r="B1824" t="s">
        <v>1819</v>
      </c>
      <c r="C1824" t="s">
        <v>1820</v>
      </c>
      <c r="D1824" t="s">
        <v>56</v>
      </c>
      <c r="E1824" t="s">
        <v>1821</v>
      </c>
      <c r="F1824" t="s">
        <v>84</v>
      </c>
      <c r="G1824" s="202">
        <v>1</v>
      </c>
      <c r="H1824">
        <v>5</v>
      </c>
      <c r="I1824" t="s">
        <v>3968</v>
      </c>
      <c r="J1824" t="s">
        <v>3969</v>
      </c>
      <c r="K1824" t="s">
        <v>84</v>
      </c>
      <c r="L1824" s="204">
        <v>1</v>
      </c>
      <c r="M1824" s="112"/>
      <c r="N1824" s="112">
        <v>96.877499999999998</v>
      </c>
      <c r="O1824" s="204">
        <v>0.22226523186498404</v>
      </c>
      <c r="P1824" s="112">
        <v>21.532499999999999</v>
      </c>
      <c r="Q1824" s="112">
        <v>118.41</v>
      </c>
      <c r="R1824" s="112">
        <v>118.41</v>
      </c>
      <c r="S1824" s="112">
        <v>118.41</v>
      </c>
      <c r="T1824" s="112">
        <v>0</v>
      </c>
      <c r="U1824" t="s">
        <v>5683</v>
      </c>
      <c r="V1824" t="s">
        <v>5684</v>
      </c>
      <c r="W1824" t="s">
        <v>4666</v>
      </c>
      <c r="X1824" t="s">
        <v>4667</v>
      </c>
    </row>
    <row r="1825" spans="1:24" x14ac:dyDescent="0.2">
      <c r="A1825" t="s">
        <v>5685</v>
      </c>
      <c r="B1825" t="s">
        <v>1822</v>
      </c>
      <c r="C1825" t="s">
        <v>1823</v>
      </c>
      <c r="D1825" t="s">
        <v>56</v>
      </c>
      <c r="E1825" t="s">
        <v>1824</v>
      </c>
      <c r="F1825" t="s">
        <v>84</v>
      </c>
      <c r="G1825" s="202">
        <v>14</v>
      </c>
      <c r="H1825">
        <v>1</v>
      </c>
      <c r="I1825" t="s">
        <v>3954</v>
      </c>
      <c r="J1825" t="s">
        <v>5227</v>
      </c>
      <c r="K1825" t="s">
        <v>1283</v>
      </c>
      <c r="L1825" s="204">
        <v>0.26</v>
      </c>
      <c r="M1825" s="112">
        <v>30.697499999999998</v>
      </c>
      <c r="N1825" s="112">
        <v>7.9813499999999999</v>
      </c>
      <c r="O1825" s="204"/>
      <c r="P1825" s="112"/>
      <c r="Q1825" s="112"/>
      <c r="R1825" s="112"/>
      <c r="S1825" s="112"/>
      <c r="T1825" s="112"/>
      <c r="U1825" t="s">
        <v>5686</v>
      </c>
      <c r="V1825" t="s">
        <v>5687</v>
      </c>
      <c r="W1825" t="s">
        <v>3958</v>
      </c>
      <c r="X1825" t="s">
        <v>4660</v>
      </c>
    </row>
    <row r="1826" spans="1:24" x14ac:dyDescent="0.2">
      <c r="A1826" t="s">
        <v>5685</v>
      </c>
      <c r="B1826" t="s">
        <v>1822</v>
      </c>
      <c r="C1826" t="s">
        <v>1823</v>
      </c>
      <c r="D1826" t="s">
        <v>56</v>
      </c>
      <c r="E1826" t="s">
        <v>1824</v>
      </c>
      <c r="F1826" t="s">
        <v>84</v>
      </c>
      <c r="G1826" s="202">
        <v>14</v>
      </c>
      <c r="H1826">
        <v>2</v>
      </c>
      <c r="I1826" t="s">
        <v>3960</v>
      </c>
      <c r="J1826" t="s">
        <v>5229</v>
      </c>
      <c r="K1826" t="s">
        <v>1283</v>
      </c>
      <c r="L1826" s="204">
        <v>0.64</v>
      </c>
      <c r="M1826" s="112">
        <v>30.697499999999998</v>
      </c>
      <c r="N1826" s="112">
        <v>19.6464</v>
      </c>
      <c r="O1826" s="204"/>
      <c r="P1826" s="112"/>
      <c r="Q1826" s="112"/>
      <c r="R1826" s="112"/>
      <c r="S1826" s="112"/>
      <c r="T1826" s="112"/>
      <c r="U1826" t="s">
        <v>5686</v>
      </c>
      <c r="V1826" t="s">
        <v>5687</v>
      </c>
      <c r="W1826" t="s">
        <v>3958</v>
      </c>
      <c r="X1826" t="s">
        <v>4660</v>
      </c>
    </row>
    <row r="1827" spans="1:24" x14ac:dyDescent="0.2">
      <c r="A1827" t="s">
        <v>5685</v>
      </c>
      <c r="B1827" t="s">
        <v>1822</v>
      </c>
      <c r="C1827" t="s">
        <v>1823</v>
      </c>
      <c r="D1827" t="s">
        <v>56</v>
      </c>
      <c r="E1827" t="s">
        <v>1824</v>
      </c>
      <c r="F1827" t="s">
        <v>84</v>
      </c>
      <c r="G1827" s="202">
        <v>14</v>
      </c>
      <c r="H1827">
        <v>3</v>
      </c>
      <c r="I1827" t="s">
        <v>3976</v>
      </c>
      <c r="J1827" t="s">
        <v>5230</v>
      </c>
      <c r="K1827" t="s">
        <v>1283</v>
      </c>
      <c r="L1827" s="204">
        <v>0.04</v>
      </c>
      <c r="M1827" s="112">
        <v>30.697499999999998</v>
      </c>
      <c r="N1827" s="112">
        <v>1.2279</v>
      </c>
      <c r="O1827" s="204"/>
      <c r="P1827" s="112"/>
      <c r="Q1827" s="112"/>
      <c r="R1827" s="112"/>
      <c r="S1827" s="112"/>
      <c r="T1827" s="112"/>
      <c r="U1827" t="s">
        <v>5686</v>
      </c>
      <c r="V1827" t="s">
        <v>5687</v>
      </c>
      <c r="W1827" t="s">
        <v>3958</v>
      </c>
      <c r="X1827" t="s">
        <v>4660</v>
      </c>
    </row>
    <row r="1828" spans="1:24" x14ac:dyDescent="0.2">
      <c r="A1828" t="s">
        <v>5685</v>
      </c>
      <c r="B1828" t="s">
        <v>1822</v>
      </c>
      <c r="C1828" t="s">
        <v>1823</v>
      </c>
      <c r="D1828" t="s">
        <v>56</v>
      </c>
      <c r="E1828" t="s">
        <v>1824</v>
      </c>
      <c r="F1828" t="s">
        <v>84</v>
      </c>
      <c r="G1828" s="202">
        <v>14</v>
      </c>
      <c r="H1828">
        <v>4</v>
      </c>
      <c r="I1828" t="s">
        <v>4017</v>
      </c>
      <c r="J1828" t="s">
        <v>4851</v>
      </c>
      <c r="K1828" t="s">
        <v>1283</v>
      </c>
      <c r="L1828" s="204">
        <v>0.06</v>
      </c>
      <c r="M1828" s="112">
        <v>30.697499999999998</v>
      </c>
      <c r="N1828" s="112">
        <v>1.8418499999999998</v>
      </c>
      <c r="O1828" s="204"/>
      <c r="P1828" s="112"/>
      <c r="Q1828" s="112"/>
      <c r="R1828" s="112"/>
      <c r="S1828" s="112"/>
      <c r="T1828" s="112"/>
      <c r="U1828" t="s">
        <v>5686</v>
      </c>
      <c r="V1828" t="s">
        <v>5687</v>
      </c>
      <c r="W1828" t="s">
        <v>3958</v>
      </c>
      <c r="X1828" t="s">
        <v>4660</v>
      </c>
    </row>
    <row r="1829" spans="1:24" x14ac:dyDescent="0.2">
      <c r="A1829" t="s">
        <v>5685</v>
      </c>
      <c r="B1829" t="s">
        <v>1822</v>
      </c>
      <c r="C1829" t="s">
        <v>1823</v>
      </c>
      <c r="D1829" t="s">
        <v>56</v>
      </c>
      <c r="E1829" t="s">
        <v>1824</v>
      </c>
      <c r="F1829" t="s">
        <v>84</v>
      </c>
      <c r="G1829" s="202">
        <v>14</v>
      </c>
      <c r="H1829">
        <v>5</v>
      </c>
      <c r="I1829" t="s">
        <v>3968</v>
      </c>
      <c r="J1829" t="s">
        <v>3969</v>
      </c>
      <c r="K1829" t="s">
        <v>84</v>
      </c>
      <c r="L1829" s="204">
        <v>1</v>
      </c>
      <c r="M1829" s="112"/>
      <c r="N1829" s="112">
        <v>30.697499999999998</v>
      </c>
      <c r="O1829" s="204">
        <v>0.22208648912777917</v>
      </c>
      <c r="P1829" s="112">
        <v>6.8175000000000026</v>
      </c>
      <c r="Q1829" s="112">
        <v>37.515000000000001</v>
      </c>
      <c r="R1829" s="112">
        <v>525.21</v>
      </c>
      <c r="S1829" s="112">
        <v>525.21</v>
      </c>
      <c r="T1829" s="112">
        <v>0</v>
      </c>
      <c r="U1829" t="s">
        <v>5686</v>
      </c>
      <c r="V1829" t="s">
        <v>5687</v>
      </c>
      <c r="W1829" t="s">
        <v>4666</v>
      </c>
      <c r="X1829" t="s">
        <v>4667</v>
      </c>
    </row>
    <row r="1830" spans="1:24" x14ac:dyDescent="0.2">
      <c r="A1830" t="s">
        <v>5688</v>
      </c>
      <c r="B1830" t="s">
        <v>1825</v>
      </c>
      <c r="C1830" t="s">
        <v>1826</v>
      </c>
      <c r="D1830" t="s">
        <v>56</v>
      </c>
      <c r="E1830" t="s">
        <v>762</v>
      </c>
      <c r="F1830" t="s">
        <v>84</v>
      </c>
      <c r="G1830" s="202">
        <v>1</v>
      </c>
      <c r="H1830">
        <v>1</v>
      </c>
      <c r="I1830" t="s">
        <v>3954</v>
      </c>
      <c r="J1830" t="s">
        <v>5227</v>
      </c>
      <c r="K1830" t="s">
        <v>1283</v>
      </c>
      <c r="L1830" s="204">
        <v>0.26</v>
      </c>
      <c r="M1830" s="112">
        <v>99.45750000000001</v>
      </c>
      <c r="N1830" s="112">
        <v>25.858950000000004</v>
      </c>
      <c r="O1830" s="204"/>
      <c r="P1830" s="112"/>
      <c r="Q1830" s="112"/>
      <c r="R1830" s="112"/>
      <c r="S1830" s="112"/>
      <c r="T1830" s="112"/>
      <c r="U1830" t="s">
        <v>5689</v>
      </c>
      <c r="V1830" t="s">
        <v>5690</v>
      </c>
      <c r="W1830" t="s">
        <v>3958</v>
      </c>
      <c r="X1830" t="s">
        <v>4660</v>
      </c>
    </row>
    <row r="1831" spans="1:24" x14ac:dyDescent="0.2">
      <c r="A1831" t="s">
        <v>5688</v>
      </c>
      <c r="B1831" t="s">
        <v>1825</v>
      </c>
      <c r="C1831" t="s">
        <v>1826</v>
      </c>
      <c r="D1831" t="s">
        <v>56</v>
      </c>
      <c r="E1831" t="s">
        <v>762</v>
      </c>
      <c r="F1831" t="s">
        <v>84</v>
      </c>
      <c r="G1831" s="202">
        <v>1</v>
      </c>
      <c r="H1831">
        <v>2</v>
      </c>
      <c r="I1831" t="s">
        <v>3960</v>
      </c>
      <c r="J1831" t="s">
        <v>5229</v>
      </c>
      <c r="K1831" t="s">
        <v>1283</v>
      </c>
      <c r="L1831" s="204">
        <v>0.64</v>
      </c>
      <c r="M1831" s="112">
        <v>99.45750000000001</v>
      </c>
      <c r="N1831" s="112">
        <v>63.652800000000006</v>
      </c>
      <c r="O1831" s="204"/>
      <c r="P1831" s="112"/>
      <c r="Q1831" s="112"/>
      <c r="R1831" s="112"/>
      <c r="S1831" s="112"/>
      <c r="T1831" s="112"/>
      <c r="U1831" t="s">
        <v>5689</v>
      </c>
      <c r="V1831" t="s">
        <v>5690</v>
      </c>
      <c r="W1831" t="s">
        <v>3958</v>
      </c>
      <c r="X1831" t="s">
        <v>4660</v>
      </c>
    </row>
    <row r="1832" spans="1:24" x14ac:dyDescent="0.2">
      <c r="A1832" t="s">
        <v>5688</v>
      </c>
      <c r="B1832" t="s">
        <v>1825</v>
      </c>
      <c r="C1832" t="s">
        <v>1826</v>
      </c>
      <c r="D1832" t="s">
        <v>56</v>
      </c>
      <c r="E1832" t="s">
        <v>762</v>
      </c>
      <c r="F1832" t="s">
        <v>84</v>
      </c>
      <c r="G1832" s="202">
        <v>1</v>
      </c>
      <c r="H1832">
        <v>3</v>
      </c>
      <c r="I1832" t="s">
        <v>3976</v>
      </c>
      <c r="J1832" t="s">
        <v>5230</v>
      </c>
      <c r="K1832" t="s">
        <v>1283</v>
      </c>
      <c r="L1832" s="204">
        <v>0.04</v>
      </c>
      <c r="M1832" s="112">
        <v>99.45750000000001</v>
      </c>
      <c r="N1832" s="112">
        <v>3.9783000000000004</v>
      </c>
      <c r="O1832" s="204"/>
      <c r="P1832" s="112"/>
      <c r="Q1832" s="112"/>
      <c r="R1832" s="112"/>
      <c r="S1832" s="112"/>
      <c r="T1832" s="112"/>
      <c r="U1832" t="s">
        <v>5689</v>
      </c>
      <c r="V1832" t="s">
        <v>5690</v>
      </c>
      <c r="W1832" t="s">
        <v>3958</v>
      </c>
      <c r="X1832" t="s">
        <v>4660</v>
      </c>
    </row>
    <row r="1833" spans="1:24" x14ac:dyDescent="0.2">
      <c r="A1833" t="s">
        <v>5688</v>
      </c>
      <c r="B1833" t="s">
        <v>1825</v>
      </c>
      <c r="C1833" t="s">
        <v>1826</v>
      </c>
      <c r="D1833" t="s">
        <v>56</v>
      </c>
      <c r="E1833" t="s">
        <v>762</v>
      </c>
      <c r="F1833" t="s">
        <v>84</v>
      </c>
      <c r="G1833" s="202">
        <v>1</v>
      </c>
      <c r="H1833">
        <v>4</v>
      </c>
      <c r="I1833" t="s">
        <v>4017</v>
      </c>
      <c r="J1833" t="s">
        <v>4851</v>
      </c>
      <c r="K1833" t="s">
        <v>1283</v>
      </c>
      <c r="L1833" s="204">
        <v>0.06</v>
      </c>
      <c r="M1833" s="112">
        <v>99.45750000000001</v>
      </c>
      <c r="N1833" s="112">
        <v>5.9674500000000004</v>
      </c>
      <c r="O1833" s="204"/>
      <c r="P1833" s="112"/>
      <c r="Q1833" s="112"/>
      <c r="R1833" s="112"/>
      <c r="S1833" s="112"/>
      <c r="T1833" s="112"/>
      <c r="U1833" t="s">
        <v>5689</v>
      </c>
      <c r="V1833" t="s">
        <v>5690</v>
      </c>
      <c r="W1833" t="s">
        <v>3958</v>
      </c>
      <c r="X1833" t="s">
        <v>4660</v>
      </c>
    </row>
    <row r="1834" spans="1:24" x14ac:dyDescent="0.2">
      <c r="A1834" t="s">
        <v>5688</v>
      </c>
      <c r="B1834" t="s">
        <v>1825</v>
      </c>
      <c r="C1834" t="s">
        <v>1826</v>
      </c>
      <c r="D1834" t="s">
        <v>56</v>
      </c>
      <c r="E1834" t="s">
        <v>762</v>
      </c>
      <c r="F1834" t="s">
        <v>84</v>
      </c>
      <c r="G1834" s="202">
        <v>1</v>
      </c>
      <c r="H1834">
        <v>5</v>
      </c>
      <c r="I1834" t="s">
        <v>3968</v>
      </c>
      <c r="J1834" t="s">
        <v>3969</v>
      </c>
      <c r="K1834" t="s">
        <v>84</v>
      </c>
      <c r="L1834" s="204">
        <v>1</v>
      </c>
      <c r="M1834" s="112"/>
      <c r="N1834" s="112">
        <v>99.45750000000001</v>
      </c>
      <c r="O1834" s="204">
        <v>0.22223060101048175</v>
      </c>
      <c r="P1834" s="112">
        <v>22.102499999999992</v>
      </c>
      <c r="Q1834" s="112">
        <v>121.56</v>
      </c>
      <c r="R1834" s="112">
        <v>121.56</v>
      </c>
      <c r="S1834" s="112">
        <v>121.56</v>
      </c>
      <c r="T1834" s="112">
        <v>0</v>
      </c>
      <c r="U1834" t="s">
        <v>5689</v>
      </c>
      <c r="V1834" t="s">
        <v>5690</v>
      </c>
      <c r="W1834" t="s">
        <v>4666</v>
      </c>
      <c r="X1834" t="s">
        <v>4667</v>
      </c>
    </row>
    <row r="1835" spans="1:24" x14ac:dyDescent="0.2">
      <c r="A1835" t="s">
        <v>5691</v>
      </c>
      <c r="B1835" t="s">
        <v>1827</v>
      </c>
      <c r="C1835" t="s">
        <v>1828</v>
      </c>
      <c r="D1835" t="s">
        <v>335</v>
      </c>
      <c r="E1835" t="s">
        <v>763</v>
      </c>
      <c r="F1835" t="s">
        <v>84</v>
      </c>
      <c r="G1835" s="202">
        <v>1</v>
      </c>
      <c r="H1835">
        <v>1</v>
      </c>
      <c r="I1835" t="s">
        <v>3954</v>
      </c>
      <c r="J1835" t="s">
        <v>5227</v>
      </c>
      <c r="K1835" t="s">
        <v>1283</v>
      </c>
      <c r="L1835" s="204">
        <v>0.26</v>
      </c>
      <c r="M1835" s="112">
        <v>189.39000000000001</v>
      </c>
      <c r="N1835" s="112">
        <v>49.241400000000006</v>
      </c>
      <c r="O1835" s="204"/>
      <c r="P1835" s="112"/>
      <c r="Q1835" s="112"/>
      <c r="R1835" s="112"/>
      <c r="S1835" s="112"/>
      <c r="T1835" s="112"/>
      <c r="U1835" t="s">
        <v>5692</v>
      </c>
      <c r="V1835" t="s">
        <v>5693</v>
      </c>
      <c r="W1835" t="s">
        <v>3958</v>
      </c>
      <c r="X1835" t="s">
        <v>4660</v>
      </c>
    </row>
    <row r="1836" spans="1:24" x14ac:dyDescent="0.2">
      <c r="A1836" t="s">
        <v>5691</v>
      </c>
      <c r="B1836" t="s">
        <v>1827</v>
      </c>
      <c r="C1836" t="s">
        <v>1828</v>
      </c>
      <c r="D1836" t="s">
        <v>335</v>
      </c>
      <c r="E1836" t="s">
        <v>763</v>
      </c>
      <c r="F1836" t="s">
        <v>84</v>
      </c>
      <c r="G1836" s="202">
        <v>1</v>
      </c>
      <c r="H1836">
        <v>2</v>
      </c>
      <c r="I1836" t="s">
        <v>3960</v>
      </c>
      <c r="J1836" t="s">
        <v>5229</v>
      </c>
      <c r="K1836" t="s">
        <v>1283</v>
      </c>
      <c r="L1836" s="204">
        <v>0.64</v>
      </c>
      <c r="M1836" s="112">
        <v>189.39000000000001</v>
      </c>
      <c r="N1836" s="112">
        <v>121.20960000000001</v>
      </c>
      <c r="O1836" s="204"/>
      <c r="P1836" s="112"/>
      <c r="Q1836" s="112"/>
      <c r="R1836" s="112"/>
      <c r="S1836" s="112"/>
      <c r="T1836" s="112"/>
      <c r="U1836" t="s">
        <v>5692</v>
      </c>
      <c r="V1836" t="s">
        <v>5693</v>
      </c>
      <c r="W1836" t="s">
        <v>3958</v>
      </c>
      <c r="X1836" t="s">
        <v>4660</v>
      </c>
    </row>
    <row r="1837" spans="1:24" x14ac:dyDescent="0.2">
      <c r="A1837" t="s">
        <v>5691</v>
      </c>
      <c r="B1837" t="s">
        <v>1827</v>
      </c>
      <c r="C1837" t="s">
        <v>1828</v>
      </c>
      <c r="D1837" t="s">
        <v>335</v>
      </c>
      <c r="E1837" t="s">
        <v>763</v>
      </c>
      <c r="F1837" t="s">
        <v>84</v>
      </c>
      <c r="G1837" s="202">
        <v>1</v>
      </c>
      <c r="H1837">
        <v>3</v>
      </c>
      <c r="I1837" t="s">
        <v>3976</v>
      </c>
      <c r="J1837" t="s">
        <v>5230</v>
      </c>
      <c r="K1837" t="s">
        <v>1283</v>
      </c>
      <c r="L1837" s="204">
        <v>0.04</v>
      </c>
      <c r="M1837" s="112">
        <v>189.39000000000001</v>
      </c>
      <c r="N1837" s="112">
        <v>7.5756000000000006</v>
      </c>
      <c r="O1837" s="204"/>
      <c r="P1837" s="112"/>
      <c r="Q1837" s="112"/>
      <c r="R1837" s="112"/>
      <c r="S1837" s="112"/>
      <c r="T1837" s="112"/>
      <c r="U1837" t="s">
        <v>5692</v>
      </c>
      <c r="V1837" t="s">
        <v>5693</v>
      </c>
      <c r="W1837" t="s">
        <v>3958</v>
      </c>
      <c r="X1837" t="s">
        <v>4660</v>
      </c>
    </row>
    <row r="1838" spans="1:24" x14ac:dyDescent="0.2">
      <c r="A1838" t="s">
        <v>5691</v>
      </c>
      <c r="B1838" t="s">
        <v>1827</v>
      </c>
      <c r="C1838" t="s">
        <v>1828</v>
      </c>
      <c r="D1838" t="s">
        <v>335</v>
      </c>
      <c r="E1838" t="s">
        <v>763</v>
      </c>
      <c r="F1838" t="s">
        <v>84</v>
      </c>
      <c r="G1838" s="202">
        <v>1</v>
      </c>
      <c r="H1838">
        <v>4</v>
      </c>
      <c r="I1838" t="s">
        <v>4017</v>
      </c>
      <c r="J1838" t="s">
        <v>4851</v>
      </c>
      <c r="K1838" t="s">
        <v>1283</v>
      </c>
      <c r="L1838" s="204">
        <v>0.06</v>
      </c>
      <c r="M1838" s="112">
        <v>189.39000000000001</v>
      </c>
      <c r="N1838" s="112">
        <v>11.3634</v>
      </c>
      <c r="O1838" s="204"/>
      <c r="P1838" s="112"/>
      <c r="Q1838" s="112"/>
      <c r="R1838" s="112"/>
      <c r="S1838" s="112"/>
      <c r="T1838" s="112"/>
      <c r="U1838" t="s">
        <v>5692</v>
      </c>
      <c r="V1838" t="s">
        <v>5693</v>
      </c>
      <c r="W1838" t="s">
        <v>3958</v>
      </c>
      <c r="X1838" t="s">
        <v>4660</v>
      </c>
    </row>
    <row r="1839" spans="1:24" x14ac:dyDescent="0.2">
      <c r="A1839" t="s">
        <v>5691</v>
      </c>
      <c r="B1839" t="s">
        <v>1827</v>
      </c>
      <c r="C1839" t="s">
        <v>1828</v>
      </c>
      <c r="D1839" t="s">
        <v>335</v>
      </c>
      <c r="E1839" t="s">
        <v>763</v>
      </c>
      <c r="F1839" t="s">
        <v>84</v>
      </c>
      <c r="G1839" s="202">
        <v>1</v>
      </c>
      <c r="H1839">
        <v>5</v>
      </c>
      <c r="I1839" t="s">
        <v>3968</v>
      </c>
      <c r="J1839" t="s">
        <v>3969</v>
      </c>
      <c r="K1839" t="s">
        <v>84</v>
      </c>
      <c r="L1839" s="204">
        <v>1</v>
      </c>
      <c r="M1839" s="112"/>
      <c r="N1839" s="112">
        <v>189.39000000000001</v>
      </c>
      <c r="O1839" s="204">
        <v>0.22223982258830977</v>
      </c>
      <c r="P1839" s="112">
        <v>42.089999999999975</v>
      </c>
      <c r="Q1839" s="112">
        <v>231.48</v>
      </c>
      <c r="R1839" s="112">
        <v>231.48</v>
      </c>
      <c r="S1839" s="112">
        <v>231.48</v>
      </c>
      <c r="T1839" s="112">
        <v>0</v>
      </c>
      <c r="U1839" t="s">
        <v>5692</v>
      </c>
      <c r="V1839" t="s">
        <v>5693</v>
      </c>
      <c r="W1839" t="s">
        <v>4666</v>
      </c>
      <c r="X1839" t="s">
        <v>4667</v>
      </c>
    </row>
    <row r="1840" spans="1:24" x14ac:dyDescent="0.2">
      <c r="A1840" t="s">
        <v>5694</v>
      </c>
      <c r="B1840" t="s">
        <v>1829</v>
      </c>
      <c r="C1840" t="s">
        <v>1830</v>
      </c>
      <c r="D1840" t="s">
        <v>335</v>
      </c>
      <c r="E1840" t="s">
        <v>764</v>
      </c>
      <c r="F1840" t="s">
        <v>84</v>
      </c>
      <c r="G1840" s="202">
        <v>14</v>
      </c>
      <c r="H1840">
        <v>1</v>
      </c>
      <c r="I1840" t="s">
        <v>3954</v>
      </c>
      <c r="J1840" t="s">
        <v>5227</v>
      </c>
      <c r="K1840" t="s">
        <v>1283</v>
      </c>
      <c r="L1840" s="204">
        <v>0.26</v>
      </c>
      <c r="M1840" s="112">
        <v>69.254999999999995</v>
      </c>
      <c r="N1840" s="112">
        <v>18.0063</v>
      </c>
      <c r="O1840" s="204"/>
      <c r="P1840" s="112"/>
      <c r="Q1840" s="112"/>
      <c r="R1840" s="112"/>
      <c r="S1840" s="112"/>
      <c r="T1840" s="112"/>
      <c r="U1840" t="s">
        <v>5695</v>
      </c>
      <c r="V1840" t="s">
        <v>5696</v>
      </c>
      <c r="W1840" t="s">
        <v>3958</v>
      </c>
      <c r="X1840" t="s">
        <v>4660</v>
      </c>
    </row>
    <row r="1841" spans="1:24" x14ac:dyDescent="0.2">
      <c r="A1841" t="s">
        <v>5694</v>
      </c>
      <c r="B1841" t="s">
        <v>1829</v>
      </c>
      <c r="C1841" t="s">
        <v>1830</v>
      </c>
      <c r="D1841" t="s">
        <v>335</v>
      </c>
      <c r="E1841" t="s">
        <v>764</v>
      </c>
      <c r="F1841" t="s">
        <v>84</v>
      </c>
      <c r="G1841" s="202">
        <v>14</v>
      </c>
      <c r="H1841">
        <v>2</v>
      </c>
      <c r="I1841" t="s">
        <v>3960</v>
      </c>
      <c r="J1841" t="s">
        <v>5229</v>
      </c>
      <c r="K1841" t="s">
        <v>1283</v>
      </c>
      <c r="L1841" s="204">
        <v>0.64</v>
      </c>
      <c r="M1841" s="112">
        <v>69.254999999999995</v>
      </c>
      <c r="N1841" s="112">
        <v>44.3232</v>
      </c>
      <c r="O1841" s="204"/>
      <c r="P1841" s="112"/>
      <c r="Q1841" s="112"/>
      <c r="R1841" s="112"/>
      <c r="S1841" s="112"/>
      <c r="T1841" s="112"/>
      <c r="U1841" t="s">
        <v>5695</v>
      </c>
      <c r="V1841" t="s">
        <v>5696</v>
      </c>
      <c r="W1841" t="s">
        <v>3958</v>
      </c>
      <c r="X1841" t="s">
        <v>4660</v>
      </c>
    </row>
    <row r="1842" spans="1:24" x14ac:dyDescent="0.2">
      <c r="A1842" t="s">
        <v>5694</v>
      </c>
      <c r="B1842" t="s">
        <v>1829</v>
      </c>
      <c r="C1842" t="s">
        <v>1830</v>
      </c>
      <c r="D1842" t="s">
        <v>335</v>
      </c>
      <c r="E1842" t="s">
        <v>764</v>
      </c>
      <c r="F1842" t="s">
        <v>84</v>
      </c>
      <c r="G1842" s="202">
        <v>14</v>
      </c>
      <c r="H1842">
        <v>3</v>
      </c>
      <c r="I1842" t="s">
        <v>3976</v>
      </c>
      <c r="J1842" t="s">
        <v>5230</v>
      </c>
      <c r="K1842" t="s">
        <v>1283</v>
      </c>
      <c r="L1842" s="204">
        <v>0.04</v>
      </c>
      <c r="M1842" s="112">
        <v>69.254999999999995</v>
      </c>
      <c r="N1842" s="112">
        <v>2.7702</v>
      </c>
      <c r="O1842" s="204"/>
      <c r="P1842" s="112"/>
      <c r="Q1842" s="112"/>
      <c r="R1842" s="112"/>
      <c r="S1842" s="112"/>
      <c r="T1842" s="112"/>
      <c r="U1842" t="s">
        <v>5695</v>
      </c>
      <c r="V1842" t="s">
        <v>5696</v>
      </c>
      <c r="W1842" t="s">
        <v>3958</v>
      </c>
      <c r="X1842" t="s">
        <v>4660</v>
      </c>
    </row>
    <row r="1843" spans="1:24" x14ac:dyDescent="0.2">
      <c r="A1843" t="s">
        <v>5694</v>
      </c>
      <c r="B1843" t="s">
        <v>1829</v>
      </c>
      <c r="C1843" t="s">
        <v>1830</v>
      </c>
      <c r="D1843" t="s">
        <v>335</v>
      </c>
      <c r="E1843" t="s">
        <v>764</v>
      </c>
      <c r="F1843" t="s">
        <v>84</v>
      </c>
      <c r="G1843" s="202">
        <v>14</v>
      </c>
      <c r="H1843">
        <v>4</v>
      </c>
      <c r="I1843" t="s">
        <v>4017</v>
      </c>
      <c r="J1843" t="s">
        <v>4851</v>
      </c>
      <c r="K1843" t="s">
        <v>1283</v>
      </c>
      <c r="L1843" s="204">
        <v>0.06</v>
      </c>
      <c r="M1843" s="112">
        <v>69.254999999999995</v>
      </c>
      <c r="N1843" s="112">
        <v>4.1552999999999995</v>
      </c>
      <c r="O1843" s="204"/>
      <c r="P1843" s="112"/>
      <c r="Q1843" s="112"/>
      <c r="R1843" s="112"/>
      <c r="S1843" s="112"/>
      <c r="T1843" s="112"/>
      <c r="U1843" t="s">
        <v>5695</v>
      </c>
      <c r="V1843" t="s">
        <v>5696</v>
      </c>
      <c r="W1843" t="s">
        <v>3958</v>
      </c>
      <c r="X1843" t="s">
        <v>4660</v>
      </c>
    </row>
    <row r="1844" spans="1:24" x14ac:dyDescent="0.2">
      <c r="A1844" t="s">
        <v>5694</v>
      </c>
      <c r="B1844" t="s">
        <v>1829</v>
      </c>
      <c r="C1844" t="s">
        <v>1830</v>
      </c>
      <c r="D1844" t="s">
        <v>335</v>
      </c>
      <c r="E1844" t="s">
        <v>764</v>
      </c>
      <c r="F1844" t="s">
        <v>84</v>
      </c>
      <c r="G1844" s="202">
        <v>14</v>
      </c>
      <c r="H1844">
        <v>5</v>
      </c>
      <c r="I1844" t="s">
        <v>3968</v>
      </c>
      <c r="J1844" t="s">
        <v>3969</v>
      </c>
      <c r="K1844" t="s">
        <v>84</v>
      </c>
      <c r="L1844" s="204">
        <v>1</v>
      </c>
      <c r="M1844" s="112"/>
      <c r="N1844" s="112">
        <v>69.254999999999995</v>
      </c>
      <c r="O1844" s="204">
        <v>0.22222222222222232</v>
      </c>
      <c r="P1844" s="112">
        <v>15.39</v>
      </c>
      <c r="Q1844" s="112">
        <v>84.644999999999996</v>
      </c>
      <c r="R1844" s="112">
        <v>1185.03</v>
      </c>
      <c r="S1844" s="112">
        <v>1185.03</v>
      </c>
      <c r="T1844" s="112">
        <v>0</v>
      </c>
      <c r="U1844" t="s">
        <v>5695</v>
      </c>
      <c r="V1844" t="s">
        <v>5696</v>
      </c>
      <c r="W1844" t="s">
        <v>4666</v>
      </c>
      <c r="X1844" t="s">
        <v>4667</v>
      </c>
    </row>
    <row r="1845" spans="1:24" x14ac:dyDescent="0.2">
      <c r="A1845" t="s">
        <v>5697</v>
      </c>
      <c r="B1845" t="s">
        <v>1831</v>
      </c>
      <c r="C1845" t="s">
        <v>1832</v>
      </c>
      <c r="D1845" t="s">
        <v>335</v>
      </c>
      <c r="E1845" t="s">
        <v>765</v>
      </c>
      <c r="F1845" t="s">
        <v>84</v>
      </c>
      <c r="G1845" s="202">
        <v>1</v>
      </c>
      <c r="H1845">
        <v>1</v>
      </c>
      <c r="I1845" t="s">
        <v>3954</v>
      </c>
      <c r="J1845" t="s">
        <v>5227</v>
      </c>
      <c r="K1845" t="s">
        <v>1283</v>
      </c>
      <c r="L1845" s="204">
        <v>0.26</v>
      </c>
      <c r="M1845" s="112">
        <v>184.45499999999998</v>
      </c>
      <c r="N1845" s="112">
        <v>47.958299999999994</v>
      </c>
      <c r="O1845" s="204"/>
      <c r="P1845" s="112"/>
      <c r="Q1845" s="112"/>
      <c r="R1845" s="112"/>
      <c r="S1845" s="112"/>
      <c r="T1845" s="112"/>
      <c r="U1845" t="s">
        <v>5698</v>
      </c>
      <c r="V1845" t="s">
        <v>5699</v>
      </c>
      <c r="W1845" t="s">
        <v>3958</v>
      </c>
      <c r="X1845" t="s">
        <v>4660</v>
      </c>
    </row>
    <row r="1846" spans="1:24" x14ac:dyDescent="0.2">
      <c r="A1846" t="s">
        <v>5697</v>
      </c>
      <c r="B1846" t="s">
        <v>1831</v>
      </c>
      <c r="C1846" t="s">
        <v>1832</v>
      </c>
      <c r="D1846" t="s">
        <v>335</v>
      </c>
      <c r="E1846" t="s">
        <v>765</v>
      </c>
      <c r="F1846" t="s">
        <v>84</v>
      </c>
      <c r="G1846" s="202">
        <v>1</v>
      </c>
      <c r="H1846">
        <v>2</v>
      </c>
      <c r="I1846" t="s">
        <v>3960</v>
      </c>
      <c r="J1846" t="s">
        <v>5229</v>
      </c>
      <c r="K1846" t="s">
        <v>1283</v>
      </c>
      <c r="L1846" s="204">
        <v>0.64</v>
      </c>
      <c r="M1846" s="112">
        <v>184.45499999999998</v>
      </c>
      <c r="N1846" s="112">
        <v>118.05119999999999</v>
      </c>
      <c r="O1846" s="204"/>
      <c r="P1846" s="112"/>
      <c r="Q1846" s="112"/>
      <c r="R1846" s="112"/>
      <c r="S1846" s="112"/>
      <c r="T1846" s="112"/>
      <c r="U1846" t="s">
        <v>5698</v>
      </c>
      <c r="V1846" t="s">
        <v>5699</v>
      </c>
      <c r="W1846" t="s">
        <v>3958</v>
      </c>
      <c r="X1846" t="s">
        <v>4660</v>
      </c>
    </row>
    <row r="1847" spans="1:24" x14ac:dyDescent="0.2">
      <c r="A1847" t="s">
        <v>5697</v>
      </c>
      <c r="B1847" t="s">
        <v>1831</v>
      </c>
      <c r="C1847" t="s">
        <v>1832</v>
      </c>
      <c r="D1847" t="s">
        <v>335</v>
      </c>
      <c r="E1847" t="s">
        <v>765</v>
      </c>
      <c r="F1847" t="s">
        <v>84</v>
      </c>
      <c r="G1847" s="202">
        <v>1</v>
      </c>
      <c r="H1847">
        <v>3</v>
      </c>
      <c r="I1847" t="s">
        <v>3976</v>
      </c>
      <c r="J1847" t="s">
        <v>5230</v>
      </c>
      <c r="K1847" t="s">
        <v>1283</v>
      </c>
      <c r="L1847" s="204">
        <v>0.04</v>
      </c>
      <c r="M1847" s="112">
        <v>184.45499999999998</v>
      </c>
      <c r="N1847" s="112">
        <v>7.3781999999999996</v>
      </c>
      <c r="O1847" s="204"/>
      <c r="P1847" s="112"/>
      <c r="Q1847" s="112"/>
      <c r="R1847" s="112"/>
      <c r="S1847" s="112"/>
      <c r="T1847" s="112"/>
      <c r="U1847" t="s">
        <v>5698</v>
      </c>
      <c r="V1847" t="s">
        <v>5699</v>
      </c>
      <c r="W1847" t="s">
        <v>3958</v>
      </c>
      <c r="X1847" t="s">
        <v>4660</v>
      </c>
    </row>
    <row r="1848" spans="1:24" x14ac:dyDescent="0.2">
      <c r="A1848" t="s">
        <v>5697</v>
      </c>
      <c r="B1848" t="s">
        <v>1831</v>
      </c>
      <c r="C1848" t="s">
        <v>1832</v>
      </c>
      <c r="D1848" t="s">
        <v>335</v>
      </c>
      <c r="E1848" t="s">
        <v>765</v>
      </c>
      <c r="F1848" t="s">
        <v>84</v>
      </c>
      <c r="G1848" s="202">
        <v>1</v>
      </c>
      <c r="H1848">
        <v>4</v>
      </c>
      <c r="I1848" t="s">
        <v>4017</v>
      </c>
      <c r="J1848" t="s">
        <v>4851</v>
      </c>
      <c r="K1848" t="s">
        <v>1283</v>
      </c>
      <c r="L1848" s="204">
        <v>0.06</v>
      </c>
      <c r="M1848" s="112">
        <v>184.45499999999998</v>
      </c>
      <c r="N1848" s="112">
        <v>11.067299999999999</v>
      </c>
      <c r="O1848" s="204"/>
      <c r="P1848" s="112"/>
      <c r="Q1848" s="112"/>
      <c r="R1848" s="112"/>
      <c r="S1848" s="112"/>
      <c r="T1848" s="112"/>
      <c r="U1848" t="s">
        <v>5698</v>
      </c>
      <c r="V1848" t="s">
        <v>5699</v>
      </c>
      <c r="W1848" t="s">
        <v>3958</v>
      </c>
      <c r="X1848" t="s">
        <v>4660</v>
      </c>
    </row>
    <row r="1849" spans="1:24" x14ac:dyDescent="0.2">
      <c r="A1849" t="s">
        <v>5697</v>
      </c>
      <c r="B1849" t="s">
        <v>1831</v>
      </c>
      <c r="C1849" t="s">
        <v>1832</v>
      </c>
      <c r="D1849" t="s">
        <v>335</v>
      </c>
      <c r="E1849" t="s">
        <v>765</v>
      </c>
      <c r="F1849" t="s">
        <v>84</v>
      </c>
      <c r="G1849" s="202">
        <v>1</v>
      </c>
      <c r="H1849">
        <v>5</v>
      </c>
      <c r="I1849" t="s">
        <v>3968</v>
      </c>
      <c r="J1849" t="s">
        <v>3969</v>
      </c>
      <c r="K1849" t="s">
        <v>84</v>
      </c>
      <c r="L1849" s="204">
        <v>1</v>
      </c>
      <c r="M1849" s="112"/>
      <c r="N1849" s="112">
        <v>184.45499999999998</v>
      </c>
      <c r="O1849" s="204">
        <v>0.22224932910465967</v>
      </c>
      <c r="P1849" s="112">
        <v>40.995000000000005</v>
      </c>
      <c r="Q1849" s="112">
        <v>225.45</v>
      </c>
      <c r="R1849" s="112">
        <v>225.45</v>
      </c>
      <c r="S1849" s="112">
        <v>225.45</v>
      </c>
      <c r="T1849" s="112">
        <v>0</v>
      </c>
      <c r="U1849" t="s">
        <v>5698</v>
      </c>
      <c r="V1849" t="s">
        <v>5699</v>
      </c>
      <c r="W1849" t="s">
        <v>4666</v>
      </c>
      <c r="X1849" t="s">
        <v>4667</v>
      </c>
    </row>
    <row r="1850" spans="1:24" x14ac:dyDescent="0.2">
      <c r="A1850" t="s">
        <v>5700</v>
      </c>
      <c r="B1850" t="s">
        <v>1833</v>
      </c>
      <c r="C1850" t="s">
        <v>1834</v>
      </c>
      <c r="D1850" t="s">
        <v>56</v>
      </c>
      <c r="E1850" t="s">
        <v>1835</v>
      </c>
      <c r="F1850" t="s">
        <v>84</v>
      </c>
      <c r="G1850" s="202">
        <v>29</v>
      </c>
      <c r="H1850">
        <v>1</v>
      </c>
      <c r="I1850" t="s">
        <v>3954</v>
      </c>
      <c r="J1850" t="s">
        <v>5227</v>
      </c>
      <c r="K1850" t="s">
        <v>1283</v>
      </c>
      <c r="L1850" s="204">
        <v>0.26</v>
      </c>
      <c r="M1850" s="112">
        <v>43.897500000000001</v>
      </c>
      <c r="N1850" s="112">
        <v>11.413350000000001</v>
      </c>
      <c r="O1850" s="204"/>
      <c r="P1850" s="112"/>
      <c r="Q1850" s="112"/>
      <c r="R1850" s="112"/>
      <c r="S1850" s="112"/>
      <c r="T1850" s="112"/>
      <c r="U1850" t="s">
        <v>5701</v>
      </c>
      <c r="V1850" t="s">
        <v>5702</v>
      </c>
      <c r="W1850" t="s">
        <v>3958</v>
      </c>
      <c r="X1850" t="s">
        <v>4660</v>
      </c>
    </row>
    <row r="1851" spans="1:24" x14ac:dyDescent="0.2">
      <c r="A1851" t="s">
        <v>5700</v>
      </c>
      <c r="B1851" t="s">
        <v>1833</v>
      </c>
      <c r="C1851" t="s">
        <v>1834</v>
      </c>
      <c r="D1851" t="s">
        <v>56</v>
      </c>
      <c r="E1851" t="s">
        <v>1835</v>
      </c>
      <c r="F1851" t="s">
        <v>84</v>
      </c>
      <c r="G1851" s="202">
        <v>29</v>
      </c>
      <c r="H1851">
        <v>2</v>
      </c>
      <c r="I1851" t="s">
        <v>3960</v>
      </c>
      <c r="J1851" t="s">
        <v>5229</v>
      </c>
      <c r="K1851" t="s">
        <v>1283</v>
      </c>
      <c r="L1851" s="204">
        <v>0.64</v>
      </c>
      <c r="M1851" s="112">
        <v>43.897500000000001</v>
      </c>
      <c r="N1851" s="112">
        <v>28.0944</v>
      </c>
      <c r="O1851" s="204"/>
      <c r="P1851" s="112"/>
      <c r="Q1851" s="112"/>
      <c r="R1851" s="112"/>
      <c r="S1851" s="112"/>
      <c r="T1851" s="112"/>
      <c r="U1851" t="s">
        <v>5701</v>
      </c>
      <c r="V1851" t="s">
        <v>5702</v>
      </c>
      <c r="W1851" t="s">
        <v>3958</v>
      </c>
      <c r="X1851" t="s">
        <v>4660</v>
      </c>
    </row>
    <row r="1852" spans="1:24" x14ac:dyDescent="0.2">
      <c r="A1852" t="s">
        <v>5700</v>
      </c>
      <c r="B1852" t="s">
        <v>1833</v>
      </c>
      <c r="C1852" t="s">
        <v>1834</v>
      </c>
      <c r="D1852" t="s">
        <v>56</v>
      </c>
      <c r="E1852" t="s">
        <v>1835</v>
      </c>
      <c r="F1852" t="s">
        <v>84</v>
      </c>
      <c r="G1852" s="202">
        <v>29</v>
      </c>
      <c r="H1852">
        <v>3</v>
      </c>
      <c r="I1852" t="s">
        <v>3976</v>
      </c>
      <c r="J1852" t="s">
        <v>5230</v>
      </c>
      <c r="K1852" t="s">
        <v>1283</v>
      </c>
      <c r="L1852" s="204">
        <v>0.04</v>
      </c>
      <c r="M1852" s="112">
        <v>43.897500000000001</v>
      </c>
      <c r="N1852" s="112">
        <v>1.7559</v>
      </c>
      <c r="O1852" s="204"/>
      <c r="P1852" s="112"/>
      <c r="Q1852" s="112"/>
      <c r="R1852" s="112"/>
      <c r="S1852" s="112"/>
      <c r="T1852" s="112"/>
      <c r="U1852" t="s">
        <v>5701</v>
      </c>
      <c r="V1852" t="s">
        <v>5702</v>
      </c>
      <c r="W1852" t="s">
        <v>3958</v>
      </c>
      <c r="X1852" t="s">
        <v>4660</v>
      </c>
    </row>
    <row r="1853" spans="1:24" x14ac:dyDescent="0.2">
      <c r="A1853" t="s">
        <v>5700</v>
      </c>
      <c r="B1853" t="s">
        <v>1833</v>
      </c>
      <c r="C1853" t="s">
        <v>1834</v>
      </c>
      <c r="D1853" t="s">
        <v>56</v>
      </c>
      <c r="E1853" t="s">
        <v>1835</v>
      </c>
      <c r="F1853" t="s">
        <v>84</v>
      </c>
      <c r="G1853" s="202">
        <v>29</v>
      </c>
      <c r="H1853">
        <v>4</v>
      </c>
      <c r="I1853" t="s">
        <v>4017</v>
      </c>
      <c r="J1853" t="s">
        <v>4851</v>
      </c>
      <c r="K1853" t="s">
        <v>1283</v>
      </c>
      <c r="L1853" s="204">
        <v>0.06</v>
      </c>
      <c r="M1853" s="112">
        <v>43.897500000000001</v>
      </c>
      <c r="N1853" s="112">
        <v>2.6338499999999998</v>
      </c>
      <c r="O1853" s="204"/>
      <c r="P1853" s="112"/>
      <c r="Q1853" s="112"/>
      <c r="R1853" s="112"/>
      <c r="S1853" s="112"/>
      <c r="T1853" s="112"/>
      <c r="U1853" t="s">
        <v>5701</v>
      </c>
      <c r="V1853" t="s">
        <v>5702</v>
      </c>
      <c r="W1853" t="s">
        <v>3958</v>
      </c>
      <c r="X1853" t="s">
        <v>4660</v>
      </c>
    </row>
    <row r="1854" spans="1:24" x14ac:dyDescent="0.2">
      <c r="A1854" t="s">
        <v>5700</v>
      </c>
      <c r="B1854" t="s">
        <v>1833</v>
      </c>
      <c r="C1854" t="s">
        <v>1834</v>
      </c>
      <c r="D1854" t="s">
        <v>56</v>
      </c>
      <c r="E1854" t="s">
        <v>1835</v>
      </c>
      <c r="F1854" t="s">
        <v>84</v>
      </c>
      <c r="G1854" s="202">
        <v>29</v>
      </c>
      <c r="H1854">
        <v>5</v>
      </c>
      <c r="I1854" t="s">
        <v>3968</v>
      </c>
      <c r="J1854" t="s">
        <v>3969</v>
      </c>
      <c r="K1854" t="s">
        <v>84</v>
      </c>
      <c r="L1854" s="204">
        <v>1</v>
      </c>
      <c r="M1854" s="112"/>
      <c r="N1854" s="112">
        <v>43.897500000000001</v>
      </c>
      <c r="O1854" s="204">
        <v>0.22227524542871224</v>
      </c>
      <c r="P1854" s="112">
        <v>9.7573275862068982</v>
      </c>
      <c r="Q1854" s="112">
        <v>53.654827586206899</v>
      </c>
      <c r="R1854" s="112">
        <v>1555.99</v>
      </c>
      <c r="S1854" s="112">
        <v>1555.99</v>
      </c>
      <c r="T1854" s="112">
        <v>0</v>
      </c>
      <c r="U1854" t="s">
        <v>5701</v>
      </c>
      <c r="V1854" t="s">
        <v>5702</v>
      </c>
      <c r="W1854" t="s">
        <v>4666</v>
      </c>
      <c r="X1854" t="s">
        <v>4667</v>
      </c>
    </row>
    <row r="1855" spans="1:24" x14ac:dyDescent="0.2">
      <c r="A1855" t="s">
        <v>5703</v>
      </c>
      <c r="B1855" t="s">
        <v>1836</v>
      </c>
      <c r="C1855" t="s">
        <v>1837</v>
      </c>
      <c r="D1855" t="s">
        <v>335</v>
      </c>
      <c r="E1855" t="s">
        <v>767</v>
      </c>
      <c r="F1855" t="s">
        <v>84</v>
      </c>
      <c r="G1855" s="202">
        <v>2</v>
      </c>
      <c r="H1855">
        <v>1</v>
      </c>
      <c r="I1855" t="s">
        <v>3954</v>
      </c>
      <c r="J1855" t="s">
        <v>5227</v>
      </c>
      <c r="K1855" t="s">
        <v>1283</v>
      </c>
      <c r="L1855" s="204">
        <v>0.26</v>
      </c>
      <c r="M1855" s="112">
        <v>422.86500000000001</v>
      </c>
      <c r="N1855" s="112">
        <v>109.9449</v>
      </c>
      <c r="O1855" s="204"/>
      <c r="P1855" s="112"/>
      <c r="Q1855" s="112"/>
      <c r="R1855" s="112"/>
      <c r="S1855" s="112"/>
      <c r="T1855" s="112"/>
      <c r="U1855" t="s">
        <v>5704</v>
      </c>
      <c r="V1855" t="s">
        <v>5705</v>
      </c>
      <c r="W1855" t="s">
        <v>3958</v>
      </c>
      <c r="X1855" t="s">
        <v>4660</v>
      </c>
    </row>
    <row r="1856" spans="1:24" x14ac:dyDescent="0.2">
      <c r="A1856" t="s">
        <v>5703</v>
      </c>
      <c r="B1856" t="s">
        <v>1836</v>
      </c>
      <c r="C1856" t="s">
        <v>1837</v>
      </c>
      <c r="D1856" t="s">
        <v>335</v>
      </c>
      <c r="E1856" t="s">
        <v>767</v>
      </c>
      <c r="F1856" t="s">
        <v>84</v>
      </c>
      <c r="G1856" s="202">
        <v>2</v>
      </c>
      <c r="H1856">
        <v>2</v>
      </c>
      <c r="I1856" t="s">
        <v>3960</v>
      </c>
      <c r="J1856" t="s">
        <v>5229</v>
      </c>
      <c r="K1856" t="s">
        <v>1283</v>
      </c>
      <c r="L1856" s="204">
        <v>0.64</v>
      </c>
      <c r="M1856" s="112">
        <v>422.86500000000001</v>
      </c>
      <c r="N1856" s="112">
        <v>270.6336</v>
      </c>
      <c r="O1856" s="204"/>
      <c r="P1856" s="112"/>
      <c r="Q1856" s="112"/>
      <c r="R1856" s="112"/>
      <c r="S1856" s="112"/>
      <c r="T1856" s="112"/>
      <c r="U1856" t="s">
        <v>5704</v>
      </c>
      <c r="V1856" t="s">
        <v>5705</v>
      </c>
      <c r="W1856" t="s">
        <v>3958</v>
      </c>
      <c r="X1856" t="s">
        <v>4660</v>
      </c>
    </row>
    <row r="1857" spans="1:24" x14ac:dyDescent="0.2">
      <c r="A1857" t="s">
        <v>5703</v>
      </c>
      <c r="B1857" t="s">
        <v>1836</v>
      </c>
      <c r="C1857" t="s">
        <v>1837</v>
      </c>
      <c r="D1857" t="s">
        <v>335</v>
      </c>
      <c r="E1857" t="s">
        <v>767</v>
      </c>
      <c r="F1857" t="s">
        <v>84</v>
      </c>
      <c r="G1857" s="202">
        <v>2</v>
      </c>
      <c r="H1857">
        <v>3</v>
      </c>
      <c r="I1857" t="s">
        <v>3976</v>
      </c>
      <c r="J1857" t="s">
        <v>5230</v>
      </c>
      <c r="K1857" t="s">
        <v>1283</v>
      </c>
      <c r="L1857" s="204">
        <v>0.04</v>
      </c>
      <c r="M1857" s="112">
        <v>422.86500000000001</v>
      </c>
      <c r="N1857" s="112">
        <v>16.9146</v>
      </c>
      <c r="O1857" s="204"/>
      <c r="P1857" s="112"/>
      <c r="Q1857" s="112"/>
      <c r="R1857" s="112"/>
      <c r="S1857" s="112"/>
      <c r="T1857" s="112"/>
      <c r="U1857" t="s">
        <v>5704</v>
      </c>
      <c r="V1857" t="s">
        <v>5705</v>
      </c>
      <c r="W1857" t="s">
        <v>3958</v>
      </c>
      <c r="X1857" t="s">
        <v>4660</v>
      </c>
    </row>
    <row r="1858" spans="1:24" x14ac:dyDescent="0.2">
      <c r="A1858" t="s">
        <v>5703</v>
      </c>
      <c r="B1858" t="s">
        <v>1836</v>
      </c>
      <c r="C1858" t="s">
        <v>1837</v>
      </c>
      <c r="D1858" t="s">
        <v>335</v>
      </c>
      <c r="E1858" t="s">
        <v>767</v>
      </c>
      <c r="F1858" t="s">
        <v>84</v>
      </c>
      <c r="G1858" s="202">
        <v>2</v>
      </c>
      <c r="H1858">
        <v>4</v>
      </c>
      <c r="I1858" t="s">
        <v>4017</v>
      </c>
      <c r="J1858" t="s">
        <v>4851</v>
      </c>
      <c r="K1858" t="s">
        <v>1283</v>
      </c>
      <c r="L1858" s="204">
        <v>0.06</v>
      </c>
      <c r="M1858" s="112">
        <v>422.86500000000001</v>
      </c>
      <c r="N1858" s="112">
        <v>25.3719</v>
      </c>
      <c r="O1858" s="204"/>
      <c r="P1858" s="112"/>
      <c r="Q1858" s="112"/>
      <c r="R1858" s="112"/>
      <c r="S1858" s="112"/>
      <c r="T1858" s="112"/>
      <c r="U1858" t="s">
        <v>5704</v>
      </c>
      <c r="V1858" t="s">
        <v>5705</v>
      </c>
      <c r="W1858" t="s">
        <v>3958</v>
      </c>
      <c r="X1858" t="s">
        <v>4660</v>
      </c>
    </row>
    <row r="1859" spans="1:24" x14ac:dyDescent="0.2">
      <c r="A1859" t="s">
        <v>5703</v>
      </c>
      <c r="B1859" t="s">
        <v>1836</v>
      </c>
      <c r="C1859" t="s">
        <v>1837</v>
      </c>
      <c r="D1859" t="s">
        <v>335</v>
      </c>
      <c r="E1859" t="s">
        <v>767</v>
      </c>
      <c r="F1859" t="s">
        <v>84</v>
      </c>
      <c r="G1859" s="202">
        <v>2</v>
      </c>
      <c r="H1859">
        <v>5</v>
      </c>
      <c r="I1859" t="s">
        <v>3968</v>
      </c>
      <c r="J1859" t="s">
        <v>3969</v>
      </c>
      <c r="K1859" t="s">
        <v>84</v>
      </c>
      <c r="L1859" s="204">
        <v>1</v>
      </c>
      <c r="M1859" s="112"/>
      <c r="N1859" s="112">
        <v>422.86500000000001</v>
      </c>
      <c r="O1859" s="204">
        <v>0.22228134274532052</v>
      </c>
      <c r="P1859" s="112">
        <v>93.995000000000005</v>
      </c>
      <c r="Q1859" s="112">
        <v>516.86</v>
      </c>
      <c r="R1859" s="112">
        <v>1033.72</v>
      </c>
      <c r="S1859" s="112">
        <v>1033.72</v>
      </c>
      <c r="T1859" s="112">
        <v>0</v>
      </c>
      <c r="U1859" t="s">
        <v>5704</v>
      </c>
      <c r="V1859" t="s">
        <v>5705</v>
      </c>
      <c r="W1859" t="s">
        <v>4666</v>
      </c>
      <c r="X1859" t="s">
        <v>4667</v>
      </c>
    </row>
    <row r="1860" spans="1:24" x14ac:dyDescent="0.2">
      <c r="A1860" t="s">
        <v>5706</v>
      </c>
      <c r="B1860" t="s">
        <v>1838</v>
      </c>
      <c r="C1860" t="s">
        <v>1839</v>
      </c>
      <c r="D1860" t="s">
        <v>56</v>
      </c>
      <c r="E1860" t="s">
        <v>1840</v>
      </c>
      <c r="F1860" t="s">
        <v>84</v>
      </c>
      <c r="G1860" s="202">
        <v>2</v>
      </c>
      <c r="H1860">
        <v>1</v>
      </c>
      <c r="I1860" t="s">
        <v>3954</v>
      </c>
      <c r="J1860" t="s">
        <v>5227</v>
      </c>
      <c r="K1860" t="s">
        <v>1283</v>
      </c>
      <c r="L1860" s="204">
        <v>0.26</v>
      </c>
      <c r="M1860" s="112">
        <v>153.02250000000001</v>
      </c>
      <c r="N1860" s="112">
        <v>39.785850000000003</v>
      </c>
      <c r="O1860" s="204"/>
      <c r="P1860" s="112"/>
      <c r="Q1860" s="112"/>
      <c r="R1860" s="112"/>
      <c r="S1860" s="112"/>
      <c r="T1860" s="112"/>
      <c r="U1860" t="s">
        <v>5707</v>
      </c>
      <c r="V1860" t="s">
        <v>5708</v>
      </c>
      <c r="W1860" t="s">
        <v>3958</v>
      </c>
      <c r="X1860" t="s">
        <v>4660</v>
      </c>
    </row>
    <row r="1861" spans="1:24" x14ac:dyDescent="0.2">
      <c r="A1861" t="s">
        <v>5706</v>
      </c>
      <c r="B1861" t="s">
        <v>1838</v>
      </c>
      <c r="C1861" t="s">
        <v>1839</v>
      </c>
      <c r="D1861" t="s">
        <v>56</v>
      </c>
      <c r="E1861" t="s">
        <v>1840</v>
      </c>
      <c r="F1861" t="s">
        <v>84</v>
      </c>
      <c r="G1861" s="202">
        <v>2</v>
      </c>
      <c r="H1861">
        <v>2</v>
      </c>
      <c r="I1861" t="s">
        <v>3960</v>
      </c>
      <c r="J1861" t="s">
        <v>5229</v>
      </c>
      <c r="K1861" t="s">
        <v>1283</v>
      </c>
      <c r="L1861" s="204">
        <v>0.64</v>
      </c>
      <c r="M1861" s="112">
        <v>153.02250000000001</v>
      </c>
      <c r="N1861" s="112">
        <v>97.934400000000011</v>
      </c>
      <c r="O1861" s="204"/>
      <c r="P1861" s="112"/>
      <c r="Q1861" s="112"/>
      <c r="R1861" s="112"/>
      <c r="S1861" s="112"/>
      <c r="T1861" s="112"/>
      <c r="U1861" t="s">
        <v>5707</v>
      </c>
      <c r="V1861" t="s">
        <v>5708</v>
      </c>
      <c r="W1861" t="s">
        <v>3958</v>
      </c>
      <c r="X1861" t="s">
        <v>4660</v>
      </c>
    </row>
    <row r="1862" spans="1:24" x14ac:dyDescent="0.2">
      <c r="A1862" t="s">
        <v>5706</v>
      </c>
      <c r="B1862" t="s">
        <v>1838</v>
      </c>
      <c r="C1862" t="s">
        <v>1839</v>
      </c>
      <c r="D1862" t="s">
        <v>56</v>
      </c>
      <c r="E1862" t="s">
        <v>1840</v>
      </c>
      <c r="F1862" t="s">
        <v>84</v>
      </c>
      <c r="G1862" s="202">
        <v>2</v>
      </c>
      <c r="H1862">
        <v>3</v>
      </c>
      <c r="I1862" t="s">
        <v>3976</v>
      </c>
      <c r="J1862" t="s">
        <v>5230</v>
      </c>
      <c r="K1862" t="s">
        <v>1283</v>
      </c>
      <c r="L1862" s="204">
        <v>0.04</v>
      </c>
      <c r="M1862" s="112">
        <v>153.02250000000001</v>
      </c>
      <c r="N1862" s="112">
        <v>6.1209000000000007</v>
      </c>
      <c r="O1862" s="204"/>
      <c r="P1862" s="112"/>
      <c r="Q1862" s="112"/>
      <c r="R1862" s="112"/>
      <c r="S1862" s="112"/>
      <c r="T1862" s="112"/>
      <c r="U1862" t="s">
        <v>5707</v>
      </c>
      <c r="V1862" t="s">
        <v>5708</v>
      </c>
      <c r="W1862" t="s">
        <v>3958</v>
      </c>
      <c r="X1862" t="s">
        <v>4660</v>
      </c>
    </row>
    <row r="1863" spans="1:24" x14ac:dyDescent="0.2">
      <c r="A1863" t="s">
        <v>5706</v>
      </c>
      <c r="B1863" t="s">
        <v>1838</v>
      </c>
      <c r="C1863" t="s">
        <v>1839</v>
      </c>
      <c r="D1863" t="s">
        <v>56</v>
      </c>
      <c r="E1863" t="s">
        <v>1840</v>
      </c>
      <c r="F1863" t="s">
        <v>84</v>
      </c>
      <c r="G1863" s="202">
        <v>2</v>
      </c>
      <c r="H1863">
        <v>4</v>
      </c>
      <c r="I1863" t="s">
        <v>4017</v>
      </c>
      <c r="J1863" t="s">
        <v>4851</v>
      </c>
      <c r="K1863" t="s">
        <v>1283</v>
      </c>
      <c r="L1863" s="204">
        <v>0.06</v>
      </c>
      <c r="M1863" s="112">
        <v>153.02250000000001</v>
      </c>
      <c r="N1863" s="112">
        <v>9.1813500000000001</v>
      </c>
      <c r="O1863" s="204"/>
      <c r="P1863" s="112"/>
      <c r="Q1863" s="112"/>
      <c r="R1863" s="112"/>
      <c r="S1863" s="112"/>
      <c r="T1863" s="112"/>
      <c r="U1863" t="s">
        <v>5707</v>
      </c>
      <c r="V1863" t="s">
        <v>5708</v>
      </c>
      <c r="W1863" t="s">
        <v>3958</v>
      </c>
      <c r="X1863" t="s">
        <v>4660</v>
      </c>
    </row>
    <row r="1864" spans="1:24" x14ac:dyDescent="0.2">
      <c r="A1864" t="s">
        <v>5706</v>
      </c>
      <c r="B1864" t="s">
        <v>1838</v>
      </c>
      <c r="C1864" t="s">
        <v>1839</v>
      </c>
      <c r="D1864" t="s">
        <v>56</v>
      </c>
      <c r="E1864" t="s">
        <v>1840</v>
      </c>
      <c r="F1864" t="s">
        <v>84</v>
      </c>
      <c r="G1864" s="202">
        <v>2</v>
      </c>
      <c r="H1864">
        <v>5</v>
      </c>
      <c r="I1864" t="s">
        <v>3968</v>
      </c>
      <c r="J1864" t="s">
        <v>3969</v>
      </c>
      <c r="K1864" t="s">
        <v>84</v>
      </c>
      <c r="L1864" s="204">
        <v>1</v>
      </c>
      <c r="M1864" s="112"/>
      <c r="N1864" s="112">
        <v>153.02250000000001</v>
      </c>
      <c r="O1864" s="204">
        <v>0.22227123462235943</v>
      </c>
      <c r="P1864" s="112">
        <v>34.012499999999989</v>
      </c>
      <c r="Q1864" s="112">
        <v>187.035</v>
      </c>
      <c r="R1864" s="112">
        <v>374.07</v>
      </c>
      <c r="S1864" s="112">
        <v>374.07</v>
      </c>
      <c r="T1864" s="112">
        <v>0</v>
      </c>
      <c r="U1864" t="s">
        <v>5707</v>
      </c>
      <c r="V1864" t="s">
        <v>5708</v>
      </c>
      <c r="W1864" t="s">
        <v>4666</v>
      </c>
      <c r="X1864" t="s">
        <v>4667</v>
      </c>
    </row>
    <row r="1865" spans="1:24" x14ac:dyDescent="0.2">
      <c r="A1865" t="s">
        <v>5709</v>
      </c>
      <c r="B1865" t="s">
        <v>1841</v>
      </c>
      <c r="C1865" t="s">
        <v>1842</v>
      </c>
      <c r="D1865" t="s">
        <v>56</v>
      </c>
      <c r="E1865" t="s">
        <v>1843</v>
      </c>
      <c r="F1865" t="s">
        <v>84</v>
      </c>
      <c r="G1865" s="202">
        <v>16</v>
      </c>
      <c r="H1865">
        <v>1</v>
      </c>
      <c r="I1865" t="s">
        <v>3954</v>
      </c>
      <c r="J1865" t="s">
        <v>5227</v>
      </c>
      <c r="K1865" t="s">
        <v>1283</v>
      </c>
      <c r="L1865" s="204">
        <v>0.26</v>
      </c>
      <c r="M1865" s="112">
        <v>32.594999999999999</v>
      </c>
      <c r="N1865" s="112">
        <v>8.4747000000000003</v>
      </c>
      <c r="O1865" s="204"/>
      <c r="P1865" s="112"/>
      <c r="Q1865" s="112"/>
      <c r="R1865" s="112"/>
      <c r="S1865" s="112"/>
      <c r="T1865" s="112"/>
      <c r="U1865" t="s">
        <v>5710</v>
      </c>
      <c r="V1865" t="s">
        <v>5711</v>
      </c>
      <c r="W1865" t="s">
        <v>3958</v>
      </c>
      <c r="X1865" t="s">
        <v>4660</v>
      </c>
    </row>
    <row r="1866" spans="1:24" x14ac:dyDescent="0.2">
      <c r="A1866" t="s">
        <v>5709</v>
      </c>
      <c r="B1866" t="s">
        <v>1841</v>
      </c>
      <c r="C1866" t="s">
        <v>1842</v>
      </c>
      <c r="D1866" t="s">
        <v>56</v>
      </c>
      <c r="E1866" t="s">
        <v>1843</v>
      </c>
      <c r="F1866" t="s">
        <v>84</v>
      </c>
      <c r="G1866" s="202">
        <v>16</v>
      </c>
      <c r="H1866">
        <v>2</v>
      </c>
      <c r="I1866" t="s">
        <v>3960</v>
      </c>
      <c r="J1866" t="s">
        <v>5229</v>
      </c>
      <c r="K1866" t="s">
        <v>1283</v>
      </c>
      <c r="L1866" s="204">
        <v>0.64</v>
      </c>
      <c r="M1866" s="112">
        <v>32.594999999999999</v>
      </c>
      <c r="N1866" s="112">
        <v>20.860800000000001</v>
      </c>
      <c r="O1866" s="204"/>
      <c r="P1866" s="112"/>
      <c r="Q1866" s="112"/>
      <c r="R1866" s="112"/>
      <c r="S1866" s="112"/>
      <c r="T1866" s="112"/>
      <c r="U1866" t="s">
        <v>5710</v>
      </c>
      <c r="V1866" t="s">
        <v>5711</v>
      </c>
      <c r="W1866" t="s">
        <v>3958</v>
      </c>
      <c r="X1866" t="s">
        <v>4660</v>
      </c>
    </row>
    <row r="1867" spans="1:24" x14ac:dyDescent="0.2">
      <c r="A1867" t="s">
        <v>5709</v>
      </c>
      <c r="B1867" t="s">
        <v>1841</v>
      </c>
      <c r="C1867" t="s">
        <v>1842</v>
      </c>
      <c r="D1867" t="s">
        <v>56</v>
      </c>
      <c r="E1867" t="s">
        <v>1843</v>
      </c>
      <c r="F1867" t="s">
        <v>84</v>
      </c>
      <c r="G1867" s="202">
        <v>16</v>
      </c>
      <c r="H1867">
        <v>3</v>
      </c>
      <c r="I1867" t="s">
        <v>3976</v>
      </c>
      <c r="J1867" t="s">
        <v>5230</v>
      </c>
      <c r="K1867" t="s">
        <v>1283</v>
      </c>
      <c r="L1867" s="204">
        <v>0.04</v>
      </c>
      <c r="M1867" s="112">
        <v>32.594999999999999</v>
      </c>
      <c r="N1867" s="112">
        <v>1.3038000000000001</v>
      </c>
      <c r="O1867" s="204"/>
      <c r="P1867" s="112"/>
      <c r="Q1867" s="112"/>
      <c r="R1867" s="112"/>
      <c r="S1867" s="112"/>
      <c r="T1867" s="112"/>
      <c r="U1867" t="s">
        <v>5710</v>
      </c>
      <c r="V1867" t="s">
        <v>5711</v>
      </c>
      <c r="W1867" t="s">
        <v>3958</v>
      </c>
      <c r="X1867" t="s">
        <v>4660</v>
      </c>
    </row>
    <row r="1868" spans="1:24" x14ac:dyDescent="0.2">
      <c r="A1868" t="s">
        <v>5709</v>
      </c>
      <c r="B1868" t="s">
        <v>1841</v>
      </c>
      <c r="C1868" t="s">
        <v>1842</v>
      </c>
      <c r="D1868" t="s">
        <v>56</v>
      </c>
      <c r="E1868" t="s">
        <v>1843</v>
      </c>
      <c r="F1868" t="s">
        <v>84</v>
      </c>
      <c r="G1868" s="202">
        <v>16</v>
      </c>
      <c r="H1868">
        <v>4</v>
      </c>
      <c r="I1868" t="s">
        <v>4017</v>
      </c>
      <c r="J1868" t="s">
        <v>4851</v>
      </c>
      <c r="K1868" t="s">
        <v>1283</v>
      </c>
      <c r="L1868" s="204">
        <v>0.06</v>
      </c>
      <c r="M1868" s="112">
        <v>32.594999999999999</v>
      </c>
      <c r="N1868" s="112">
        <v>1.9556999999999998</v>
      </c>
      <c r="O1868" s="204"/>
      <c r="P1868" s="112"/>
      <c r="Q1868" s="112"/>
      <c r="R1868" s="112"/>
      <c r="S1868" s="112"/>
      <c r="T1868" s="112"/>
      <c r="U1868" t="s">
        <v>5710</v>
      </c>
      <c r="V1868" t="s">
        <v>5711</v>
      </c>
      <c r="W1868" t="s">
        <v>3958</v>
      </c>
      <c r="X1868" t="s">
        <v>4660</v>
      </c>
    </row>
    <row r="1869" spans="1:24" x14ac:dyDescent="0.2">
      <c r="A1869" t="s">
        <v>5709</v>
      </c>
      <c r="B1869" t="s">
        <v>1841</v>
      </c>
      <c r="C1869" t="s">
        <v>1842</v>
      </c>
      <c r="D1869" t="s">
        <v>56</v>
      </c>
      <c r="E1869" t="s">
        <v>1843</v>
      </c>
      <c r="F1869" t="s">
        <v>84</v>
      </c>
      <c r="G1869" s="202">
        <v>16</v>
      </c>
      <c r="H1869">
        <v>5</v>
      </c>
      <c r="I1869" t="s">
        <v>3968</v>
      </c>
      <c r="J1869" t="s">
        <v>3969</v>
      </c>
      <c r="K1869" t="s">
        <v>84</v>
      </c>
      <c r="L1869" s="204">
        <v>1</v>
      </c>
      <c r="M1869" s="112"/>
      <c r="N1869" s="112">
        <v>32.594999999999999</v>
      </c>
      <c r="O1869" s="204">
        <v>0.22227335480901989</v>
      </c>
      <c r="P1869" s="112">
        <v>7.2450000000000045</v>
      </c>
      <c r="Q1869" s="112">
        <v>39.840000000000003</v>
      </c>
      <c r="R1869" s="112">
        <v>637.44000000000005</v>
      </c>
      <c r="S1869" s="112">
        <v>637.44000000000005</v>
      </c>
      <c r="T1869" s="112">
        <v>0</v>
      </c>
      <c r="U1869" t="s">
        <v>5710</v>
      </c>
      <c r="V1869" t="s">
        <v>5711</v>
      </c>
      <c r="W1869" t="s">
        <v>4666</v>
      </c>
      <c r="X1869" t="s">
        <v>4667</v>
      </c>
    </row>
    <row r="1870" spans="1:24" x14ac:dyDescent="0.2">
      <c r="A1870" t="s">
        <v>5712</v>
      </c>
      <c r="B1870" t="s">
        <v>1844</v>
      </c>
      <c r="C1870" t="s">
        <v>1845</v>
      </c>
      <c r="D1870" t="s">
        <v>56</v>
      </c>
      <c r="E1870" t="s">
        <v>1846</v>
      </c>
      <c r="F1870" t="s">
        <v>84</v>
      </c>
      <c r="G1870" s="202">
        <v>3</v>
      </c>
      <c r="H1870">
        <v>1</v>
      </c>
      <c r="I1870" t="s">
        <v>3954</v>
      </c>
      <c r="J1870" t="s">
        <v>5227</v>
      </c>
      <c r="K1870" t="s">
        <v>1283</v>
      </c>
      <c r="L1870" s="204">
        <v>0.26</v>
      </c>
      <c r="M1870" s="112">
        <v>68.557500000000005</v>
      </c>
      <c r="N1870" s="112">
        <v>17.824950000000001</v>
      </c>
      <c r="O1870" s="204"/>
      <c r="P1870" s="112"/>
      <c r="Q1870" s="112"/>
      <c r="R1870" s="112"/>
      <c r="S1870" s="112"/>
      <c r="T1870" s="112"/>
      <c r="U1870" t="s">
        <v>5713</v>
      </c>
      <c r="V1870" t="s">
        <v>5714</v>
      </c>
      <c r="W1870" t="s">
        <v>3958</v>
      </c>
      <c r="X1870" t="s">
        <v>4660</v>
      </c>
    </row>
    <row r="1871" spans="1:24" x14ac:dyDescent="0.2">
      <c r="A1871" t="s">
        <v>5712</v>
      </c>
      <c r="B1871" t="s">
        <v>1844</v>
      </c>
      <c r="C1871" t="s">
        <v>1845</v>
      </c>
      <c r="D1871" t="s">
        <v>56</v>
      </c>
      <c r="E1871" t="s">
        <v>1846</v>
      </c>
      <c r="F1871" t="s">
        <v>84</v>
      </c>
      <c r="G1871" s="202">
        <v>3</v>
      </c>
      <c r="H1871">
        <v>2</v>
      </c>
      <c r="I1871" t="s">
        <v>3960</v>
      </c>
      <c r="J1871" t="s">
        <v>5229</v>
      </c>
      <c r="K1871" t="s">
        <v>1283</v>
      </c>
      <c r="L1871" s="204">
        <v>0.64</v>
      </c>
      <c r="M1871" s="112">
        <v>68.557500000000005</v>
      </c>
      <c r="N1871" s="112">
        <v>43.876800000000003</v>
      </c>
      <c r="O1871" s="204"/>
      <c r="P1871" s="112"/>
      <c r="Q1871" s="112"/>
      <c r="R1871" s="112"/>
      <c r="S1871" s="112"/>
      <c r="T1871" s="112"/>
      <c r="U1871" t="s">
        <v>5713</v>
      </c>
      <c r="V1871" t="s">
        <v>5714</v>
      </c>
      <c r="W1871" t="s">
        <v>3958</v>
      </c>
      <c r="X1871" t="s">
        <v>4660</v>
      </c>
    </row>
    <row r="1872" spans="1:24" x14ac:dyDescent="0.2">
      <c r="A1872" t="s">
        <v>5712</v>
      </c>
      <c r="B1872" t="s">
        <v>1844</v>
      </c>
      <c r="C1872" t="s">
        <v>1845</v>
      </c>
      <c r="D1872" t="s">
        <v>56</v>
      </c>
      <c r="E1872" t="s">
        <v>1846</v>
      </c>
      <c r="F1872" t="s">
        <v>84</v>
      </c>
      <c r="G1872" s="202">
        <v>3</v>
      </c>
      <c r="H1872">
        <v>3</v>
      </c>
      <c r="I1872" t="s">
        <v>3976</v>
      </c>
      <c r="J1872" t="s">
        <v>5230</v>
      </c>
      <c r="K1872" t="s">
        <v>1283</v>
      </c>
      <c r="L1872" s="204">
        <v>0.04</v>
      </c>
      <c r="M1872" s="112">
        <v>68.557500000000005</v>
      </c>
      <c r="N1872" s="112">
        <v>2.7423000000000002</v>
      </c>
      <c r="O1872" s="204"/>
      <c r="P1872" s="112"/>
      <c r="Q1872" s="112"/>
      <c r="R1872" s="112"/>
      <c r="S1872" s="112"/>
      <c r="T1872" s="112"/>
      <c r="U1872" t="s">
        <v>5713</v>
      </c>
      <c r="V1872" t="s">
        <v>5714</v>
      </c>
      <c r="W1872" t="s">
        <v>3958</v>
      </c>
      <c r="X1872" t="s">
        <v>4660</v>
      </c>
    </row>
    <row r="1873" spans="1:24" x14ac:dyDescent="0.2">
      <c r="A1873" t="s">
        <v>5712</v>
      </c>
      <c r="B1873" t="s">
        <v>1844</v>
      </c>
      <c r="C1873" t="s">
        <v>1845</v>
      </c>
      <c r="D1873" t="s">
        <v>56</v>
      </c>
      <c r="E1873" t="s">
        <v>1846</v>
      </c>
      <c r="F1873" t="s">
        <v>84</v>
      </c>
      <c r="G1873" s="202">
        <v>3</v>
      </c>
      <c r="H1873">
        <v>4</v>
      </c>
      <c r="I1873" t="s">
        <v>4017</v>
      </c>
      <c r="J1873" t="s">
        <v>4851</v>
      </c>
      <c r="K1873" t="s">
        <v>1283</v>
      </c>
      <c r="L1873" s="204">
        <v>0.06</v>
      </c>
      <c r="M1873" s="112">
        <v>68.557500000000005</v>
      </c>
      <c r="N1873" s="112">
        <v>4.1134500000000003</v>
      </c>
      <c r="O1873" s="204"/>
      <c r="P1873" s="112"/>
      <c r="Q1873" s="112"/>
      <c r="R1873" s="112"/>
      <c r="S1873" s="112"/>
      <c r="T1873" s="112"/>
      <c r="U1873" t="s">
        <v>5713</v>
      </c>
      <c r="V1873" t="s">
        <v>5714</v>
      </c>
      <c r="W1873" t="s">
        <v>3958</v>
      </c>
      <c r="X1873" t="s">
        <v>4660</v>
      </c>
    </row>
    <row r="1874" spans="1:24" x14ac:dyDescent="0.2">
      <c r="A1874" t="s">
        <v>5712</v>
      </c>
      <c r="B1874" t="s">
        <v>1844</v>
      </c>
      <c r="C1874" t="s">
        <v>1845</v>
      </c>
      <c r="D1874" t="s">
        <v>56</v>
      </c>
      <c r="E1874" t="s">
        <v>1846</v>
      </c>
      <c r="F1874" t="s">
        <v>84</v>
      </c>
      <c r="G1874" s="202">
        <v>3</v>
      </c>
      <c r="H1874">
        <v>5</v>
      </c>
      <c r="I1874" t="s">
        <v>3968</v>
      </c>
      <c r="J1874" t="s">
        <v>3969</v>
      </c>
      <c r="K1874" t="s">
        <v>84</v>
      </c>
      <c r="L1874" s="204">
        <v>1</v>
      </c>
      <c r="M1874" s="112"/>
      <c r="N1874" s="112">
        <v>68.557500000000005</v>
      </c>
      <c r="O1874" s="204">
        <v>0.22228299845628352</v>
      </c>
      <c r="P1874" s="112">
        <v>15.239166666666662</v>
      </c>
      <c r="Q1874" s="112">
        <v>83.796666666666667</v>
      </c>
      <c r="R1874" s="112">
        <v>251.39</v>
      </c>
      <c r="S1874" s="112">
        <v>251.39</v>
      </c>
      <c r="T1874" s="112">
        <v>0</v>
      </c>
      <c r="U1874" t="s">
        <v>5713</v>
      </c>
      <c r="V1874" t="s">
        <v>5714</v>
      </c>
      <c r="W1874" t="s">
        <v>4666</v>
      </c>
      <c r="X1874" t="s">
        <v>4667</v>
      </c>
    </row>
    <row r="1875" spans="1:24" x14ac:dyDescent="0.2">
      <c r="A1875" t="s">
        <v>5715</v>
      </c>
      <c r="B1875" t="s">
        <v>1847</v>
      </c>
      <c r="C1875" t="s">
        <v>1848</v>
      </c>
      <c r="D1875" t="s">
        <v>24</v>
      </c>
      <c r="E1875" t="s">
        <v>772</v>
      </c>
      <c r="F1875" t="s">
        <v>84</v>
      </c>
      <c r="G1875" s="202">
        <v>14</v>
      </c>
      <c r="H1875">
        <v>1</v>
      </c>
      <c r="I1875" t="s">
        <v>3954</v>
      </c>
      <c r="J1875" t="s">
        <v>4847</v>
      </c>
      <c r="K1875" t="s">
        <v>1283</v>
      </c>
      <c r="L1875" s="204">
        <v>0.24</v>
      </c>
      <c r="M1875" s="112">
        <v>32.647500000000001</v>
      </c>
      <c r="N1875" s="112">
        <v>7.8353999999999999</v>
      </c>
      <c r="O1875" s="204"/>
      <c r="P1875" s="112"/>
      <c r="Q1875" s="112"/>
      <c r="R1875" s="112"/>
      <c r="S1875" s="112"/>
      <c r="T1875" s="112"/>
      <c r="U1875" t="s">
        <v>5716</v>
      </c>
      <c r="V1875" t="s">
        <v>5717</v>
      </c>
      <c r="W1875" t="s">
        <v>3958</v>
      </c>
      <c r="X1875" t="s">
        <v>4660</v>
      </c>
    </row>
    <row r="1876" spans="1:24" x14ac:dyDescent="0.2">
      <c r="A1876" t="s">
        <v>5715</v>
      </c>
      <c r="B1876" t="s">
        <v>1847</v>
      </c>
      <c r="C1876" t="s">
        <v>1848</v>
      </c>
      <c r="D1876" t="s">
        <v>24</v>
      </c>
      <c r="E1876" t="s">
        <v>772</v>
      </c>
      <c r="F1876" t="s">
        <v>84</v>
      </c>
      <c r="G1876" s="202">
        <v>14</v>
      </c>
      <c r="H1876">
        <v>2</v>
      </c>
      <c r="I1876" t="s">
        <v>3960</v>
      </c>
      <c r="J1876" t="s">
        <v>4849</v>
      </c>
      <c r="K1876" t="s">
        <v>1283</v>
      </c>
      <c r="L1876" s="204">
        <v>0.64</v>
      </c>
      <c r="M1876" s="112">
        <v>32.647500000000001</v>
      </c>
      <c r="N1876" s="112">
        <v>20.894400000000001</v>
      </c>
      <c r="O1876" s="204"/>
      <c r="P1876" s="112"/>
      <c r="Q1876" s="112"/>
      <c r="R1876" s="112"/>
      <c r="S1876" s="112"/>
      <c r="T1876" s="112"/>
      <c r="U1876" t="s">
        <v>5716</v>
      </c>
      <c r="V1876" t="s">
        <v>5717</v>
      </c>
      <c r="W1876" t="s">
        <v>3958</v>
      </c>
      <c r="X1876" t="s">
        <v>4660</v>
      </c>
    </row>
    <row r="1877" spans="1:24" x14ac:dyDescent="0.2">
      <c r="A1877" t="s">
        <v>5715</v>
      </c>
      <c r="B1877" t="s">
        <v>1847</v>
      </c>
      <c r="C1877" t="s">
        <v>1848</v>
      </c>
      <c r="D1877" t="s">
        <v>24</v>
      </c>
      <c r="E1877" t="s">
        <v>772</v>
      </c>
      <c r="F1877" t="s">
        <v>84</v>
      </c>
      <c r="G1877" s="202">
        <v>14</v>
      </c>
      <c r="H1877">
        <v>3</v>
      </c>
      <c r="I1877" t="s">
        <v>3976</v>
      </c>
      <c r="J1877" t="s">
        <v>4850</v>
      </c>
      <c r="K1877" t="s">
        <v>1283</v>
      </c>
      <c r="L1877" s="204">
        <v>7.0000000000000007E-2</v>
      </c>
      <c r="M1877" s="112">
        <v>32.647500000000001</v>
      </c>
      <c r="N1877" s="112">
        <v>2.2853250000000003</v>
      </c>
      <c r="O1877" s="204"/>
      <c r="P1877" s="112"/>
      <c r="Q1877" s="112"/>
      <c r="R1877" s="112"/>
      <c r="S1877" s="112"/>
      <c r="T1877" s="112"/>
      <c r="U1877" t="s">
        <v>5716</v>
      </c>
      <c r="V1877" t="s">
        <v>5717</v>
      </c>
      <c r="W1877" t="s">
        <v>3958</v>
      </c>
      <c r="X1877" t="s">
        <v>4660</v>
      </c>
    </row>
    <row r="1878" spans="1:24" x14ac:dyDescent="0.2">
      <c r="A1878" t="s">
        <v>5715</v>
      </c>
      <c r="B1878" t="s">
        <v>1847</v>
      </c>
      <c r="C1878" t="s">
        <v>1848</v>
      </c>
      <c r="D1878" t="s">
        <v>24</v>
      </c>
      <c r="E1878" t="s">
        <v>772</v>
      </c>
      <c r="F1878" t="s">
        <v>84</v>
      </c>
      <c r="G1878" s="202">
        <v>14</v>
      </c>
      <c r="H1878">
        <v>4</v>
      </c>
      <c r="I1878" t="s">
        <v>4017</v>
      </c>
      <c r="J1878" t="s">
        <v>4851</v>
      </c>
      <c r="K1878" t="s">
        <v>1283</v>
      </c>
      <c r="L1878" s="204">
        <v>0.05</v>
      </c>
      <c r="M1878" s="112">
        <v>32.647500000000001</v>
      </c>
      <c r="N1878" s="112">
        <v>1.6323750000000001</v>
      </c>
      <c r="O1878" s="204"/>
      <c r="P1878" s="112"/>
      <c r="Q1878" s="112"/>
      <c r="R1878" s="112"/>
      <c r="S1878" s="112"/>
      <c r="T1878" s="112"/>
      <c r="U1878" t="s">
        <v>5716</v>
      </c>
      <c r="V1878" t="s">
        <v>5717</v>
      </c>
      <c r="W1878" t="s">
        <v>3958</v>
      </c>
      <c r="X1878" t="s">
        <v>4660</v>
      </c>
    </row>
    <row r="1879" spans="1:24" x14ac:dyDescent="0.2">
      <c r="A1879" t="s">
        <v>5715</v>
      </c>
      <c r="B1879" t="s">
        <v>1847</v>
      </c>
      <c r="C1879" t="s">
        <v>1848</v>
      </c>
      <c r="D1879" t="s">
        <v>24</v>
      </c>
      <c r="E1879" t="s">
        <v>772</v>
      </c>
      <c r="F1879" t="s">
        <v>84</v>
      </c>
      <c r="G1879" s="202">
        <v>14</v>
      </c>
      <c r="H1879">
        <v>5</v>
      </c>
      <c r="I1879" t="s">
        <v>3968</v>
      </c>
      <c r="J1879" t="s">
        <v>3969</v>
      </c>
      <c r="K1879" t="s">
        <v>84</v>
      </c>
      <c r="L1879" s="204">
        <v>1</v>
      </c>
      <c r="M1879" s="112"/>
      <c r="N1879" s="112">
        <v>32.647500000000001</v>
      </c>
      <c r="O1879" s="204">
        <v>0.22214564668045012</v>
      </c>
      <c r="P1879" s="112">
        <v>7.2524999999999977</v>
      </c>
      <c r="Q1879" s="112">
        <v>39.9</v>
      </c>
      <c r="R1879" s="112">
        <v>558.6</v>
      </c>
      <c r="S1879" s="112">
        <v>558.6</v>
      </c>
      <c r="T1879" s="112">
        <v>0</v>
      </c>
      <c r="U1879" t="s">
        <v>5716</v>
      </c>
      <c r="V1879" t="s">
        <v>5717</v>
      </c>
      <c r="W1879" t="s">
        <v>4666</v>
      </c>
      <c r="X1879" t="s">
        <v>4667</v>
      </c>
    </row>
    <row r="1880" spans="1:24" x14ac:dyDescent="0.2">
      <c r="A1880" t="s">
        <v>5718</v>
      </c>
      <c r="B1880" t="s">
        <v>1849</v>
      </c>
      <c r="C1880" t="s">
        <v>773</v>
      </c>
      <c r="D1880" t="s">
        <v>774</v>
      </c>
      <c r="E1880" t="s">
        <v>775</v>
      </c>
      <c r="F1880" t="s">
        <v>776</v>
      </c>
      <c r="G1880" s="202">
        <v>1</v>
      </c>
      <c r="H1880">
        <v>1</v>
      </c>
      <c r="I1880" t="s">
        <v>4705</v>
      </c>
      <c r="J1880" t="s">
        <v>4706</v>
      </c>
      <c r="K1880" t="s">
        <v>1283</v>
      </c>
      <c r="L1880" s="204">
        <v>0.65</v>
      </c>
      <c r="M1880" s="112">
        <v>14017.5</v>
      </c>
      <c r="N1880" s="112">
        <v>9111.375</v>
      </c>
      <c r="O1880" s="204"/>
      <c r="P1880" s="112"/>
      <c r="Q1880" s="112"/>
      <c r="R1880" s="112"/>
      <c r="S1880" s="112"/>
      <c r="T1880" s="112"/>
      <c r="U1880" t="s">
        <v>5719</v>
      </c>
      <c r="V1880" t="s">
        <v>5720</v>
      </c>
      <c r="W1880" t="s">
        <v>3958</v>
      </c>
      <c r="X1880" t="s">
        <v>4660</v>
      </c>
    </row>
    <row r="1881" spans="1:24" x14ac:dyDescent="0.2">
      <c r="A1881" t="s">
        <v>5718</v>
      </c>
      <c r="B1881" t="s">
        <v>1849</v>
      </c>
      <c r="C1881" t="s">
        <v>773</v>
      </c>
      <c r="D1881" t="s">
        <v>774</v>
      </c>
      <c r="E1881" t="s">
        <v>775</v>
      </c>
      <c r="F1881" t="s">
        <v>776</v>
      </c>
      <c r="G1881" s="202">
        <v>1</v>
      </c>
      <c r="H1881">
        <v>2</v>
      </c>
      <c r="I1881" t="s">
        <v>4709</v>
      </c>
      <c r="J1881" t="s">
        <v>4710</v>
      </c>
      <c r="K1881" t="s">
        <v>1283</v>
      </c>
      <c r="L1881" s="204">
        <v>0.2</v>
      </c>
      <c r="M1881" s="112">
        <v>14017.5</v>
      </c>
      <c r="N1881" s="112">
        <v>2803.5</v>
      </c>
      <c r="O1881" s="204"/>
      <c r="P1881" s="112"/>
      <c r="Q1881" s="112"/>
      <c r="R1881" s="112"/>
      <c r="S1881" s="112"/>
      <c r="T1881" s="112"/>
      <c r="U1881" t="s">
        <v>5719</v>
      </c>
      <c r="V1881" t="s">
        <v>5720</v>
      </c>
      <c r="W1881" t="s">
        <v>3958</v>
      </c>
      <c r="X1881" t="s">
        <v>4660</v>
      </c>
    </row>
    <row r="1882" spans="1:24" x14ac:dyDescent="0.2">
      <c r="A1882" t="s">
        <v>5718</v>
      </c>
      <c r="B1882" t="s">
        <v>1849</v>
      </c>
      <c r="C1882" t="s">
        <v>773</v>
      </c>
      <c r="D1882" t="s">
        <v>774</v>
      </c>
      <c r="E1882" t="s">
        <v>775</v>
      </c>
      <c r="F1882" t="s">
        <v>776</v>
      </c>
      <c r="G1882" s="202">
        <v>1</v>
      </c>
      <c r="H1882">
        <v>3</v>
      </c>
      <c r="I1882" t="s">
        <v>4091</v>
      </c>
      <c r="J1882" t="s">
        <v>4711</v>
      </c>
      <c r="K1882" t="s">
        <v>1283</v>
      </c>
      <c r="L1882" s="204">
        <v>0.1</v>
      </c>
      <c r="M1882" s="112">
        <v>14017.5</v>
      </c>
      <c r="N1882" s="112">
        <v>1401.75</v>
      </c>
      <c r="O1882" s="204"/>
      <c r="P1882" s="112"/>
      <c r="Q1882" s="112"/>
      <c r="R1882" s="112"/>
      <c r="S1882" s="112"/>
      <c r="T1882" s="112"/>
      <c r="U1882" t="s">
        <v>5719</v>
      </c>
      <c r="V1882" t="s">
        <v>5720</v>
      </c>
      <c r="W1882" t="s">
        <v>3958</v>
      </c>
      <c r="X1882" t="s">
        <v>4660</v>
      </c>
    </row>
    <row r="1883" spans="1:24" x14ac:dyDescent="0.2">
      <c r="A1883" t="s">
        <v>5718</v>
      </c>
      <c r="B1883" t="s">
        <v>1849</v>
      </c>
      <c r="C1883" t="s">
        <v>773</v>
      </c>
      <c r="D1883" t="s">
        <v>774</v>
      </c>
      <c r="E1883" t="s">
        <v>775</v>
      </c>
      <c r="F1883" t="s">
        <v>776</v>
      </c>
      <c r="G1883" s="202">
        <v>1</v>
      </c>
      <c r="H1883">
        <v>4</v>
      </c>
      <c r="I1883" t="s">
        <v>4712</v>
      </c>
      <c r="J1883" t="s">
        <v>4713</v>
      </c>
      <c r="K1883" t="s">
        <v>1283</v>
      </c>
      <c r="L1883" s="204">
        <v>0.05</v>
      </c>
      <c r="M1883" s="112">
        <v>14017.5</v>
      </c>
      <c r="N1883" s="112">
        <v>700.875</v>
      </c>
      <c r="O1883" s="204"/>
      <c r="P1883" s="112"/>
      <c r="Q1883" s="112"/>
      <c r="R1883" s="112"/>
      <c r="S1883" s="112"/>
      <c r="T1883" s="112"/>
      <c r="U1883" t="s">
        <v>5719</v>
      </c>
      <c r="V1883" t="s">
        <v>5720</v>
      </c>
      <c r="W1883" t="s">
        <v>3958</v>
      </c>
      <c r="X1883" t="s">
        <v>4660</v>
      </c>
    </row>
    <row r="1884" spans="1:24" x14ac:dyDescent="0.2">
      <c r="A1884" t="s">
        <v>5718</v>
      </c>
      <c r="B1884" t="s">
        <v>1849</v>
      </c>
      <c r="C1884" t="s">
        <v>773</v>
      </c>
      <c r="D1884" t="s">
        <v>774</v>
      </c>
      <c r="E1884" t="s">
        <v>775</v>
      </c>
      <c r="F1884" t="s">
        <v>776</v>
      </c>
      <c r="G1884" s="202">
        <v>1</v>
      </c>
      <c r="H1884">
        <v>5</v>
      </c>
      <c r="I1884" t="s">
        <v>3968</v>
      </c>
      <c r="J1884" t="s">
        <v>3969</v>
      </c>
      <c r="K1884" t="s">
        <v>776</v>
      </c>
      <c r="L1884" s="204">
        <v>1</v>
      </c>
      <c r="M1884" s="112"/>
      <c r="N1884" s="112">
        <v>14017.5</v>
      </c>
      <c r="O1884" s="204">
        <v>0.22229926877117911</v>
      </c>
      <c r="P1884" s="112">
        <v>3116.0800000000017</v>
      </c>
      <c r="Q1884" s="112">
        <v>17133.580000000002</v>
      </c>
      <c r="R1884" s="112">
        <v>17133.580000000002</v>
      </c>
      <c r="S1884" s="112">
        <v>17133.580000000002</v>
      </c>
      <c r="T1884" s="112">
        <v>0</v>
      </c>
      <c r="U1884" t="s">
        <v>5719</v>
      </c>
      <c r="V1884" t="s">
        <v>5720</v>
      </c>
      <c r="W1884" t="s">
        <v>4666</v>
      </c>
      <c r="X1884" t="s">
        <v>4667</v>
      </c>
    </row>
    <row r="1885" spans="1:24" x14ac:dyDescent="0.2">
      <c r="A1885" t="s">
        <v>5721</v>
      </c>
      <c r="B1885" t="s">
        <v>1850</v>
      </c>
      <c r="C1885" t="s">
        <v>777</v>
      </c>
      <c r="D1885" t="s">
        <v>774</v>
      </c>
      <c r="E1885" t="s">
        <v>778</v>
      </c>
      <c r="F1885" t="s">
        <v>776</v>
      </c>
      <c r="G1885" s="202">
        <v>1</v>
      </c>
      <c r="H1885">
        <v>1</v>
      </c>
      <c r="I1885" t="s">
        <v>3954</v>
      </c>
      <c r="J1885" t="s">
        <v>4110</v>
      </c>
      <c r="K1885" t="s">
        <v>1283</v>
      </c>
      <c r="L1885" s="204">
        <v>0.3</v>
      </c>
      <c r="M1885" s="112">
        <v>933.75</v>
      </c>
      <c r="N1885" s="112">
        <v>280.125</v>
      </c>
      <c r="O1885" s="204"/>
      <c r="P1885" s="112"/>
      <c r="Q1885" s="112"/>
      <c r="R1885" s="112"/>
      <c r="S1885" s="112"/>
      <c r="T1885" s="112"/>
      <c r="U1885" t="s">
        <v>5722</v>
      </c>
      <c r="V1885" t="s">
        <v>5723</v>
      </c>
      <c r="W1885" t="s">
        <v>3958</v>
      </c>
      <c r="X1885" t="s">
        <v>4660</v>
      </c>
    </row>
    <row r="1886" spans="1:24" x14ac:dyDescent="0.2">
      <c r="A1886" t="s">
        <v>5721</v>
      </c>
      <c r="B1886" t="s">
        <v>1850</v>
      </c>
      <c r="C1886" t="s">
        <v>777</v>
      </c>
      <c r="D1886" t="s">
        <v>774</v>
      </c>
      <c r="E1886" t="s">
        <v>778</v>
      </c>
      <c r="F1886" t="s">
        <v>776</v>
      </c>
      <c r="G1886" s="202">
        <v>1</v>
      </c>
      <c r="H1886">
        <v>2</v>
      </c>
      <c r="I1886" t="s">
        <v>3960</v>
      </c>
      <c r="J1886" t="s">
        <v>4113</v>
      </c>
      <c r="K1886" t="s">
        <v>1283</v>
      </c>
      <c r="L1886" s="204">
        <v>0.55000000000000004</v>
      </c>
      <c r="M1886" s="112">
        <v>933.75</v>
      </c>
      <c r="N1886" s="112">
        <v>513.5625</v>
      </c>
      <c r="O1886" s="204"/>
      <c r="P1886" s="112"/>
      <c r="Q1886" s="112"/>
      <c r="R1886" s="112"/>
      <c r="S1886" s="112"/>
      <c r="T1886" s="112"/>
      <c r="U1886" t="s">
        <v>5722</v>
      </c>
      <c r="V1886" t="s">
        <v>5723</v>
      </c>
      <c r="W1886" t="s">
        <v>3958</v>
      </c>
      <c r="X1886" t="s">
        <v>4660</v>
      </c>
    </row>
    <row r="1887" spans="1:24" x14ac:dyDescent="0.2">
      <c r="A1887" t="s">
        <v>5721</v>
      </c>
      <c r="B1887" t="s">
        <v>1850</v>
      </c>
      <c r="C1887" t="s">
        <v>777</v>
      </c>
      <c r="D1887" t="s">
        <v>774</v>
      </c>
      <c r="E1887" t="s">
        <v>778</v>
      </c>
      <c r="F1887" t="s">
        <v>776</v>
      </c>
      <c r="G1887" s="202">
        <v>1</v>
      </c>
      <c r="H1887">
        <v>3</v>
      </c>
      <c r="I1887" t="s">
        <v>3976</v>
      </c>
      <c r="J1887" t="s">
        <v>4114</v>
      </c>
      <c r="K1887" t="s">
        <v>1283</v>
      </c>
      <c r="L1887" s="204">
        <v>0.1</v>
      </c>
      <c r="M1887" s="112">
        <v>933.75</v>
      </c>
      <c r="N1887" s="112">
        <v>93.375</v>
      </c>
      <c r="O1887" s="204"/>
      <c r="P1887" s="112"/>
      <c r="Q1887" s="112"/>
      <c r="R1887" s="112"/>
      <c r="S1887" s="112"/>
      <c r="T1887" s="112"/>
      <c r="U1887" t="s">
        <v>5722</v>
      </c>
      <c r="V1887" t="s">
        <v>5723</v>
      </c>
      <c r="W1887" t="s">
        <v>3958</v>
      </c>
      <c r="X1887" t="s">
        <v>4660</v>
      </c>
    </row>
    <row r="1888" spans="1:24" x14ac:dyDescent="0.2">
      <c r="A1888" t="s">
        <v>5721</v>
      </c>
      <c r="B1888" t="s">
        <v>1850</v>
      </c>
      <c r="C1888" t="s">
        <v>777</v>
      </c>
      <c r="D1888" t="s">
        <v>774</v>
      </c>
      <c r="E1888" t="s">
        <v>778</v>
      </c>
      <c r="F1888" t="s">
        <v>776</v>
      </c>
      <c r="G1888" s="202">
        <v>1</v>
      </c>
      <c r="H1888">
        <v>4</v>
      </c>
      <c r="I1888" t="s">
        <v>4017</v>
      </c>
      <c r="J1888" t="s">
        <v>4115</v>
      </c>
      <c r="K1888" t="s">
        <v>1283</v>
      </c>
      <c r="L1888" s="204">
        <v>0.05</v>
      </c>
      <c r="M1888" s="112">
        <v>933.75</v>
      </c>
      <c r="N1888" s="112">
        <v>46.6875</v>
      </c>
      <c r="O1888" s="204"/>
      <c r="P1888" s="112"/>
      <c r="Q1888" s="112"/>
      <c r="R1888" s="112"/>
      <c r="S1888" s="112"/>
      <c r="T1888" s="112"/>
      <c r="U1888" t="s">
        <v>5722</v>
      </c>
      <c r="V1888" t="s">
        <v>5723</v>
      </c>
      <c r="W1888" t="s">
        <v>3958</v>
      </c>
      <c r="X1888" t="s">
        <v>4660</v>
      </c>
    </row>
    <row r="1889" spans="1:24" x14ac:dyDescent="0.2">
      <c r="A1889" t="s">
        <v>5721</v>
      </c>
      <c r="B1889" t="s">
        <v>1850</v>
      </c>
      <c r="C1889" t="s">
        <v>777</v>
      </c>
      <c r="D1889" t="s">
        <v>774</v>
      </c>
      <c r="E1889" t="s">
        <v>778</v>
      </c>
      <c r="F1889" t="s">
        <v>776</v>
      </c>
      <c r="G1889" s="202">
        <v>1</v>
      </c>
      <c r="H1889">
        <v>5</v>
      </c>
      <c r="I1889" t="s">
        <v>3968</v>
      </c>
      <c r="J1889" t="s">
        <v>3969</v>
      </c>
      <c r="K1889" t="s">
        <v>776</v>
      </c>
      <c r="L1889" s="204">
        <v>1</v>
      </c>
      <c r="M1889" s="112"/>
      <c r="N1889" s="112">
        <v>933.75</v>
      </c>
      <c r="O1889" s="204">
        <v>0.22229718875502003</v>
      </c>
      <c r="P1889" s="112">
        <v>207.56999999999994</v>
      </c>
      <c r="Q1889" s="112">
        <v>1141.32</v>
      </c>
      <c r="R1889" s="112">
        <v>1141.32</v>
      </c>
      <c r="S1889" s="112">
        <v>1141.32</v>
      </c>
      <c r="T1889" s="112">
        <v>0</v>
      </c>
      <c r="U1889" t="s">
        <v>5722</v>
      </c>
      <c r="V1889" t="s">
        <v>5723</v>
      </c>
      <c r="W1889" t="s">
        <v>4666</v>
      </c>
      <c r="X1889" t="s">
        <v>4667</v>
      </c>
    </row>
    <row r="1890" spans="1:24" x14ac:dyDescent="0.2">
      <c r="A1890" t="s">
        <v>5724</v>
      </c>
      <c r="B1890" t="s">
        <v>1851</v>
      </c>
      <c r="C1890" t="s">
        <v>779</v>
      </c>
      <c r="D1890" t="s">
        <v>774</v>
      </c>
      <c r="E1890" t="s">
        <v>780</v>
      </c>
      <c r="F1890" t="s">
        <v>776</v>
      </c>
      <c r="G1890" s="202">
        <v>1</v>
      </c>
      <c r="H1890">
        <v>1</v>
      </c>
      <c r="I1890" t="s">
        <v>3954</v>
      </c>
      <c r="J1890" t="s">
        <v>5227</v>
      </c>
      <c r="K1890" t="s">
        <v>1283</v>
      </c>
      <c r="L1890" s="204">
        <v>0.26</v>
      </c>
      <c r="M1890" s="112">
        <v>1612.5</v>
      </c>
      <c r="N1890" s="112">
        <v>419.25</v>
      </c>
      <c r="O1890" s="204"/>
      <c r="P1890" s="112"/>
      <c r="Q1890" s="112"/>
      <c r="R1890" s="112"/>
      <c r="S1890" s="112"/>
      <c r="T1890" s="112"/>
      <c r="U1890" t="s">
        <v>5725</v>
      </c>
      <c r="V1890" t="s">
        <v>5726</v>
      </c>
      <c r="W1890" t="s">
        <v>3958</v>
      </c>
      <c r="X1890" t="s">
        <v>4660</v>
      </c>
    </row>
    <row r="1891" spans="1:24" x14ac:dyDescent="0.2">
      <c r="A1891" t="s">
        <v>5724</v>
      </c>
      <c r="B1891" t="s">
        <v>1851</v>
      </c>
      <c r="C1891" t="s">
        <v>779</v>
      </c>
      <c r="D1891" t="s">
        <v>774</v>
      </c>
      <c r="E1891" t="s">
        <v>780</v>
      </c>
      <c r="F1891" t="s">
        <v>776</v>
      </c>
      <c r="G1891" s="202">
        <v>1</v>
      </c>
      <c r="H1891">
        <v>2</v>
      </c>
      <c r="I1891" t="s">
        <v>3960</v>
      </c>
      <c r="J1891" t="s">
        <v>5229</v>
      </c>
      <c r="K1891" t="s">
        <v>1283</v>
      </c>
      <c r="L1891" s="204">
        <v>0.64</v>
      </c>
      <c r="M1891" s="112">
        <v>1612.5</v>
      </c>
      <c r="N1891" s="112">
        <v>1032</v>
      </c>
      <c r="O1891" s="204"/>
      <c r="P1891" s="112"/>
      <c r="Q1891" s="112"/>
      <c r="R1891" s="112"/>
      <c r="S1891" s="112"/>
      <c r="T1891" s="112"/>
      <c r="U1891" t="s">
        <v>5725</v>
      </c>
      <c r="V1891" t="s">
        <v>5726</v>
      </c>
      <c r="W1891" t="s">
        <v>3958</v>
      </c>
      <c r="X1891" t="s">
        <v>4660</v>
      </c>
    </row>
    <row r="1892" spans="1:24" x14ac:dyDescent="0.2">
      <c r="A1892" t="s">
        <v>5724</v>
      </c>
      <c r="B1892" t="s">
        <v>1851</v>
      </c>
      <c r="C1892" t="s">
        <v>779</v>
      </c>
      <c r="D1892" t="s">
        <v>774</v>
      </c>
      <c r="E1892" t="s">
        <v>780</v>
      </c>
      <c r="F1892" t="s">
        <v>776</v>
      </c>
      <c r="G1892" s="202">
        <v>1</v>
      </c>
      <c r="H1892">
        <v>3</v>
      </c>
      <c r="I1892" t="s">
        <v>3976</v>
      </c>
      <c r="J1892" t="s">
        <v>5230</v>
      </c>
      <c r="K1892" t="s">
        <v>1283</v>
      </c>
      <c r="L1892" s="204">
        <v>0.04</v>
      </c>
      <c r="M1892" s="112">
        <v>1612.5</v>
      </c>
      <c r="N1892" s="112">
        <v>64.5</v>
      </c>
      <c r="O1892" s="204"/>
      <c r="P1892" s="112"/>
      <c r="Q1892" s="112"/>
      <c r="R1892" s="112"/>
      <c r="S1892" s="112"/>
      <c r="T1892" s="112"/>
      <c r="U1892" t="s">
        <v>5725</v>
      </c>
      <c r="V1892" t="s">
        <v>5726</v>
      </c>
      <c r="W1892" t="s">
        <v>3958</v>
      </c>
      <c r="X1892" t="s">
        <v>4660</v>
      </c>
    </row>
    <row r="1893" spans="1:24" x14ac:dyDescent="0.2">
      <c r="A1893" t="s">
        <v>5724</v>
      </c>
      <c r="B1893" t="s">
        <v>1851</v>
      </c>
      <c r="C1893" t="s">
        <v>779</v>
      </c>
      <c r="D1893" t="s">
        <v>774</v>
      </c>
      <c r="E1893" t="s">
        <v>780</v>
      </c>
      <c r="F1893" t="s">
        <v>776</v>
      </c>
      <c r="G1893" s="202">
        <v>1</v>
      </c>
      <c r="H1893">
        <v>4</v>
      </c>
      <c r="I1893" t="s">
        <v>4017</v>
      </c>
      <c r="J1893" t="s">
        <v>4851</v>
      </c>
      <c r="K1893" t="s">
        <v>1283</v>
      </c>
      <c r="L1893" s="204">
        <v>0.06</v>
      </c>
      <c r="M1893" s="112">
        <v>1612.5</v>
      </c>
      <c r="N1893" s="112">
        <v>96.75</v>
      </c>
      <c r="O1893" s="204"/>
      <c r="P1893" s="112"/>
      <c r="Q1893" s="112"/>
      <c r="R1893" s="112"/>
      <c r="S1893" s="112"/>
      <c r="T1893" s="112"/>
      <c r="U1893" t="s">
        <v>5725</v>
      </c>
      <c r="V1893" t="s">
        <v>5726</v>
      </c>
      <c r="W1893" t="s">
        <v>3958</v>
      </c>
      <c r="X1893" t="s">
        <v>4660</v>
      </c>
    </row>
    <row r="1894" spans="1:24" x14ac:dyDescent="0.2">
      <c r="A1894" t="s">
        <v>5724</v>
      </c>
      <c r="B1894" t="s">
        <v>1851</v>
      </c>
      <c r="C1894" t="s">
        <v>779</v>
      </c>
      <c r="D1894" t="s">
        <v>774</v>
      </c>
      <c r="E1894" t="s">
        <v>780</v>
      </c>
      <c r="F1894" t="s">
        <v>776</v>
      </c>
      <c r="G1894" s="202">
        <v>1</v>
      </c>
      <c r="H1894">
        <v>5</v>
      </c>
      <c r="I1894" t="s">
        <v>3968</v>
      </c>
      <c r="J1894" t="s">
        <v>3969</v>
      </c>
      <c r="K1894" t="s">
        <v>776</v>
      </c>
      <c r="L1894" s="204">
        <v>1</v>
      </c>
      <c r="M1894" s="112"/>
      <c r="N1894" s="112">
        <v>1612.5</v>
      </c>
      <c r="O1894" s="204">
        <v>0.22229457364341099</v>
      </c>
      <c r="P1894" s="112">
        <v>358.45000000000005</v>
      </c>
      <c r="Q1894" s="112">
        <v>1970.95</v>
      </c>
      <c r="R1894" s="112">
        <v>1970.95</v>
      </c>
      <c r="S1894" s="112">
        <v>1970.95</v>
      </c>
      <c r="T1894" s="112">
        <v>0</v>
      </c>
      <c r="U1894" t="s">
        <v>5725</v>
      </c>
      <c r="V1894" t="s">
        <v>5726</v>
      </c>
      <c r="W1894" t="s">
        <v>4666</v>
      </c>
      <c r="X1894" t="s">
        <v>4667</v>
      </c>
    </row>
    <row r="1895" spans="1:24" x14ac:dyDescent="0.2">
      <c r="A1895" t="s">
        <v>5727</v>
      </c>
      <c r="B1895" t="s">
        <v>783</v>
      </c>
      <c r="C1895" t="s">
        <v>1852</v>
      </c>
      <c r="D1895" t="s">
        <v>56</v>
      </c>
      <c r="E1895" t="s">
        <v>784</v>
      </c>
      <c r="F1895" t="s">
        <v>99</v>
      </c>
      <c r="G1895" s="202">
        <v>216.2</v>
      </c>
      <c r="H1895">
        <v>1</v>
      </c>
      <c r="I1895" t="s">
        <v>3954</v>
      </c>
      <c r="J1895" t="s">
        <v>5227</v>
      </c>
      <c r="K1895" t="s">
        <v>1283</v>
      </c>
      <c r="L1895" s="204">
        <v>0.26</v>
      </c>
      <c r="M1895" s="112">
        <v>21.997499999999999</v>
      </c>
      <c r="N1895" s="112">
        <v>5.7193499999999995</v>
      </c>
      <c r="O1895" s="204"/>
      <c r="P1895" s="112"/>
      <c r="Q1895" s="112"/>
      <c r="R1895" s="112"/>
      <c r="S1895" s="112"/>
      <c r="T1895" s="112"/>
      <c r="U1895" t="s">
        <v>5728</v>
      </c>
      <c r="V1895" t="s">
        <v>5729</v>
      </c>
      <c r="W1895" t="s">
        <v>3958</v>
      </c>
      <c r="X1895" t="s">
        <v>4660</v>
      </c>
    </row>
    <row r="1896" spans="1:24" x14ac:dyDescent="0.2">
      <c r="A1896" t="s">
        <v>5727</v>
      </c>
      <c r="B1896" t="s">
        <v>783</v>
      </c>
      <c r="C1896" t="s">
        <v>1852</v>
      </c>
      <c r="D1896" t="s">
        <v>56</v>
      </c>
      <c r="E1896" t="s">
        <v>784</v>
      </c>
      <c r="F1896" t="s">
        <v>99</v>
      </c>
      <c r="G1896" s="202">
        <v>216.2</v>
      </c>
      <c r="H1896">
        <v>2</v>
      </c>
      <c r="I1896" t="s">
        <v>3960</v>
      </c>
      <c r="J1896" t="s">
        <v>5229</v>
      </c>
      <c r="K1896" t="s">
        <v>1283</v>
      </c>
      <c r="L1896" s="204">
        <v>0.64</v>
      </c>
      <c r="M1896" s="112">
        <v>21.997499999999999</v>
      </c>
      <c r="N1896" s="112">
        <v>14.0784</v>
      </c>
      <c r="O1896" s="204"/>
      <c r="P1896" s="112"/>
      <c r="Q1896" s="112"/>
      <c r="R1896" s="112"/>
      <c r="S1896" s="112"/>
      <c r="T1896" s="112"/>
      <c r="U1896" t="s">
        <v>5728</v>
      </c>
      <c r="V1896" t="s">
        <v>5729</v>
      </c>
      <c r="W1896" t="s">
        <v>3958</v>
      </c>
      <c r="X1896" t="s">
        <v>4660</v>
      </c>
    </row>
    <row r="1897" spans="1:24" x14ac:dyDescent="0.2">
      <c r="A1897" t="s">
        <v>5727</v>
      </c>
      <c r="B1897" t="s">
        <v>783</v>
      </c>
      <c r="C1897" t="s">
        <v>1852</v>
      </c>
      <c r="D1897" t="s">
        <v>56</v>
      </c>
      <c r="E1897" t="s">
        <v>784</v>
      </c>
      <c r="F1897" t="s">
        <v>99</v>
      </c>
      <c r="G1897" s="202">
        <v>216.2</v>
      </c>
      <c r="H1897">
        <v>3</v>
      </c>
      <c r="I1897" t="s">
        <v>3976</v>
      </c>
      <c r="J1897" t="s">
        <v>5230</v>
      </c>
      <c r="K1897" t="s">
        <v>1283</v>
      </c>
      <c r="L1897" s="204">
        <v>0.04</v>
      </c>
      <c r="M1897" s="112">
        <v>21.997499999999999</v>
      </c>
      <c r="N1897" s="112">
        <v>0.87990000000000002</v>
      </c>
      <c r="O1897" s="204"/>
      <c r="P1897" s="112"/>
      <c r="Q1897" s="112"/>
      <c r="R1897" s="112"/>
      <c r="S1897" s="112"/>
      <c r="T1897" s="112"/>
      <c r="U1897" t="s">
        <v>5728</v>
      </c>
      <c r="V1897" t="s">
        <v>5729</v>
      </c>
      <c r="W1897" t="s">
        <v>3958</v>
      </c>
      <c r="X1897" t="s">
        <v>4660</v>
      </c>
    </row>
    <row r="1898" spans="1:24" x14ac:dyDescent="0.2">
      <c r="A1898" t="s">
        <v>5727</v>
      </c>
      <c r="B1898" t="s">
        <v>783</v>
      </c>
      <c r="C1898" t="s">
        <v>1852</v>
      </c>
      <c r="D1898" t="s">
        <v>56</v>
      </c>
      <c r="E1898" t="s">
        <v>784</v>
      </c>
      <c r="F1898" t="s">
        <v>99</v>
      </c>
      <c r="G1898" s="202">
        <v>216.2</v>
      </c>
      <c r="H1898">
        <v>4</v>
      </c>
      <c r="I1898" t="s">
        <v>4017</v>
      </c>
      <c r="J1898" t="s">
        <v>4851</v>
      </c>
      <c r="K1898" t="s">
        <v>1283</v>
      </c>
      <c r="L1898" s="204">
        <v>0.06</v>
      </c>
      <c r="M1898" s="112">
        <v>21.997499999999999</v>
      </c>
      <c r="N1898" s="112">
        <v>1.31985</v>
      </c>
      <c r="O1898" s="204"/>
      <c r="P1898" s="112"/>
      <c r="Q1898" s="112"/>
      <c r="R1898" s="112"/>
      <c r="S1898" s="112"/>
      <c r="T1898" s="112"/>
      <c r="U1898" t="s">
        <v>5728</v>
      </c>
      <c r="V1898" t="s">
        <v>5729</v>
      </c>
      <c r="W1898" t="s">
        <v>3958</v>
      </c>
      <c r="X1898" t="s">
        <v>4660</v>
      </c>
    </row>
    <row r="1899" spans="1:24" x14ac:dyDescent="0.2">
      <c r="A1899" t="s">
        <v>5727</v>
      </c>
      <c r="B1899" t="s">
        <v>783</v>
      </c>
      <c r="C1899" t="s">
        <v>1852</v>
      </c>
      <c r="D1899" t="s">
        <v>56</v>
      </c>
      <c r="E1899" t="s">
        <v>784</v>
      </c>
      <c r="F1899" t="s">
        <v>99</v>
      </c>
      <c r="G1899" s="202">
        <v>216.2</v>
      </c>
      <c r="H1899">
        <v>5</v>
      </c>
      <c r="I1899" t="s">
        <v>3968</v>
      </c>
      <c r="J1899" t="s">
        <v>3969</v>
      </c>
      <c r="K1899" t="s">
        <v>99</v>
      </c>
      <c r="L1899" s="204">
        <v>1</v>
      </c>
      <c r="M1899" s="112"/>
      <c r="N1899" s="112">
        <v>21.997499999999999</v>
      </c>
      <c r="O1899" s="204">
        <v>0.22229641140576173</v>
      </c>
      <c r="P1899" s="112">
        <v>4.8899653098982441</v>
      </c>
      <c r="Q1899" s="112">
        <v>26.887465309898243</v>
      </c>
      <c r="R1899" s="112">
        <v>5813.07</v>
      </c>
      <c r="S1899" s="112">
        <v>5813.07</v>
      </c>
      <c r="T1899" s="112">
        <v>0</v>
      </c>
      <c r="U1899" t="s">
        <v>5728</v>
      </c>
      <c r="V1899" t="s">
        <v>5729</v>
      </c>
      <c r="W1899" t="s">
        <v>4666</v>
      </c>
      <c r="X1899" t="s">
        <v>4667</v>
      </c>
    </row>
    <row r="1900" spans="1:24" x14ac:dyDescent="0.2">
      <c r="A1900" t="s">
        <v>5730</v>
      </c>
      <c r="B1900" t="s">
        <v>785</v>
      </c>
      <c r="C1900" t="s">
        <v>1853</v>
      </c>
      <c r="D1900" t="s">
        <v>56</v>
      </c>
      <c r="E1900" t="s">
        <v>786</v>
      </c>
      <c r="F1900" t="s">
        <v>99</v>
      </c>
      <c r="G1900" s="202">
        <v>78.400000000000006</v>
      </c>
      <c r="H1900">
        <v>1</v>
      </c>
      <c r="I1900" t="s">
        <v>3954</v>
      </c>
      <c r="J1900" t="s">
        <v>5227</v>
      </c>
      <c r="K1900" t="s">
        <v>1283</v>
      </c>
      <c r="L1900" s="204">
        <v>0.26</v>
      </c>
      <c r="M1900" s="112">
        <v>15.877500000000001</v>
      </c>
      <c r="N1900" s="112">
        <v>4.1281500000000007</v>
      </c>
      <c r="O1900" s="204"/>
      <c r="P1900" s="112"/>
      <c r="Q1900" s="112"/>
      <c r="R1900" s="112"/>
      <c r="S1900" s="112"/>
      <c r="T1900" s="112"/>
      <c r="U1900" t="s">
        <v>5731</v>
      </c>
      <c r="V1900" t="s">
        <v>5732</v>
      </c>
      <c r="W1900" t="s">
        <v>3958</v>
      </c>
      <c r="X1900" t="s">
        <v>4660</v>
      </c>
    </row>
    <row r="1901" spans="1:24" x14ac:dyDescent="0.2">
      <c r="A1901" t="s">
        <v>5730</v>
      </c>
      <c r="B1901" t="s">
        <v>785</v>
      </c>
      <c r="C1901" t="s">
        <v>1853</v>
      </c>
      <c r="D1901" t="s">
        <v>56</v>
      </c>
      <c r="E1901" t="s">
        <v>786</v>
      </c>
      <c r="F1901" t="s">
        <v>99</v>
      </c>
      <c r="G1901" s="202">
        <v>78.400000000000006</v>
      </c>
      <c r="H1901">
        <v>2</v>
      </c>
      <c r="I1901" t="s">
        <v>3960</v>
      </c>
      <c r="J1901" t="s">
        <v>5229</v>
      </c>
      <c r="K1901" t="s">
        <v>1283</v>
      </c>
      <c r="L1901" s="204">
        <v>0.64</v>
      </c>
      <c r="M1901" s="112">
        <v>15.877500000000001</v>
      </c>
      <c r="N1901" s="112">
        <v>10.161600000000002</v>
      </c>
      <c r="O1901" s="204"/>
      <c r="P1901" s="112"/>
      <c r="Q1901" s="112"/>
      <c r="R1901" s="112"/>
      <c r="S1901" s="112"/>
      <c r="T1901" s="112"/>
      <c r="U1901" t="s">
        <v>5731</v>
      </c>
      <c r="V1901" t="s">
        <v>5732</v>
      </c>
      <c r="W1901" t="s">
        <v>3958</v>
      </c>
      <c r="X1901" t="s">
        <v>4660</v>
      </c>
    </row>
    <row r="1902" spans="1:24" x14ac:dyDescent="0.2">
      <c r="A1902" t="s">
        <v>5730</v>
      </c>
      <c r="B1902" t="s">
        <v>785</v>
      </c>
      <c r="C1902" t="s">
        <v>1853</v>
      </c>
      <c r="D1902" t="s">
        <v>56</v>
      </c>
      <c r="E1902" t="s">
        <v>786</v>
      </c>
      <c r="F1902" t="s">
        <v>99</v>
      </c>
      <c r="G1902" s="202">
        <v>78.400000000000006</v>
      </c>
      <c r="H1902">
        <v>3</v>
      </c>
      <c r="I1902" t="s">
        <v>3976</v>
      </c>
      <c r="J1902" t="s">
        <v>5230</v>
      </c>
      <c r="K1902" t="s">
        <v>1283</v>
      </c>
      <c r="L1902" s="204">
        <v>0.04</v>
      </c>
      <c r="M1902" s="112">
        <v>15.877500000000001</v>
      </c>
      <c r="N1902" s="112">
        <v>0.63510000000000011</v>
      </c>
      <c r="O1902" s="204"/>
      <c r="P1902" s="112"/>
      <c r="Q1902" s="112"/>
      <c r="R1902" s="112"/>
      <c r="S1902" s="112"/>
      <c r="T1902" s="112"/>
      <c r="U1902" t="s">
        <v>5731</v>
      </c>
      <c r="V1902" t="s">
        <v>5732</v>
      </c>
      <c r="W1902" t="s">
        <v>3958</v>
      </c>
      <c r="X1902" t="s">
        <v>4660</v>
      </c>
    </row>
    <row r="1903" spans="1:24" x14ac:dyDescent="0.2">
      <c r="A1903" t="s">
        <v>5730</v>
      </c>
      <c r="B1903" t="s">
        <v>785</v>
      </c>
      <c r="C1903" t="s">
        <v>1853</v>
      </c>
      <c r="D1903" t="s">
        <v>56</v>
      </c>
      <c r="E1903" t="s">
        <v>786</v>
      </c>
      <c r="F1903" t="s">
        <v>99</v>
      </c>
      <c r="G1903" s="202">
        <v>78.400000000000006</v>
      </c>
      <c r="H1903">
        <v>4</v>
      </c>
      <c r="I1903" t="s">
        <v>4017</v>
      </c>
      <c r="J1903" t="s">
        <v>4851</v>
      </c>
      <c r="K1903" t="s">
        <v>1283</v>
      </c>
      <c r="L1903" s="204">
        <v>0.06</v>
      </c>
      <c r="M1903" s="112">
        <v>15.877500000000001</v>
      </c>
      <c r="N1903" s="112">
        <v>0.95265</v>
      </c>
      <c r="O1903" s="204"/>
      <c r="P1903" s="112"/>
      <c r="Q1903" s="112"/>
      <c r="R1903" s="112"/>
      <c r="S1903" s="112"/>
      <c r="T1903" s="112"/>
      <c r="U1903" t="s">
        <v>5731</v>
      </c>
      <c r="V1903" t="s">
        <v>5732</v>
      </c>
      <c r="W1903" t="s">
        <v>3958</v>
      </c>
      <c r="X1903" t="s">
        <v>4660</v>
      </c>
    </row>
    <row r="1904" spans="1:24" x14ac:dyDescent="0.2">
      <c r="A1904" t="s">
        <v>5730</v>
      </c>
      <c r="B1904" t="s">
        <v>785</v>
      </c>
      <c r="C1904" t="s">
        <v>1853</v>
      </c>
      <c r="D1904" t="s">
        <v>56</v>
      </c>
      <c r="E1904" t="s">
        <v>786</v>
      </c>
      <c r="F1904" t="s">
        <v>99</v>
      </c>
      <c r="G1904" s="202">
        <v>78.400000000000006</v>
      </c>
      <c r="H1904">
        <v>5</v>
      </c>
      <c r="I1904" t="s">
        <v>3968</v>
      </c>
      <c r="J1904" t="s">
        <v>3969</v>
      </c>
      <c r="K1904" t="s">
        <v>99</v>
      </c>
      <c r="L1904" s="204">
        <v>1</v>
      </c>
      <c r="M1904" s="112"/>
      <c r="N1904" s="112">
        <v>15.877500000000001</v>
      </c>
      <c r="O1904" s="204">
        <v>0.22200746146356498</v>
      </c>
      <c r="P1904" s="112">
        <v>3.5249234693877547</v>
      </c>
      <c r="Q1904" s="112">
        <v>19.402423469387756</v>
      </c>
      <c r="R1904" s="112">
        <v>1521.15</v>
      </c>
      <c r="S1904" s="112">
        <v>1521.15</v>
      </c>
      <c r="T1904" s="112">
        <v>0</v>
      </c>
      <c r="U1904" t="s">
        <v>5731</v>
      </c>
      <c r="V1904" t="s">
        <v>5732</v>
      </c>
      <c r="W1904" t="s">
        <v>4666</v>
      </c>
      <c r="X1904" t="s">
        <v>4667</v>
      </c>
    </row>
    <row r="1905" spans="1:24" x14ac:dyDescent="0.2">
      <c r="A1905" t="s">
        <v>5733</v>
      </c>
      <c r="B1905" t="s">
        <v>787</v>
      </c>
      <c r="C1905" t="s">
        <v>1854</v>
      </c>
      <c r="D1905" t="s">
        <v>56</v>
      </c>
      <c r="E1905" t="s">
        <v>788</v>
      </c>
      <c r="F1905" t="s">
        <v>84</v>
      </c>
      <c r="G1905" s="202">
        <v>83</v>
      </c>
      <c r="H1905">
        <v>1</v>
      </c>
      <c r="I1905" t="s">
        <v>3954</v>
      </c>
      <c r="J1905" t="s">
        <v>5227</v>
      </c>
      <c r="K1905" t="s">
        <v>1283</v>
      </c>
      <c r="L1905" s="204">
        <v>0.26</v>
      </c>
      <c r="M1905" s="112">
        <v>10.754999999999999</v>
      </c>
      <c r="N1905" s="112">
        <v>2.7963</v>
      </c>
      <c r="O1905" s="204"/>
      <c r="P1905" s="112"/>
      <c r="Q1905" s="112"/>
      <c r="R1905" s="112"/>
      <c r="S1905" s="112"/>
      <c r="T1905" s="112"/>
      <c r="U1905" t="s">
        <v>5734</v>
      </c>
      <c r="V1905" t="s">
        <v>5735</v>
      </c>
      <c r="W1905" t="s">
        <v>3958</v>
      </c>
      <c r="X1905" t="s">
        <v>4660</v>
      </c>
    </row>
    <row r="1906" spans="1:24" x14ac:dyDescent="0.2">
      <c r="A1906" t="s">
        <v>5733</v>
      </c>
      <c r="B1906" t="s">
        <v>787</v>
      </c>
      <c r="C1906" t="s">
        <v>1854</v>
      </c>
      <c r="D1906" t="s">
        <v>56</v>
      </c>
      <c r="E1906" t="s">
        <v>788</v>
      </c>
      <c r="F1906" t="s">
        <v>84</v>
      </c>
      <c r="G1906" s="202">
        <v>83</v>
      </c>
      <c r="H1906">
        <v>2</v>
      </c>
      <c r="I1906" t="s">
        <v>3960</v>
      </c>
      <c r="J1906" t="s">
        <v>5229</v>
      </c>
      <c r="K1906" t="s">
        <v>1283</v>
      </c>
      <c r="L1906" s="204">
        <v>0.64</v>
      </c>
      <c r="M1906" s="112">
        <v>10.754999999999999</v>
      </c>
      <c r="N1906" s="112">
        <v>6.8831999999999995</v>
      </c>
      <c r="O1906" s="204"/>
      <c r="P1906" s="112"/>
      <c r="Q1906" s="112"/>
      <c r="R1906" s="112"/>
      <c r="S1906" s="112"/>
      <c r="T1906" s="112"/>
      <c r="U1906" t="s">
        <v>5734</v>
      </c>
      <c r="V1906" t="s">
        <v>5735</v>
      </c>
      <c r="W1906" t="s">
        <v>3958</v>
      </c>
      <c r="X1906" t="s">
        <v>4660</v>
      </c>
    </row>
    <row r="1907" spans="1:24" x14ac:dyDescent="0.2">
      <c r="A1907" t="s">
        <v>5733</v>
      </c>
      <c r="B1907" t="s">
        <v>787</v>
      </c>
      <c r="C1907" t="s">
        <v>1854</v>
      </c>
      <c r="D1907" t="s">
        <v>56</v>
      </c>
      <c r="E1907" t="s">
        <v>788</v>
      </c>
      <c r="F1907" t="s">
        <v>84</v>
      </c>
      <c r="G1907" s="202">
        <v>83</v>
      </c>
      <c r="H1907">
        <v>3</v>
      </c>
      <c r="I1907" t="s">
        <v>3976</v>
      </c>
      <c r="J1907" t="s">
        <v>5230</v>
      </c>
      <c r="K1907" t="s">
        <v>1283</v>
      </c>
      <c r="L1907" s="204">
        <v>0.04</v>
      </c>
      <c r="M1907" s="112">
        <v>10.754999999999999</v>
      </c>
      <c r="N1907" s="112">
        <v>0.43019999999999997</v>
      </c>
      <c r="O1907" s="204"/>
      <c r="P1907" s="112"/>
      <c r="Q1907" s="112"/>
      <c r="R1907" s="112"/>
      <c r="S1907" s="112"/>
      <c r="T1907" s="112"/>
      <c r="U1907" t="s">
        <v>5734</v>
      </c>
      <c r="V1907" t="s">
        <v>5735</v>
      </c>
      <c r="W1907" t="s">
        <v>3958</v>
      </c>
      <c r="X1907" t="s">
        <v>4660</v>
      </c>
    </row>
    <row r="1908" spans="1:24" x14ac:dyDescent="0.2">
      <c r="A1908" t="s">
        <v>5733</v>
      </c>
      <c r="B1908" t="s">
        <v>787</v>
      </c>
      <c r="C1908" t="s">
        <v>1854</v>
      </c>
      <c r="D1908" t="s">
        <v>56</v>
      </c>
      <c r="E1908" t="s">
        <v>788</v>
      </c>
      <c r="F1908" t="s">
        <v>84</v>
      </c>
      <c r="G1908" s="202">
        <v>83</v>
      </c>
      <c r="H1908">
        <v>4</v>
      </c>
      <c r="I1908" t="s">
        <v>4017</v>
      </c>
      <c r="J1908" t="s">
        <v>4851</v>
      </c>
      <c r="K1908" t="s">
        <v>1283</v>
      </c>
      <c r="L1908" s="204">
        <v>0.06</v>
      </c>
      <c r="M1908" s="112">
        <v>10.754999999999999</v>
      </c>
      <c r="N1908" s="112">
        <v>0.64529999999999987</v>
      </c>
      <c r="O1908" s="204"/>
      <c r="P1908" s="112"/>
      <c r="Q1908" s="112"/>
      <c r="R1908" s="112"/>
      <c r="S1908" s="112"/>
      <c r="T1908" s="112"/>
      <c r="U1908" t="s">
        <v>5734</v>
      </c>
      <c r="V1908" t="s">
        <v>5735</v>
      </c>
      <c r="W1908" t="s">
        <v>3958</v>
      </c>
      <c r="X1908" t="s">
        <v>4660</v>
      </c>
    </row>
    <row r="1909" spans="1:24" x14ac:dyDescent="0.2">
      <c r="A1909" t="s">
        <v>5733</v>
      </c>
      <c r="B1909" t="s">
        <v>787</v>
      </c>
      <c r="C1909" t="s">
        <v>1854</v>
      </c>
      <c r="D1909" t="s">
        <v>56</v>
      </c>
      <c r="E1909" t="s">
        <v>788</v>
      </c>
      <c r="F1909" t="s">
        <v>84</v>
      </c>
      <c r="G1909" s="202">
        <v>83</v>
      </c>
      <c r="H1909">
        <v>5</v>
      </c>
      <c r="I1909" t="s">
        <v>3968</v>
      </c>
      <c r="J1909" t="s">
        <v>3969</v>
      </c>
      <c r="K1909" t="s">
        <v>84</v>
      </c>
      <c r="L1909" s="204">
        <v>1</v>
      </c>
      <c r="M1909" s="112"/>
      <c r="N1909" s="112">
        <v>10.754999999999999</v>
      </c>
      <c r="O1909" s="204">
        <v>0.2217573221757323</v>
      </c>
      <c r="P1909" s="112">
        <v>2.3849999999999998</v>
      </c>
      <c r="Q1909" s="112">
        <v>13.139999999999999</v>
      </c>
      <c r="R1909" s="112">
        <v>1090.6199999999999</v>
      </c>
      <c r="S1909" s="112">
        <v>1090.6199999999999</v>
      </c>
      <c r="T1909" s="112">
        <v>0</v>
      </c>
      <c r="U1909" t="s">
        <v>5734</v>
      </c>
      <c r="V1909" t="s">
        <v>5735</v>
      </c>
      <c r="W1909" t="s">
        <v>4666</v>
      </c>
      <c r="X1909" t="s">
        <v>4667</v>
      </c>
    </row>
    <row r="1910" spans="1:24" x14ac:dyDescent="0.2">
      <c r="A1910" t="s">
        <v>5736</v>
      </c>
      <c r="B1910" t="s">
        <v>789</v>
      </c>
      <c r="C1910" t="s">
        <v>1855</v>
      </c>
      <c r="D1910" t="s">
        <v>56</v>
      </c>
      <c r="E1910" t="s">
        <v>790</v>
      </c>
      <c r="F1910" t="s">
        <v>84</v>
      </c>
      <c r="G1910" s="202">
        <v>157</v>
      </c>
      <c r="H1910">
        <v>1</v>
      </c>
      <c r="I1910" t="s">
        <v>3954</v>
      </c>
      <c r="J1910" t="s">
        <v>5227</v>
      </c>
      <c r="K1910" t="s">
        <v>1283</v>
      </c>
      <c r="L1910" s="204">
        <v>0.26</v>
      </c>
      <c r="M1910" s="112">
        <v>9.4125000000000014</v>
      </c>
      <c r="N1910" s="112">
        <v>2.4472500000000004</v>
      </c>
      <c r="O1910" s="204"/>
      <c r="P1910" s="112"/>
      <c r="Q1910" s="112"/>
      <c r="R1910" s="112"/>
      <c r="S1910" s="112"/>
      <c r="T1910" s="112"/>
      <c r="U1910" t="s">
        <v>5737</v>
      </c>
      <c r="V1910" t="s">
        <v>5738</v>
      </c>
      <c r="W1910" t="s">
        <v>3958</v>
      </c>
      <c r="X1910" t="s">
        <v>4660</v>
      </c>
    </row>
    <row r="1911" spans="1:24" x14ac:dyDescent="0.2">
      <c r="A1911" t="s">
        <v>5736</v>
      </c>
      <c r="B1911" t="s">
        <v>789</v>
      </c>
      <c r="C1911" t="s">
        <v>1855</v>
      </c>
      <c r="D1911" t="s">
        <v>56</v>
      </c>
      <c r="E1911" t="s">
        <v>790</v>
      </c>
      <c r="F1911" t="s">
        <v>84</v>
      </c>
      <c r="G1911" s="202">
        <v>157</v>
      </c>
      <c r="H1911">
        <v>2</v>
      </c>
      <c r="I1911" t="s">
        <v>3960</v>
      </c>
      <c r="J1911" t="s">
        <v>5229</v>
      </c>
      <c r="K1911" t="s">
        <v>1283</v>
      </c>
      <c r="L1911" s="204">
        <v>0.64</v>
      </c>
      <c r="M1911" s="112">
        <v>9.4125000000000014</v>
      </c>
      <c r="N1911" s="112">
        <v>6.0240000000000009</v>
      </c>
      <c r="O1911" s="204"/>
      <c r="P1911" s="112"/>
      <c r="Q1911" s="112"/>
      <c r="R1911" s="112"/>
      <c r="S1911" s="112"/>
      <c r="T1911" s="112"/>
      <c r="U1911" t="s">
        <v>5737</v>
      </c>
      <c r="V1911" t="s">
        <v>5738</v>
      </c>
      <c r="W1911" t="s">
        <v>3958</v>
      </c>
      <c r="X1911" t="s">
        <v>4660</v>
      </c>
    </row>
    <row r="1912" spans="1:24" x14ac:dyDescent="0.2">
      <c r="A1912" t="s">
        <v>5736</v>
      </c>
      <c r="B1912" t="s">
        <v>789</v>
      </c>
      <c r="C1912" t="s">
        <v>1855</v>
      </c>
      <c r="D1912" t="s">
        <v>56</v>
      </c>
      <c r="E1912" t="s">
        <v>790</v>
      </c>
      <c r="F1912" t="s">
        <v>84</v>
      </c>
      <c r="G1912" s="202">
        <v>157</v>
      </c>
      <c r="H1912">
        <v>3</v>
      </c>
      <c r="I1912" t="s">
        <v>3976</v>
      </c>
      <c r="J1912" t="s">
        <v>5230</v>
      </c>
      <c r="K1912" t="s">
        <v>1283</v>
      </c>
      <c r="L1912" s="204">
        <v>0.04</v>
      </c>
      <c r="M1912" s="112">
        <v>9.4125000000000014</v>
      </c>
      <c r="N1912" s="112">
        <v>0.37650000000000006</v>
      </c>
      <c r="O1912" s="204"/>
      <c r="P1912" s="112"/>
      <c r="Q1912" s="112"/>
      <c r="R1912" s="112"/>
      <c r="S1912" s="112"/>
      <c r="T1912" s="112"/>
      <c r="U1912" t="s">
        <v>5737</v>
      </c>
      <c r="V1912" t="s">
        <v>5738</v>
      </c>
      <c r="W1912" t="s">
        <v>3958</v>
      </c>
      <c r="X1912" t="s">
        <v>4660</v>
      </c>
    </row>
    <row r="1913" spans="1:24" x14ac:dyDescent="0.2">
      <c r="A1913" t="s">
        <v>5736</v>
      </c>
      <c r="B1913" t="s">
        <v>789</v>
      </c>
      <c r="C1913" t="s">
        <v>1855</v>
      </c>
      <c r="D1913" t="s">
        <v>56</v>
      </c>
      <c r="E1913" t="s">
        <v>790</v>
      </c>
      <c r="F1913" t="s">
        <v>84</v>
      </c>
      <c r="G1913" s="202">
        <v>157</v>
      </c>
      <c r="H1913">
        <v>4</v>
      </c>
      <c r="I1913" t="s">
        <v>4017</v>
      </c>
      <c r="J1913" t="s">
        <v>4851</v>
      </c>
      <c r="K1913" t="s">
        <v>1283</v>
      </c>
      <c r="L1913" s="204">
        <v>0.06</v>
      </c>
      <c r="M1913" s="112">
        <v>9.4125000000000014</v>
      </c>
      <c r="N1913" s="112">
        <v>0.56475000000000009</v>
      </c>
      <c r="O1913" s="204"/>
      <c r="P1913" s="112"/>
      <c r="Q1913" s="112"/>
      <c r="R1913" s="112"/>
      <c r="S1913" s="112"/>
      <c r="T1913" s="112"/>
      <c r="U1913" t="s">
        <v>5737</v>
      </c>
      <c r="V1913" t="s">
        <v>5738</v>
      </c>
      <c r="W1913" t="s">
        <v>3958</v>
      </c>
      <c r="X1913" t="s">
        <v>4660</v>
      </c>
    </row>
    <row r="1914" spans="1:24" x14ac:dyDescent="0.2">
      <c r="A1914" t="s">
        <v>5736</v>
      </c>
      <c r="B1914" t="s">
        <v>789</v>
      </c>
      <c r="C1914" t="s">
        <v>1855</v>
      </c>
      <c r="D1914" t="s">
        <v>56</v>
      </c>
      <c r="E1914" t="s">
        <v>790</v>
      </c>
      <c r="F1914" t="s">
        <v>84</v>
      </c>
      <c r="G1914" s="202">
        <v>157</v>
      </c>
      <c r="H1914">
        <v>5</v>
      </c>
      <c r="I1914" t="s">
        <v>3968</v>
      </c>
      <c r="J1914" t="s">
        <v>3969</v>
      </c>
      <c r="K1914" t="s">
        <v>84</v>
      </c>
      <c r="L1914" s="204">
        <v>1</v>
      </c>
      <c r="M1914" s="112"/>
      <c r="N1914" s="112">
        <v>9.4125000000000014</v>
      </c>
      <c r="O1914" s="204">
        <v>0.22150886898266786</v>
      </c>
      <c r="P1914" s="112">
        <v>2.0849522292993612</v>
      </c>
      <c r="Q1914" s="112">
        <v>11.497452229299363</v>
      </c>
      <c r="R1914" s="112">
        <v>1805.1</v>
      </c>
      <c r="S1914" s="112">
        <v>1805.1</v>
      </c>
      <c r="T1914" s="112">
        <v>0</v>
      </c>
      <c r="U1914" t="s">
        <v>5737</v>
      </c>
      <c r="V1914" t="s">
        <v>5738</v>
      </c>
      <c r="W1914" t="s">
        <v>4666</v>
      </c>
      <c r="X1914" t="s">
        <v>4667</v>
      </c>
    </row>
    <row r="1915" spans="1:24" x14ac:dyDescent="0.2">
      <c r="A1915" t="s">
        <v>5739</v>
      </c>
      <c r="B1915" t="s">
        <v>791</v>
      </c>
      <c r="C1915" t="s">
        <v>1856</v>
      </c>
      <c r="D1915" t="s">
        <v>56</v>
      </c>
      <c r="E1915" t="s">
        <v>792</v>
      </c>
      <c r="F1915" t="s">
        <v>84</v>
      </c>
      <c r="G1915" s="202">
        <v>8</v>
      </c>
      <c r="H1915">
        <v>1</v>
      </c>
      <c r="I1915" t="s">
        <v>3954</v>
      </c>
      <c r="J1915" t="s">
        <v>5227</v>
      </c>
      <c r="K1915" t="s">
        <v>1283</v>
      </c>
      <c r="L1915" s="204">
        <v>0.26</v>
      </c>
      <c r="M1915" s="112">
        <v>11.5425</v>
      </c>
      <c r="N1915" s="112">
        <v>3.0010500000000002</v>
      </c>
      <c r="O1915" s="204"/>
      <c r="P1915" s="112"/>
      <c r="Q1915" s="112"/>
      <c r="R1915" s="112"/>
      <c r="S1915" s="112"/>
      <c r="T1915" s="112"/>
      <c r="U1915" t="s">
        <v>5740</v>
      </c>
      <c r="V1915" t="s">
        <v>5741</v>
      </c>
      <c r="W1915" t="s">
        <v>3958</v>
      </c>
      <c r="X1915" t="s">
        <v>4660</v>
      </c>
    </row>
    <row r="1916" spans="1:24" x14ac:dyDescent="0.2">
      <c r="A1916" t="s">
        <v>5739</v>
      </c>
      <c r="B1916" t="s">
        <v>791</v>
      </c>
      <c r="C1916" t="s">
        <v>1856</v>
      </c>
      <c r="D1916" t="s">
        <v>56</v>
      </c>
      <c r="E1916" t="s">
        <v>792</v>
      </c>
      <c r="F1916" t="s">
        <v>84</v>
      </c>
      <c r="G1916" s="202">
        <v>8</v>
      </c>
      <c r="H1916">
        <v>2</v>
      </c>
      <c r="I1916" t="s">
        <v>3960</v>
      </c>
      <c r="J1916" t="s">
        <v>5229</v>
      </c>
      <c r="K1916" t="s">
        <v>1283</v>
      </c>
      <c r="L1916" s="204">
        <v>0.64</v>
      </c>
      <c r="M1916" s="112">
        <v>11.5425</v>
      </c>
      <c r="N1916" s="112">
        <v>7.3872</v>
      </c>
      <c r="O1916" s="204"/>
      <c r="P1916" s="112"/>
      <c r="Q1916" s="112"/>
      <c r="R1916" s="112"/>
      <c r="S1916" s="112"/>
      <c r="T1916" s="112"/>
      <c r="U1916" t="s">
        <v>5740</v>
      </c>
      <c r="V1916" t="s">
        <v>5741</v>
      </c>
      <c r="W1916" t="s">
        <v>3958</v>
      </c>
      <c r="X1916" t="s">
        <v>4660</v>
      </c>
    </row>
    <row r="1917" spans="1:24" x14ac:dyDescent="0.2">
      <c r="A1917" t="s">
        <v>5739</v>
      </c>
      <c r="B1917" t="s">
        <v>791</v>
      </c>
      <c r="C1917" t="s">
        <v>1856</v>
      </c>
      <c r="D1917" t="s">
        <v>56</v>
      </c>
      <c r="E1917" t="s">
        <v>792</v>
      </c>
      <c r="F1917" t="s">
        <v>84</v>
      </c>
      <c r="G1917" s="202">
        <v>8</v>
      </c>
      <c r="H1917">
        <v>3</v>
      </c>
      <c r="I1917" t="s">
        <v>3976</v>
      </c>
      <c r="J1917" t="s">
        <v>5230</v>
      </c>
      <c r="K1917" t="s">
        <v>1283</v>
      </c>
      <c r="L1917" s="204">
        <v>0.04</v>
      </c>
      <c r="M1917" s="112">
        <v>11.5425</v>
      </c>
      <c r="N1917" s="112">
        <v>0.4617</v>
      </c>
      <c r="O1917" s="204"/>
      <c r="P1917" s="112"/>
      <c r="Q1917" s="112"/>
      <c r="R1917" s="112"/>
      <c r="S1917" s="112"/>
      <c r="T1917" s="112"/>
      <c r="U1917" t="s">
        <v>5740</v>
      </c>
      <c r="V1917" t="s">
        <v>5741</v>
      </c>
      <c r="W1917" t="s">
        <v>3958</v>
      </c>
      <c r="X1917" t="s">
        <v>4660</v>
      </c>
    </row>
    <row r="1918" spans="1:24" x14ac:dyDescent="0.2">
      <c r="A1918" t="s">
        <v>5739</v>
      </c>
      <c r="B1918" t="s">
        <v>791</v>
      </c>
      <c r="C1918" t="s">
        <v>1856</v>
      </c>
      <c r="D1918" t="s">
        <v>56</v>
      </c>
      <c r="E1918" t="s">
        <v>792</v>
      </c>
      <c r="F1918" t="s">
        <v>84</v>
      </c>
      <c r="G1918" s="202">
        <v>8</v>
      </c>
      <c r="H1918">
        <v>4</v>
      </c>
      <c r="I1918" t="s">
        <v>4017</v>
      </c>
      <c r="J1918" t="s">
        <v>4851</v>
      </c>
      <c r="K1918" t="s">
        <v>1283</v>
      </c>
      <c r="L1918" s="204">
        <v>0.06</v>
      </c>
      <c r="M1918" s="112">
        <v>11.5425</v>
      </c>
      <c r="N1918" s="112">
        <v>0.69255</v>
      </c>
      <c r="O1918" s="204"/>
      <c r="P1918" s="112"/>
      <c r="Q1918" s="112"/>
      <c r="R1918" s="112"/>
      <c r="S1918" s="112"/>
      <c r="T1918" s="112"/>
      <c r="U1918" t="s">
        <v>5740</v>
      </c>
      <c r="V1918" t="s">
        <v>5741</v>
      </c>
      <c r="W1918" t="s">
        <v>3958</v>
      </c>
      <c r="X1918" t="s">
        <v>4660</v>
      </c>
    </row>
    <row r="1919" spans="1:24" x14ac:dyDescent="0.2">
      <c r="A1919" t="s">
        <v>5739</v>
      </c>
      <c r="B1919" t="s">
        <v>791</v>
      </c>
      <c r="C1919" t="s">
        <v>1856</v>
      </c>
      <c r="D1919" t="s">
        <v>56</v>
      </c>
      <c r="E1919" t="s">
        <v>792</v>
      </c>
      <c r="F1919" t="s">
        <v>84</v>
      </c>
      <c r="G1919" s="202">
        <v>8</v>
      </c>
      <c r="H1919">
        <v>5</v>
      </c>
      <c r="I1919" t="s">
        <v>3968</v>
      </c>
      <c r="J1919" t="s">
        <v>3969</v>
      </c>
      <c r="K1919" t="s">
        <v>84</v>
      </c>
      <c r="L1919" s="204">
        <v>1</v>
      </c>
      <c r="M1919" s="112"/>
      <c r="N1919" s="112">
        <v>11.5425</v>
      </c>
      <c r="O1919" s="204">
        <v>0.2222222222222221</v>
      </c>
      <c r="P1919" s="112">
        <v>2.5649999999999995</v>
      </c>
      <c r="Q1919" s="112">
        <v>14.1075</v>
      </c>
      <c r="R1919" s="112">
        <v>112.86</v>
      </c>
      <c r="S1919" s="112">
        <v>112.86</v>
      </c>
      <c r="T1919" s="112">
        <v>0</v>
      </c>
      <c r="U1919" t="s">
        <v>5740</v>
      </c>
      <c r="V1919" t="s">
        <v>5741</v>
      </c>
      <c r="W1919" t="s">
        <v>4666</v>
      </c>
      <c r="X1919" t="s">
        <v>4667</v>
      </c>
    </row>
    <row r="1920" spans="1:24" x14ac:dyDescent="0.2">
      <c r="A1920" t="s">
        <v>5742</v>
      </c>
      <c r="B1920" t="s">
        <v>793</v>
      </c>
      <c r="C1920" t="s">
        <v>1652</v>
      </c>
      <c r="D1920" t="s">
        <v>56</v>
      </c>
      <c r="E1920" t="s">
        <v>626</v>
      </c>
      <c r="F1920" t="s">
        <v>84</v>
      </c>
      <c r="G1920" s="202">
        <v>1</v>
      </c>
      <c r="H1920">
        <v>1</v>
      </c>
      <c r="I1920" t="s">
        <v>3954</v>
      </c>
      <c r="J1920" t="s">
        <v>5227</v>
      </c>
      <c r="K1920" t="s">
        <v>1283</v>
      </c>
      <c r="L1920" s="204">
        <v>0.26</v>
      </c>
      <c r="M1920" s="112">
        <v>30.547499999999999</v>
      </c>
      <c r="N1920" s="112">
        <v>7.9423500000000002</v>
      </c>
      <c r="O1920" s="204"/>
      <c r="P1920" s="112"/>
      <c r="Q1920" s="112"/>
      <c r="R1920" s="112"/>
      <c r="S1920" s="112"/>
      <c r="T1920" s="112"/>
      <c r="U1920" t="s">
        <v>5395</v>
      </c>
      <c r="V1920" t="s">
        <v>5743</v>
      </c>
      <c r="W1920" t="s">
        <v>3958</v>
      </c>
      <c r="X1920" t="s">
        <v>4660</v>
      </c>
    </row>
    <row r="1921" spans="1:24" x14ac:dyDescent="0.2">
      <c r="A1921" t="s">
        <v>5742</v>
      </c>
      <c r="B1921" t="s">
        <v>793</v>
      </c>
      <c r="C1921" t="s">
        <v>1652</v>
      </c>
      <c r="D1921" t="s">
        <v>56</v>
      </c>
      <c r="E1921" t="s">
        <v>626</v>
      </c>
      <c r="F1921" t="s">
        <v>84</v>
      </c>
      <c r="G1921" s="202">
        <v>1</v>
      </c>
      <c r="H1921">
        <v>2</v>
      </c>
      <c r="I1921" t="s">
        <v>3960</v>
      </c>
      <c r="J1921" t="s">
        <v>5229</v>
      </c>
      <c r="K1921" t="s">
        <v>1283</v>
      </c>
      <c r="L1921" s="204">
        <v>0.64</v>
      </c>
      <c r="M1921" s="112">
        <v>30.547499999999999</v>
      </c>
      <c r="N1921" s="112">
        <v>19.5504</v>
      </c>
      <c r="O1921" s="204"/>
      <c r="P1921" s="112"/>
      <c r="Q1921" s="112"/>
      <c r="R1921" s="112"/>
      <c r="S1921" s="112"/>
      <c r="T1921" s="112"/>
      <c r="U1921" t="s">
        <v>5395</v>
      </c>
      <c r="V1921" t="s">
        <v>5743</v>
      </c>
      <c r="W1921" t="s">
        <v>3958</v>
      </c>
      <c r="X1921" t="s">
        <v>4660</v>
      </c>
    </row>
    <row r="1922" spans="1:24" x14ac:dyDescent="0.2">
      <c r="A1922" t="s">
        <v>5742</v>
      </c>
      <c r="B1922" t="s">
        <v>793</v>
      </c>
      <c r="C1922" t="s">
        <v>1652</v>
      </c>
      <c r="D1922" t="s">
        <v>56</v>
      </c>
      <c r="E1922" t="s">
        <v>626</v>
      </c>
      <c r="F1922" t="s">
        <v>84</v>
      </c>
      <c r="G1922" s="202">
        <v>1</v>
      </c>
      <c r="H1922">
        <v>3</v>
      </c>
      <c r="I1922" t="s">
        <v>3976</v>
      </c>
      <c r="J1922" t="s">
        <v>5230</v>
      </c>
      <c r="K1922" t="s">
        <v>1283</v>
      </c>
      <c r="L1922" s="204">
        <v>0.04</v>
      </c>
      <c r="M1922" s="112">
        <v>30.547499999999999</v>
      </c>
      <c r="N1922" s="112">
        <v>1.2219</v>
      </c>
      <c r="O1922" s="204"/>
      <c r="P1922" s="112"/>
      <c r="Q1922" s="112"/>
      <c r="R1922" s="112"/>
      <c r="S1922" s="112"/>
      <c r="T1922" s="112"/>
      <c r="U1922" t="s">
        <v>5395</v>
      </c>
      <c r="V1922" t="s">
        <v>5743</v>
      </c>
      <c r="W1922" t="s">
        <v>3958</v>
      </c>
      <c r="X1922" t="s">
        <v>4660</v>
      </c>
    </row>
    <row r="1923" spans="1:24" x14ac:dyDescent="0.2">
      <c r="A1923" t="s">
        <v>5742</v>
      </c>
      <c r="B1923" t="s">
        <v>793</v>
      </c>
      <c r="C1923" t="s">
        <v>1652</v>
      </c>
      <c r="D1923" t="s">
        <v>56</v>
      </c>
      <c r="E1923" t="s">
        <v>626</v>
      </c>
      <c r="F1923" t="s">
        <v>84</v>
      </c>
      <c r="G1923" s="202">
        <v>1</v>
      </c>
      <c r="H1923">
        <v>4</v>
      </c>
      <c r="I1923" t="s">
        <v>4017</v>
      </c>
      <c r="J1923" t="s">
        <v>4851</v>
      </c>
      <c r="K1923" t="s">
        <v>1283</v>
      </c>
      <c r="L1923" s="204">
        <v>0.06</v>
      </c>
      <c r="M1923" s="112">
        <v>30.547499999999999</v>
      </c>
      <c r="N1923" s="112">
        <v>1.8328499999999999</v>
      </c>
      <c r="O1923" s="204"/>
      <c r="P1923" s="112"/>
      <c r="Q1923" s="112"/>
      <c r="R1923" s="112"/>
      <c r="S1923" s="112"/>
      <c r="T1923" s="112"/>
      <c r="U1923" t="s">
        <v>5395</v>
      </c>
      <c r="V1923" t="s">
        <v>5743</v>
      </c>
      <c r="W1923" t="s">
        <v>3958</v>
      </c>
      <c r="X1923" t="s">
        <v>4660</v>
      </c>
    </row>
    <row r="1924" spans="1:24" x14ac:dyDescent="0.2">
      <c r="A1924" t="s">
        <v>5742</v>
      </c>
      <c r="B1924" t="s">
        <v>793</v>
      </c>
      <c r="C1924" t="s">
        <v>1652</v>
      </c>
      <c r="D1924" t="s">
        <v>56</v>
      </c>
      <c r="E1924" t="s">
        <v>626</v>
      </c>
      <c r="F1924" t="s">
        <v>84</v>
      </c>
      <c r="G1924" s="202">
        <v>1</v>
      </c>
      <c r="H1924">
        <v>5</v>
      </c>
      <c r="I1924" t="s">
        <v>3968</v>
      </c>
      <c r="J1924" t="s">
        <v>3969</v>
      </c>
      <c r="K1924" t="s">
        <v>84</v>
      </c>
      <c r="L1924" s="204">
        <v>1</v>
      </c>
      <c r="M1924" s="112"/>
      <c r="N1924" s="112">
        <v>30.547499999999999</v>
      </c>
      <c r="O1924" s="204">
        <v>0.2220312627874621</v>
      </c>
      <c r="P1924" s="112">
        <v>6.7824999999999989</v>
      </c>
      <c r="Q1924" s="112">
        <v>37.33</v>
      </c>
      <c r="R1924" s="112">
        <v>37.33</v>
      </c>
      <c r="S1924" s="112">
        <v>37.33</v>
      </c>
      <c r="T1924" s="112">
        <v>0</v>
      </c>
      <c r="U1924" t="s">
        <v>5395</v>
      </c>
      <c r="V1924" t="s">
        <v>5743</v>
      </c>
      <c r="W1924" t="s">
        <v>4666</v>
      </c>
      <c r="X1924" t="s">
        <v>4667</v>
      </c>
    </row>
    <row r="1925" spans="1:24" x14ac:dyDescent="0.2">
      <c r="A1925" t="s">
        <v>5744</v>
      </c>
      <c r="B1925" t="s">
        <v>794</v>
      </c>
      <c r="C1925" t="s">
        <v>1857</v>
      </c>
      <c r="D1925" t="s">
        <v>56</v>
      </c>
      <c r="E1925" t="s">
        <v>795</v>
      </c>
      <c r="F1925" t="s">
        <v>84</v>
      </c>
      <c r="G1925" s="202">
        <v>9</v>
      </c>
      <c r="H1925">
        <v>1</v>
      </c>
      <c r="I1925" t="s">
        <v>3954</v>
      </c>
      <c r="J1925" t="s">
        <v>5227</v>
      </c>
      <c r="K1925" t="s">
        <v>1283</v>
      </c>
      <c r="L1925" s="204">
        <v>0.26</v>
      </c>
      <c r="M1925" s="112">
        <v>8.6174999999999997</v>
      </c>
      <c r="N1925" s="112">
        <v>2.2405499999999998</v>
      </c>
      <c r="O1925" s="204"/>
      <c r="P1925" s="112"/>
      <c r="Q1925" s="112"/>
      <c r="R1925" s="112"/>
      <c r="S1925" s="112"/>
      <c r="T1925" s="112"/>
      <c r="U1925" t="s">
        <v>5745</v>
      </c>
      <c r="V1925" t="s">
        <v>5746</v>
      </c>
      <c r="W1925" t="s">
        <v>3958</v>
      </c>
      <c r="X1925" t="s">
        <v>4660</v>
      </c>
    </row>
    <row r="1926" spans="1:24" x14ac:dyDescent="0.2">
      <c r="A1926" t="s">
        <v>5744</v>
      </c>
      <c r="B1926" t="s">
        <v>794</v>
      </c>
      <c r="C1926" t="s">
        <v>1857</v>
      </c>
      <c r="D1926" t="s">
        <v>56</v>
      </c>
      <c r="E1926" t="s">
        <v>795</v>
      </c>
      <c r="F1926" t="s">
        <v>84</v>
      </c>
      <c r="G1926" s="202">
        <v>9</v>
      </c>
      <c r="H1926">
        <v>2</v>
      </c>
      <c r="I1926" t="s">
        <v>3960</v>
      </c>
      <c r="J1926" t="s">
        <v>5229</v>
      </c>
      <c r="K1926" t="s">
        <v>1283</v>
      </c>
      <c r="L1926" s="204">
        <v>0.64</v>
      </c>
      <c r="M1926" s="112">
        <v>8.6174999999999997</v>
      </c>
      <c r="N1926" s="112">
        <v>5.5152000000000001</v>
      </c>
      <c r="O1926" s="204"/>
      <c r="P1926" s="112"/>
      <c r="Q1926" s="112"/>
      <c r="R1926" s="112"/>
      <c r="S1926" s="112"/>
      <c r="T1926" s="112"/>
      <c r="U1926" t="s">
        <v>5745</v>
      </c>
      <c r="V1926" t="s">
        <v>5746</v>
      </c>
      <c r="W1926" t="s">
        <v>3958</v>
      </c>
      <c r="X1926" t="s">
        <v>4660</v>
      </c>
    </row>
    <row r="1927" spans="1:24" x14ac:dyDescent="0.2">
      <c r="A1927" t="s">
        <v>5744</v>
      </c>
      <c r="B1927" t="s">
        <v>794</v>
      </c>
      <c r="C1927" t="s">
        <v>1857</v>
      </c>
      <c r="D1927" t="s">
        <v>56</v>
      </c>
      <c r="E1927" t="s">
        <v>795</v>
      </c>
      <c r="F1927" t="s">
        <v>84</v>
      </c>
      <c r="G1927" s="202">
        <v>9</v>
      </c>
      <c r="H1927">
        <v>3</v>
      </c>
      <c r="I1927" t="s">
        <v>3976</v>
      </c>
      <c r="J1927" t="s">
        <v>5230</v>
      </c>
      <c r="K1927" t="s">
        <v>1283</v>
      </c>
      <c r="L1927" s="204">
        <v>0.04</v>
      </c>
      <c r="M1927" s="112">
        <v>8.6174999999999997</v>
      </c>
      <c r="N1927" s="112">
        <v>0.34470000000000001</v>
      </c>
      <c r="O1927" s="204"/>
      <c r="P1927" s="112"/>
      <c r="Q1927" s="112"/>
      <c r="R1927" s="112"/>
      <c r="S1927" s="112"/>
      <c r="T1927" s="112"/>
      <c r="U1927" t="s">
        <v>5745</v>
      </c>
      <c r="V1927" t="s">
        <v>5746</v>
      </c>
      <c r="W1927" t="s">
        <v>3958</v>
      </c>
      <c r="X1927" t="s">
        <v>4660</v>
      </c>
    </row>
    <row r="1928" spans="1:24" x14ac:dyDescent="0.2">
      <c r="A1928" t="s">
        <v>5744</v>
      </c>
      <c r="B1928" t="s">
        <v>794</v>
      </c>
      <c r="C1928" t="s">
        <v>1857</v>
      </c>
      <c r="D1928" t="s">
        <v>56</v>
      </c>
      <c r="E1928" t="s">
        <v>795</v>
      </c>
      <c r="F1928" t="s">
        <v>84</v>
      </c>
      <c r="G1928" s="202">
        <v>9</v>
      </c>
      <c r="H1928">
        <v>4</v>
      </c>
      <c r="I1928" t="s">
        <v>4017</v>
      </c>
      <c r="J1928" t="s">
        <v>4851</v>
      </c>
      <c r="K1928" t="s">
        <v>1283</v>
      </c>
      <c r="L1928" s="204">
        <v>0.06</v>
      </c>
      <c r="M1928" s="112">
        <v>8.6174999999999997</v>
      </c>
      <c r="N1928" s="112">
        <v>0.51705000000000001</v>
      </c>
      <c r="O1928" s="204"/>
      <c r="P1928" s="112"/>
      <c r="Q1928" s="112"/>
      <c r="R1928" s="112"/>
      <c r="S1928" s="112"/>
      <c r="T1928" s="112"/>
      <c r="U1928" t="s">
        <v>5745</v>
      </c>
      <c r="V1928" t="s">
        <v>5746</v>
      </c>
      <c r="W1928" t="s">
        <v>3958</v>
      </c>
      <c r="X1928" t="s">
        <v>4660</v>
      </c>
    </row>
    <row r="1929" spans="1:24" x14ac:dyDescent="0.2">
      <c r="A1929" t="s">
        <v>5744</v>
      </c>
      <c r="B1929" t="s">
        <v>794</v>
      </c>
      <c r="C1929" t="s">
        <v>1857</v>
      </c>
      <c r="D1929" t="s">
        <v>56</v>
      </c>
      <c r="E1929" t="s">
        <v>795</v>
      </c>
      <c r="F1929" t="s">
        <v>84</v>
      </c>
      <c r="G1929" s="202">
        <v>9</v>
      </c>
      <c r="H1929">
        <v>5</v>
      </c>
      <c r="I1929" t="s">
        <v>3968</v>
      </c>
      <c r="J1929" t="s">
        <v>3969</v>
      </c>
      <c r="K1929" t="s">
        <v>84</v>
      </c>
      <c r="L1929" s="204">
        <v>1</v>
      </c>
      <c r="M1929" s="112"/>
      <c r="N1929" s="112">
        <v>8.6174999999999997</v>
      </c>
      <c r="O1929" s="204">
        <v>0.22193211488250641</v>
      </c>
      <c r="P1929" s="112">
        <v>1.9124999999999996</v>
      </c>
      <c r="Q1929" s="112">
        <v>10.53</v>
      </c>
      <c r="R1929" s="112">
        <v>94.77</v>
      </c>
      <c r="S1929" s="112">
        <v>94.77</v>
      </c>
      <c r="T1929" s="112">
        <v>0</v>
      </c>
      <c r="U1929" t="s">
        <v>5745</v>
      </c>
      <c r="V1929" t="s">
        <v>5746</v>
      </c>
      <c r="W1929" t="s">
        <v>4666</v>
      </c>
      <c r="X1929" t="s">
        <v>4667</v>
      </c>
    </row>
    <row r="1930" spans="1:24" x14ac:dyDescent="0.2">
      <c r="A1930" t="s">
        <v>5747</v>
      </c>
      <c r="B1930" t="s">
        <v>796</v>
      </c>
      <c r="C1930" t="s">
        <v>1858</v>
      </c>
      <c r="D1930" t="s">
        <v>56</v>
      </c>
      <c r="E1930" t="s">
        <v>797</v>
      </c>
      <c r="F1930" t="s">
        <v>84</v>
      </c>
      <c r="G1930" s="202">
        <v>36</v>
      </c>
      <c r="H1930">
        <v>1</v>
      </c>
      <c r="I1930" t="s">
        <v>3954</v>
      </c>
      <c r="J1930" t="s">
        <v>5227</v>
      </c>
      <c r="K1930" t="s">
        <v>1283</v>
      </c>
      <c r="L1930" s="204">
        <v>0.26</v>
      </c>
      <c r="M1930" s="112">
        <v>6.9674999999999994</v>
      </c>
      <c r="N1930" s="112">
        <v>1.81155</v>
      </c>
      <c r="O1930" s="204"/>
      <c r="P1930" s="112"/>
      <c r="Q1930" s="112"/>
      <c r="R1930" s="112"/>
      <c r="S1930" s="112"/>
      <c r="T1930" s="112"/>
      <c r="U1930" t="s">
        <v>5748</v>
      </c>
      <c r="V1930" t="s">
        <v>5749</v>
      </c>
      <c r="W1930" t="s">
        <v>3958</v>
      </c>
      <c r="X1930" t="s">
        <v>4660</v>
      </c>
    </row>
    <row r="1931" spans="1:24" x14ac:dyDescent="0.2">
      <c r="A1931" t="s">
        <v>5747</v>
      </c>
      <c r="B1931" t="s">
        <v>796</v>
      </c>
      <c r="C1931" t="s">
        <v>1858</v>
      </c>
      <c r="D1931" t="s">
        <v>56</v>
      </c>
      <c r="E1931" t="s">
        <v>797</v>
      </c>
      <c r="F1931" t="s">
        <v>84</v>
      </c>
      <c r="G1931" s="202">
        <v>36</v>
      </c>
      <c r="H1931">
        <v>2</v>
      </c>
      <c r="I1931" t="s">
        <v>3960</v>
      </c>
      <c r="J1931" t="s">
        <v>5229</v>
      </c>
      <c r="K1931" t="s">
        <v>1283</v>
      </c>
      <c r="L1931" s="204">
        <v>0.64</v>
      </c>
      <c r="M1931" s="112">
        <v>6.9674999999999994</v>
      </c>
      <c r="N1931" s="112">
        <v>4.4592000000000001</v>
      </c>
      <c r="O1931" s="204"/>
      <c r="P1931" s="112"/>
      <c r="Q1931" s="112"/>
      <c r="R1931" s="112"/>
      <c r="S1931" s="112"/>
      <c r="T1931" s="112"/>
      <c r="U1931" t="s">
        <v>5748</v>
      </c>
      <c r="V1931" t="s">
        <v>5749</v>
      </c>
      <c r="W1931" t="s">
        <v>3958</v>
      </c>
      <c r="X1931" t="s">
        <v>4660</v>
      </c>
    </row>
    <row r="1932" spans="1:24" x14ac:dyDescent="0.2">
      <c r="A1932" t="s">
        <v>5747</v>
      </c>
      <c r="B1932" t="s">
        <v>796</v>
      </c>
      <c r="C1932" t="s">
        <v>1858</v>
      </c>
      <c r="D1932" t="s">
        <v>56</v>
      </c>
      <c r="E1932" t="s">
        <v>797</v>
      </c>
      <c r="F1932" t="s">
        <v>84</v>
      </c>
      <c r="G1932" s="202">
        <v>36</v>
      </c>
      <c r="H1932">
        <v>3</v>
      </c>
      <c r="I1932" t="s">
        <v>3976</v>
      </c>
      <c r="J1932" t="s">
        <v>5230</v>
      </c>
      <c r="K1932" t="s">
        <v>1283</v>
      </c>
      <c r="L1932" s="204">
        <v>0.04</v>
      </c>
      <c r="M1932" s="112">
        <v>6.9674999999999994</v>
      </c>
      <c r="N1932" s="112">
        <v>0.2787</v>
      </c>
      <c r="O1932" s="204"/>
      <c r="P1932" s="112"/>
      <c r="Q1932" s="112"/>
      <c r="R1932" s="112"/>
      <c r="S1932" s="112"/>
      <c r="T1932" s="112"/>
      <c r="U1932" t="s">
        <v>5748</v>
      </c>
      <c r="V1932" t="s">
        <v>5749</v>
      </c>
      <c r="W1932" t="s">
        <v>3958</v>
      </c>
      <c r="X1932" t="s">
        <v>4660</v>
      </c>
    </row>
    <row r="1933" spans="1:24" x14ac:dyDescent="0.2">
      <c r="A1933" t="s">
        <v>5747</v>
      </c>
      <c r="B1933" t="s">
        <v>796</v>
      </c>
      <c r="C1933" t="s">
        <v>1858</v>
      </c>
      <c r="D1933" t="s">
        <v>56</v>
      </c>
      <c r="E1933" t="s">
        <v>797</v>
      </c>
      <c r="F1933" t="s">
        <v>84</v>
      </c>
      <c r="G1933" s="202">
        <v>36</v>
      </c>
      <c r="H1933">
        <v>4</v>
      </c>
      <c r="I1933" t="s">
        <v>4017</v>
      </c>
      <c r="J1933" t="s">
        <v>4851</v>
      </c>
      <c r="K1933" t="s">
        <v>1283</v>
      </c>
      <c r="L1933" s="204">
        <v>0.06</v>
      </c>
      <c r="M1933" s="112">
        <v>6.9674999999999994</v>
      </c>
      <c r="N1933" s="112">
        <v>0.41804999999999992</v>
      </c>
      <c r="O1933" s="204"/>
      <c r="P1933" s="112"/>
      <c r="Q1933" s="112"/>
      <c r="R1933" s="112"/>
      <c r="S1933" s="112"/>
      <c r="T1933" s="112"/>
      <c r="U1933" t="s">
        <v>5748</v>
      </c>
      <c r="V1933" t="s">
        <v>5749</v>
      </c>
      <c r="W1933" t="s">
        <v>3958</v>
      </c>
      <c r="X1933" t="s">
        <v>4660</v>
      </c>
    </row>
    <row r="1934" spans="1:24" x14ac:dyDescent="0.2">
      <c r="A1934" t="s">
        <v>5747</v>
      </c>
      <c r="B1934" t="s">
        <v>796</v>
      </c>
      <c r="C1934" t="s">
        <v>1858</v>
      </c>
      <c r="D1934" t="s">
        <v>56</v>
      </c>
      <c r="E1934" t="s">
        <v>797</v>
      </c>
      <c r="F1934" t="s">
        <v>84</v>
      </c>
      <c r="G1934" s="202">
        <v>36</v>
      </c>
      <c r="H1934">
        <v>5</v>
      </c>
      <c r="I1934" t="s">
        <v>3968</v>
      </c>
      <c r="J1934" t="s">
        <v>3969</v>
      </c>
      <c r="K1934" t="s">
        <v>84</v>
      </c>
      <c r="L1934" s="204">
        <v>1</v>
      </c>
      <c r="M1934" s="112"/>
      <c r="N1934" s="112">
        <v>6.9674999999999994</v>
      </c>
      <c r="O1934" s="204">
        <v>0.22174381054897752</v>
      </c>
      <c r="P1934" s="112">
        <v>1.5449999999999999</v>
      </c>
      <c r="Q1934" s="112">
        <v>8.5124999999999993</v>
      </c>
      <c r="R1934" s="112">
        <v>306.45</v>
      </c>
      <c r="S1934" s="112">
        <v>306.45</v>
      </c>
      <c r="T1934" s="112">
        <v>0</v>
      </c>
      <c r="U1934" t="s">
        <v>5748</v>
      </c>
      <c r="V1934" t="s">
        <v>5749</v>
      </c>
      <c r="W1934" t="s">
        <v>4666</v>
      </c>
      <c r="X1934" t="s">
        <v>4667</v>
      </c>
    </row>
    <row r="1935" spans="1:24" x14ac:dyDescent="0.2">
      <c r="A1935" t="s">
        <v>5750</v>
      </c>
      <c r="B1935" t="s">
        <v>798</v>
      </c>
      <c r="C1935" t="s">
        <v>1859</v>
      </c>
      <c r="D1935" t="s">
        <v>56</v>
      </c>
      <c r="E1935" t="s">
        <v>799</v>
      </c>
      <c r="F1935" t="s">
        <v>84</v>
      </c>
      <c r="G1935" s="202">
        <v>24</v>
      </c>
      <c r="H1935">
        <v>1</v>
      </c>
      <c r="I1935" t="s">
        <v>3954</v>
      </c>
      <c r="J1935" t="s">
        <v>5227</v>
      </c>
      <c r="K1935" t="s">
        <v>1283</v>
      </c>
      <c r="L1935" s="204">
        <v>0.26</v>
      </c>
      <c r="M1935" s="112">
        <v>13.162500000000001</v>
      </c>
      <c r="N1935" s="112">
        <v>3.4222500000000005</v>
      </c>
      <c r="O1935" s="204"/>
      <c r="P1935" s="112"/>
      <c r="Q1935" s="112"/>
      <c r="R1935" s="112"/>
      <c r="S1935" s="112"/>
      <c r="T1935" s="112"/>
      <c r="U1935" t="s">
        <v>5751</v>
      </c>
      <c r="V1935" t="s">
        <v>5752</v>
      </c>
      <c r="W1935" t="s">
        <v>3958</v>
      </c>
      <c r="X1935" t="s">
        <v>4660</v>
      </c>
    </row>
    <row r="1936" spans="1:24" x14ac:dyDescent="0.2">
      <c r="A1936" t="s">
        <v>5750</v>
      </c>
      <c r="B1936" t="s">
        <v>798</v>
      </c>
      <c r="C1936" t="s">
        <v>1859</v>
      </c>
      <c r="D1936" t="s">
        <v>56</v>
      </c>
      <c r="E1936" t="s">
        <v>799</v>
      </c>
      <c r="F1936" t="s">
        <v>84</v>
      </c>
      <c r="G1936" s="202">
        <v>24</v>
      </c>
      <c r="H1936">
        <v>2</v>
      </c>
      <c r="I1936" t="s">
        <v>3960</v>
      </c>
      <c r="J1936" t="s">
        <v>5229</v>
      </c>
      <c r="K1936" t="s">
        <v>1283</v>
      </c>
      <c r="L1936" s="204">
        <v>0.64</v>
      </c>
      <c r="M1936" s="112">
        <v>13.162500000000001</v>
      </c>
      <c r="N1936" s="112">
        <v>8.4240000000000013</v>
      </c>
      <c r="O1936" s="204"/>
      <c r="P1936" s="112"/>
      <c r="Q1936" s="112"/>
      <c r="R1936" s="112"/>
      <c r="S1936" s="112"/>
      <c r="T1936" s="112"/>
      <c r="U1936" t="s">
        <v>5751</v>
      </c>
      <c r="V1936" t="s">
        <v>5752</v>
      </c>
      <c r="W1936" t="s">
        <v>3958</v>
      </c>
      <c r="X1936" t="s">
        <v>4660</v>
      </c>
    </row>
    <row r="1937" spans="1:24" x14ac:dyDescent="0.2">
      <c r="A1937" t="s">
        <v>5750</v>
      </c>
      <c r="B1937" t="s">
        <v>798</v>
      </c>
      <c r="C1937" t="s">
        <v>1859</v>
      </c>
      <c r="D1937" t="s">
        <v>56</v>
      </c>
      <c r="E1937" t="s">
        <v>799</v>
      </c>
      <c r="F1937" t="s">
        <v>84</v>
      </c>
      <c r="G1937" s="202">
        <v>24</v>
      </c>
      <c r="H1937">
        <v>3</v>
      </c>
      <c r="I1937" t="s">
        <v>3976</v>
      </c>
      <c r="J1937" t="s">
        <v>5230</v>
      </c>
      <c r="K1937" t="s">
        <v>1283</v>
      </c>
      <c r="L1937" s="204">
        <v>0.04</v>
      </c>
      <c r="M1937" s="112">
        <v>13.162500000000001</v>
      </c>
      <c r="N1937" s="112">
        <v>0.52650000000000008</v>
      </c>
      <c r="O1937" s="204"/>
      <c r="P1937" s="112"/>
      <c r="Q1937" s="112"/>
      <c r="R1937" s="112"/>
      <c r="S1937" s="112"/>
      <c r="T1937" s="112"/>
      <c r="U1937" t="s">
        <v>5751</v>
      </c>
      <c r="V1937" t="s">
        <v>5752</v>
      </c>
      <c r="W1937" t="s">
        <v>3958</v>
      </c>
      <c r="X1937" t="s">
        <v>4660</v>
      </c>
    </row>
    <row r="1938" spans="1:24" x14ac:dyDescent="0.2">
      <c r="A1938" t="s">
        <v>5750</v>
      </c>
      <c r="B1938" t="s">
        <v>798</v>
      </c>
      <c r="C1938" t="s">
        <v>1859</v>
      </c>
      <c r="D1938" t="s">
        <v>56</v>
      </c>
      <c r="E1938" t="s">
        <v>799</v>
      </c>
      <c r="F1938" t="s">
        <v>84</v>
      </c>
      <c r="G1938" s="202">
        <v>24</v>
      </c>
      <c r="H1938">
        <v>4</v>
      </c>
      <c r="I1938" t="s">
        <v>4017</v>
      </c>
      <c r="J1938" t="s">
        <v>4851</v>
      </c>
      <c r="K1938" t="s">
        <v>1283</v>
      </c>
      <c r="L1938" s="204">
        <v>0.06</v>
      </c>
      <c r="M1938" s="112">
        <v>13.162500000000001</v>
      </c>
      <c r="N1938" s="112">
        <v>0.78975000000000006</v>
      </c>
      <c r="O1938" s="204"/>
      <c r="P1938" s="112"/>
      <c r="Q1938" s="112"/>
      <c r="R1938" s="112"/>
      <c r="S1938" s="112"/>
      <c r="T1938" s="112"/>
      <c r="U1938" t="s">
        <v>5751</v>
      </c>
      <c r="V1938" t="s">
        <v>5752</v>
      </c>
      <c r="W1938" t="s">
        <v>3958</v>
      </c>
      <c r="X1938" t="s">
        <v>4660</v>
      </c>
    </row>
    <row r="1939" spans="1:24" x14ac:dyDescent="0.2">
      <c r="A1939" t="s">
        <v>5750</v>
      </c>
      <c r="B1939" t="s">
        <v>798</v>
      </c>
      <c r="C1939" t="s">
        <v>1859</v>
      </c>
      <c r="D1939" t="s">
        <v>56</v>
      </c>
      <c r="E1939" t="s">
        <v>799</v>
      </c>
      <c r="F1939" t="s">
        <v>84</v>
      </c>
      <c r="G1939" s="202">
        <v>24</v>
      </c>
      <c r="H1939">
        <v>5</v>
      </c>
      <c r="I1939" t="s">
        <v>3968</v>
      </c>
      <c r="J1939" t="s">
        <v>3969</v>
      </c>
      <c r="K1939" t="s">
        <v>84</v>
      </c>
      <c r="L1939" s="204">
        <v>1</v>
      </c>
      <c r="M1939" s="112"/>
      <c r="N1939" s="112">
        <v>13.162500000000001</v>
      </c>
      <c r="O1939" s="204">
        <v>0.22222222222222232</v>
      </c>
      <c r="P1939" s="112">
        <v>2.9250000000000007</v>
      </c>
      <c r="Q1939" s="112">
        <v>16.087500000000002</v>
      </c>
      <c r="R1939" s="112">
        <v>386.1</v>
      </c>
      <c r="S1939" s="112">
        <v>386.1</v>
      </c>
      <c r="T1939" s="112">
        <v>0</v>
      </c>
      <c r="U1939" t="s">
        <v>5751</v>
      </c>
      <c r="V1939" t="s">
        <v>5752</v>
      </c>
      <c r="W1939" t="s">
        <v>4666</v>
      </c>
      <c r="X1939" t="s">
        <v>4667</v>
      </c>
    </row>
    <row r="1940" spans="1:24" x14ac:dyDescent="0.2">
      <c r="A1940" t="s">
        <v>5753</v>
      </c>
      <c r="B1940" t="s">
        <v>1860</v>
      </c>
      <c r="C1940" t="s">
        <v>1659</v>
      </c>
      <c r="D1940" t="s">
        <v>56</v>
      </c>
      <c r="E1940" t="s">
        <v>629</v>
      </c>
      <c r="F1940" t="s">
        <v>84</v>
      </c>
      <c r="G1940" s="202">
        <v>5</v>
      </c>
      <c r="H1940">
        <v>1</v>
      </c>
      <c r="I1940" t="s">
        <v>3954</v>
      </c>
      <c r="J1940" t="s">
        <v>5227</v>
      </c>
      <c r="K1940" t="s">
        <v>1283</v>
      </c>
      <c r="L1940" s="204">
        <v>0.26</v>
      </c>
      <c r="M1940" s="112">
        <v>16.634999999999998</v>
      </c>
      <c r="N1940" s="112">
        <v>4.3250999999999999</v>
      </c>
      <c r="O1940" s="204"/>
      <c r="P1940" s="112"/>
      <c r="Q1940" s="112"/>
      <c r="R1940" s="112"/>
      <c r="S1940" s="112"/>
      <c r="T1940" s="112"/>
      <c r="U1940" t="s">
        <v>5406</v>
      </c>
      <c r="V1940" t="s">
        <v>5754</v>
      </c>
      <c r="W1940" t="s">
        <v>3958</v>
      </c>
      <c r="X1940" t="s">
        <v>4660</v>
      </c>
    </row>
    <row r="1941" spans="1:24" x14ac:dyDescent="0.2">
      <c r="A1941" t="s">
        <v>5753</v>
      </c>
      <c r="B1941" t="s">
        <v>1860</v>
      </c>
      <c r="C1941" t="s">
        <v>1659</v>
      </c>
      <c r="D1941" t="s">
        <v>56</v>
      </c>
      <c r="E1941" t="s">
        <v>629</v>
      </c>
      <c r="F1941" t="s">
        <v>84</v>
      </c>
      <c r="G1941" s="202">
        <v>5</v>
      </c>
      <c r="H1941">
        <v>2</v>
      </c>
      <c r="I1941" t="s">
        <v>3960</v>
      </c>
      <c r="J1941" t="s">
        <v>5229</v>
      </c>
      <c r="K1941" t="s">
        <v>1283</v>
      </c>
      <c r="L1941" s="204">
        <v>0.64</v>
      </c>
      <c r="M1941" s="112">
        <v>16.634999999999998</v>
      </c>
      <c r="N1941" s="112">
        <v>10.646399999999998</v>
      </c>
      <c r="O1941" s="204"/>
      <c r="P1941" s="112"/>
      <c r="Q1941" s="112"/>
      <c r="R1941" s="112"/>
      <c r="S1941" s="112"/>
      <c r="T1941" s="112"/>
      <c r="U1941" t="s">
        <v>5406</v>
      </c>
      <c r="V1941" t="s">
        <v>5754</v>
      </c>
      <c r="W1941" t="s">
        <v>3958</v>
      </c>
      <c r="X1941" t="s">
        <v>4660</v>
      </c>
    </row>
    <row r="1942" spans="1:24" x14ac:dyDescent="0.2">
      <c r="A1942" t="s">
        <v>5753</v>
      </c>
      <c r="B1942" t="s">
        <v>1860</v>
      </c>
      <c r="C1942" t="s">
        <v>1659</v>
      </c>
      <c r="D1942" t="s">
        <v>56</v>
      </c>
      <c r="E1942" t="s">
        <v>629</v>
      </c>
      <c r="F1942" t="s">
        <v>84</v>
      </c>
      <c r="G1942" s="202">
        <v>5</v>
      </c>
      <c r="H1942">
        <v>3</v>
      </c>
      <c r="I1942" t="s">
        <v>3976</v>
      </c>
      <c r="J1942" t="s">
        <v>5230</v>
      </c>
      <c r="K1942" t="s">
        <v>1283</v>
      </c>
      <c r="L1942" s="204">
        <v>0.04</v>
      </c>
      <c r="M1942" s="112">
        <v>16.634999999999998</v>
      </c>
      <c r="N1942" s="112">
        <v>0.66539999999999988</v>
      </c>
      <c r="O1942" s="204"/>
      <c r="P1942" s="112"/>
      <c r="Q1942" s="112"/>
      <c r="R1942" s="112"/>
      <c r="S1942" s="112"/>
      <c r="T1942" s="112"/>
      <c r="U1942" t="s">
        <v>5406</v>
      </c>
      <c r="V1942" t="s">
        <v>5754</v>
      </c>
      <c r="W1942" t="s">
        <v>3958</v>
      </c>
      <c r="X1942" t="s">
        <v>4660</v>
      </c>
    </row>
    <row r="1943" spans="1:24" x14ac:dyDescent="0.2">
      <c r="A1943" t="s">
        <v>5753</v>
      </c>
      <c r="B1943" t="s">
        <v>1860</v>
      </c>
      <c r="C1943" t="s">
        <v>1659</v>
      </c>
      <c r="D1943" t="s">
        <v>56</v>
      </c>
      <c r="E1943" t="s">
        <v>629</v>
      </c>
      <c r="F1943" t="s">
        <v>84</v>
      </c>
      <c r="G1943" s="202">
        <v>5</v>
      </c>
      <c r="H1943">
        <v>4</v>
      </c>
      <c r="I1943" t="s">
        <v>4017</v>
      </c>
      <c r="J1943" t="s">
        <v>4851</v>
      </c>
      <c r="K1943" t="s">
        <v>1283</v>
      </c>
      <c r="L1943" s="204">
        <v>0.06</v>
      </c>
      <c r="M1943" s="112">
        <v>16.634999999999998</v>
      </c>
      <c r="N1943" s="112">
        <v>0.99809999999999988</v>
      </c>
      <c r="O1943" s="204"/>
      <c r="P1943" s="112"/>
      <c r="Q1943" s="112"/>
      <c r="R1943" s="112"/>
      <c r="S1943" s="112"/>
      <c r="T1943" s="112"/>
      <c r="U1943" t="s">
        <v>5406</v>
      </c>
      <c r="V1943" t="s">
        <v>5754</v>
      </c>
      <c r="W1943" t="s">
        <v>3958</v>
      </c>
      <c r="X1943" t="s">
        <v>4660</v>
      </c>
    </row>
    <row r="1944" spans="1:24" x14ac:dyDescent="0.2">
      <c r="A1944" t="s">
        <v>5753</v>
      </c>
      <c r="B1944" t="s">
        <v>1860</v>
      </c>
      <c r="C1944" t="s">
        <v>1659</v>
      </c>
      <c r="D1944" t="s">
        <v>56</v>
      </c>
      <c r="E1944" t="s">
        <v>629</v>
      </c>
      <c r="F1944" t="s">
        <v>84</v>
      </c>
      <c r="G1944" s="202">
        <v>5</v>
      </c>
      <c r="H1944">
        <v>5</v>
      </c>
      <c r="I1944" t="s">
        <v>3968</v>
      </c>
      <c r="J1944" t="s">
        <v>3969</v>
      </c>
      <c r="K1944" t="s">
        <v>84</v>
      </c>
      <c r="L1944" s="204">
        <v>1</v>
      </c>
      <c r="M1944" s="112"/>
      <c r="N1944" s="112">
        <v>16.634999999999998</v>
      </c>
      <c r="O1944" s="204">
        <v>0.22224226029455996</v>
      </c>
      <c r="P1944" s="112">
        <v>3.6970000000000027</v>
      </c>
      <c r="Q1944" s="112">
        <v>20.332000000000001</v>
      </c>
      <c r="R1944" s="112">
        <v>101.66</v>
      </c>
      <c r="S1944" s="112">
        <v>101.66</v>
      </c>
      <c r="T1944" s="112">
        <v>0</v>
      </c>
      <c r="U1944" t="s">
        <v>5406</v>
      </c>
      <c r="V1944" t="s">
        <v>5754</v>
      </c>
      <c r="W1944" t="s">
        <v>4666</v>
      </c>
      <c r="X1944" t="s">
        <v>4667</v>
      </c>
    </row>
    <row r="1945" spans="1:24" x14ac:dyDescent="0.2">
      <c r="A1945" t="s">
        <v>5755</v>
      </c>
      <c r="B1945" t="s">
        <v>1861</v>
      </c>
      <c r="C1945" t="s">
        <v>1862</v>
      </c>
      <c r="D1945" t="s">
        <v>56</v>
      </c>
      <c r="E1945" t="s">
        <v>1863</v>
      </c>
      <c r="F1945" t="s">
        <v>99</v>
      </c>
      <c r="G1945" s="202">
        <v>216.2</v>
      </c>
      <c r="H1945">
        <v>1</v>
      </c>
      <c r="I1945" t="s">
        <v>3954</v>
      </c>
      <c r="J1945" t="s">
        <v>5227</v>
      </c>
      <c r="K1945" t="s">
        <v>1283</v>
      </c>
      <c r="L1945" s="204">
        <v>0.26</v>
      </c>
      <c r="M1945" s="112">
        <v>3.7874999999999996</v>
      </c>
      <c r="N1945" s="112">
        <v>0.9847499999999999</v>
      </c>
      <c r="O1945" s="204"/>
      <c r="P1945" s="112"/>
      <c r="Q1945" s="112"/>
      <c r="R1945" s="112"/>
      <c r="S1945" s="112"/>
      <c r="T1945" s="112"/>
      <c r="U1945" t="s">
        <v>5756</v>
      </c>
      <c r="V1945" t="s">
        <v>5757</v>
      </c>
      <c r="W1945" t="s">
        <v>3958</v>
      </c>
      <c r="X1945" t="s">
        <v>4660</v>
      </c>
    </row>
    <row r="1946" spans="1:24" x14ac:dyDescent="0.2">
      <c r="A1946" t="s">
        <v>5755</v>
      </c>
      <c r="B1946" t="s">
        <v>1861</v>
      </c>
      <c r="C1946" t="s">
        <v>1862</v>
      </c>
      <c r="D1946" t="s">
        <v>56</v>
      </c>
      <c r="E1946" t="s">
        <v>1863</v>
      </c>
      <c r="F1946" t="s">
        <v>99</v>
      </c>
      <c r="G1946" s="202">
        <v>216.2</v>
      </c>
      <c r="H1946">
        <v>2</v>
      </c>
      <c r="I1946" t="s">
        <v>3960</v>
      </c>
      <c r="J1946" t="s">
        <v>5229</v>
      </c>
      <c r="K1946" t="s">
        <v>1283</v>
      </c>
      <c r="L1946" s="204">
        <v>0.64</v>
      </c>
      <c r="M1946" s="112">
        <v>3.7874999999999996</v>
      </c>
      <c r="N1946" s="112">
        <v>2.4239999999999999</v>
      </c>
      <c r="O1946" s="204"/>
      <c r="P1946" s="112"/>
      <c r="Q1946" s="112"/>
      <c r="R1946" s="112"/>
      <c r="S1946" s="112"/>
      <c r="T1946" s="112"/>
      <c r="U1946" t="s">
        <v>5756</v>
      </c>
      <c r="V1946" t="s">
        <v>5757</v>
      </c>
      <c r="W1946" t="s">
        <v>3958</v>
      </c>
      <c r="X1946" t="s">
        <v>4660</v>
      </c>
    </row>
    <row r="1947" spans="1:24" x14ac:dyDescent="0.2">
      <c r="A1947" t="s">
        <v>5755</v>
      </c>
      <c r="B1947" t="s">
        <v>1861</v>
      </c>
      <c r="C1947" t="s">
        <v>1862</v>
      </c>
      <c r="D1947" t="s">
        <v>56</v>
      </c>
      <c r="E1947" t="s">
        <v>1863</v>
      </c>
      <c r="F1947" t="s">
        <v>99</v>
      </c>
      <c r="G1947" s="202">
        <v>216.2</v>
      </c>
      <c r="H1947">
        <v>3</v>
      </c>
      <c r="I1947" t="s">
        <v>3976</v>
      </c>
      <c r="J1947" t="s">
        <v>5230</v>
      </c>
      <c r="K1947" t="s">
        <v>1283</v>
      </c>
      <c r="L1947" s="204">
        <v>0.04</v>
      </c>
      <c r="M1947" s="112">
        <v>3.7874999999999996</v>
      </c>
      <c r="N1947" s="112">
        <v>0.1515</v>
      </c>
      <c r="O1947" s="204"/>
      <c r="P1947" s="112"/>
      <c r="Q1947" s="112"/>
      <c r="R1947" s="112"/>
      <c r="S1947" s="112"/>
      <c r="T1947" s="112"/>
      <c r="U1947" t="s">
        <v>5756</v>
      </c>
      <c r="V1947" t="s">
        <v>5757</v>
      </c>
      <c r="W1947" t="s">
        <v>3958</v>
      </c>
      <c r="X1947" t="s">
        <v>4660</v>
      </c>
    </row>
    <row r="1948" spans="1:24" x14ac:dyDescent="0.2">
      <c r="A1948" t="s">
        <v>5755</v>
      </c>
      <c r="B1948" t="s">
        <v>1861</v>
      </c>
      <c r="C1948" t="s">
        <v>1862</v>
      </c>
      <c r="D1948" t="s">
        <v>56</v>
      </c>
      <c r="E1948" t="s">
        <v>1863</v>
      </c>
      <c r="F1948" t="s">
        <v>99</v>
      </c>
      <c r="G1948" s="202">
        <v>216.2</v>
      </c>
      <c r="H1948">
        <v>4</v>
      </c>
      <c r="I1948" t="s">
        <v>4017</v>
      </c>
      <c r="J1948" t="s">
        <v>4851</v>
      </c>
      <c r="K1948" t="s">
        <v>1283</v>
      </c>
      <c r="L1948" s="204">
        <v>0.06</v>
      </c>
      <c r="M1948" s="112">
        <v>3.7874999999999996</v>
      </c>
      <c r="N1948" s="112">
        <v>0.22724999999999998</v>
      </c>
      <c r="O1948" s="204"/>
      <c r="P1948" s="112"/>
      <c r="Q1948" s="112"/>
      <c r="R1948" s="112"/>
      <c r="S1948" s="112"/>
      <c r="T1948" s="112"/>
      <c r="U1948" t="s">
        <v>5756</v>
      </c>
      <c r="V1948" t="s">
        <v>5757</v>
      </c>
      <c r="W1948" t="s">
        <v>3958</v>
      </c>
      <c r="X1948" t="s">
        <v>4660</v>
      </c>
    </row>
    <row r="1949" spans="1:24" x14ac:dyDescent="0.2">
      <c r="A1949" t="s">
        <v>5755</v>
      </c>
      <c r="B1949" t="s">
        <v>1861</v>
      </c>
      <c r="C1949" t="s">
        <v>1862</v>
      </c>
      <c r="D1949" t="s">
        <v>56</v>
      </c>
      <c r="E1949" t="s">
        <v>1863</v>
      </c>
      <c r="F1949" t="s">
        <v>99</v>
      </c>
      <c r="G1949" s="202">
        <v>216.2</v>
      </c>
      <c r="H1949">
        <v>5</v>
      </c>
      <c r="I1949" t="s">
        <v>3968</v>
      </c>
      <c r="J1949" t="s">
        <v>3969</v>
      </c>
      <c r="K1949" t="s">
        <v>99</v>
      </c>
      <c r="L1949" s="204">
        <v>1</v>
      </c>
      <c r="M1949" s="112"/>
      <c r="N1949" s="112">
        <v>3.7874999999999996</v>
      </c>
      <c r="O1949" s="204">
        <v>0.22177546154245431</v>
      </c>
      <c r="P1949" s="112">
        <v>0.83997456059204545</v>
      </c>
      <c r="Q1949" s="112">
        <v>4.6274745605920451</v>
      </c>
      <c r="R1949" s="112">
        <v>1000.46</v>
      </c>
      <c r="S1949" s="112">
        <v>1000.46</v>
      </c>
      <c r="T1949" s="112">
        <v>0</v>
      </c>
      <c r="U1949" t="s">
        <v>5756</v>
      </c>
      <c r="V1949" t="s">
        <v>5757</v>
      </c>
      <c r="W1949" t="s">
        <v>4666</v>
      </c>
      <c r="X1949" t="s">
        <v>4667</v>
      </c>
    </row>
    <row r="1950" spans="1:24" x14ac:dyDescent="0.2">
      <c r="A1950" t="s">
        <v>5758</v>
      </c>
      <c r="B1950" t="s">
        <v>803</v>
      </c>
      <c r="C1950" t="s">
        <v>1864</v>
      </c>
      <c r="D1950" t="s">
        <v>56</v>
      </c>
      <c r="E1950" t="s">
        <v>804</v>
      </c>
      <c r="F1950" t="s">
        <v>84</v>
      </c>
      <c r="G1950" s="202">
        <v>1</v>
      </c>
      <c r="H1950">
        <v>1</v>
      </c>
      <c r="I1950" t="s">
        <v>3954</v>
      </c>
      <c r="J1950" t="s">
        <v>4804</v>
      </c>
      <c r="K1950" t="s">
        <v>1283</v>
      </c>
      <c r="L1950" s="204">
        <v>0.28000000000000003</v>
      </c>
      <c r="M1950" s="112">
        <v>5704.7550000000001</v>
      </c>
      <c r="N1950" s="112">
        <v>1597.3314000000003</v>
      </c>
      <c r="O1950" s="204"/>
      <c r="P1950" s="112"/>
      <c r="Q1950" s="112"/>
      <c r="R1950" s="112"/>
      <c r="S1950" s="112"/>
      <c r="T1950" s="112"/>
      <c r="U1950" t="s">
        <v>5759</v>
      </c>
      <c r="V1950" t="s">
        <v>5760</v>
      </c>
      <c r="W1950" t="s">
        <v>3958</v>
      </c>
      <c r="X1950" t="s">
        <v>4660</v>
      </c>
    </row>
    <row r="1951" spans="1:24" x14ac:dyDescent="0.2">
      <c r="A1951" t="s">
        <v>5758</v>
      </c>
      <c r="B1951" t="s">
        <v>803</v>
      </c>
      <c r="C1951" t="s">
        <v>1864</v>
      </c>
      <c r="D1951" t="s">
        <v>56</v>
      </c>
      <c r="E1951" t="s">
        <v>804</v>
      </c>
      <c r="F1951" t="s">
        <v>84</v>
      </c>
      <c r="G1951" s="202">
        <v>1</v>
      </c>
      <c r="H1951">
        <v>2</v>
      </c>
      <c r="I1951" t="s">
        <v>3960</v>
      </c>
      <c r="J1951" t="s">
        <v>4807</v>
      </c>
      <c r="K1951" t="s">
        <v>1283</v>
      </c>
      <c r="L1951" s="204">
        <v>0.56000000000000005</v>
      </c>
      <c r="M1951" s="112">
        <v>5704.7550000000001</v>
      </c>
      <c r="N1951" s="112">
        <v>3194.6628000000005</v>
      </c>
      <c r="O1951" s="204"/>
      <c r="P1951" s="112"/>
      <c r="Q1951" s="112"/>
      <c r="R1951" s="112"/>
      <c r="S1951" s="112"/>
      <c r="T1951" s="112"/>
      <c r="U1951" t="s">
        <v>5759</v>
      </c>
      <c r="V1951" t="s">
        <v>5760</v>
      </c>
      <c r="W1951" t="s">
        <v>3958</v>
      </c>
      <c r="X1951" t="s">
        <v>4660</v>
      </c>
    </row>
    <row r="1952" spans="1:24" x14ac:dyDescent="0.2">
      <c r="A1952" t="s">
        <v>5758</v>
      </c>
      <c r="B1952" t="s">
        <v>803</v>
      </c>
      <c r="C1952" t="s">
        <v>1864</v>
      </c>
      <c r="D1952" t="s">
        <v>56</v>
      </c>
      <c r="E1952" t="s">
        <v>804</v>
      </c>
      <c r="F1952" t="s">
        <v>84</v>
      </c>
      <c r="G1952" s="202">
        <v>1</v>
      </c>
      <c r="H1952">
        <v>3</v>
      </c>
      <c r="I1952" t="s">
        <v>3962</v>
      </c>
      <c r="J1952" t="s">
        <v>4808</v>
      </c>
      <c r="K1952" t="s">
        <v>1283</v>
      </c>
      <c r="L1952" s="204">
        <v>0.1</v>
      </c>
      <c r="M1952" s="112">
        <v>5704.7550000000001</v>
      </c>
      <c r="N1952" s="112">
        <v>570.47550000000001</v>
      </c>
      <c r="O1952" s="204"/>
      <c r="P1952" s="112"/>
      <c r="Q1952" s="112"/>
      <c r="R1952" s="112"/>
      <c r="S1952" s="112"/>
      <c r="T1952" s="112"/>
      <c r="U1952" t="s">
        <v>5759</v>
      </c>
      <c r="V1952" t="s">
        <v>5760</v>
      </c>
      <c r="W1952" t="s">
        <v>3958</v>
      </c>
      <c r="X1952" t="s">
        <v>4660</v>
      </c>
    </row>
    <row r="1953" spans="1:24" x14ac:dyDescent="0.2">
      <c r="A1953" t="s">
        <v>5758</v>
      </c>
      <c r="B1953" t="s">
        <v>803</v>
      </c>
      <c r="C1953" t="s">
        <v>1864</v>
      </c>
      <c r="D1953" t="s">
        <v>56</v>
      </c>
      <c r="E1953" t="s">
        <v>804</v>
      </c>
      <c r="F1953" t="s">
        <v>84</v>
      </c>
      <c r="G1953" s="202">
        <v>1</v>
      </c>
      <c r="H1953">
        <v>4</v>
      </c>
      <c r="I1953" t="s">
        <v>4017</v>
      </c>
      <c r="J1953" t="s">
        <v>4809</v>
      </c>
      <c r="K1953" t="s">
        <v>1283</v>
      </c>
      <c r="L1953" s="204">
        <v>0.06</v>
      </c>
      <c r="M1953" s="112">
        <v>5704.7550000000001</v>
      </c>
      <c r="N1953" s="112">
        <v>342.28530000000001</v>
      </c>
      <c r="O1953" s="204"/>
      <c r="P1953" s="112"/>
      <c r="Q1953" s="112"/>
      <c r="R1953" s="112"/>
      <c r="S1953" s="112"/>
      <c r="T1953" s="112"/>
      <c r="U1953" t="s">
        <v>5759</v>
      </c>
      <c r="V1953" t="s">
        <v>5760</v>
      </c>
      <c r="W1953" t="s">
        <v>3958</v>
      </c>
      <c r="X1953" t="s">
        <v>4660</v>
      </c>
    </row>
    <row r="1954" spans="1:24" x14ac:dyDescent="0.2">
      <c r="A1954" t="s">
        <v>5758</v>
      </c>
      <c r="B1954" t="s">
        <v>803</v>
      </c>
      <c r="C1954" t="s">
        <v>1864</v>
      </c>
      <c r="D1954" t="s">
        <v>56</v>
      </c>
      <c r="E1954" t="s">
        <v>804</v>
      </c>
      <c r="F1954" t="s">
        <v>84</v>
      </c>
      <c r="G1954" s="202">
        <v>1</v>
      </c>
      <c r="H1954">
        <v>5</v>
      </c>
      <c r="I1954" t="s">
        <v>3968</v>
      </c>
      <c r="J1954" t="s">
        <v>3969</v>
      </c>
      <c r="K1954" t="s">
        <v>84</v>
      </c>
      <c r="L1954" s="204">
        <v>1</v>
      </c>
      <c r="M1954" s="112"/>
      <c r="N1954" s="112">
        <v>5704.7550000000001</v>
      </c>
      <c r="O1954" s="204">
        <v>0.22229789009343959</v>
      </c>
      <c r="P1954" s="112">
        <v>1268.1549999999997</v>
      </c>
      <c r="Q1954" s="112">
        <v>6972.91</v>
      </c>
      <c r="R1954" s="112">
        <v>6972.91</v>
      </c>
      <c r="S1954" s="112">
        <v>6972.91</v>
      </c>
      <c r="T1954" s="112">
        <v>0</v>
      </c>
      <c r="U1954" t="s">
        <v>5759</v>
      </c>
      <c r="V1954" t="s">
        <v>5760</v>
      </c>
      <c r="W1954" t="s">
        <v>4666</v>
      </c>
      <c r="X1954" t="s">
        <v>4667</v>
      </c>
    </row>
    <row r="1955" spans="1:24" x14ac:dyDescent="0.2">
      <c r="A1955" t="s">
        <v>5761</v>
      </c>
      <c r="B1955" t="s">
        <v>805</v>
      </c>
      <c r="C1955" t="s">
        <v>1865</v>
      </c>
      <c r="D1955" t="s">
        <v>56</v>
      </c>
      <c r="E1955" t="s">
        <v>806</v>
      </c>
      <c r="F1955" t="s">
        <v>84</v>
      </c>
      <c r="G1955" s="202">
        <v>1</v>
      </c>
      <c r="H1955">
        <v>1</v>
      </c>
      <c r="I1955" t="s">
        <v>3954</v>
      </c>
      <c r="J1955" t="s">
        <v>4804</v>
      </c>
      <c r="K1955" t="s">
        <v>1283</v>
      </c>
      <c r="L1955" s="204">
        <v>0.28000000000000003</v>
      </c>
      <c r="M1955" s="112">
        <v>6581.5949999999993</v>
      </c>
      <c r="N1955" s="112">
        <v>1842.8466000000001</v>
      </c>
      <c r="O1955" s="204"/>
      <c r="P1955" s="112"/>
      <c r="Q1955" s="112"/>
      <c r="R1955" s="112"/>
      <c r="S1955" s="112"/>
      <c r="T1955" s="112"/>
      <c r="U1955" t="s">
        <v>5762</v>
      </c>
      <c r="V1955" t="s">
        <v>5763</v>
      </c>
      <c r="W1955" t="s">
        <v>3958</v>
      </c>
      <c r="X1955" t="s">
        <v>4660</v>
      </c>
    </row>
    <row r="1956" spans="1:24" x14ac:dyDescent="0.2">
      <c r="A1956" t="s">
        <v>5761</v>
      </c>
      <c r="B1956" t="s">
        <v>805</v>
      </c>
      <c r="C1956" t="s">
        <v>1865</v>
      </c>
      <c r="D1956" t="s">
        <v>56</v>
      </c>
      <c r="E1956" t="s">
        <v>806</v>
      </c>
      <c r="F1956" t="s">
        <v>84</v>
      </c>
      <c r="G1956" s="202">
        <v>1</v>
      </c>
      <c r="H1956">
        <v>2</v>
      </c>
      <c r="I1956" t="s">
        <v>3960</v>
      </c>
      <c r="J1956" t="s">
        <v>4807</v>
      </c>
      <c r="K1956" t="s">
        <v>1283</v>
      </c>
      <c r="L1956" s="204">
        <v>0.56000000000000005</v>
      </c>
      <c r="M1956" s="112">
        <v>6581.5949999999993</v>
      </c>
      <c r="N1956" s="112">
        <v>3685.6932000000002</v>
      </c>
      <c r="O1956" s="204"/>
      <c r="P1956" s="112"/>
      <c r="Q1956" s="112"/>
      <c r="R1956" s="112"/>
      <c r="S1956" s="112"/>
      <c r="T1956" s="112"/>
      <c r="U1956" t="s">
        <v>5762</v>
      </c>
      <c r="V1956" t="s">
        <v>5763</v>
      </c>
      <c r="W1956" t="s">
        <v>3958</v>
      </c>
      <c r="X1956" t="s">
        <v>4660</v>
      </c>
    </row>
    <row r="1957" spans="1:24" x14ac:dyDescent="0.2">
      <c r="A1957" t="s">
        <v>5761</v>
      </c>
      <c r="B1957" t="s">
        <v>805</v>
      </c>
      <c r="C1957" t="s">
        <v>1865</v>
      </c>
      <c r="D1957" t="s">
        <v>56</v>
      </c>
      <c r="E1957" t="s">
        <v>806</v>
      </c>
      <c r="F1957" t="s">
        <v>84</v>
      </c>
      <c r="G1957" s="202">
        <v>1</v>
      </c>
      <c r="H1957">
        <v>3</v>
      </c>
      <c r="I1957" t="s">
        <v>3962</v>
      </c>
      <c r="J1957" t="s">
        <v>4808</v>
      </c>
      <c r="K1957" t="s">
        <v>1283</v>
      </c>
      <c r="L1957" s="204">
        <v>0.1</v>
      </c>
      <c r="M1957" s="112">
        <v>6581.5949999999993</v>
      </c>
      <c r="N1957" s="112">
        <v>658.15949999999998</v>
      </c>
      <c r="O1957" s="204"/>
      <c r="P1957" s="112"/>
      <c r="Q1957" s="112"/>
      <c r="R1957" s="112"/>
      <c r="S1957" s="112"/>
      <c r="T1957" s="112"/>
      <c r="U1957" t="s">
        <v>5762</v>
      </c>
      <c r="V1957" t="s">
        <v>5763</v>
      </c>
      <c r="W1957" t="s">
        <v>3958</v>
      </c>
      <c r="X1957" t="s">
        <v>4660</v>
      </c>
    </row>
    <row r="1958" spans="1:24" x14ac:dyDescent="0.2">
      <c r="A1958" t="s">
        <v>5761</v>
      </c>
      <c r="B1958" t="s">
        <v>805</v>
      </c>
      <c r="C1958" t="s">
        <v>1865</v>
      </c>
      <c r="D1958" t="s">
        <v>56</v>
      </c>
      <c r="E1958" t="s">
        <v>806</v>
      </c>
      <c r="F1958" t="s">
        <v>84</v>
      </c>
      <c r="G1958" s="202">
        <v>1</v>
      </c>
      <c r="H1958">
        <v>4</v>
      </c>
      <c r="I1958" t="s">
        <v>4017</v>
      </c>
      <c r="J1958" t="s">
        <v>4809</v>
      </c>
      <c r="K1958" t="s">
        <v>1283</v>
      </c>
      <c r="L1958" s="204">
        <v>0.06</v>
      </c>
      <c r="M1958" s="112">
        <v>6581.5949999999993</v>
      </c>
      <c r="N1958" s="112">
        <v>394.89569999999992</v>
      </c>
      <c r="O1958" s="204"/>
      <c r="P1958" s="112"/>
      <c r="Q1958" s="112"/>
      <c r="R1958" s="112"/>
      <c r="S1958" s="112"/>
      <c r="T1958" s="112"/>
      <c r="U1958" t="s">
        <v>5762</v>
      </c>
      <c r="V1958" t="s">
        <v>5763</v>
      </c>
      <c r="W1958" t="s">
        <v>3958</v>
      </c>
      <c r="X1958" t="s">
        <v>4660</v>
      </c>
    </row>
    <row r="1959" spans="1:24" x14ac:dyDescent="0.2">
      <c r="A1959" t="s">
        <v>5761</v>
      </c>
      <c r="B1959" t="s">
        <v>805</v>
      </c>
      <c r="C1959" t="s">
        <v>1865</v>
      </c>
      <c r="D1959" t="s">
        <v>56</v>
      </c>
      <c r="E1959" t="s">
        <v>806</v>
      </c>
      <c r="F1959" t="s">
        <v>84</v>
      </c>
      <c r="G1959" s="202">
        <v>1</v>
      </c>
      <c r="H1959">
        <v>5</v>
      </c>
      <c r="I1959" t="s">
        <v>3968</v>
      </c>
      <c r="J1959" t="s">
        <v>3969</v>
      </c>
      <c r="K1959" t="s">
        <v>84</v>
      </c>
      <c r="L1959" s="204">
        <v>1</v>
      </c>
      <c r="M1959" s="112"/>
      <c r="N1959" s="112">
        <v>6581.5949999999993</v>
      </c>
      <c r="O1959" s="204">
        <v>0.22229945780620053</v>
      </c>
      <c r="P1959" s="112">
        <v>1463.0850000000009</v>
      </c>
      <c r="Q1959" s="112">
        <v>8044.68</v>
      </c>
      <c r="R1959" s="112">
        <v>8044.68</v>
      </c>
      <c r="S1959" s="112">
        <v>8044.68</v>
      </c>
      <c r="T1959" s="112">
        <v>0</v>
      </c>
      <c r="U1959" t="s">
        <v>5762</v>
      </c>
      <c r="V1959" t="s">
        <v>5763</v>
      </c>
      <c r="W1959" t="s">
        <v>4666</v>
      </c>
      <c r="X1959" t="s">
        <v>4667</v>
      </c>
    </row>
    <row r="1960" spans="1:24" x14ac:dyDescent="0.2">
      <c r="A1960" t="s">
        <v>5764</v>
      </c>
      <c r="B1960" t="s">
        <v>807</v>
      </c>
      <c r="C1960" t="s">
        <v>1866</v>
      </c>
      <c r="D1960" t="s">
        <v>24</v>
      </c>
      <c r="E1960" t="s">
        <v>809</v>
      </c>
      <c r="F1960" t="s">
        <v>84</v>
      </c>
      <c r="G1960" s="202">
        <v>2</v>
      </c>
      <c r="H1960">
        <v>1</v>
      </c>
      <c r="I1960" t="s">
        <v>3954</v>
      </c>
      <c r="J1960" t="s">
        <v>4804</v>
      </c>
      <c r="K1960" t="s">
        <v>1283</v>
      </c>
      <c r="L1960" s="204">
        <v>0.28000000000000003</v>
      </c>
      <c r="M1960" s="112">
        <v>7293.1350000000002</v>
      </c>
      <c r="N1960" s="112">
        <v>2042.0778000000003</v>
      </c>
      <c r="O1960" s="204"/>
      <c r="P1960" s="112"/>
      <c r="Q1960" s="112"/>
      <c r="R1960" s="112"/>
      <c r="S1960" s="112"/>
      <c r="T1960" s="112"/>
      <c r="U1960" t="s">
        <v>5765</v>
      </c>
      <c r="V1960" t="s">
        <v>5766</v>
      </c>
      <c r="W1960" t="s">
        <v>3958</v>
      </c>
      <c r="X1960" t="s">
        <v>4660</v>
      </c>
    </row>
    <row r="1961" spans="1:24" x14ac:dyDescent="0.2">
      <c r="A1961" t="s">
        <v>5764</v>
      </c>
      <c r="B1961" t="s">
        <v>807</v>
      </c>
      <c r="C1961" t="s">
        <v>1866</v>
      </c>
      <c r="D1961" t="s">
        <v>24</v>
      </c>
      <c r="E1961" t="s">
        <v>809</v>
      </c>
      <c r="F1961" t="s">
        <v>84</v>
      </c>
      <c r="G1961" s="202">
        <v>2</v>
      </c>
      <c r="H1961">
        <v>2</v>
      </c>
      <c r="I1961" t="s">
        <v>3960</v>
      </c>
      <c r="J1961" t="s">
        <v>4807</v>
      </c>
      <c r="K1961" t="s">
        <v>1283</v>
      </c>
      <c r="L1961" s="204">
        <v>0.56000000000000005</v>
      </c>
      <c r="M1961" s="112">
        <v>7293.1350000000002</v>
      </c>
      <c r="N1961" s="112">
        <v>4084.1556000000005</v>
      </c>
      <c r="O1961" s="204"/>
      <c r="P1961" s="112"/>
      <c r="Q1961" s="112"/>
      <c r="R1961" s="112"/>
      <c r="S1961" s="112"/>
      <c r="T1961" s="112"/>
      <c r="U1961" t="s">
        <v>5765</v>
      </c>
      <c r="V1961" t="s">
        <v>5766</v>
      </c>
      <c r="W1961" t="s">
        <v>3958</v>
      </c>
      <c r="X1961" t="s">
        <v>4660</v>
      </c>
    </row>
    <row r="1962" spans="1:24" x14ac:dyDescent="0.2">
      <c r="A1962" t="s">
        <v>5764</v>
      </c>
      <c r="B1962" t="s">
        <v>807</v>
      </c>
      <c r="C1962" t="s">
        <v>1866</v>
      </c>
      <c r="D1962" t="s">
        <v>24</v>
      </c>
      <c r="E1962" t="s">
        <v>809</v>
      </c>
      <c r="F1962" t="s">
        <v>84</v>
      </c>
      <c r="G1962" s="202">
        <v>2</v>
      </c>
      <c r="H1962">
        <v>3</v>
      </c>
      <c r="I1962" t="s">
        <v>3962</v>
      </c>
      <c r="J1962" t="s">
        <v>4808</v>
      </c>
      <c r="K1962" t="s">
        <v>1283</v>
      </c>
      <c r="L1962" s="204">
        <v>0.1</v>
      </c>
      <c r="M1962" s="112">
        <v>7293.1350000000002</v>
      </c>
      <c r="N1962" s="112">
        <v>729.31350000000009</v>
      </c>
      <c r="O1962" s="204"/>
      <c r="P1962" s="112"/>
      <c r="Q1962" s="112"/>
      <c r="R1962" s="112"/>
      <c r="S1962" s="112"/>
      <c r="T1962" s="112"/>
      <c r="U1962" t="s">
        <v>5765</v>
      </c>
      <c r="V1962" t="s">
        <v>5766</v>
      </c>
      <c r="W1962" t="s">
        <v>3958</v>
      </c>
      <c r="X1962" t="s">
        <v>4660</v>
      </c>
    </row>
    <row r="1963" spans="1:24" x14ac:dyDescent="0.2">
      <c r="A1963" t="s">
        <v>5764</v>
      </c>
      <c r="B1963" t="s">
        <v>807</v>
      </c>
      <c r="C1963" t="s">
        <v>1866</v>
      </c>
      <c r="D1963" t="s">
        <v>24</v>
      </c>
      <c r="E1963" t="s">
        <v>809</v>
      </c>
      <c r="F1963" t="s">
        <v>84</v>
      </c>
      <c r="G1963" s="202">
        <v>2</v>
      </c>
      <c r="H1963">
        <v>4</v>
      </c>
      <c r="I1963" t="s">
        <v>4017</v>
      </c>
      <c r="J1963" t="s">
        <v>4809</v>
      </c>
      <c r="K1963" t="s">
        <v>1283</v>
      </c>
      <c r="L1963" s="204">
        <v>0.06</v>
      </c>
      <c r="M1963" s="112">
        <v>7293.1350000000002</v>
      </c>
      <c r="N1963" s="112">
        <v>437.5881</v>
      </c>
      <c r="O1963" s="204"/>
      <c r="P1963" s="112"/>
      <c r="Q1963" s="112"/>
      <c r="R1963" s="112"/>
      <c r="S1963" s="112"/>
      <c r="T1963" s="112"/>
      <c r="U1963" t="s">
        <v>5765</v>
      </c>
      <c r="V1963" t="s">
        <v>5766</v>
      </c>
      <c r="W1963" t="s">
        <v>3958</v>
      </c>
      <c r="X1963" t="s">
        <v>4660</v>
      </c>
    </row>
    <row r="1964" spans="1:24" x14ac:dyDescent="0.2">
      <c r="A1964" t="s">
        <v>5764</v>
      </c>
      <c r="B1964" t="s">
        <v>807</v>
      </c>
      <c r="C1964" t="s">
        <v>1866</v>
      </c>
      <c r="D1964" t="s">
        <v>24</v>
      </c>
      <c r="E1964" t="s">
        <v>809</v>
      </c>
      <c r="F1964" t="s">
        <v>84</v>
      </c>
      <c r="G1964" s="202">
        <v>2</v>
      </c>
      <c r="H1964">
        <v>5</v>
      </c>
      <c r="I1964" t="s">
        <v>3968</v>
      </c>
      <c r="J1964" t="s">
        <v>3969</v>
      </c>
      <c r="K1964" t="s">
        <v>84</v>
      </c>
      <c r="L1964" s="204">
        <v>1</v>
      </c>
      <c r="M1964" s="112"/>
      <c r="N1964" s="112">
        <v>7293.1350000000002</v>
      </c>
      <c r="O1964" s="204">
        <v>0.22229946381083043</v>
      </c>
      <c r="P1964" s="112">
        <v>1621.2600000000002</v>
      </c>
      <c r="Q1964" s="112">
        <v>8914.3950000000004</v>
      </c>
      <c r="R1964" s="112">
        <v>17828.79</v>
      </c>
      <c r="S1964" s="112">
        <v>17828.79</v>
      </c>
      <c r="T1964" s="112">
        <v>0</v>
      </c>
      <c r="U1964" t="s">
        <v>5765</v>
      </c>
      <c r="V1964" t="s">
        <v>5766</v>
      </c>
      <c r="W1964" t="s">
        <v>4666</v>
      </c>
      <c r="X1964" t="s">
        <v>4667</v>
      </c>
    </row>
    <row r="1965" spans="1:24" x14ac:dyDescent="0.2">
      <c r="A1965" t="s">
        <v>5767</v>
      </c>
      <c r="B1965" t="s">
        <v>810</v>
      </c>
      <c r="C1965" t="s">
        <v>1715</v>
      </c>
      <c r="D1965" t="s">
        <v>56</v>
      </c>
      <c r="E1965" t="s">
        <v>1716</v>
      </c>
      <c r="F1965" t="s">
        <v>84</v>
      </c>
      <c r="G1965" s="202">
        <v>4</v>
      </c>
      <c r="H1965">
        <v>1</v>
      </c>
      <c r="I1965" t="s">
        <v>3954</v>
      </c>
      <c r="J1965" t="s">
        <v>4734</v>
      </c>
      <c r="K1965" t="s">
        <v>1283</v>
      </c>
      <c r="L1965" s="204">
        <v>0.24</v>
      </c>
      <c r="M1965" s="112">
        <v>461.54999999999995</v>
      </c>
      <c r="N1965" s="112">
        <v>110.77199999999999</v>
      </c>
      <c r="O1965" s="204"/>
      <c r="P1965" s="112"/>
      <c r="Q1965" s="112"/>
      <c r="R1965" s="112"/>
      <c r="S1965" s="112"/>
      <c r="T1965" s="112"/>
      <c r="U1965" t="s">
        <v>5503</v>
      </c>
      <c r="V1965" t="s">
        <v>5768</v>
      </c>
      <c r="W1965" t="s">
        <v>3958</v>
      </c>
      <c r="X1965" t="s">
        <v>4660</v>
      </c>
    </row>
    <row r="1966" spans="1:24" x14ac:dyDescent="0.2">
      <c r="A1966" t="s">
        <v>5767</v>
      </c>
      <c r="B1966" t="s">
        <v>810</v>
      </c>
      <c r="C1966" t="s">
        <v>1715</v>
      </c>
      <c r="D1966" t="s">
        <v>56</v>
      </c>
      <c r="E1966" t="s">
        <v>1716</v>
      </c>
      <c r="F1966" t="s">
        <v>84</v>
      </c>
      <c r="G1966" s="202">
        <v>4</v>
      </c>
      <c r="H1966">
        <v>2</v>
      </c>
      <c r="I1966" t="s">
        <v>3962</v>
      </c>
      <c r="J1966" t="s">
        <v>4737</v>
      </c>
      <c r="K1966" t="s">
        <v>1283</v>
      </c>
      <c r="L1966" s="204">
        <v>0.46</v>
      </c>
      <c r="M1966" s="112">
        <v>461.54999999999995</v>
      </c>
      <c r="N1966" s="112">
        <v>212.31299999999999</v>
      </c>
      <c r="O1966" s="204"/>
      <c r="P1966" s="112"/>
      <c r="Q1966" s="112"/>
      <c r="R1966" s="112"/>
      <c r="S1966" s="112"/>
      <c r="T1966" s="112"/>
      <c r="U1966" t="s">
        <v>5503</v>
      </c>
      <c r="V1966" t="s">
        <v>5768</v>
      </c>
      <c r="W1966" t="s">
        <v>3958</v>
      </c>
      <c r="X1966" t="s">
        <v>4660</v>
      </c>
    </row>
    <row r="1967" spans="1:24" x14ac:dyDescent="0.2">
      <c r="A1967" t="s">
        <v>5767</v>
      </c>
      <c r="B1967" t="s">
        <v>810</v>
      </c>
      <c r="C1967" t="s">
        <v>1715</v>
      </c>
      <c r="D1967" t="s">
        <v>56</v>
      </c>
      <c r="E1967" t="s">
        <v>1716</v>
      </c>
      <c r="F1967" t="s">
        <v>84</v>
      </c>
      <c r="G1967" s="202">
        <v>4</v>
      </c>
      <c r="H1967">
        <v>3</v>
      </c>
      <c r="I1967" t="s">
        <v>4738</v>
      </c>
      <c r="J1967" t="s">
        <v>4739</v>
      </c>
      <c r="K1967" t="s">
        <v>1283</v>
      </c>
      <c r="L1967" s="204">
        <v>0.22</v>
      </c>
      <c r="M1967" s="112">
        <v>461.54999999999995</v>
      </c>
      <c r="N1967" s="112">
        <v>101.541</v>
      </c>
      <c r="O1967" s="204"/>
      <c r="P1967" s="112"/>
      <c r="Q1967" s="112"/>
      <c r="R1967" s="112"/>
      <c r="S1967" s="112"/>
      <c r="T1967" s="112"/>
      <c r="U1967" t="s">
        <v>5503</v>
      </c>
      <c r="V1967" t="s">
        <v>5768</v>
      </c>
      <c r="W1967" t="s">
        <v>3958</v>
      </c>
      <c r="X1967" t="s">
        <v>4660</v>
      </c>
    </row>
    <row r="1968" spans="1:24" x14ac:dyDescent="0.2">
      <c r="A1968" t="s">
        <v>5767</v>
      </c>
      <c r="B1968" t="s">
        <v>810</v>
      </c>
      <c r="C1968" t="s">
        <v>1715</v>
      </c>
      <c r="D1968" t="s">
        <v>56</v>
      </c>
      <c r="E1968" t="s">
        <v>1716</v>
      </c>
      <c r="F1968" t="s">
        <v>84</v>
      </c>
      <c r="G1968" s="202">
        <v>4</v>
      </c>
      <c r="H1968">
        <v>4</v>
      </c>
      <c r="I1968" t="s">
        <v>4740</v>
      </c>
      <c r="J1968" t="s">
        <v>4741</v>
      </c>
      <c r="K1968" t="s">
        <v>1283</v>
      </c>
      <c r="L1968" s="204">
        <v>0.08</v>
      </c>
      <c r="M1968" s="112">
        <v>461.54999999999995</v>
      </c>
      <c r="N1968" s="112">
        <v>36.923999999999999</v>
      </c>
      <c r="O1968" s="204"/>
      <c r="P1968" s="112"/>
      <c r="Q1968" s="112"/>
      <c r="R1968" s="112"/>
      <c r="S1968" s="112"/>
      <c r="T1968" s="112"/>
      <c r="U1968" t="s">
        <v>5503</v>
      </c>
      <c r="V1968" t="s">
        <v>5768</v>
      </c>
      <c r="W1968" t="s">
        <v>3958</v>
      </c>
      <c r="X1968" t="s">
        <v>4660</v>
      </c>
    </row>
    <row r="1969" spans="1:24" x14ac:dyDescent="0.2">
      <c r="A1969" t="s">
        <v>5767</v>
      </c>
      <c r="B1969" t="s">
        <v>810</v>
      </c>
      <c r="C1969" t="s">
        <v>1715</v>
      </c>
      <c r="D1969" t="s">
        <v>56</v>
      </c>
      <c r="E1969" t="s">
        <v>1716</v>
      </c>
      <c r="F1969" t="s">
        <v>84</v>
      </c>
      <c r="G1969" s="202">
        <v>4</v>
      </c>
      <c r="H1969">
        <v>5</v>
      </c>
      <c r="I1969" t="s">
        <v>3968</v>
      </c>
      <c r="J1969" t="s">
        <v>3969</v>
      </c>
      <c r="K1969" t="s">
        <v>84</v>
      </c>
      <c r="L1969" s="204">
        <v>1</v>
      </c>
      <c r="M1969" s="112"/>
      <c r="N1969" s="112">
        <v>461.54999999999995</v>
      </c>
      <c r="O1969" s="204">
        <v>0.22229444263893416</v>
      </c>
      <c r="P1969" s="112">
        <v>102.60000000000002</v>
      </c>
      <c r="Q1969" s="112">
        <v>564.15</v>
      </c>
      <c r="R1969" s="112">
        <v>2256.6</v>
      </c>
      <c r="S1969" s="112">
        <v>2256.6</v>
      </c>
      <c r="T1969" s="112">
        <v>0</v>
      </c>
      <c r="U1969" t="s">
        <v>5503</v>
      </c>
      <c r="V1969" t="s">
        <v>5768</v>
      </c>
      <c r="W1969" t="s">
        <v>4666</v>
      </c>
      <c r="X1969" t="s">
        <v>4667</v>
      </c>
    </row>
    <row r="1970" spans="1:24" x14ac:dyDescent="0.2">
      <c r="A1970" t="s">
        <v>5769</v>
      </c>
      <c r="B1970" t="s">
        <v>813</v>
      </c>
      <c r="C1970" t="s">
        <v>1867</v>
      </c>
      <c r="D1970" t="s">
        <v>56</v>
      </c>
      <c r="E1970" t="s">
        <v>814</v>
      </c>
      <c r="F1970" t="s">
        <v>84</v>
      </c>
      <c r="G1970" s="202">
        <v>25</v>
      </c>
      <c r="H1970">
        <v>1</v>
      </c>
      <c r="I1970" t="s">
        <v>3954</v>
      </c>
      <c r="J1970" t="s">
        <v>5227</v>
      </c>
      <c r="K1970" t="s">
        <v>1283</v>
      </c>
      <c r="L1970" s="204">
        <v>0.26</v>
      </c>
      <c r="M1970" s="112">
        <v>465.27750000000003</v>
      </c>
      <c r="N1970" s="112">
        <v>120.97215000000001</v>
      </c>
      <c r="O1970" s="204"/>
      <c r="P1970" s="112"/>
      <c r="Q1970" s="112"/>
      <c r="R1970" s="112"/>
      <c r="S1970" s="112"/>
      <c r="T1970" s="112"/>
      <c r="U1970" t="s">
        <v>5770</v>
      </c>
      <c r="V1970" t="s">
        <v>5771</v>
      </c>
      <c r="W1970" t="s">
        <v>3958</v>
      </c>
      <c r="X1970" t="s">
        <v>4660</v>
      </c>
    </row>
    <row r="1971" spans="1:24" x14ac:dyDescent="0.2">
      <c r="A1971" t="s">
        <v>5769</v>
      </c>
      <c r="B1971" t="s">
        <v>813</v>
      </c>
      <c r="C1971" t="s">
        <v>1867</v>
      </c>
      <c r="D1971" t="s">
        <v>56</v>
      </c>
      <c r="E1971" t="s">
        <v>814</v>
      </c>
      <c r="F1971" t="s">
        <v>84</v>
      </c>
      <c r="G1971" s="202">
        <v>25</v>
      </c>
      <c r="H1971">
        <v>2</v>
      </c>
      <c r="I1971" t="s">
        <v>3960</v>
      </c>
      <c r="J1971" t="s">
        <v>5229</v>
      </c>
      <c r="K1971" t="s">
        <v>1283</v>
      </c>
      <c r="L1971" s="204">
        <v>0.64</v>
      </c>
      <c r="M1971" s="112">
        <v>465.27750000000003</v>
      </c>
      <c r="N1971" s="112">
        <v>297.77760000000001</v>
      </c>
      <c r="O1971" s="204"/>
      <c r="P1971" s="112"/>
      <c r="Q1971" s="112"/>
      <c r="R1971" s="112"/>
      <c r="S1971" s="112"/>
      <c r="T1971" s="112"/>
      <c r="U1971" t="s">
        <v>5770</v>
      </c>
      <c r="V1971" t="s">
        <v>5771</v>
      </c>
      <c r="W1971" t="s">
        <v>3958</v>
      </c>
      <c r="X1971" t="s">
        <v>4660</v>
      </c>
    </row>
    <row r="1972" spans="1:24" x14ac:dyDescent="0.2">
      <c r="A1972" t="s">
        <v>5769</v>
      </c>
      <c r="B1972" t="s">
        <v>813</v>
      </c>
      <c r="C1972" t="s">
        <v>1867</v>
      </c>
      <c r="D1972" t="s">
        <v>56</v>
      </c>
      <c r="E1972" t="s">
        <v>814</v>
      </c>
      <c r="F1972" t="s">
        <v>84</v>
      </c>
      <c r="G1972" s="202">
        <v>25</v>
      </c>
      <c r="H1972">
        <v>3</v>
      </c>
      <c r="I1972" t="s">
        <v>3976</v>
      </c>
      <c r="J1972" t="s">
        <v>5230</v>
      </c>
      <c r="K1972" t="s">
        <v>1283</v>
      </c>
      <c r="L1972" s="204">
        <v>0.04</v>
      </c>
      <c r="M1972" s="112">
        <v>465.27750000000003</v>
      </c>
      <c r="N1972" s="112">
        <v>18.6111</v>
      </c>
      <c r="O1972" s="204"/>
      <c r="P1972" s="112"/>
      <c r="Q1972" s="112"/>
      <c r="R1972" s="112"/>
      <c r="S1972" s="112"/>
      <c r="T1972" s="112"/>
      <c r="U1972" t="s">
        <v>5770</v>
      </c>
      <c r="V1972" t="s">
        <v>5771</v>
      </c>
      <c r="W1972" t="s">
        <v>3958</v>
      </c>
      <c r="X1972" t="s">
        <v>4660</v>
      </c>
    </row>
    <row r="1973" spans="1:24" x14ac:dyDescent="0.2">
      <c r="A1973" t="s">
        <v>5769</v>
      </c>
      <c r="B1973" t="s">
        <v>813</v>
      </c>
      <c r="C1973" t="s">
        <v>1867</v>
      </c>
      <c r="D1973" t="s">
        <v>56</v>
      </c>
      <c r="E1973" t="s">
        <v>814</v>
      </c>
      <c r="F1973" t="s">
        <v>84</v>
      </c>
      <c r="G1973" s="202">
        <v>25</v>
      </c>
      <c r="H1973">
        <v>4</v>
      </c>
      <c r="I1973" t="s">
        <v>4017</v>
      </c>
      <c r="J1973" t="s">
        <v>4851</v>
      </c>
      <c r="K1973" t="s">
        <v>1283</v>
      </c>
      <c r="L1973" s="204">
        <v>0.06</v>
      </c>
      <c r="M1973" s="112">
        <v>465.27750000000003</v>
      </c>
      <c r="N1973" s="112">
        <v>27.916650000000001</v>
      </c>
      <c r="O1973" s="204"/>
      <c r="P1973" s="112"/>
      <c r="Q1973" s="112"/>
      <c r="R1973" s="112"/>
      <c r="S1973" s="112"/>
      <c r="T1973" s="112"/>
      <c r="U1973" t="s">
        <v>5770</v>
      </c>
      <c r="V1973" t="s">
        <v>5771</v>
      </c>
      <c r="W1973" t="s">
        <v>3958</v>
      </c>
      <c r="X1973" t="s">
        <v>4660</v>
      </c>
    </row>
    <row r="1974" spans="1:24" x14ac:dyDescent="0.2">
      <c r="A1974" t="s">
        <v>5769</v>
      </c>
      <c r="B1974" t="s">
        <v>813</v>
      </c>
      <c r="C1974" t="s">
        <v>1867</v>
      </c>
      <c r="D1974" t="s">
        <v>56</v>
      </c>
      <c r="E1974" t="s">
        <v>814</v>
      </c>
      <c r="F1974" t="s">
        <v>84</v>
      </c>
      <c r="G1974" s="202">
        <v>25</v>
      </c>
      <c r="H1974">
        <v>5</v>
      </c>
      <c r="I1974" t="s">
        <v>3968</v>
      </c>
      <c r="J1974" t="s">
        <v>3969</v>
      </c>
      <c r="K1974" t="s">
        <v>84</v>
      </c>
      <c r="L1974" s="204">
        <v>1</v>
      </c>
      <c r="M1974" s="112"/>
      <c r="N1974" s="112">
        <v>465.27750000000003</v>
      </c>
      <c r="O1974" s="204">
        <v>0.22228648494715508</v>
      </c>
      <c r="P1974" s="112">
        <v>103.42489999999998</v>
      </c>
      <c r="Q1974" s="112">
        <v>568.70240000000001</v>
      </c>
      <c r="R1974" s="112">
        <v>14217.56</v>
      </c>
      <c r="S1974" s="112">
        <v>14217.56</v>
      </c>
      <c r="T1974" s="112">
        <v>0</v>
      </c>
      <c r="U1974" t="s">
        <v>5770</v>
      </c>
      <c r="V1974" t="s">
        <v>5771</v>
      </c>
      <c r="W1974" t="s">
        <v>4666</v>
      </c>
      <c r="X1974" t="s">
        <v>4667</v>
      </c>
    </row>
    <row r="1975" spans="1:24" x14ac:dyDescent="0.2">
      <c r="A1975" t="s">
        <v>5772</v>
      </c>
      <c r="B1975" t="s">
        <v>815</v>
      </c>
      <c r="C1975" t="s">
        <v>816</v>
      </c>
      <c r="D1975" t="s">
        <v>209</v>
      </c>
      <c r="E1975" t="s">
        <v>1868</v>
      </c>
      <c r="F1975" t="s">
        <v>84</v>
      </c>
      <c r="G1975" s="202">
        <v>2</v>
      </c>
      <c r="H1975">
        <v>1</v>
      </c>
      <c r="I1975" t="s">
        <v>3954</v>
      </c>
      <c r="J1975" t="s">
        <v>5227</v>
      </c>
      <c r="K1975" t="s">
        <v>1283</v>
      </c>
      <c r="L1975" s="204">
        <v>0.26</v>
      </c>
      <c r="M1975" s="112">
        <v>752.95500000000004</v>
      </c>
      <c r="N1975" s="112">
        <v>195.76830000000001</v>
      </c>
      <c r="O1975" s="204"/>
      <c r="P1975" s="112"/>
      <c r="Q1975" s="112"/>
      <c r="R1975" s="112"/>
      <c r="S1975" s="112"/>
      <c r="T1975" s="112"/>
      <c r="U1975" t="s">
        <v>4512</v>
      </c>
      <c r="V1975" t="s">
        <v>4513</v>
      </c>
      <c r="W1975" t="s">
        <v>3958</v>
      </c>
      <c r="X1975" t="s">
        <v>4660</v>
      </c>
    </row>
    <row r="1976" spans="1:24" x14ac:dyDescent="0.2">
      <c r="A1976" t="s">
        <v>5772</v>
      </c>
      <c r="B1976" t="s">
        <v>815</v>
      </c>
      <c r="C1976" t="s">
        <v>816</v>
      </c>
      <c r="D1976" t="s">
        <v>209</v>
      </c>
      <c r="E1976" t="s">
        <v>1868</v>
      </c>
      <c r="F1976" t="s">
        <v>84</v>
      </c>
      <c r="G1976" s="202">
        <v>2</v>
      </c>
      <c r="H1976">
        <v>2</v>
      </c>
      <c r="I1976" t="s">
        <v>3960</v>
      </c>
      <c r="J1976" t="s">
        <v>5229</v>
      </c>
      <c r="K1976" t="s">
        <v>1283</v>
      </c>
      <c r="L1976" s="204">
        <v>0.64</v>
      </c>
      <c r="M1976" s="112">
        <v>752.95500000000004</v>
      </c>
      <c r="N1976" s="112">
        <v>481.89120000000003</v>
      </c>
      <c r="O1976" s="204"/>
      <c r="P1976" s="112"/>
      <c r="Q1976" s="112"/>
      <c r="R1976" s="112"/>
      <c r="S1976" s="112"/>
      <c r="T1976" s="112"/>
      <c r="U1976" t="s">
        <v>4512</v>
      </c>
      <c r="V1976" t="s">
        <v>4513</v>
      </c>
      <c r="W1976" t="s">
        <v>3958</v>
      </c>
      <c r="X1976" t="s">
        <v>4660</v>
      </c>
    </row>
    <row r="1977" spans="1:24" x14ac:dyDescent="0.2">
      <c r="A1977" t="s">
        <v>5772</v>
      </c>
      <c r="B1977" t="s">
        <v>815</v>
      </c>
      <c r="C1977" t="s">
        <v>816</v>
      </c>
      <c r="D1977" t="s">
        <v>209</v>
      </c>
      <c r="E1977" t="s">
        <v>1868</v>
      </c>
      <c r="F1977" t="s">
        <v>84</v>
      </c>
      <c r="G1977" s="202">
        <v>2</v>
      </c>
      <c r="H1977">
        <v>3</v>
      </c>
      <c r="I1977" t="s">
        <v>3976</v>
      </c>
      <c r="J1977" t="s">
        <v>5230</v>
      </c>
      <c r="K1977" t="s">
        <v>1283</v>
      </c>
      <c r="L1977" s="204">
        <v>0.04</v>
      </c>
      <c r="M1977" s="112">
        <v>752.95500000000004</v>
      </c>
      <c r="N1977" s="112">
        <v>30.118200000000002</v>
      </c>
      <c r="O1977" s="204"/>
      <c r="P1977" s="112"/>
      <c r="Q1977" s="112"/>
      <c r="R1977" s="112"/>
      <c r="S1977" s="112"/>
      <c r="T1977" s="112"/>
      <c r="U1977" t="s">
        <v>4512</v>
      </c>
      <c r="V1977" t="s">
        <v>4513</v>
      </c>
      <c r="W1977" t="s">
        <v>3958</v>
      </c>
      <c r="X1977" t="s">
        <v>4660</v>
      </c>
    </row>
    <row r="1978" spans="1:24" x14ac:dyDescent="0.2">
      <c r="A1978" t="s">
        <v>5772</v>
      </c>
      <c r="B1978" t="s">
        <v>815</v>
      </c>
      <c r="C1978" t="s">
        <v>816</v>
      </c>
      <c r="D1978" t="s">
        <v>209</v>
      </c>
      <c r="E1978" t="s">
        <v>1868</v>
      </c>
      <c r="F1978" t="s">
        <v>84</v>
      </c>
      <c r="G1978" s="202">
        <v>2</v>
      </c>
      <c r="H1978">
        <v>4</v>
      </c>
      <c r="I1978" t="s">
        <v>4017</v>
      </c>
      <c r="J1978" t="s">
        <v>4851</v>
      </c>
      <c r="K1978" t="s">
        <v>1283</v>
      </c>
      <c r="L1978" s="204">
        <v>0.06</v>
      </c>
      <c r="M1978" s="112">
        <v>752.95500000000004</v>
      </c>
      <c r="N1978" s="112">
        <v>45.177300000000002</v>
      </c>
      <c r="O1978" s="204"/>
      <c r="P1978" s="112"/>
      <c r="Q1978" s="112"/>
      <c r="R1978" s="112"/>
      <c r="S1978" s="112"/>
      <c r="T1978" s="112"/>
      <c r="U1978" t="s">
        <v>4512</v>
      </c>
      <c r="V1978" t="s">
        <v>4513</v>
      </c>
      <c r="W1978" t="s">
        <v>3958</v>
      </c>
      <c r="X1978" t="s">
        <v>4660</v>
      </c>
    </row>
    <row r="1979" spans="1:24" x14ac:dyDescent="0.2">
      <c r="A1979" t="s">
        <v>5772</v>
      </c>
      <c r="B1979" t="s">
        <v>815</v>
      </c>
      <c r="C1979" t="s">
        <v>816</v>
      </c>
      <c r="D1979" t="s">
        <v>209</v>
      </c>
      <c r="E1979" t="s">
        <v>1868</v>
      </c>
      <c r="F1979" t="s">
        <v>84</v>
      </c>
      <c r="G1979" s="202">
        <v>2</v>
      </c>
      <c r="H1979">
        <v>5</v>
      </c>
      <c r="I1979" t="s">
        <v>3968</v>
      </c>
      <c r="J1979" t="s">
        <v>3969</v>
      </c>
      <c r="K1979" t="s">
        <v>84</v>
      </c>
      <c r="L1979" s="204">
        <v>1</v>
      </c>
      <c r="M1979" s="112"/>
      <c r="N1979" s="112">
        <v>752.95500000000004</v>
      </c>
      <c r="O1979" s="204">
        <v>0.22229084075409555</v>
      </c>
      <c r="P1979" s="112">
        <v>167.375</v>
      </c>
      <c r="Q1979" s="112">
        <v>920.33</v>
      </c>
      <c r="R1979" s="112">
        <v>1840.66</v>
      </c>
      <c r="S1979" s="112">
        <v>1840.66</v>
      </c>
      <c r="T1979" s="112">
        <v>0</v>
      </c>
      <c r="U1979" t="s">
        <v>4512</v>
      </c>
      <c r="V1979" t="s">
        <v>4513</v>
      </c>
      <c r="W1979" t="s">
        <v>4666</v>
      </c>
      <c r="X1979" t="s">
        <v>4667</v>
      </c>
    </row>
    <row r="1980" spans="1:24" x14ac:dyDescent="0.2">
      <c r="A1980" t="s">
        <v>5773</v>
      </c>
      <c r="B1980" t="s">
        <v>818</v>
      </c>
      <c r="C1980" t="s">
        <v>1869</v>
      </c>
      <c r="D1980" t="s">
        <v>56</v>
      </c>
      <c r="E1980" t="s">
        <v>819</v>
      </c>
      <c r="F1980" t="s">
        <v>84</v>
      </c>
      <c r="G1980" s="202">
        <v>27</v>
      </c>
      <c r="H1980">
        <v>1</v>
      </c>
      <c r="I1980" t="s">
        <v>3954</v>
      </c>
      <c r="J1980" t="s">
        <v>5227</v>
      </c>
      <c r="K1980" t="s">
        <v>1283</v>
      </c>
      <c r="L1980" s="204">
        <v>0.26</v>
      </c>
      <c r="M1980" s="112">
        <v>34.14</v>
      </c>
      <c r="N1980" s="112">
        <v>8.8764000000000003</v>
      </c>
      <c r="O1980" s="204"/>
      <c r="P1980" s="112"/>
      <c r="Q1980" s="112"/>
      <c r="R1980" s="112"/>
      <c r="S1980" s="112"/>
      <c r="T1980" s="112"/>
      <c r="U1980" t="s">
        <v>5774</v>
      </c>
      <c r="V1980" t="s">
        <v>5775</v>
      </c>
      <c r="W1980" t="s">
        <v>3958</v>
      </c>
      <c r="X1980" t="s">
        <v>4660</v>
      </c>
    </row>
    <row r="1981" spans="1:24" x14ac:dyDescent="0.2">
      <c r="A1981" t="s">
        <v>5773</v>
      </c>
      <c r="B1981" t="s">
        <v>818</v>
      </c>
      <c r="C1981" t="s">
        <v>1869</v>
      </c>
      <c r="D1981" t="s">
        <v>56</v>
      </c>
      <c r="E1981" t="s">
        <v>819</v>
      </c>
      <c r="F1981" t="s">
        <v>84</v>
      </c>
      <c r="G1981" s="202">
        <v>27</v>
      </c>
      <c r="H1981">
        <v>2</v>
      </c>
      <c r="I1981" t="s">
        <v>3960</v>
      </c>
      <c r="J1981" t="s">
        <v>5229</v>
      </c>
      <c r="K1981" t="s">
        <v>1283</v>
      </c>
      <c r="L1981" s="204">
        <v>0.64</v>
      </c>
      <c r="M1981" s="112">
        <v>34.14</v>
      </c>
      <c r="N1981" s="112">
        <v>21.849600000000002</v>
      </c>
      <c r="O1981" s="204"/>
      <c r="P1981" s="112"/>
      <c r="Q1981" s="112"/>
      <c r="R1981" s="112"/>
      <c r="S1981" s="112"/>
      <c r="T1981" s="112"/>
      <c r="U1981" t="s">
        <v>5774</v>
      </c>
      <c r="V1981" t="s">
        <v>5775</v>
      </c>
      <c r="W1981" t="s">
        <v>3958</v>
      </c>
      <c r="X1981" t="s">
        <v>4660</v>
      </c>
    </row>
    <row r="1982" spans="1:24" x14ac:dyDescent="0.2">
      <c r="A1982" t="s">
        <v>5773</v>
      </c>
      <c r="B1982" t="s">
        <v>818</v>
      </c>
      <c r="C1982" t="s">
        <v>1869</v>
      </c>
      <c r="D1982" t="s">
        <v>56</v>
      </c>
      <c r="E1982" t="s">
        <v>819</v>
      </c>
      <c r="F1982" t="s">
        <v>84</v>
      </c>
      <c r="G1982" s="202">
        <v>27</v>
      </c>
      <c r="H1982">
        <v>3</v>
      </c>
      <c r="I1982" t="s">
        <v>3976</v>
      </c>
      <c r="J1982" t="s">
        <v>5230</v>
      </c>
      <c r="K1982" t="s">
        <v>1283</v>
      </c>
      <c r="L1982" s="204">
        <v>0.04</v>
      </c>
      <c r="M1982" s="112">
        <v>34.14</v>
      </c>
      <c r="N1982" s="112">
        <v>1.3656000000000001</v>
      </c>
      <c r="O1982" s="204"/>
      <c r="P1982" s="112"/>
      <c r="Q1982" s="112"/>
      <c r="R1982" s="112"/>
      <c r="S1982" s="112"/>
      <c r="T1982" s="112"/>
      <c r="U1982" t="s">
        <v>5774</v>
      </c>
      <c r="V1982" t="s">
        <v>5775</v>
      </c>
      <c r="W1982" t="s">
        <v>3958</v>
      </c>
      <c r="X1982" t="s">
        <v>4660</v>
      </c>
    </row>
    <row r="1983" spans="1:24" x14ac:dyDescent="0.2">
      <c r="A1983" t="s">
        <v>5773</v>
      </c>
      <c r="B1983" t="s">
        <v>818</v>
      </c>
      <c r="C1983" t="s">
        <v>1869</v>
      </c>
      <c r="D1983" t="s">
        <v>56</v>
      </c>
      <c r="E1983" t="s">
        <v>819</v>
      </c>
      <c r="F1983" t="s">
        <v>84</v>
      </c>
      <c r="G1983" s="202">
        <v>27</v>
      </c>
      <c r="H1983">
        <v>4</v>
      </c>
      <c r="I1983" t="s">
        <v>4017</v>
      </c>
      <c r="J1983" t="s">
        <v>4851</v>
      </c>
      <c r="K1983" t="s">
        <v>1283</v>
      </c>
      <c r="L1983" s="204">
        <v>0.06</v>
      </c>
      <c r="M1983" s="112">
        <v>34.14</v>
      </c>
      <c r="N1983" s="112">
        <v>2.0484</v>
      </c>
      <c r="O1983" s="204"/>
      <c r="P1983" s="112"/>
      <c r="Q1983" s="112"/>
      <c r="R1983" s="112"/>
      <c r="S1983" s="112"/>
      <c r="T1983" s="112"/>
      <c r="U1983" t="s">
        <v>5774</v>
      </c>
      <c r="V1983" t="s">
        <v>5775</v>
      </c>
      <c r="W1983" t="s">
        <v>3958</v>
      </c>
      <c r="X1983" t="s">
        <v>4660</v>
      </c>
    </row>
    <row r="1984" spans="1:24" x14ac:dyDescent="0.2">
      <c r="A1984" t="s">
        <v>5773</v>
      </c>
      <c r="B1984" t="s">
        <v>818</v>
      </c>
      <c r="C1984" t="s">
        <v>1869</v>
      </c>
      <c r="D1984" t="s">
        <v>56</v>
      </c>
      <c r="E1984" t="s">
        <v>819</v>
      </c>
      <c r="F1984" t="s">
        <v>84</v>
      </c>
      <c r="G1984" s="202">
        <v>27</v>
      </c>
      <c r="H1984">
        <v>5</v>
      </c>
      <c r="I1984" t="s">
        <v>3968</v>
      </c>
      <c r="J1984" t="s">
        <v>3969</v>
      </c>
      <c r="K1984" t="s">
        <v>84</v>
      </c>
      <c r="L1984" s="204">
        <v>1</v>
      </c>
      <c r="M1984" s="112"/>
      <c r="N1984" s="112">
        <v>34.14</v>
      </c>
      <c r="O1984" s="204">
        <v>0.22209203931523791</v>
      </c>
      <c r="P1984" s="112">
        <v>7.5822222222222209</v>
      </c>
      <c r="Q1984" s="112">
        <v>41.722222222222221</v>
      </c>
      <c r="R1984" s="112">
        <v>1126.5</v>
      </c>
      <c r="S1984" s="112">
        <v>1126.5</v>
      </c>
      <c r="T1984" s="112">
        <v>0</v>
      </c>
      <c r="U1984" t="s">
        <v>5774</v>
      </c>
      <c r="V1984" t="s">
        <v>5775</v>
      </c>
      <c r="W1984" t="s">
        <v>4666</v>
      </c>
      <c r="X1984" t="s">
        <v>4667</v>
      </c>
    </row>
    <row r="1985" spans="1:24" x14ac:dyDescent="0.2">
      <c r="A1985" t="s">
        <v>5776</v>
      </c>
      <c r="B1985" t="s">
        <v>820</v>
      </c>
      <c r="C1985" t="s">
        <v>821</v>
      </c>
      <c r="D1985" t="s">
        <v>209</v>
      </c>
      <c r="E1985" t="s">
        <v>822</v>
      </c>
      <c r="F1985" t="s">
        <v>84</v>
      </c>
      <c r="G1985" s="202">
        <v>2</v>
      </c>
      <c r="H1985">
        <v>1</v>
      </c>
      <c r="I1985" t="s">
        <v>3954</v>
      </c>
      <c r="J1985" t="s">
        <v>5227</v>
      </c>
      <c r="K1985" t="s">
        <v>1283</v>
      </c>
      <c r="L1985" s="204">
        <v>0.26</v>
      </c>
      <c r="M1985" s="112">
        <v>545.65499999999997</v>
      </c>
      <c r="N1985" s="112">
        <v>141.87029999999999</v>
      </c>
      <c r="O1985" s="204"/>
      <c r="P1985" s="112"/>
      <c r="Q1985" s="112"/>
      <c r="R1985" s="112"/>
      <c r="S1985" s="112"/>
      <c r="T1985" s="112"/>
      <c r="U1985" t="s">
        <v>4520</v>
      </c>
      <c r="V1985" t="s">
        <v>4521</v>
      </c>
      <c r="W1985" t="s">
        <v>3958</v>
      </c>
      <c r="X1985" t="s">
        <v>4660</v>
      </c>
    </row>
    <row r="1986" spans="1:24" x14ac:dyDescent="0.2">
      <c r="A1986" t="s">
        <v>5776</v>
      </c>
      <c r="B1986" t="s">
        <v>820</v>
      </c>
      <c r="C1986" t="s">
        <v>821</v>
      </c>
      <c r="D1986" t="s">
        <v>209</v>
      </c>
      <c r="E1986" t="s">
        <v>822</v>
      </c>
      <c r="F1986" t="s">
        <v>84</v>
      </c>
      <c r="G1986" s="202">
        <v>2</v>
      </c>
      <c r="H1986">
        <v>2</v>
      </c>
      <c r="I1986" t="s">
        <v>3960</v>
      </c>
      <c r="J1986" t="s">
        <v>5229</v>
      </c>
      <c r="K1986" t="s">
        <v>1283</v>
      </c>
      <c r="L1986" s="204">
        <v>0.64</v>
      </c>
      <c r="M1986" s="112">
        <v>545.65499999999997</v>
      </c>
      <c r="N1986" s="112">
        <v>349.2192</v>
      </c>
      <c r="O1986" s="204"/>
      <c r="P1986" s="112"/>
      <c r="Q1986" s="112"/>
      <c r="R1986" s="112"/>
      <c r="S1986" s="112"/>
      <c r="T1986" s="112"/>
      <c r="U1986" t="s">
        <v>4520</v>
      </c>
      <c r="V1986" t="s">
        <v>4521</v>
      </c>
      <c r="W1986" t="s">
        <v>3958</v>
      </c>
      <c r="X1986" t="s">
        <v>4660</v>
      </c>
    </row>
    <row r="1987" spans="1:24" x14ac:dyDescent="0.2">
      <c r="A1987" t="s">
        <v>5776</v>
      </c>
      <c r="B1987" t="s">
        <v>820</v>
      </c>
      <c r="C1987" t="s">
        <v>821</v>
      </c>
      <c r="D1987" t="s">
        <v>209</v>
      </c>
      <c r="E1987" t="s">
        <v>822</v>
      </c>
      <c r="F1987" t="s">
        <v>84</v>
      </c>
      <c r="G1987" s="202">
        <v>2</v>
      </c>
      <c r="H1987">
        <v>3</v>
      </c>
      <c r="I1987" t="s">
        <v>3976</v>
      </c>
      <c r="J1987" t="s">
        <v>5230</v>
      </c>
      <c r="K1987" t="s">
        <v>1283</v>
      </c>
      <c r="L1987" s="204">
        <v>0.04</v>
      </c>
      <c r="M1987" s="112">
        <v>545.65499999999997</v>
      </c>
      <c r="N1987" s="112">
        <v>21.8262</v>
      </c>
      <c r="O1987" s="204"/>
      <c r="P1987" s="112"/>
      <c r="Q1987" s="112"/>
      <c r="R1987" s="112"/>
      <c r="S1987" s="112"/>
      <c r="T1987" s="112"/>
      <c r="U1987" t="s">
        <v>4520</v>
      </c>
      <c r="V1987" t="s">
        <v>4521</v>
      </c>
      <c r="W1987" t="s">
        <v>3958</v>
      </c>
      <c r="X1987" t="s">
        <v>4660</v>
      </c>
    </row>
    <row r="1988" spans="1:24" x14ac:dyDescent="0.2">
      <c r="A1988" t="s">
        <v>5776</v>
      </c>
      <c r="B1988" t="s">
        <v>820</v>
      </c>
      <c r="C1988" t="s">
        <v>821</v>
      </c>
      <c r="D1988" t="s">
        <v>209</v>
      </c>
      <c r="E1988" t="s">
        <v>822</v>
      </c>
      <c r="F1988" t="s">
        <v>84</v>
      </c>
      <c r="G1988" s="202">
        <v>2</v>
      </c>
      <c r="H1988">
        <v>4</v>
      </c>
      <c r="I1988" t="s">
        <v>4017</v>
      </c>
      <c r="J1988" t="s">
        <v>4851</v>
      </c>
      <c r="K1988" t="s">
        <v>1283</v>
      </c>
      <c r="L1988" s="204">
        <v>0.06</v>
      </c>
      <c r="M1988" s="112">
        <v>545.65499999999997</v>
      </c>
      <c r="N1988" s="112">
        <v>32.7393</v>
      </c>
      <c r="O1988" s="204"/>
      <c r="P1988" s="112"/>
      <c r="Q1988" s="112"/>
      <c r="R1988" s="112"/>
      <c r="S1988" s="112"/>
      <c r="T1988" s="112"/>
      <c r="U1988" t="s">
        <v>4520</v>
      </c>
      <c r="V1988" t="s">
        <v>4521</v>
      </c>
      <c r="W1988" t="s">
        <v>3958</v>
      </c>
      <c r="X1988" t="s">
        <v>4660</v>
      </c>
    </row>
    <row r="1989" spans="1:24" x14ac:dyDescent="0.2">
      <c r="A1989" t="s">
        <v>5776</v>
      </c>
      <c r="B1989" t="s">
        <v>820</v>
      </c>
      <c r="C1989" t="s">
        <v>821</v>
      </c>
      <c r="D1989" t="s">
        <v>209</v>
      </c>
      <c r="E1989" t="s">
        <v>822</v>
      </c>
      <c r="F1989" t="s">
        <v>84</v>
      </c>
      <c r="G1989" s="202">
        <v>2</v>
      </c>
      <c r="H1989">
        <v>5</v>
      </c>
      <c r="I1989" t="s">
        <v>3968</v>
      </c>
      <c r="J1989" t="s">
        <v>3969</v>
      </c>
      <c r="K1989" t="s">
        <v>84</v>
      </c>
      <c r="L1989" s="204">
        <v>1</v>
      </c>
      <c r="M1989" s="112"/>
      <c r="N1989" s="112">
        <v>545.65499999999997</v>
      </c>
      <c r="O1989" s="204">
        <v>0.22229247418240483</v>
      </c>
      <c r="P1989" s="112">
        <v>121.29500000000007</v>
      </c>
      <c r="Q1989" s="112">
        <v>666.95</v>
      </c>
      <c r="R1989" s="112">
        <v>1333.9</v>
      </c>
      <c r="S1989" s="112">
        <v>1333.9</v>
      </c>
      <c r="T1989" s="112">
        <v>0</v>
      </c>
      <c r="U1989" t="s">
        <v>4520</v>
      </c>
      <c r="V1989" t="s">
        <v>4521</v>
      </c>
      <c r="W1989" t="s">
        <v>4666</v>
      </c>
      <c r="X1989" t="s">
        <v>4667</v>
      </c>
    </row>
    <row r="1990" spans="1:24" x14ac:dyDescent="0.2">
      <c r="A1990" t="s">
        <v>5777</v>
      </c>
      <c r="B1990" t="s">
        <v>823</v>
      </c>
      <c r="C1990" t="s">
        <v>824</v>
      </c>
      <c r="D1990" t="s">
        <v>209</v>
      </c>
      <c r="E1990" t="s">
        <v>825</v>
      </c>
      <c r="F1990" t="s">
        <v>84</v>
      </c>
      <c r="G1990" s="202">
        <v>27</v>
      </c>
      <c r="H1990">
        <v>1</v>
      </c>
      <c r="I1990" t="s">
        <v>3954</v>
      </c>
      <c r="J1990" t="s">
        <v>4992</v>
      </c>
      <c r="K1990" t="s">
        <v>1283</v>
      </c>
      <c r="L1990" s="204">
        <v>0.27</v>
      </c>
      <c r="M1990" s="112">
        <v>745.43999999999994</v>
      </c>
      <c r="N1990" s="112">
        <v>201.2688</v>
      </c>
      <c r="O1990" s="204"/>
      <c r="P1990" s="112"/>
      <c r="Q1990" s="112"/>
      <c r="R1990" s="112"/>
      <c r="S1990" s="112"/>
      <c r="T1990" s="112"/>
      <c r="U1990" t="s">
        <v>4344</v>
      </c>
      <c r="V1990" t="s">
        <v>5778</v>
      </c>
      <c r="W1990" t="s">
        <v>3958</v>
      </c>
      <c r="X1990" t="s">
        <v>4660</v>
      </c>
    </row>
    <row r="1991" spans="1:24" x14ac:dyDescent="0.2">
      <c r="A1991" t="s">
        <v>5777</v>
      </c>
      <c r="B1991" t="s">
        <v>823</v>
      </c>
      <c r="C1991" t="s">
        <v>824</v>
      </c>
      <c r="D1991" t="s">
        <v>209</v>
      </c>
      <c r="E1991" t="s">
        <v>825</v>
      </c>
      <c r="F1991" t="s">
        <v>84</v>
      </c>
      <c r="G1991" s="202">
        <v>27</v>
      </c>
      <c r="H1991">
        <v>2</v>
      </c>
      <c r="I1991" t="s">
        <v>3960</v>
      </c>
      <c r="J1991" t="s">
        <v>4994</v>
      </c>
      <c r="K1991" t="s">
        <v>1283</v>
      </c>
      <c r="L1991" s="204">
        <v>0.63</v>
      </c>
      <c r="M1991" s="112">
        <v>745.43999999999994</v>
      </c>
      <c r="N1991" s="112">
        <v>469.62719999999996</v>
      </c>
      <c r="O1991" s="204"/>
      <c r="P1991" s="112"/>
      <c r="Q1991" s="112"/>
      <c r="R1991" s="112"/>
      <c r="S1991" s="112"/>
      <c r="T1991" s="112"/>
      <c r="U1991" t="s">
        <v>4344</v>
      </c>
      <c r="V1991" t="s">
        <v>5778</v>
      </c>
      <c r="W1991" t="s">
        <v>3958</v>
      </c>
      <c r="X1991" t="s">
        <v>4660</v>
      </c>
    </row>
    <row r="1992" spans="1:24" x14ac:dyDescent="0.2">
      <c r="A1992" t="s">
        <v>5777</v>
      </c>
      <c r="B1992" t="s">
        <v>823</v>
      </c>
      <c r="C1992" t="s">
        <v>824</v>
      </c>
      <c r="D1992" t="s">
        <v>209</v>
      </c>
      <c r="E1992" t="s">
        <v>825</v>
      </c>
      <c r="F1992" t="s">
        <v>84</v>
      </c>
      <c r="G1992" s="202">
        <v>27</v>
      </c>
      <c r="H1992">
        <v>3</v>
      </c>
      <c r="I1992" t="s">
        <v>3976</v>
      </c>
      <c r="J1992" t="s">
        <v>4995</v>
      </c>
      <c r="K1992" t="s">
        <v>1283</v>
      </c>
      <c r="L1992" s="204">
        <v>0.05</v>
      </c>
      <c r="M1992" s="112">
        <v>745.43999999999994</v>
      </c>
      <c r="N1992" s="112">
        <v>37.271999999999998</v>
      </c>
      <c r="O1992" s="204"/>
      <c r="P1992" s="112"/>
      <c r="Q1992" s="112"/>
      <c r="R1992" s="112"/>
      <c r="S1992" s="112"/>
      <c r="T1992" s="112"/>
      <c r="U1992" t="s">
        <v>4344</v>
      </c>
      <c r="V1992" t="s">
        <v>5778</v>
      </c>
      <c r="W1992" t="s">
        <v>3958</v>
      </c>
      <c r="X1992" t="s">
        <v>4660</v>
      </c>
    </row>
    <row r="1993" spans="1:24" x14ac:dyDescent="0.2">
      <c r="A1993" t="s">
        <v>5777</v>
      </c>
      <c r="B1993" t="s">
        <v>823</v>
      </c>
      <c r="C1993" t="s">
        <v>824</v>
      </c>
      <c r="D1993" t="s">
        <v>209</v>
      </c>
      <c r="E1993" t="s">
        <v>825</v>
      </c>
      <c r="F1993" t="s">
        <v>84</v>
      </c>
      <c r="G1993" s="202">
        <v>27</v>
      </c>
      <c r="H1993">
        <v>4</v>
      </c>
      <c r="I1993" t="s">
        <v>4017</v>
      </c>
      <c r="J1993" t="s">
        <v>4809</v>
      </c>
      <c r="K1993" t="s">
        <v>1283</v>
      </c>
      <c r="L1993" s="204">
        <v>0.05</v>
      </c>
      <c r="M1993" s="112">
        <v>745.43999999999994</v>
      </c>
      <c r="N1993" s="112">
        <v>37.271999999999998</v>
      </c>
      <c r="O1993" s="204"/>
      <c r="P1993" s="112"/>
      <c r="Q1993" s="112"/>
      <c r="R1993" s="112"/>
      <c r="S1993" s="112"/>
      <c r="T1993" s="112"/>
      <c r="U1993" t="s">
        <v>4344</v>
      </c>
      <c r="V1993" t="s">
        <v>5778</v>
      </c>
      <c r="W1993" t="s">
        <v>3958</v>
      </c>
      <c r="X1993" t="s">
        <v>4660</v>
      </c>
    </row>
    <row r="1994" spans="1:24" x14ac:dyDescent="0.2">
      <c r="A1994" t="s">
        <v>5777</v>
      </c>
      <c r="B1994" t="s">
        <v>823</v>
      </c>
      <c r="C1994" t="s">
        <v>824</v>
      </c>
      <c r="D1994" t="s">
        <v>209</v>
      </c>
      <c r="E1994" t="s">
        <v>825</v>
      </c>
      <c r="F1994" t="s">
        <v>84</v>
      </c>
      <c r="G1994" s="202">
        <v>27</v>
      </c>
      <c r="H1994">
        <v>5</v>
      </c>
      <c r="I1994" t="s">
        <v>3968</v>
      </c>
      <c r="J1994" t="s">
        <v>3969</v>
      </c>
      <c r="K1994" t="s">
        <v>84</v>
      </c>
      <c r="L1994" s="204">
        <v>1</v>
      </c>
      <c r="M1994" s="112"/>
      <c r="N1994" s="112">
        <v>745.43999999999994</v>
      </c>
      <c r="O1994" s="204">
        <v>0.22229128409370968</v>
      </c>
      <c r="P1994" s="112">
        <v>165.70481481481488</v>
      </c>
      <c r="Q1994" s="112">
        <v>911.14481481481482</v>
      </c>
      <c r="R1994" s="112">
        <v>24600.91</v>
      </c>
      <c r="S1994" s="112">
        <v>24600.91</v>
      </c>
      <c r="T1994" s="112">
        <v>0</v>
      </c>
      <c r="U1994" t="s">
        <v>4344</v>
      </c>
      <c r="V1994" t="s">
        <v>5778</v>
      </c>
      <c r="W1994" t="s">
        <v>4666</v>
      </c>
      <c r="X1994" t="s">
        <v>4667</v>
      </c>
    </row>
    <row r="1995" spans="1:24" x14ac:dyDescent="0.2">
      <c r="A1995" t="s">
        <v>5779</v>
      </c>
      <c r="B1995" t="s">
        <v>826</v>
      </c>
      <c r="C1995" t="s">
        <v>1870</v>
      </c>
      <c r="D1995" t="s">
        <v>56</v>
      </c>
      <c r="E1995" t="s">
        <v>827</v>
      </c>
      <c r="F1995" t="s">
        <v>84</v>
      </c>
      <c r="G1995" s="202">
        <v>2</v>
      </c>
      <c r="H1995">
        <v>1</v>
      </c>
      <c r="I1995" t="s">
        <v>3954</v>
      </c>
      <c r="J1995" t="s">
        <v>5227</v>
      </c>
      <c r="K1995" t="s">
        <v>1283</v>
      </c>
      <c r="L1995" s="204">
        <v>0.26</v>
      </c>
      <c r="M1995" s="112">
        <v>744.59999999999991</v>
      </c>
      <c r="N1995" s="112">
        <v>193.59599999999998</v>
      </c>
      <c r="O1995" s="204"/>
      <c r="P1995" s="112"/>
      <c r="Q1995" s="112"/>
      <c r="R1995" s="112"/>
      <c r="S1995" s="112"/>
      <c r="T1995" s="112"/>
      <c r="U1995" t="s">
        <v>5780</v>
      </c>
      <c r="V1995" t="s">
        <v>5781</v>
      </c>
      <c r="W1995" t="s">
        <v>3958</v>
      </c>
      <c r="X1995" t="s">
        <v>4660</v>
      </c>
    </row>
    <row r="1996" spans="1:24" x14ac:dyDescent="0.2">
      <c r="A1996" t="s">
        <v>5779</v>
      </c>
      <c r="B1996" t="s">
        <v>826</v>
      </c>
      <c r="C1996" t="s">
        <v>1870</v>
      </c>
      <c r="D1996" t="s">
        <v>56</v>
      </c>
      <c r="E1996" t="s">
        <v>827</v>
      </c>
      <c r="F1996" t="s">
        <v>84</v>
      </c>
      <c r="G1996" s="202">
        <v>2</v>
      </c>
      <c r="H1996">
        <v>2</v>
      </c>
      <c r="I1996" t="s">
        <v>3960</v>
      </c>
      <c r="J1996" t="s">
        <v>5229</v>
      </c>
      <c r="K1996" t="s">
        <v>1283</v>
      </c>
      <c r="L1996" s="204">
        <v>0.64</v>
      </c>
      <c r="M1996" s="112">
        <v>744.59999999999991</v>
      </c>
      <c r="N1996" s="112">
        <v>476.54399999999993</v>
      </c>
      <c r="O1996" s="204"/>
      <c r="P1996" s="112"/>
      <c r="Q1996" s="112"/>
      <c r="R1996" s="112"/>
      <c r="S1996" s="112"/>
      <c r="T1996" s="112"/>
      <c r="U1996" t="s">
        <v>5780</v>
      </c>
      <c r="V1996" t="s">
        <v>5781</v>
      </c>
      <c r="W1996" t="s">
        <v>3958</v>
      </c>
      <c r="X1996" t="s">
        <v>4660</v>
      </c>
    </row>
    <row r="1997" spans="1:24" x14ac:dyDescent="0.2">
      <c r="A1997" t="s">
        <v>5779</v>
      </c>
      <c r="B1997" t="s">
        <v>826</v>
      </c>
      <c r="C1997" t="s">
        <v>1870</v>
      </c>
      <c r="D1997" t="s">
        <v>56</v>
      </c>
      <c r="E1997" t="s">
        <v>827</v>
      </c>
      <c r="F1997" t="s">
        <v>84</v>
      </c>
      <c r="G1997" s="202">
        <v>2</v>
      </c>
      <c r="H1997">
        <v>3</v>
      </c>
      <c r="I1997" t="s">
        <v>3976</v>
      </c>
      <c r="J1997" t="s">
        <v>5230</v>
      </c>
      <c r="K1997" t="s">
        <v>1283</v>
      </c>
      <c r="L1997" s="204">
        <v>0.04</v>
      </c>
      <c r="M1997" s="112">
        <v>744.59999999999991</v>
      </c>
      <c r="N1997" s="112">
        <v>29.783999999999995</v>
      </c>
      <c r="O1997" s="204"/>
      <c r="P1997" s="112"/>
      <c r="Q1997" s="112"/>
      <c r="R1997" s="112"/>
      <c r="S1997" s="112"/>
      <c r="T1997" s="112"/>
      <c r="U1997" t="s">
        <v>5780</v>
      </c>
      <c r="V1997" t="s">
        <v>5781</v>
      </c>
      <c r="W1997" t="s">
        <v>3958</v>
      </c>
      <c r="X1997" t="s">
        <v>4660</v>
      </c>
    </row>
    <row r="1998" spans="1:24" x14ac:dyDescent="0.2">
      <c r="A1998" t="s">
        <v>5779</v>
      </c>
      <c r="B1998" t="s">
        <v>826</v>
      </c>
      <c r="C1998" t="s">
        <v>1870</v>
      </c>
      <c r="D1998" t="s">
        <v>56</v>
      </c>
      <c r="E1998" t="s">
        <v>827</v>
      </c>
      <c r="F1998" t="s">
        <v>84</v>
      </c>
      <c r="G1998" s="202">
        <v>2</v>
      </c>
      <c r="H1998">
        <v>4</v>
      </c>
      <c r="I1998" t="s">
        <v>4017</v>
      </c>
      <c r="J1998" t="s">
        <v>4851</v>
      </c>
      <c r="K1998" t="s">
        <v>1283</v>
      </c>
      <c r="L1998" s="204">
        <v>0.06</v>
      </c>
      <c r="M1998" s="112">
        <v>744.59999999999991</v>
      </c>
      <c r="N1998" s="112">
        <v>44.675999999999995</v>
      </c>
      <c r="O1998" s="204"/>
      <c r="P1998" s="112"/>
      <c r="Q1998" s="112"/>
      <c r="R1998" s="112"/>
      <c r="S1998" s="112"/>
      <c r="T1998" s="112"/>
      <c r="U1998" t="s">
        <v>5780</v>
      </c>
      <c r="V1998" t="s">
        <v>5781</v>
      </c>
      <c r="W1998" t="s">
        <v>3958</v>
      </c>
      <c r="X1998" t="s">
        <v>4660</v>
      </c>
    </row>
    <row r="1999" spans="1:24" x14ac:dyDescent="0.2">
      <c r="A1999" t="s">
        <v>5779</v>
      </c>
      <c r="B1999" t="s">
        <v>826</v>
      </c>
      <c r="C1999" t="s">
        <v>1870</v>
      </c>
      <c r="D1999" t="s">
        <v>56</v>
      </c>
      <c r="E1999" t="s">
        <v>827</v>
      </c>
      <c r="F1999" t="s">
        <v>84</v>
      </c>
      <c r="G1999" s="202">
        <v>2</v>
      </c>
      <c r="H1999">
        <v>5</v>
      </c>
      <c r="I1999" t="s">
        <v>3968</v>
      </c>
      <c r="J1999" t="s">
        <v>3969</v>
      </c>
      <c r="K1999" t="s">
        <v>84</v>
      </c>
      <c r="L1999" s="204">
        <v>1</v>
      </c>
      <c r="M1999" s="112"/>
      <c r="N1999" s="112">
        <v>744.59999999999991</v>
      </c>
      <c r="O1999" s="204">
        <v>0.22228713403169498</v>
      </c>
      <c r="P1999" s="112">
        <v>165.5150000000001</v>
      </c>
      <c r="Q1999" s="112">
        <v>910.11500000000001</v>
      </c>
      <c r="R1999" s="112">
        <v>1820.23</v>
      </c>
      <c r="S1999" s="112">
        <v>1820.23</v>
      </c>
      <c r="T1999" s="112">
        <v>0</v>
      </c>
      <c r="U1999" t="s">
        <v>5780</v>
      </c>
      <c r="V1999" t="s">
        <v>5781</v>
      </c>
      <c r="W1999" t="s">
        <v>4666</v>
      </c>
      <c r="X1999" t="s">
        <v>4667</v>
      </c>
    </row>
    <row r="2000" spans="1:24" x14ac:dyDescent="0.2">
      <c r="A2000" t="s">
        <v>5782</v>
      </c>
      <c r="B2000" t="s">
        <v>828</v>
      </c>
      <c r="C2000" t="s">
        <v>1871</v>
      </c>
      <c r="D2000" t="s">
        <v>56</v>
      </c>
      <c r="E2000" t="s">
        <v>1872</v>
      </c>
      <c r="F2000" t="s">
        <v>84</v>
      </c>
      <c r="G2000" s="202">
        <v>4</v>
      </c>
      <c r="H2000">
        <v>1</v>
      </c>
      <c r="I2000" t="s">
        <v>3954</v>
      </c>
      <c r="J2000" t="s">
        <v>4110</v>
      </c>
      <c r="K2000" t="s">
        <v>1283</v>
      </c>
      <c r="L2000" s="204">
        <v>0.3</v>
      </c>
      <c r="M2000" s="112">
        <v>556.74</v>
      </c>
      <c r="N2000" s="112">
        <v>167.02199999999999</v>
      </c>
      <c r="O2000" s="204"/>
      <c r="P2000" s="112"/>
      <c r="Q2000" s="112"/>
      <c r="R2000" s="112"/>
      <c r="S2000" s="112"/>
      <c r="T2000" s="112"/>
      <c r="U2000" t="s">
        <v>5783</v>
      </c>
      <c r="V2000" t="s">
        <v>5784</v>
      </c>
      <c r="W2000" t="s">
        <v>3958</v>
      </c>
      <c r="X2000" t="s">
        <v>4660</v>
      </c>
    </row>
    <row r="2001" spans="1:24" x14ac:dyDescent="0.2">
      <c r="A2001" t="s">
        <v>5782</v>
      </c>
      <c r="B2001" t="s">
        <v>828</v>
      </c>
      <c r="C2001" t="s">
        <v>1871</v>
      </c>
      <c r="D2001" t="s">
        <v>56</v>
      </c>
      <c r="E2001" t="s">
        <v>1872</v>
      </c>
      <c r="F2001" t="s">
        <v>84</v>
      </c>
      <c r="G2001" s="202">
        <v>4</v>
      </c>
      <c r="H2001">
        <v>2</v>
      </c>
      <c r="I2001" t="s">
        <v>3960</v>
      </c>
      <c r="J2001" t="s">
        <v>4113</v>
      </c>
      <c r="K2001" t="s">
        <v>1283</v>
      </c>
      <c r="L2001" s="204">
        <v>0.55000000000000004</v>
      </c>
      <c r="M2001" s="112">
        <v>556.74</v>
      </c>
      <c r="N2001" s="112">
        <v>306.20700000000005</v>
      </c>
      <c r="O2001" s="204"/>
      <c r="P2001" s="112"/>
      <c r="Q2001" s="112"/>
      <c r="R2001" s="112"/>
      <c r="S2001" s="112"/>
      <c r="T2001" s="112"/>
      <c r="U2001" t="s">
        <v>5783</v>
      </c>
      <c r="V2001" t="s">
        <v>5784</v>
      </c>
      <c r="W2001" t="s">
        <v>3958</v>
      </c>
      <c r="X2001" t="s">
        <v>4660</v>
      </c>
    </row>
    <row r="2002" spans="1:24" x14ac:dyDescent="0.2">
      <c r="A2002" t="s">
        <v>5782</v>
      </c>
      <c r="B2002" t="s">
        <v>828</v>
      </c>
      <c r="C2002" t="s">
        <v>1871</v>
      </c>
      <c r="D2002" t="s">
        <v>56</v>
      </c>
      <c r="E2002" t="s">
        <v>1872</v>
      </c>
      <c r="F2002" t="s">
        <v>84</v>
      </c>
      <c r="G2002" s="202">
        <v>4</v>
      </c>
      <c r="H2002">
        <v>3</v>
      </c>
      <c r="I2002" t="s">
        <v>3976</v>
      </c>
      <c r="J2002" t="s">
        <v>4114</v>
      </c>
      <c r="K2002" t="s">
        <v>1283</v>
      </c>
      <c r="L2002" s="204">
        <v>0.1</v>
      </c>
      <c r="M2002" s="112">
        <v>556.74</v>
      </c>
      <c r="N2002" s="112">
        <v>55.674000000000007</v>
      </c>
      <c r="O2002" s="204"/>
      <c r="P2002" s="112"/>
      <c r="Q2002" s="112"/>
      <c r="R2002" s="112"/>
      <c r="S2002" s="112"/>
      <c r="T2002" s="112"/>
      <c r="U2002" t="s">
        <v>5783</v>
      </c>
      <c r="V2002" t="s">
        <v>5784</v>
      </c>
      <c r="W2002" t="s">
        <v>3958</v>
      </c>
      <c r="X2002" t="s">
        <v>4660</v>
      </c>
    </row>
    <row r="2003" spans="1:24" x14ac:dyDescent="0.2">
      <c r="A2003" t="s">
        <v>5782</v>
      </c>
      <c r="B2003" t="s">
        <v>828</v>
      </c>
      <c r="C2003" t="s">
        <v>1871</v>
      </c>
      <c r="D2003" t="s">
        <v>56</v>
      </c>
      <c r="E2003" t="s">
        <v>1872</v>
      </c>
      <c r="F2003" t="s">
        <v>84</v>
      </c>
      <c r="G2003" s="202">
        <v>4</v>
      </c>
      <c r="H2003">
        <v>4</v>
      </c>
      <c r="I2003" t="s">
        <v>4017</v>
      </c>
      <c r="J2003" t="s">
        <v>4115</v>
      </c>
      <c r="K2003" t="s">
        <v>1283</v>
      </c>
      <c r="L2003" s="204">
        <v>0.05</v>
      </c>
      <c r="M2003" s="112">
        <v>556.74</v>
      </c>
      <c r="N2003" s="112">
        <v>27.837000000000003</v>
      </c>
      <c r="O2003" s="204"/>
      <c r="P2003" s="112"/>
      <c r="Q2003" s="112"/>
      <c r="R2003" s="112"/>
      <c r="S2003" s="112"/>
      <c r="T2003" s="112"/>
      <c r="U2003" t="s">
        <v>5783</v>
      </c>
      <c r="V2003" t="s">
        <v>5784</v>
      </c>
      <c r="W2003" t="s">
        <v>3958</v>
      </c>
      <c r="X2003" t="s">
        <v>4660</v>
      </c>
    </row>
    <row r="2004" spans="1:24" x14ac:dyDescent="0.2">
      <c r="A2004" t="s">
        <v>5782</v>
      </c>
      <c r="B2004" t="s">
        <v>828</v>
      </c>
      <c r="C2004" t="s">
        <v>1871</v>
      </c>
      <c r="D2004" t="s">
        <v>56</v>
      </c>
      <c r="E2004" t="s">
        <v>1872</v>
      </c>
      <c r="F2004" t="s">
        <v>84</v>
      </c>
      <c r="G2004" s="202">
        <v>4</v>
      </c>
      <c r="H2004">
        <v>5</v>
      </c>
      <c r="I2004" t="s">
        <v>3968</v>
      </c>
      <c r="J2004" t="s">
        <v>3969</v>
      </c>
      <c r="K2004" t="s">
        <v>84</v>
      </c>
      <c r="L2004" s="204">
        <v>1</v>
      </c>
      <c r="M2004" s="112"/>
      <c r="N2004" s="112">
        <v>556.74</v>
      </c>
      <c r="O2004" s="204">
        <v>0.22228957861838539</v>
      </c>
      <c r="P2004" s="112">
        <v>123.75749999999994</v>
      </c>
      <c r="Q2004" s="112">
        <v>680.49749999999995</v>
      </c>
      <c r="R2004" s="112">
        <v>2721.99</v>
      </c>
      <c r="S2004" s="112">
        <v>2721.99</v>
      </c>
      <c r="T2004" s="112">
        <v>0</v>
      </c>
      <c r="U2004" t="s">
        <v>5783</v>
      </c>
      <c r="V2004" t="s">
        <v>5784</v>
      </c>
      <c r="W2004" t="s">
        <v>4666</v>
      </c>
      <c r="X2004" t="s">
        <v>4667</v>
      </c>
    </row>
    <row r="2005" spans="1:24" x14ac:dyDescent="0.2">
      <c r="A2005" t="s">
        <v>5785</v>
      </c>
      <c r="B2005" t="s">
        <v>830</v>
      </c>
      <c r="C2005" t="s">
        <v>1873</v>
      </c>
      <c r="D2005" t="s">
        <v>56</v>
      </c>
      <c r="E2005" t="s">
        <v>1874</v>
      </c>
      <c r="F2005" t="s">
        <v>84</v>
      </c>
      <c r="G2005" s="202">
        <v>1</v>
      </c>
      <c r="H2005">
        <v>1</v>
      </c>
      <c r="I2005" t="s">
        <v>3954</v>
      </c>
      <c r="J2005" t="s">
        <v>4823</v>
      </c>
      <c r="K2005" t="s">
        <v>1283</v>
      </c>
      <c r="L2005" s="204">
        <v>0.18</v>
      </c>
      <c r="M2005" s="112">
        <v>410.61750000000001</v>
      </c>
      <c r="N2005" s="112">
        <v>73.911149999999992</v>
      </c>
      <c r="O2005" s="204"/>
      <c r="P2005" s="112"/>
      <c r="Q2005" s="112"/>
      <c r="R2005" s="112"/>
      <c r="S2005" s="112"/>
      <c r="T2005" s="112"/>
      <c r="U2005" t="s">
        <v>5786</v>
      </c>
      <c r="V2005" t="s">
        <v>5787</v>
      </c>
      <c r="W2005" t="s">
        <v>3958</v>
      </c>
      <c r="X2005" t="s">
        <v>4660</v>
      </c>
    </row>
    <row r="2006" spans="1:24" x14ac:dyDescent="0.2">
      <c r="A2006" t="s">
        <v>5785</v>
      </c>
      <c r="B2006" t="s">
        <v>830</v>
      </c>
      <c r="C2006" t="s">
        <v>1873</v>
      </c>
      <c r="D2006" t="s">
        <v>56</v>
      </c>
      <c r="E2006" t="s">
        <v>1874</v>
      </c>
      <c r="F2006" t="s">
        <v>84</v>
      </c>
      <c r="G2006" s="202">
        <v>1</v>
      </c>
      <c r="H2006">
        <v>2</v>
      </c>
      <c r="I2006" t="s">
        <v>3960</v>
      </c>
      <c r="J2006" t="s">
        <v>4826</v>
      </c>
      <c r="K2006" t="s">
        <v>1283</v>
      </c>
      <c r="L2006" s="204">
        <v>0.72</v>
      </c>
      <c r="M2006" s="112">
        <v>410.61750000000001</v>
      </c>
      <c r="N2006" s="112">
        <v>295.64459999999997</v>
      </c>
      <c r="O2006" s="204"/>
      <c r="P2006" s="112"/>
      <c r="Q2006" s="112"/>
      <c r="R2006" s="112"/>
      <c r="S2006" s="112"/>
      <c r="T2006" s="112"/>
      <c r="U2006" t="s">
        <v>5786</v>
      </c>
      <c r="V2006" t="s">
        <v>5787</v>
      </c>
      <c r="W2006" t="s">
        <v>3958</v>
      </c>
      <c r="X2006" t="s">
        <v>4660</v>
      </c>
    </row>
    <row r="2007" spans="1:24" x14ac:dyDescent="0.2">
      <c r="A2007" t="s">
        <v>5785</v>
      </c>
      <c r="B2007" t="s">
        <v>830</v>
      </c>
      <c r="C2007" t="s">
        <v>1873</v>
      </c>
      <c r="D2007" t="s">
        <v>56</v>
      </c>
      <c r="E2007" t="s">
        <v>1874</v>
      </c>
      <c r="F2007" t="s">
        <v>84</v>
      </c>
      <c r="G2007" s="202">
        <v>1</v>
      </c>
      <c r="H2007">
        <v>3</v>
      </c>
      <c r="I2007" t="s">
        <v>3976</v>
      </c>
      <c r="J2007" t="s">
        <v>4827</v>
      </c>
      <c r="K2007" t="s">
        <v>1283</v>
      </c>
      <c r="L2007" s="204">
        <v>0.05</v>
      </c>
      <c r="M2007" s="112">
        <v>410.61750000000001</v>
      </c>
      <c r="N2007" s="112">
        <v>20.530875000000002</v>
      </c>
      <c r="O2007" s="204"/>
      <c r="P2007" s="112"/>
      <c r="Q2007" s="112"/>
      <c r="R2007" s="112"/>
      <c r="S2007" s="112"/>
      <c r="T2007" s="112"/>
      <c r="U2007" t="s">
        <v>5786</v>
      </c>
      <c r="V2007" t="s">
        <v>5787</v>
      </c>
      <c r="W2007" t="s">
        <v>3958</v>
      </c>
      <c r="X2007" t="s">
        <v>4660</v>
      </c>
    </row>
    <row r="2008" spans="1:24" x14ac:dyDescent="0.2">
      <c r="A2008" t="s">
        <v>5785</v>
      </c>
      <c r="B2008" t="s">
        <v>830</v>
      </c>
      <c r="C2008" t="s">
        <v>1873</v>
      </c>
      <c r="D2008" t="s">
        <v>56</v>
      </c>
      <c r="E2008" t="s">
        <v>1874</v>
      </c>
      <c r="F2008" t="s">
        <v>84</v>
      </c>
      <c r="G2008" s="202">
        <v>1</v>
      </c>
      <c r="H2008">
        <v>4</v>
      </c>
      <c r="I2008" t="s">
        <v>4017</v>
      </c>
      <c r="J2008" t="s">
        <v>4809</v>
      </c>
      <c r="K2008" t="s">
        <v>1283</v>
      </c>
      <c r="L2008" s="204">
        <v>0.05</v>
      </c>
      <c r="M2008" s="112">
        <v>410.61750000000001</v>
      </c>
      <c r="N2008" s="112">
        <v>20.530875000000002</v>
      </c>
      <c r="O2008" s="204"/>
      <c r="P2008" s="112"/>
      <c r="Q2008" s="112"/>
      <c r="R2008" s="112"/>
      <c r="S2008" s="112"/>
      <c r="T2008" s="112"/>
      <c r="U2008" t="s">
        <v>5786</v>
      </c>
      <c r="V2008" t="s">
        <v>5787</v>
      </c>
      <c r="W2008" t="s">
        <v>3958</v>
      </c>
      <c r="X2008" t="s">
        <v>4660</v>
      </c>
    </row>
    <row r="2009" spans="1:24" x14ac:dyDescent="0.2">
      <c r="A2009" t="s">
        <v>5785</v>
      </c>
      <c r="B2009" t="s">
        <v>830</v>
      </c>
      <c r="C2009" t="s">
        <v>1873</v>
      </c>
      <c r="D2009" t="s">
        <v>56</v>
      </c>
      <c r="E2009" t="s">
        <v>1874</v>
      </c>
      <c r="F2009" t="s">
        <v>84</v>
      </c>
      <c r="G2009" s="202">
        <v>1</v>
      </c>
      <c r="H2009">
        <v>5</v>
      </c>
      <c r="I2009" t="s">
        <v>3968</v>
      </c>
      <c r="J2009" t="s">
        <v>3969</v>
      </c>
      <c r="K2009" t="s">
        <v>84</v>
      </c>
      <c r="L2009" s="204">
        <v>1</v>
      </c>
      <c r="M2009" s="112"/>
      <c r="N2009" s="112">
        <v>410.61750000000001</v>
      </c>
      <c r="O2009" s="204">
        <v>0.22228107667111119</v>
      </c>
      <c r="P2009" s="112">
        <v>91.27249999999998</v>
      </c>
      <c r="Q2009" s="112">
        <v>501.89</v>
      </c>
      <c r="R2009" s="112">
        <v>501.89</v>
      </c>
      <c r="S2009" s="112">
        <v>501.89</v>
      </c>
      <c r="T2009" s="112">
        <v>0</v>
      </c>
      <c r="U2009" t="s">
        <v>5786</v>
      </c>
      <c r="V2009" t="s">
        <v>5787</v>
      </c>
      <c r="W2009" t="s">
        <v>4666</v>
      </c>
      <c r="X2009" t="s">
        <v>4667</v>
      </c>
    </row>
    <row r="2010" spans="1:24" x14ac:dyDescent="0.2">
      <c r="A2010" t="s">
        <v>5788</v>
      </c>
      <c r="B2010" t="s">
        <v>832</v>
      </c>
      <c r="C2010" t="s">
        <v>1875</v>
      </c>
      <c r="D2010" t="s">
        <v>56</v>
      </c>
      <c r="E2010" t="s">
        <v>1876</v>
      </c>
      <c r="F2010" t="s">
        <v>84</v>
      </c>
      <c r="G2010" s="202">
        <v>1</v>
      </c>
      <c r="H2010">
        <v>1</v>
      </c>
      <c r="I2010" t="s">
        <v>3954</v>
      </c>
      <c r="J2010" t="s">
        <v>5227</v>
      </c>
      <c r="K2010" t="s">
        <v>1283</v>
      </c>
      <c r="L2010" s="204">
        <v>0.26</v>
      </c>
      <c r="M2010" s="112">
        <v>104.21249999999999</v>
      </c>
      <c r="N2010" s="112">
        <v>27.09525</v>
      </c>
      <c r="O2010" s="204"/>
      <c r="P2010" s="112"/>
      <c r="Q2010" s="112"/>
      <c r="R2010" s="112"/>
      <c r="S2010" s="112"/>
      <c r="T2010" s="112"/>
      <c r="U2010" t="s">
        <v>5789</v>
      </c>
      <c r="V2010" t="s">
        <v>5790</v>
      </c>
      <c r="W2010" t="s">
        <v>3958</v>
      </c>
      <c r="X2010" t="s">
        <v>4660</v>
      </c>
    </row>
    <row r="2011" spans="1:24" x14ac:dyDescent="0.2">
      <c r="A2011" t="s">
        <v>5788</v>
      </c>
      <c r="B2011" t="s">
        <v>832</v>
      </c>
      <c r="C2011" t="s">
        <v>1875</v>
      </c>
      <c r="D2011" t="s">
        <v>56</v>
      </c>
      <c r="E2011" t="s">
        <v>1876</v>
      </c>
      <c r="F2011" t="s">
        <v>84</v>
      </c>
      <c r="G2011" s="202">
        <v>1</v>
      </c>
      <c r="H2011">
        <v>2</v>
      </c>
      <c r="I2011" t="s">
        <v>3960</v>
      </c>
      <c r="J2011" t="s">
        <v>5229</v>
      </c>
      <c r="K2011" t="s">
        <v>1283</v>
      </c>
      <c r="L2011" s="204">
        <v>0.64</v>
      </c>
      <c r="M2011" s="112">
        <v>104.21249999999999</v>
      </c>
      <c r="N2011" s="112">
        <v>66.695999999999998</v>
      </c>
      <c r="O2011" s="204"/>
      <c r="P2011" s="112"/>
      <c r="Q2011" s="112"/>
      <c r="R2011" s="112"/>
      <c r="S2011" s="112"/>
      <c r="T2011" s="112"/>
      <c r="U2011" t="s">
        <v>5789</v>
      </c>
      <c r="V2011" t="s">
        <v>5790</v>
      </c>
      <c r="W2011" t="s">
        <v>3958</v>
      </c>
      <c r="X2011" t="s">
        <v>4660</v>
      </c>
    </row>
    <row r="2012" spans="1:24" x14ac:dyDescent="0.2">
      <c r="A2012" t="s">
        <v>5788</v>
      </c>
      <c r="B2012" t="s">
        <v>832</v>
      </c>
      <c r="C2012" t="s">
        <v>1875</v>
      </c>
      <c r="D2012" t="s">
        <v>56</v>
      </c>
      <c r="E2012" t="s">
        <v>1876</v>
      </c>
      <c r="F2012" t="s">
        <v>84</v>
      </c>
      <c r="G2012" s="202">
        <v>1</v>
      </c>
      <c r="H2012">
        <v>3</v>
      </c>
      <c r="I2012" t="s">
        <v>3976</v>
      </c>
      <c r="J2012" t="s">
        <v>5230</v>
      </c>
      <c r="K2012" t="s">
        <v>1283</v>
      </c>
      <c r="L2012" s="204">
        <v>0.04</v>
      </c>
      <c r="M2012" s="112">
        <v>104.21249999999999</v>
      </c>
      <c r="N2012" s="112">
        <v>4.1684999999999999</v>
      </c>
      <c r="O2012" s="204"/>
      <c r="P2012" s="112"/>
      <c r="Q2012" s="112"/>
      <c r="R2012" s="112"/>
      <c r="S2012" s="112"/>
      <c r="T2012" s="112"/>
      <c r="U2012" t="s">
        <v>5789</v>
      </c>
      <c r="V2012" t="s">
        <v>5790</v>
      </c>
      <c r="W2012" t="s">
        <v>3958</v>
      </c>
      <c r="X2012" t="s">
        <v>4660</v>
      </c>
    </row>
    <row r="2013" spans="1:24" x14ac:dyDescent="0.2">
      <c r="A2013" t="s">
        <v>5788</v>
      </c>
      <c r="B2013" t="s">
        <v>832</v>
      </c>
      <c r="C2013" t="s">
        <v>1875</v>
      </c>
      <c r="D2013" t="s">
        <v>56</v>
      </c>
      <c r="E2013" t="s">
        <v>1876</v>
      </c>
      <c r="F2013" t="s">
        <v>84</v>
      </c>
      <c r="G2013" s="202">
        <v>1</v>
      </c>
      <c r="H2013">
        <v>4</v>
      </c>
      <c r="I2013" t="s">
        <v>4017</v>
      </c>
      <c r="J2013" t="s">
        <v>4851</v>
      </c>
      <c r="K2013" t="s">
        <v>1283</v>
      </c>
      <c r="L2013" s="204">
        <v>0.06</v>
      </c>
      <c r="M2013" s="112">
        <v>104.21249999999999</v>
      </c>
      <c r="N2013" s="112">
        <v>6.2527499999999989</v>
      </c>
      <c r="O2013" s="204"/>
      <c r="P2013" s="112"/>
      <c r="Q2013" s="112"/>
      <c r="R2013" s="112"/>
      <c r="S2013" s="112"/>
      <c r="T2013" s="112"/>
      <c r="U2013" t="s">
        <v>5789</v>
      </c>
      <c r="V2013" t="s">
        <v>5790</v>
      </c>
      <c r="W2013" t="s">
        <v>3958</v>
      </c>
      <c r="X2013" t="s">
        <v>4660</v>
      </c>
    </row>
    <row r="2014" spans="1:24" x14ac:dyDescent="0.2">
      <c r="A2014" t="s">
        <v>5788</v>
      </c>
      <c r="B2014" t="s">
        <v>832</v>
      </c>
      <c r="C2014" t="s">
        <v>1875</v>
      </c>
      <c r="D2014" t="s">
        <v>56</v>
      </c>
      <c r="E2014" t="s">
        <v>1876</v>
      </c>
      <c r="F2014" t="s">
        <v>84</v>
      </c>
      <c r="G2014" s="202">
        <v>1</v>
      </c>
      <c r="H2014">
        <v>5</v>
      </c>
      <c r="I2014" t="s">
        <v>3968</v>
      </c>
      <c r="J2014" t="s">
        <v>3969</v>
      </c>
      <c r="K2014" t="s">
        <v>84</v>
      </c>
      <c r="L2014" s="204">
        <v>1</v>
      </c>
      <c r="M2014" s="112"/>
      <c r="N2014" s="112">
        <v>104.21249999999999</v>
      </c>
      <c r="O2014" s="204">
        <v>0.22221422574067429</v>
      </c>
      <c r="P2014" s="112">
        <v>23.157500000000013</v>
      </c>
      <c r="Q2014" s="112">
        <v>127.37</v>
      </c>
      <c r="R2014" s="112">
        <v>127.37</v>
      </c>
      <c r="S2014" s="112">
        <v>127.37</v>
      </c>
      <c r="T2014" s="112">
        <v>0</v>
      </c>
      <c r="U2014" t="s">
        <v>5789</v>
      </c>
      <c r="V2014" t="s">
        <v>5790</v>
      </c>
      <c r="W2014" t="s">
        <v>4666</v>
      </c>
      <c r="X2014" t="s">
        <v>4667</v>
      </c>
    </row>
    <row r="2015" spans="1:24" x14ac:dyDescent="0.2">
      <c r="A2015" t="s">
        <v>5791</v>
      </c>
      <c r="B2015" t="s">
        <v>1877</v>
      </c>
      <c r="C2015" t="s">
        <v>1878</v>
      </c>
      <c r="D2015" t="s">
        <v>335</v>
      </c>
      <c r="E2015" t="s">
        <v>834</v>
      </c>
      <c r="F2015" t="s">
        <v>84</v>
      </c>
      <c r="G2015" s="202">
        <v>17</v>
      </c>
      <c r="H2015">
        <v>1</v>
      </c>
      <c r="I2015" t="s">
        <v>3954</v>
      </c>
      <c r="J2015" t="s">
        <v>4110</v>
      </c>
      <c r="K2015" t="s">
        <v>1283</v>
      </c>
      <c r="L2015" s="204">
        <v>0.3</v>
      </c>
      <c r="M2015" s="112">
        <v>375.75749999999999</v>
      </c>
      <c r="N2015" s="112">
        <v>112.72725</v>
      </c>
      <c r="O2015" s="204"/>
      <c r="P2015" s="112"/>
      <c r="Q2015" s="112"/>
      <c r="R2015" s="112"/>
      <c r="S2015" s="112"/>
      <c r="T2015" s="112"/>
      <c r="U2015" t="s">
        <v>5792</v>
      </c>
      <c r="V2015" t="s">
        <v>5793</v>
      </c>
      <c r="W2015" t="s">
        <v>3958</v>
      </c>
      <c r="X2015" t="s">
        <v>4660</v>
      </c>
    </row>
    <row r="2016" spans="1:24" x14ac:dyDescent="0.2">
      <c r="A2016" t="s">
        <v>5791</v>
      </c>
      <c r="B2016" t="s">
        <v>1877</v>
      </c>
      <c r="C2016" t="s">
        <v>1878</v>
      </c>
      <c r="D2016" t="s">
        <v>335</v>
      </c>
      <c r="E2016" t="s">
        <v>834</v>
      </c>
      <c r="F2016" t="s">
        <v>84</v>
      </c>
      <c r="G2016" s="202">
        <v>17</v>
      </c>
      <c r="H2016">
        <v>2</v>
      </c>
      <c r="I2016" t="s">
        <v>3960</v>
      </c>
      <c r="J2016" t="s">
        <v>4113</v>
      </c>
      <c r="K2016" t="s">
        <v>1283</v>
      </c>
      <c r="L2016" s="204">
        <v>0.55000000000000004</v>
      </c>
      <c r="M2016" s="112">
        <v>375.75749999999999</v>
      </c>
      <c r="N2016" s="112">
        <v>206.66662500000001</v>
      </c>
      <c r="O2016" s="204"/>
      <c r="P2016" s="112"/>
      <c r="Q2016" s="112"/>
      <c r="R2016" s="112"/>
      <c r="S2016" s="112"/>
      <c r="T2016" s="112"/>
      <c r="U2016" t="s">
        <v>5792</v>
      </c>
      <c r="V2016" t="s">
        <v>5793</v>
      </c>
      <c r="W2016" t="s">
        <v>3958</v>
      </c>
      <c r="X2016" t="s">
        <v>4660</v>
      </c>
    </row>
    <row r="2017" spans="1:24" x14ac:dyDescent="0.2">
      <c r="A2017" t="s">
        <v>5791</v>
      </c>
      <c r="B2017" t="s">
        <v>1877</v>
      </c>
      <c r="C2017" t="s">
        <v>1878</v>
      </c>
      <c r="D2017" t="s">
        <v>335</v>
      </c>
      <c r="E2017" t="s">
        <v>834</v>
      </c>
      <c r="F2017" t="s">
        <v>84</v>
      </c>
      <c r="G2017" s="202">
        <v>17</v>
      </c>
      <c r="H2017">
        <v>3</v>
      </c>
      <c r="I2017" t="s">
        <v>3976</v>
      </c>
      <c r="J2017" t="s">
        <v>4114</v>
      </c>
      <c r="K2017" t="s">
        <v>1283</v>
      </c>
      <c r="L2017" s="204">
        <v>0.1</v>
      </c>
      <c r="M2017" s="112">
        <v>375.75749999999999</v>
      </c>
      <c r="N2017" s="112">
        <v>37.575749999999999</v>
      </c>
      <c r="O2017" s="204"/>
      <c r="P2017" s="112"/>
      <c r="Q2017" s="112"/>
      <c r="R2017" s="112"/>
      <c r="S2017" s="112"/>
      <c r="T2017" s="112"/>
      <c r="U2017" t="s">
        <v>5792</v>
      </c>
      <c r="V2017" t="s">
        <v>5793</v>
      </c>
      <c r="W2017" t="s">
        <v>3958</v>
      </c>
      <c r="X2017" t="s">
        <v>4660</v>
      </c>
    </row>
    <row r="2018" spans="1:24" x14ac:dyDescent="0.2">
      <c r="A2018" t="s">
        <v>5791</v>
      </c>
      <c r="B2018" t="s">
        <v>1877</v>
      </c>
      <c r="C2018" t="s">
        <v>1878</v>
      </c>
      <c r="D2018" t="s">
        <v>335</v>
      </c>
      <c r="E2018" t="s">
        <v>834</v>
      </c>
      <c r="F2018" t="s">
        <v>84</v>
      </c>
      <c r="G2018" s="202">
        <v>17</v>
      </c>
      <c r="H2018">
        <v>4</v>
      </c>
      <c r="I2018" t="s">
        <v>4017</v>
      </c>
      <c r="J2018" t="s">
        <v>4115</v>
      </c>
      <c r="K2018" t="s">
        <v>1283</v>
      </c>
      <c r="L2018" s="204">
        <v>0.05</v>
      </c>
      <c r="M2018" s="112">
        <v>375.75749999999999</v>
      </c>
      <c r="N2018" s="112">
        <v>18.787875</v>
      </c>
      <c r="O2018" s="204"/>
      <c r="P2018" s="112"/>
      <c r="Q2018" s="112"/>
      <c r="R2018" s="112"/>
      <c r="S2018" s="112"/>
      <c r="T2018" s="112"/>
      <c r="U2018" t="s">
        <v>5792</v>
      </c>
      <c r="V2018" t="s">
        <v>5793</v>
      </c>
      <c r="W2018" t="s">
        <v>3958</v>
      </c>
      <c r="X2018" t="s">
        <v>4660</v>
      </c>
    </row>
    <row r="2019" spans="1:24" x14ac:dyDescent="0.2">
      <c r="A2019" t="s">
        <v>5791</v>
      </c>
      <c r="B2019" t="s">
        <v>1877</v>
      </c>
      <c r="C2019" t="s">
        <v>1878</v>
      </c>
      <c r="D2019" t="s">
        <v>335</v>
      </c>
      <c r="E2019" t="s">
        <v>834</v>
      </c>
      <c r="F2019" t="s">
        <v>84</v>
      </c>
      <c r="G2019" s="202">
        <v>17</v>
      </c>
      <c r="H2019">
        <v>5</v>
      </c>
      <c r="I2019" t="s">
        <v>3968</v>
      </c>
      <c r="J2019" t="s">
        <v>3969</v>
      </c>
      <c r="K2019" t="s">
        <v>84</v>
      </c>
      <c r="L2019" s="204">
        <v>1</v>
      </c>
      <c r="M2019" s="112"/>
      <c r="N2019" s="112">
        <v>375.75749999999999</v>
      </c>
      <c r="O2019" s="204">
        <v>0.22229018950347768</v>
      </c>
      <c r="P2019" s="112">
        <v>83.527205882352973</v>
      </c>
      <c r="Q2019" s="112">
        <v>459.28470588235297</v>
      </c>
      <c r="R2019" s="112">
        <v>7807.84</v>
      </c>
      <c r="S2019" s="112">
        <v>7807.84</v>
      </c>
      <c r="T2019" s="112">
        <v>0</v>
      </c>
      <c r="U2019" t="s">
        <v>5792</v>
      </c>
      <c r="V2019" t="s">
        <v>5793</v>
      </c>
      <c r="W2019" t="s">
        <v>4666</v>
      </c>
      <c r="X2019" t="s">
        <v>4667</v>
      </c>
    </row>
    <row r="2020" spans="1:24" x14ac:dyDescent="0.2">
      <c r="A2020" t="s">
        <v>5794</v>
      </c>
      <c r="B2020" t="s">
        <v>1879</v>
      </c>
      <c r="C2020" t="s">
        <v>1880</v>
      </c>
      <c r="D2020" t="s">
        <v>56</v>
      </c>
      <c r="E2020" t="s">
        <v>835</v>
      </c>
      <c r="F2020" t="s">
        <v>84</v>
      </c>
      <c r="G2020" s="202">
        <v>4</v>
      </c>
      <c r="H2020">
        <v>1</v>
      </c>
      <c r="I2020" t="s">
        <v>3954</v>
      </c>
      <c r="J2020" t="s">
        <v>5227</v>
      </c>
      <c r="K2020" t="s">
        <v>1283</v>
      </c>
      <c r="L2020" s="204">
        <v>0.26</v>
      </c>
      <c r="M2020" s="112">
        <v>84.082499999999996</v>
      </c>
      <c r="N2020" s="112">
        <v>21.861450000000001</v>
      </c>
      <c r="O2020" s="204"/>
      <c r="P2020" s="112"/>
      <c r="Q2020" s="112"/>
      <c r="R2020" s="112"/>
      <c r="S2020" s="112"/>
      <c r="T2020" s="112"/>
      <c r="U2020" t="s">
        <v>5795</v>
      </c>
      <c r="V2020" t="s">
        <v>5796</v>
      </c>
      <c r="W2020" t="s">
        <v>3958</v>
      </c>
      <c r="X2020" t="s">
        <v>4660</v>
      </c>
    </row>
    <row r="2021" spans="1:24" x14ac:dyDescent="0.2">
      <c r="A2021" t="s">
        <v>5794</v>
      </c>
      <c r="B2021" t="s">
        <v>1879</v>
      </c>
      <c r="C2021" t="s">
        <v>1880</v>
      </c>
      <c r="D2021" t="s">
        <v>56</v>
      </c>
      <c r="E2021" t="s">
        <v>835</v>
      </c>
      <c r="F2021" t="s">
        <v>84</v>
      </c>
      <c r="G2021" s="202">
        <v>4</v>
      </c>
      <c r="H2021">
        <v>2</v>
      </c>
      <c r="I2021" t="s">
        <v>3960</v>
      </c>
      <c r="J2021" t="s">
        <v>5229</v>
      </c>
      <c r="K2021" t="s">
        <v>1283</v>
      </c>
      <c r="L2021" s="204">
        <v>0.64</v>
      </c>
      <c r="M2021" s="112">
        <v>84.082499999999996</v>
      </c>
      <c r="N2021" s="112">
        <v>53.812799999999996</v>
      </c>
      <c r="O2021" s="204"/>
      <c r="P2021" s="112"/>
      <c r="Q2021" s="112"/>
      <c r="R2021" s="112"/>
      <c r="S2021" s="112"/>
      <c r="T2021" s="112"/>
      <c r="U2021" t="s">
        <v>5795</v>
      </c>
      <c r="V2021" t="s">
        <v>5796</v>
      </c>
      <c r="W2021" t="s">
        <v>3958</v>
      </c>
      <c r="X2021" t="s">
        <v>4660</v>
      </c>
    </row>
    <row r="2022" spans="1:24" x14ac:dyDescent="0.2">
      <c r="A2022" t="s">
        <v>5794</v>
      </c>
      <c r="B2022" t="s">
        <v>1879</v>
      </c>
      <c r="C2022" t="s">
        <v>1880</v>
      </c>
      <c r="D2022" t="s">
        <v>56</v>
      </c>
      <c r="E2022" t="s">
        <v>835</v>
      </c>
      <c r="F2022" t="s">
        <v>84</v>
      </c>
      <c r="G2022" s="202">
        <v>4</v>
      </c>
      <c r="H2022">
        <v>3</v>
      </c>
      <c r="I2022" t="s">
        <v>3976</v>
      </c>
      <c r="J2022" t="s">
        <v>5230</v>
      </c>
      <c r="K2022" t="s">
        <v>1283</v>
      </c>
      <c r="L2022" s="204">
        <v>0.04</v>
      </c>
      <c r="M2022" s="112">
        <v>84.082499999999996</v>
      </c>
      <c r="N2022" s="112">
        <v>3.3632999999999997</v>
      </c>
      <c r="O2022" s="204"/>
      <c r="P2022" s="112"/>
      <c r="Q2022" s="112"/>
      <c r="R2022" s="112"/>
      <c r="S2022" s="112"/>
      <c r="T2022" s="112"/>
      <c r="U2022" t="s">
        <v>5795</v>
      </c>
      <c r="V2022" t="s">
        <v>5796</v>
      </c>
      <c r="W2022" t="s">
        <v>3958</v>
      </c>
      <c r="X2022" t="s">
        <v>4660</v>
      </c>
    </row>
    <row r="2023" spans="1:24" x14ac:dyDescent="0.2">
      <c r="A2023" t="s">
        <v>5794</v>
      </c>
      <c r="B2023" t="s">
        <v>1879</v>
      </c>
      <c r="C2023" t="s">
        <v>1880</v>
      </c>
      <c r="D2023" t="s">
        <v>56</v>
      </c>
      <c r="E2023" t="s">
        <v>835</v>
      </c>
      <c r="F2023" t="s">
        <v>84</v>
      </c>
      <c r="G2023" s="202">
        <v>4</v>
      </c>
      <c r="H2023">
        <v>4</v>
      </c>
      <c r="I2023" t="s">
        <v>4017</v>
      </c>
      <c r="J2023" t="s">
        <v>4851</v>
      </c>
      <c r="K2023" t="s">
        <v>1283</v>
      </c>
      <c r="L2023" s="204">
        <v>0.06</v>
      </c>
      <c r="M2023" s="112">
        <v>84.082499999999996</v>
      </c>
      <c r="N2023" s="112">
        <v>5.0449499999999992</v>
      </c>
      <c r="O2023" s="204"/>
      <c r="P2023" s="112"/>
      <c r="Q2023" s="112"/>
      <c r="R2023" s="112"/>
      <c r="S2023" s="112"/>
      <c r="T2023" s="112"/>
      <c r="U2023" t="s">
        <v>5795</v>
      </c>
      <c r="V2023" t="s">
        <v>5796</v>
      </c>
      <c r="W2023" t="s">
        <v>3958</v>
      </c>
      <c r="X2023" t="s">
        <v>4660</v>
      </c>
    </row>
    <row r="2024" spans="1:24" x14ac:dyDescent="0.2">
      <c r="A2024" t="s">
        <v>5794</v>
      </c>
      <c r="B2024" t="s">
        <v>1879</v>
      </c>
      <c r="C2024" t="s">
        <v>1880</v>
      </c>
      <c r="D2024" t="s">
        <v>56</v>
      </c>
      <c r="E2024" t="s">
        <v>835</v>
      </c>
      <c r="F2024" t="s">
        <v>84</v>
      </c>
      <c r="G2024" s="202">
        <v>4</v>
      </c>
      <c r="H2024">
        <v>5</v>
      </c>
      <c r="I2024" t="s">
        <v>3968</v>
      </c>
      <c r="J2024" t="s">
        <v>3969</v>
      </c>
      <c r="K2024" t="s">
        <v>84</v>
      </c>
      <c r="L2024" s="204">
        <v>1</v>
      </c>
      <c r="M2024" s="112"/>
      <c r="N2024" s="112">
        <v>84.082499999999996</v>
      </c>
      <c r="O2024" s="204">
        <v>0.22228168762822231</v>
      </c>
      <c r="P2024" s="112">
        <v>18.689999999999998</v>
      </c>
      <c r="Q2024" s="112">
        <v>102.77249999999999</v>
      </c>
      <c r="R2024" s="112">
        <v>411.09</v>
      </c>
      <c r="S2024" s="112">
        <v>411.09</v>
      </c>
      <c r="T2024" s="112">
        <v>0</v>
      </c>
      <c r="U2024" t="s">
        <v>5795</v>
      </c>
      <c r="V2024" t="s">
        <v>5796</v>
      </c>
      <c r="W2024" t="s">
        <v>4666</v>
      </c>
      <c r="X2024" t="s">
        <v>4667</v>
      </c>
    </row>
    <row r="2025" spans="1:24" x14ac:dyDescent="0.2">
      <c r="A2025" t="s">
        <v>5797</v>
      </c>
      <c r="B2025" t="s">
        <v>1881</v>
      </c>
      <c r="C2025" t="s">
        <v>1882</v>
      </c>
      <c r="D2025" t="s">
        <v>24</v>
      </c>
      <c r="E2025" t="s">
        <v>837</v>
      </c>
      <c r="F2025" t="s">
        <v>84</v>
      </c>
      <c r="G2025" s="202">
        <v>1</v>
      </c>
      <c r="H2025">
        <v>1</v>
      </c>
      <c r="I2025" t="s">
        <v>3954</v>
      </c>
      <c r="J2025" t="s">
        <v>4110</v>
      </c>
      <c r="K2025" t="s">
        <v>1283</v>
      </c>
      <c r="L2025" s="204">
        <v>0.3</v>
      </c>
      <c r="M2025" s="112">
        <v>667.67250000000001</v>
      </c>
      <c r="N2025" s="112">
        <v>200.30175</v>
      </c>
      <c r="O2025" s="204"/>
      <c r="P2025" s="112"/>
      <c r="Q2025" s="112"/>
      <c r="R2025" s="112"/>
      <c r="S2025" s="112"/>
      <c r="T2025" s="112"/>
      <c r="U2025" t="s">
        <v>5798</v>
      </c>
      <c r="V2025" t="s">
        <v>5799</v>
      </c>
      <c r="W2025" t="s">
        <v>3958</v>
      </c>
      <c r="X2025" t="s">
        <v>4660</v>
      </c>
    </row>
    <row r="2026" spans="1:24" x14ac:dyDescent="0.2">
      <c r="A2026" t="s">
        <v>5797</v>
      </c>
      <c r="B2026" t="s">
        <v>1881</v>
      </c>
      <c r="C2026" t="s">
        <v>1882</v>
      </c>
      <c r="D2026" t="s">
        <v>24</v>
      </c>
      <c r="E2026" t="s">
        <v>837</v>
      </c>
      <c r="F2026" t="s">
        <v>84</v>
      </c>
      <c r="G2026" s="202">
        <v>1</v>
      </c>
      <c r="H2026">
        <v>2</v>
      </c>
      <c r="I2026" t="s">
        <v>3960</v>
      </c>
      <c r="J2026" t="s">
        <v>4113</v>
      </c>
      <c r="K2026" t="s">
        <v>1283</v>
      </c>
      <c r="L2026" s="204">
        <v>0.55000000000000004</v>
      </c>
      <c r="M2026" s="112">
        <v>667.67250000000001</v>
      </c>
      <c r="N2026" s="112">
        <v>367.21987500000006</v>
      </c>
      <c r="O2026" s="204"/>
      <c r="P2026" s="112"/>
      <c r="Q2026" s="112"/>
      <c r="R2026" s="112"/>
      <c r="S2026" s="112"/>
      <c r="T2026" s="112"/>
      <c r="U2026" t="s">
        <v>5798</v>
      </c>
      <c r="V2026" t="s">
        <v>5799</v>
      </c>
      <c r="W2026" t="s">
        <v>3958</v>
      </c>
      <c r="X2026" t="s">
        <v>4660</v>
      </c>
    </row>
    <row r="2027" spans="1:24" x14ac:dyDescent="0.2">
      <c r="A2027" t="s">
        <v>5797</v>
      </c>
      <c r="B2027" t="s">
        <v>1881</v>
      </c>
      <c r="C2027" t="s">
        <v>1882</v>
      </c>
      <c r="D2027" t="s">
        <v>24</v>
      </c>
      <c r="E2027" t="s">
        <v>837</v>
      </c>
      <c r="F2027" t="s">
        <v>84</v>
      </c>
      <c r="G2027" s="202">
        <v>1</v>
      </c>
      <c r="H2027">
        <v>3</v>
      </c>
      <c r="I2027" t="s">
        <v>3976</v>
      </c>
      <c r="J2027" t="s">
        <v>4114</v>
      </c>
      <c r="K2027" t="s">
        <v>1283</v>
      </c>
      <c r="L2027" s="204">
        <v>0.1</v>
      </c>
      <c r="M2027" s="112">
        <v>667.67250000000001</v>
      </c>
      <c r="N2027" s="112">
        <v>66.767250000000004</v>
      </c>
      <c r="O2027" s="204"/>
      <c r="P2027" s="112"/>
      <c r="Q2027" s="112"/>
      <c r="R2027" s="112"/>
      <c r="S2027" s="112"/>
      <c r="T2027" s="112"/>
      <c r="U2027" t="s">
        <v>5798</v>
      </c>
      <c r="V2027" t="s">
        <v>5799</v>
      </c>
      <c r="W2027" t="s">
        <v>3958</v>
      </c>
      <c r="X2027" t="s">
        <v>4660</v>
      </c>
    </row>
    <row r="2028" spans="1:24" x14ac:dyDescent="0.2">
      <c r="A2028" t="s">
        <v>5797</v>
      </c>
      <c r="B2028" t="s">
        <v>1881</v>
      </c>
      <c r="C2028" t="s">
        <v>1882</v>
      </c>
      <c r="D2028" t="s">
        <v>24</v>
      </c>
      <c r="E2028" t="s">
        <v>837</v>
      </c>
      <c r="F2028" t="s">
        <v>84</v>
      </c>
      <c r="G2028" s="202">
        <v>1</v>
      </c>
      <c r="H2028">
        <v>4</v>
      </c>
      <c r="I2028" t="s">
        <v>4017</v>
      </c>
      <c r="J2028" t="s">
        <v>4115</v>
      </c>
      <c r="K2028" t="s">
        <v>1283</v>
      </c>
      <c r="L2028" s="204">
        <v>0.05</v>
      </c>
      <c r="M2028" s="112">
        <v>667.67250000000001</v>
      </c>
      <c r="N2028" s="112">
        <v>33.383625000000002</v>
      </c>
      <c r="O2028" s="204"/>
      <c r="P2028" s="112"/>
      <c r="Q2028" s="112"/>
      <c r="R2028" s="112"/>
      <c r="S2028" s="112"/>
      <c r="T2028" s="112"/>
      <c r="U2028" t="s">
        <v>5798</v>
      </c>
      <c r="V2028" t="s">
        <v>5799</v>
      </c>
      <c r="W2028" t="s">
        <v>3958</v>
      </c>
      <c r="X2028" t="s">
        <v>4660</v>
      </c>
    </row>
    <row r="2029" spans="1:24" x14ac:dyDescent="0.2">
      <c r="A2029" t="s">
        <v>5797</v>
      </c>
      <c r="B2029" t="s">
        <v>1881</v>
      </c>
      <c r="C2029" t="s">
        <v>1882</v>
      </c>
      <c r="D2029" t="s">
        <v>24</v>
      </c>
      <c r="E2029" t="s">
        <v>837</v>
      </c>
      <c r="F2029" t="s">
        <v>84</v>
      </c>
      <c r="G2029" s="202">
        <v>1</v>
      </c>
      <c r="H2029">
        <v>5</v>
      </c>
      <c r="I2029" t="s">
        <v>3968</v>
      </c>
      <c r="J2029" t="s">
        <v>3969</v>
      </c>
      <c r="K2029" t="s">
        <v>84</v>
      </c>
      <c r="L2029" s="204">
        <v>1</v>
      </c>
      <c r="M2029" s="112"/>
      <c r="N2029" s="112">
        <v>667.67250000000001</v>
      </c>
      <c r="O2029" s="204">
        <v>0.22229086865192138</v>
      </c>
      <c r="P2029" s="112">
        <v>148.41750000000002</v>
      </c>
      <c r="Q2029" s="112">
        <v>816.09</v>
      </c>
      <c r="R2029" s="112">
        <v>816.09</v>
      </c>
      <c r="S2029" s="112">
        <v>816.09</v>
      </c>
      <c r="T2029" s="112">
        <v>0</v>
      </c>
      <c r="U2029" t="s">
        <v>5798</v>
      </c>
      <c r="V2029" t="s">
        <v>5799</v>
      </c>
      <c r="W2029" t="s">
        <v>4666</v>
      </c>
      <c r="X2029" t="s">
        <v>4667</v>
      </c>
    </row>
    <row r="2030" spans="1:24" x14ac:dyDescent="0.2">
      <c r="A2030" t="s">
        <v>5800</v>
      </c>
      <c r="B2030" t="s">
        <v>1883</v>
      </c>
      <c r="C2030" t="s">
        <v>838</v>
      </c>
      <c r="D2030" t="s">
        <v>24</v>
      </c>
      <c r="E2030" t="s">
        <v>1884</v>
      </c>
      <c r="F2030" t="s">
        <v>84</v>
      </c>
      <c r="G2030" s="202">
        <v>5</v>
      </c>
      <c r="H2030">
        <v>1</v>
      </c>
      <c r="I2030" t="s">
        <v>3954</v>
      </c>
      <c r="J2030" t="s">
        <v>5227</v>
      </c>
      <c r="K2030" t="s">
        <v>1283</v>
      </c>
      <c r="L2030" s="204">
        <v>0.26</v>
      </c>
      <c r="M2030" s="112">
        <v>21.9375</v>
      </c>
      <c r="N2030" s="112">
        <v>5.7037500000000003</v>
      </c>
      <c r="O2030" s="204"/>
      <c r="P2030" s="112"/>
      <c r="Q2030" s="112"/>
      <c r="R2030" s="112"/>
      <c r="S2030" s="112"/>
      <c r="T2030" s="112"/>
      <c r="U2030" t="s">
        <v>5801</v>
      </c>
      <c r="V2030" t="s">
        <v>5802</v>
      </c>
      <c r="W2030" t="s">
        <v>3958</v>
      </c>
      <c r="X2030" t="s">
        <v>4660</v>
      </c>
    </row>
    <row r="2031" spans="1:24" x14ac:dyDescent="0.2">
      <c r="A2031" t="s">
        <v>5800</v>
      </c>
      <c r="B2031" t="s">
        <v>1883</v>
      </c>
      <c r="C2031" t="s">
        <v>838</v>
      </c>
      <c r="D2031" t="s">
        <v>24</v>
      </c>
      <c r="E2031" t="s">
        <v>1884</v>
      </c>
      <c r="F2031" t="s">
        <v>84</v>
      </c>
      <c r="G2031" s="202">
        <v>5</v>
      </c>
      <c r="H2031">
        <v>2</v>
      </c>
      <c r="I2031" t="s">
        <v>3960</v>
      </c>
      <c r="J2031" t="s">
        <v>5229</v>
      </c>
      <c r="K2031" t="s">
        <v>1283</v>
      </c>
      <c r="L2031" s="204">
        <v>0.64</v>
      </c>
      <c r="M2031" s="112">
        <v>21.9375</v>
      </c>
      <c r="N2031" s="112">
        <v>14.040000000000001</v>
      </c>
      <c r="O2031" s="204"/>
      <c r="P2031" s="112"/>
      <c r="Q2031" s="112"/>
      <c r="R2031" s="112"/>
      <c r="S2031" s="112"/>
      <c r="T2031" s="112"/>
      <c r="U2031" t="s">
        <v>5801</v>
      </c>
      <c r="V2031" t="s">
        <v>5802</v>
      </c>
      <c r="W2031" t="s">
        <v>3958</v>
      </c>
      <c r="X2031" t="s">
        <v>4660</v>
      </c>
    </row>
    <row r="2032" spans="1:24" x14ac:dyDescent="0.2">
      <c r="A2032" t="s">
        <v>5800</v>
      </c>
      <c r="B2032" t="s">
        <v>1883</v>
      </c>
      <c r="C2032" t="s">
        <v>838</v>
      </c>
      <c r="D2032" t="s">
        <v>24</v>
      </c>
      <c r="E2032" t="s">
        <v>1884</v>
      </c>
      <c r="F2032" t="s">
        <v>84</v>
      </c>
      <c r="G2032" s="202">
        <v>5</v>
      </c>
      <c r="H2032">
        <v>3</v>
      </c>
      <c r="I2032" t="s">
        <v>3976</v>
      </c>
      <c r="J2032" t="s">
        <v>5230</v>
      </c>
      <c r="K2032" t="s">
        <v>1283</v>
      </c>
      <c r="L2032" s="204">
        <v>0.04</v>
      </c>
      <c r="M2032" s="112">
        <v>21.9375</v>
      </c>
      <c r="N2032" s="112">
        <v>0.87750000000000006</v>
      </c>
      <c r="O2032" s="204"/>
      <c r="P2032" s="112"/>
      <c r="Q2032" s="112"/>
      <c r="R2032" s="112"/>
      <c r="S2032" s="112"/>
      <c r="T2032" s="112"/>
      <c r="U2032" t="s">
        <v>5801</v>
      </c>
      <c r="V2032" t="s">
        <v>5802</v>
      </c>
      <c r="W2032" t="s">
        <v>3958</v>
      </c>
      <c r="X2032" t="s">
        <v>4660</v>
      </c>
    </row>
    <row r="2033" spans="1:24" x14ac:dyDescent="0.2">
      <c r="A2033" t="s">
        <v>5800</v>
      </c>
      <c r="B2033" t="s">
        <v>1883</v>
      </c>
      <c r="C2033" t="s">
        <v>838</v>
      </c>
      <c r="D2033" t="s">
        <v>24</v>
      </c>
      <c r="E2033" t="s">
        <v>1884</v>
      </c>
      <c r="F2033" t="s">
        <v>84</v>
      </c>
      <c r="G2033" s="202">
        <v>5</v>
      </c>
      <c r="H2033">
        <v>4</v>
      </c>
      <c r="I2033" t="s">
        <v>4017</v>
      </c>
      <c r="J2033" t="s">
        <v>4851</v>
      </c>
      <c r="K2033" t="s">
        <v>1283</v>
      </c>
      <c r="L2033" s="204">
        <v>0.06</v>
      </c>
      <c r="M2033" s="112">
        <v>21.9375</v>
      </c>
      <c r="N2033" s="112">
        <v>1.3162499999999999</v>
      </c>
      <c r="O2033" s="204"/>
      <c r="P2033" s="112"/>
      <c r="Q2033" s="112"/>
      <c r="R2033" s="112"/>
      <c r="S2033" s="112"/>
      <c r="T2033" s="112"/>
      <c r="U2033" t="s">
        <v>5801</v>
      </c>
      <c r="V2033" t="s">
        <v>5802</v>
      </c>
      <c r="W2033" t="s">
        <v>3958</v>
      </c>
      <c r="X2033" t="s">
        <v>4660</v>
      </c>
    </row>
    <row r="2034" spans="1:24" x14ac:dyDescent="0.2">
      <c r="A2034" t="s">
        <v>5800</v>
      </c>
      <c r="B2034" t="s">
        <v>1883</v>
      </c>
      <c r="C2034" t="s">
        <v>838</v>
      </c>
      <c r="D2034" t="s">
        <v>24</v>
      </c>
      <c r="E2034" t="s">
        <v>1884</v>
      </c>
      <c r="F2034" t="s">
        <v>84</v>
      </c>
      <c r="G2034" s="202">
        <v>5</v>
      </c>
      <c r="H2034">
        <v>5</v>
      </c>
      <c r="I2034" t="s">
        <v>3968</v>
      </c>
      <c r="J2034" t="s">
        <v>3969</v>
      </c>
      <c r="K2034" t="s">
        <v>84</v>
      </c>
      <c r="L2034" s="204">
        <v>1</v>
      </c>
      <c r="M2034" s="112"/>
      <c r="N2034" s="112">
        <v>21.9375</v>
      </c>
      <c r="O2034" s="204">
        <v>0.22219943019943034</v>
      </c>
      <c r="P2034" s="112">
        <v>4.8745000000000012</v>
      </c>
      <c r="Q2034" s="112">
        <v>26.812000000000001</v>
      </c>
      <c r="R2034" s="112">
        <v>134.06</v>
      </c>
      <c r="S2034" s="112">
        <v>134.06</v>
      </c>
      <c r="T2034" s="112">
        <v>0</v>
      </c>
      <c r="U2034" t="s">
        <v>5801</v>
      </c>
      <c r="V2034" t="s">
        <v>5802</v>
      </c>
      <c r="W2034" t="s">
        <v>4666</v>
      </c>
      <c r="X2034" t="s">
        <v>4667</v>
      </c>
    </row>
    <row r="2035" spans="1:24" x14ac:dyDescent="0.2">
      <c r="A2035" t="s">
        <v>5803</v>
      </c>
      <c r="B2035" t="s">
        <v>1885</v>
      </c>
      <c r="C2035" t="s">
        <v>1886</v>
      </c>
      <c r="D2035" t="s">
        <v>56</v>
      </c>
      <c r="E2035" t="s">
        <v>840</v>
      </c>
      <c r="F2035" t="s">
        <v>84</v>
      </c>
      <c r="G2035" s="202">
        <v>6</v>
      </c>
      <c r="H2035">
        <v>1</v>
      </c>
      <c r="I2035" t="s">
        <v>3954</v>
      </c>
      <c r="J2035" t="s">
        <v>5227</v>
      </c>
      <c r="K2035" t="s">
        <v>1283</v>
      </c>
      <c r="L2035" s="204">
        <v>0.26</v>
      </c>
      <c r="M2035" s="112">
        <v>226.70249999999999</v>
      </c>
      <c r="N2035" s="112">
        <v>58.94265</v>
      </c>
      <c r="O2035" s="204"/>
      <c r="P2035" s="112"/>
      <c r="Q2035" s="112"/>
      <c r="R2035" s="112"/>
      <c r="S2035" s="112"/>
      <c r="T2035" s="112"/>
      <c r="U2035" t="s">
        <v>5804</v>
      </c>
      <c r="V2035" t="s">
        <v>5805</v>
      </c>
      <c r="W2035" t="s">
        <v>3958</v>
      </c>
      <c r="X2035" t="s">
        <v>4660</v>
      </c>
    </row>
    <row r="2036" spans="1:24" x14ac:dyDescent="0.2">
      <c r="A2036" t="s">
        <v>5803</v>
      </c>
      <c r="B2036" t="s">
        <v>1885</v>
      </c>
      <c r="C2036" t="s">
        <v>1886</v>
      </c>
      <c r="D2036" t="s">
        <v>56</v>
      </c>
      <c r="E2036" t="s">
        <v>840</v>
      </c>
      <c r="F2036" t="s">
        <v>84</v>
      </c>
      <c r="G2036" s="202">
        <v>6</v>
      </c>
      <c r="H2036">
        <v>2</v>
      </c>
      <c r="I2036" t="s">
        <v>3960</v>
      </c>
      <c r="J2036" t="s">
        <v>5229</v>
      </c>
      <c r="K2036" t="s">
        <v>1283</v>
      </c>
      <c r="L2036" s="204">
        <v>0.64</v>
      </c>
      <c r="M2036" s="112">
        <v>226.70249999999999</v>
      </c>
      <c r="N2036" s="112">
        <v>145.08959999999999</v>
      </c>
      <c r="O2036" s="204"/>
      <c r="P2036" s="112"/>
      <c r="Q2036" s="112"/>
      <c r="R2036" s="112"/>
      <c r="S2036" s="112"/>
      <c r="T2036" s="112"/>
      <c r="U2036" t="s">
        <v>5804</v>
      </c>
      <c r="V2036" t="s">
        <v>5805</v>
      </c>
      <c r="W2036" t="s">
        <v>3958</v>
      </c>
      <c r="X2036" t="s">
        <v>4660</v>
      </c>
    </row>
    <row r="2037" spans="1:24" x14ac:dyDescent="0.2">
      <c r="A2037" t="s">
        <v>5803</v>
      </c>
      <c r="B2037" t="s">
        <v>1885</v>
      </c>
      <c r="C2037" t="s">
        <v>1886</v>
      </c>
      <c r="D2037" t="s">
        <v>56</v>
      </c>
      <c r="E2037" t="s">
        <v>840</v>
      </c>
      <c r="F2037" t="s">
        <v>84</v>
      </c>
      <c r="G2037" s="202">
        <v>6</v>
      </c>
      <c r="H2037">
        <v>3</v>
      </c>
      <c r="I2037" t="s">
        <v>3976</v>
      </c>
      <c r="J2037" t="s">
        <v>5230</v>
      </c>
      <c r="K2037" t="s">
        <v>1283</v>
      </c>
      <c r="L2037" s="204">
        <v>0.04</v>
      </c>
      <c r="M2037" s="112">
        <v>226.70249999999999</v>
      </c>
      <c r="N2037" s="112">
        <v>9.0680999999999994</v>
      </c>
      <c r="O2037" s="204"/>
      <c r="P2037" s="112"/>
      <c r="Q2037" s="112"/>
      <c r="R2037" s="112"/>
      <c r="S2037" s="112"/>
      <c r="T2037" s="112"/>
      <c r="U2037" t="s">
        <v>5804</v>
      </c>
      <c r="V2037" t="s">
        <v>5805</v>
      </c>
      <c r="W2037" t="s">
        <v>3958</v>
      </c>
      <c r="X2037" t="s">
        <v>4660</v>
      </c>
    </row>
    <row r="2038" spans="1:24" x14ac:dyDescent="0.2">
      <c r="A2038" t="s">
        <v>5803</v>
      </c>
      <c r="B2038" t="s">
        <v>1885</v>
      </c>
      <c r="C2038" t="s">
        <v>1886</v>
      </c>
      <c r="D2038" t="s">
        <v>56</v>
      </c>
      <c r="E2038" t="s">
        <v>840</v>
      </c>
      <c r="F2038" t="s">
        <v>84</v>
      </c>
      <c r="G2038" s="202">
        <v>6</v>
      </c>
      <c r="H2038">
        <v>4</v>
      </c>
      <c r="I2038" t="s">
        <v>4017</v>
      </c>
      <c r="J2038" t="s">
        <v>4851</v>
      </c>
      <c r="K2038" t="s">
        <v>1283</v>
      </c>
      <c r="L2038" s="204">
        <v>0.06</v>
      </c>
      <c r="M2038" s="112">
        <v>226.70249999999999</v>
      </c>
      <c r="N2038" s="112">
        <v>13.602149999999998</v>
      </c>
      <c r="O2038" s="204"/>
      <c r="P2038" s="112"/>
      <c r="Q2038" s="112"/>
      <c r="R2038" s="112"/>
      <c r="S2038" s="112"/>
      <c r="T2038" s="112"/>
      <c r="U2038" t="s">
        <v>5804</v>
      </c>
      <c r="V2038" t="s">
        <v>5805</v>
      </c>
      <c r="W2038" t="s">
        <v>3958</v>
      </c>
      <c r="X2038" t="s">
        <v>4660</v>
      </c>
    </row>
    <row r="2039" spans="1:24" x14ac:dyDescent="0.2">
      <c r="A2039" t="s">
        <v>5803</v>
      </c>
      <c r="B2039" t="s">
        <v>1885</v>
      </c>
      <c r="C2039" t="s">
        <v>1886</v>
      </c>
      <c r="D2039" t="s">
        <v>56</v>
      </c>
      <c r="E2039" t="s">
        <v>840</v>
      </c>
      <c r="F2039" t="s">
        <v>84</v>
      </c>
      <c r="G2039" s="202">
        <v>6</v>
      </c>
      <c r="H2039">
        <v>5</v>
      </c>
      <c r="I2039" t="s">
        <v>3968</v>
      </c>
      <c r="J2039" t="s">
        <v>3969</v>
      </c>
      <c r="K2039" t="s">
        <v>84</v>
      </c>
      <c r="L2039" s="204">
        <v>1</v>
      </c>
      <c r="M2039" s="112"/>
      <c r="N2039" s="112">
        <v>226.70249999999999</v>
      </c>
      <c r="O2039" s="204">
        <v>0.22228471234326919</v>
      </c>
      <c r="P2039" s="112">
        <v>50.392499999999984</v>
      </c>
      <c r="Q2039" s="112">
        <v>277.09499999999997</v>
      </c>
      <c r="R2039" s="112">
        <v>1662.57</v>
      </c>
      <c r="S2039" s="112">
        <v>1662.57</v>
      </c>
      <c r="T2039" s="112">
        <v>0</v>
      </c>
      <c r="U2039" t="s">
        <v>5804</v>
      </c>
      <c r="V2039" t="s">
        <v>5805</v>
      </c>
      <c r="W2039" t="s">
        <v>4666</v>
      </c>
      <c r="X2039" t="s">
        <v>4667</v>
      </c>
    </row>
    <row r="2040" spans="1:24" x14ac:dyDescent="0.2">
      <c r="A2040" t="s">
        <v>5806</v>
      </c>
      <c r="B2040" t="s">
        <v>1887</v>
      </c>
      <c r="C2040" t="s">
        <v>1888</v>
      </c>
      <c r="D2040" t="s">
        <v>56</v>
      </c>
      <c r="E2040" t="s">
        <v>841</v>
      </c>
      <c r="F2040" t="s">
        <v>84</v>
      </c>
      <c r="G2040" s="202">
        <v>4</v>
      </c>
      <c r="H2040">
        <v>1</v>
      </c>
      <c r="I2040" t="s">
        <v>4705</v>
      </c>
      <c r="J2040" t="s">
        <v>4706</v>
      </c>
      <c r="K2040" t="s">
        <v>1283</v>
      </c>
      <c r="L2040" s="204">
        <v>0.65</v>
      </c>
      <c r="M2040" s="112">
        <v>319.63499999999999</v>
      </c>
      <c r="N2040" s="112">
        <v>207.76275000000001</v>
      </c>
      <c r="O2040" s="204"/>
      <c r="P2040" s="112"/>
      <c r="Q2040" s="112"/>
      <c r="R2040" s="112"/>
      <c r="S2040" s="112"/>
      <c r="T2040" s="112"/>
      <c r="U2040" t="s">
        <v>5807</v>
      </c>
      <c r="V2040" t="s">
        <v>5808</v>
      </c>
      <c r="W2040" t="s">
        <v>3958</v>
      </c>
      <c r="X2040" t="s">
        <v>4660</v>
      </c>
    </row>
    <row r="2041" spans="1:24" x14ac:dyDescent="0.2">
      <c r="A2041" t="s">
        <v>5806</v>
      </c>
      <c r="B2041" t="s">
        <v>1887</v>
      </c>
      <c r="C2041" t="s">
        <v>1888</v>
      </c>
      <c r="D2041" t="s">
        <v>56</v>
      </c>
      <c r="E2041" t="s">
        <v>841</v>
      </c>
      <c r="F2041" t="s">
        <v>84</v>
      </c>
      <c r="G2041" s="202">
        <v>4</v>
      </c>
      <c r="H2041">
        <v>2</v>
      </c>
      <c r="I2041" t="s">
        <v>4709</v>
      </c>
      <c r="J2041" t="s">
        <v>4710</v>
      </c>
      <c r="K2041" t="s">
        <v>1283</v>
      </c>
      <c r="L2041" s="204">
        <v>0.2</v>
      </c>
      <c r="M2041" s="112">
        <v>319.63499999999999</v>
      </c>
      <c r="N2041" s="112">
        <v>63.927</v>
      </c>
      <c r="O2041" s="204"/>
      <c r="P2041" s="112"/>
      <c r="Q2041" s="112"/>
      <c r="R2041" s="112"/>
      <c r="S2041" s="112"/>
      <c r="T2041" s="112"/>
      <c r="U2041" t="s">
        <v>5807</v>
      </c>
      <c r="V2041" t="s">
        <v>5808</v>
      </c>
      <c r="W2041" t="s">
        <v>3958</v>
      </c>
      <c r="X2041" t="s">
        <v>4660</v>
      </c>
    </row>
    <row r="2042" spans="1:24" x14ac:dyDescent="0.2">
      <c r="A2042" t="s">
        <v>5806</v>
      </c>
      <c r="B2042" t="s">
        <v>1887</v>
      </c>
      <c r="C2042" t="s">
        <v>1888</v>
      </c>
      <c r="D2042" t="s">
        <v>56</v>
      </c>
      <c r="E2042" t="s">
        <v>841</v>
      </c>
      <c r="F2042" t="s">
        <v>84</v>
      </c>
      <c r="G2042" s="202">
        <v>4</v>
      </c>
      <c r="H2042">
        <v>3</v>
      </c>
      <c r="I2042" t="s">
        <v>4091</v>
      </c>
      <c r="J2042" t="s">
        <v>4711</v>
      </c>
      <c r="K2042" t="s">
        <v>1283</v>
      </c>
      <c r="L2042" s="204">
        <v>0.1</v>
      </c>
      <c r="M2042" s="112">
        <v>319.63499999999999</v>
      </c>
      <c r="N2042" s="112">
        <v>31.9635</v>
      </c>
      <c r="O2042" s="204"/>
      <c r="P2042" s="112"/>
      <c r="Q2042" s="112"/>
      <c r="R2042" s="112"/>
      <c r="S2042" s="112"/>
      <c r="T2042" s="112"/>
      <c r="U2042" t="s">
        <v>5807</v>
      </c>
      <c r="V2042" t="s">
        <v>5808</v>
      </c>
      <c r="W2042" t="s">
        <v>3958</v>
      </c>
      <c r="X2042" t="s">
        <v>4660</v>
      </c>
    </row>
    <row r="2043" spans="1:24" x14ac:dyDescent="0.2">
      <c r="A2043" t="s">
        <v>5806</v>
      </c>
      <c r="B2043" t="s">
        <v>1887</v>
      </c>
      <c r="C2043" t="s">
        <v>1888</v>
      </c>
      <c r="D2043" t="s">
        <v>56</v>
      </c>
      <c r="E2043" t="s">
        <v>841</v>
      </c>
      <c r="F2043" t="s">
        <v>84</v>
      </c>
      <c r="G2043" s="202">
        <v>4</v>
      </c>
      <c r="H2043">
        <v>4</v>
      </c>
      <c r="I2043" t="s">
        <v>4712</v>
      </c>
      <c r="J2043" t="s">
        <v>4713</v>
      </c>
      <c r="K2043" t="s">
        <v>1283</v>
      </c>
      <c r="L2043" s="204">
        <v>0.05</v>
      </c>
      <c r="M2043" s="112">
        <v>319.63499999999999</v>
      </c>
      <c r="N2043" s="112">
        <v>15.98175</v>
      </c>
      <c r="O2043" s="204"/>
      <c r="P2043" s="112"/>
      <c r="Q2043" s="112"/>
      <c r="R2043" s="112"/>
      <c r="S2043" s="112"/>
      <c r="T2043" s="112"/>
      <c r="U2043" t="s">
        <v>5807</v>
      </c>
      <c r="V2043" t="s">
        <v>5808</v>
      </c>
      <c r="W2043" t="s">
        <v>3958</v>
      </c>
      <c r="X2043" t="s">
        <v>4660</v>
      </c>
    </row>
    <row r="2044" spans="1:24" x14ac:dyDescent="0.2">
      <c r="A2044" t="s">
        <v>5806</v>
      </c>
      <c r="B2044" t="s">
        <v>1887</v>
      </c>
      <c r="C2044" t="s">
        <v>1888</v>
      </c>
      <c r="D2044" t="s">
        <v>56</v>
      </c>
      <c r="E2044" t="s">
        <v>841</v>
      </c>
      <c r="F2044" t="s">
        <v>84</v>
      </c>
      <c r="G2044" s="202">
        <v>4</v>
      </c>
      <c r="H2044">
        <v>5</v>
      </c>
      <c r="I2044" t="s">
        <v>3968</v>
      </c>
      <c r="J2044" t="s">
        <v>3969</v>
      </c>
      <c r="K2044" t="s">
        <v>84</v>
      </c>
      <c r="L2044" s="204">
        <v>1</v>
      </c>
      <c r="M2044" s="112"/>
      <c r="N2044" s="112">
        <v>319.63499999999999</v>
      </c>
      <c r="O2044" s="204">
        <v>0.22227697217138309</v>
      </c>
      <c r="P2044" s="112">
        <v>71.047500000000014</v>
      </c>
      <c r="Q2044" s="112">
        <v>390.6825</v>
      </c>
      <c r="R2044" s="112">
        <v>1562.73</v>
      </c>
      <c r="S2044" s="112">
        <v>1562.73</v>
      </c>
      <c r="T2044" s="112">
        <v>0</v>
      </c>
      <c r="U2044" t="s">
        <v>5807</v>
      </c>
      <c r="V2044" t="s">
        <v>5808</v>
      </c>
      <c r="W2044" t="s">
        <v>4666</v>
      </c>
      <c r="X2044" t="s">
        <v>4667</v>
      </c>
    </row>
    <row r="2045" spans="1:24" x14ac:dyDescent="0.2">
      <c r="A2045" t="s">
        <v>5809</v>
      </c>
      <c r="B2045" t="s">
        <v>1889</v>
      </c>
      <c r="C2045" t="s">
        <v>1890</v>
      </c>
      <c r="D2045" t="s">
        <v>56</v>
      </c>
      <c r="E2045" t="s">
        <v>842</v>
      </c>
      <c r="F2045" t="s">
        <v>84</v>
      </c>
      <c r="G2045" s="202">
        <v>4</v>
      </c>
      <c r="H2045">
        <v>1</v>
      </c>
      <c r="I2045" t="s">
        <v>3954</v>
      </c>
      <c r="J2045" t="s">
        <v>5112</v>
      </c>
      <c r="K2045" t="s">
        <v>1283</v>
      </c>
      <c r="L2045" s="204">
        <v>0.22</v>
      </c>
      <c r="M2045" s="112">
        <v>211.41749999999999</v>
      </c>
      <c r="N2045" s="112">
        <v>46.511849999999995</v>
      </c>
      <c r="O2045" s="204"/>
      <c r="P2045" s="112"/>
      <c r="Q2045" s="112"/>
      <c r="R2045" s="112"/>
      <c r="S2045" s="112"/>
      <c r="T2045" s="112"/>
      <c r="U2045" t="s">
        <v>5810</v>
      </c>
      <c r="V2045" t="s">
        <v>5811</v>
      </c>
      <c r="W2045" t="s">
        <v>3958</v>
      </c>
      <c r="X2045" t="s">
        <v>4660</v>
      </c>
    </row>
    <row r="2046" spans="1:24" x14ac:dyDescent="0.2">
      <c r="A2046" t="s">
        <v>5809</v>
      </c>
      <c r="B2046" t="s">
        <v>1889</v>
      </c>
      <c r="C2046" t="s">
        <v>1890</v>
      </c>
      <c r="D2046" t="s">
        <v>56</v>
      </c>
      <c r="E2046" t="s">
        <v>842</v>
      </c>
      <c r="F2046" t="s">
        <v>84</v>
      </c>
      <c r="G2046" s="202">
        <v>4</v>
      </c>
      <c r="H2046">
        <v>2</v>
      </c>
      <c r="I2046" t="s">
        <v>3960</v>
      </c>
      <c r="J2046" t="s">
        <v>5115</v>
      </c>
      <c r="K2046" t="s">
        <v>1283</v>
      </c>
      <c r="L2046" s="204">
        <v>0.68</v>
      </c>
      <c r="M2046" s="112">
        <v>211.41749999999999</v>
      </c>
      <c r="N2046" s="112">
        <v>143.76390000000001</v>
      </c>
      <c r="O2046" s="204"/>
      <c r="P2046" s="112"/>
      <c r="Q2046" s="112"/>
      <c r="R2046" s="112"/>
      <c r="S2046" s="112"/>
      <c r="T2046" s="112"/>
      <c r="U2046" t="s">
        <v>5810</v>
      </c>
      <c r="V2046" t="s">
        <v>5811</v>
      </c>
      <c r="W2046" t="s">
        <v>3958</v>
      </c>
      <c r="X2046" t="s">
        <v>4660</v>
      </c>
    </row>
    <row r="2047" spans="1:24" x14ac:dyDescent="0.2">
      <c r="A2047" t="s">
        <v>5809</v>
      </c>
      <c r="B2047" t="s">
        <v>1889</v>
      </c>
      <c r="C2047" t="s">
        <v>1890</v>
      </c>
      <c r="D2047" t="s">
        <v>56</v>
      </c>
      <c r="E2047" t="s">
        <v>842</v>
      </c>
      <c r="F2047" t="s">
        <v>84</v>
      </c>
      <c r="G2047" s="202">
        <v>4</v>
      </c>
      <c r="H2047">
        <v>3</v>
      </c>
      <c r="I2047" t="s">
        <v>3976</v>
      </c>
      <c r="J2047" t="s">
        <v>5116</v>
      </c>
      <c r="K2047" t="s">
        <v>1283</v>
      </c>
      <c r="L2047" s="204">
        <v>0.05</v>
      </c>
      <c r="M2047" s="112">
        <v>211.41749999999999</v>
      </c>
      <c r="N2047" s="112">
        <v>10.570875000000001</v>
      </c>
      <c r="O2047" s="204"/>
      <c r="P2047" s="112"/>
      <c r="Q2047" s="112"/>
      <c r="R2047" s="112"/>
      <c r="S2047" s="112"/>
      <c r="T2047" s="112"/>
      <c r="U2047" t="s">
        <v>5810</v>
      </c>
      <c r="V2047" t="s">
        <v>5811</v>
      </c>
      <c r="W2047" t="s">
        <v>3958</v>
      </c>
      <c r="X2047" t="s">
        <v>4660</v>
      </c>
    </row>
    <row r="2048" spans="1:24" x14ac:dyDescent="0.2">
      <c r="A2048" t="s">
        <v>5809</v>
      </c>
      <c r="B2048" t="s">
        <v>1889</v>
      </c>
      <c r="C2048" t="s">
        <v>1890</v>
      </c>
      <c r="D2048" t="s">
        <v>56</v>
      </c>
      <c r="E2048" t="s">
        <v>842</v>
      </c>
      <c r="F2048" t="s">
        <v>84</v>
      </c>
      <c r="G2048" s="202">
        <v>4</v>
      </c>
      <c r="H2048">
        <v>4</v>
      </c>
      <c r="I2048" t="s">
        <v>4017</v>
      </c>
      <c r="J2048" t="s">
        <v>5117</v>
      </c>
      <c r="K2048" t="s">
        <v>1283</v>
      </c>
      <c r="L2048" s="204">
        <v>0.05</v>
      </c>
      <c r="M2048" s="112">
        <v>211.41749999999999</v>
      </c>
      <c r="N2048" s="112">
        <v>10.570875000000001</v>
      </c>
      <c r="O2048" s="204"/>
      <c r="P2048" s="112"/>
      <c r="Q2048" s="112"/>
      <c r="R2048" s="112"/>
      <c r="S2048" s="112"/>
      <c r="T2048" s="112"/>
      <c r="U2048" t="s">
        <v>5810</v>
      </c>
      <c r="V2048" t="s">
        <v>5811</v>
      </c>
      <c r="W2048" t="s">
        <v>3958</v>
      </c>
      <c r="X2048" t="s">
        <v>4660</v>
      </c>
    </row>
    <row r="2049" spans="1:24" x14ac:dyDescent="0.2">
      <c r="A2049" t="s">
        <v>5809</v>
      </c>
      <c r="B2049" t="s">
        <v>1889</v>
      </c>
      <c r="C2049" t="s">
        <v>1890</v>
      </c>
      <c r="D2049" t="s">
        <v>56</v>
      </c>
      <c r="E2049" t="s">
        <v>842</v>
      </c>
      <c r="F2049" t="s">
        <v>84</v>
      </c>
      <c r="G2049" s="202">
        <v>4</v>
      </c>
      <c r="H2049">
        <v>5</v>
      </c>
      <c r="I2049" t="s">
        <v>3968</v>
      </c>
      <c r="J2049" t="s">
        <v>3969</v>
      </c>
      <c r="K2049" t="s">
        <v>84</v>
      </c>
      <c r="L2049" s="204">
        <v>1</v>
      </c>
      <c r="M2049" s="112"/>
      <c r="N2049" s="112">
        <v>211.41749999999999</v>
      </c>
      <c r="O2049" s="204">
        <v>0.2222852885877471</v>
      </c>
      <c r="P2049" s="112">
        <v>46.995000000000033</v>
      </c>
      <c r="Q2049" s="112">
        <v>258.41250000000002</v>
      </c>
      <c r="R2049" s="112">
        <v>1033.6500000000001</v>
      </c>
      <c r="S2049" s="112">
        <v>1033.6500000000001</v>
      </c>
      <c r="T2049" s="112">
        <v>0</v>
      </c>
      <c r="U2049" t="s">
        <v>5810</v>
      </c>
      <c r="V2049" t="s">
        <v>5811</v>
      </c>
      <c r="W2049" t="s">
        <v>4666</v>
      </c>
      <c r="X2049" t="s">
        <v>4667</v>
      </c>
    </row>
    <row r="2050" spans="1:24" x14ac:dyDescent="0.2">
      <c r="A2050" t="s">
        <v>5812</v>
      </c>
      <c r="B2050" t="s">
        <v>1891</v>
      </c>
      <c r="C2050" t="s">
        <v>1892</v>
      </c>
      <c r="D2050" t="s">
        <v>56</v>
      </c>
      <c r="E2050" t="s">
        <v>843</v>
      </c>
      <c r="F2050" t="s">
        <v>26</v>
      </c>
      <c r="G2050" s="202">
        <v>24.318999999999999</v>
      </c>
      <c r="H2050">
        <v>1</v>
      </c>
      <c r="I2050" t="s">
        <v>3954</v>
      </c>
      <c r="J2050" t="s">
        <v>4110</v>
      </c>
      <c r="K2050" t="s">
        <v>1283</v>
      </c>
      <c r="L2050" s="204">
        <v>0.3</v>
      </c>
      <c r="M2050" s="112">
        <v>322.5</v>
      </c>
      <c r="N2050" s="112">
        <v>96.75</v>
      </c>
      <c r="O2050" s="204"/>
      <c r="P2050" s="112"/>
      <c r="Q2050" s="112"/>
      <c r="R2050" s="112"/>
      <c r="S2050" s="112"/>
      <c r="T2050" s="112"/>
      <c r="U2050" t="s">
        <v>5813</v>
      </c>
      <c r="V2050" t="s">
        <v>5814</v>
      </c>
      <c r="W2050" t="s">
        <v>3958</v>
      </c>
      <c r="X2050" t="s">
        <v>4660</v>
      </c>
    </row>
    <row r="2051" spans="1:24" x14ac:dyDescent="0.2">
      <c r="A2051" t="s">
        <v>5812</v>
      </c>
      <c r="B2051" t="s">
        <v>1891</v>
      </c>
      <c r="C2051" t="s">
        <v>1892</v>
      </c>
      <c r="D2051" t="s">
        <v>56</v>
      </c>
      <c r="E2051" t="s">
        <v>843</v>
      </c>
      <c r="F2051" t="s">
        <v>26</v>
      </c>
      <c r="G2051" s="202">
        <v>24.318999999999999</v>
      </c>
      <c r="H2051">
        <v>2</v>
      </c>
      <c r="I2051" t="s">
        <v>3960</v>
      </c>
      <c r="J2051" t="s">
        <v>4113</v>
      </c>
      <c r="K2051" t="s">
        <v>1283</v>
      </c>
      <c r="L2051" s="204">
        <v>0.55000000000000004</v>
      </c>
      <c r="M2051" s="112">
        <v>322.5</v>
      </c>
      <c r="N2051" s="112">
        <v>177.37500000000003</v>
      </c>
      <c r="O2051" s="204"/>
      <c r="P2051" s="112"/>
      <c r="Q2051" s="112"/>
      <c r="R2051" s="112"/>
      <c r="S2051" s="112"/>
      <c r="T2051" s="112"/>
      <c r="U2051" t="s">
        <v>5813</v>
      </c>
      <c r="V2051" t="s">
        <v>5814</v>
      </c>
      <c r="W2051" t="s">
        <v>3958</v>
      </c>
      <c r="X2051" t="s">
        <v>4660</v>
      </c>
    </row>
    <row r="2052" spans="1:24" x14ac:dyDescent="0.2">
      <c r="A2052" t="s">
        <v>5812</v>
      </c>
      <c r="B2052" t="s">
        <v>1891</v>
      </c>
      <c r="C2052" t="s">
        <v>1892</v>
      </c>
      <c r="D2052" t="s">
        <v>56</v>
      </c>
      <c r="E2052" t="s">
        <v>843</v>
      </c>
      <c r="F2052" t="s">
        <v>26</v>
      </c>
      <c r="G2052" s="202">
        <v>24.318999999999999</v>
      </c>
      <c r="H2052">
        <v>3</v>
      </c>
      <c r="I2052" t="s">
        <v>3976</v>
      </c>
      <c r="J2052" t="s">
        <v>4114</v>
      </c>
      <c r="K2052" t="s">
        <v>1283</v>
      </c>
      <c r="L2052" s="204">
        <v>0.1</v>
      </c>
      <c r="M2052" s="112">
        <v>322.5</v>
      </c>
      <c r="N2052" s="112">
        <v>32.25</v>
      </c>
      <c r="O2052" s="204"/>
      <c r="P2052" s="112"/>
      <c r="Q2052" s="112"/>
      <c r="R2052" s="112"/>
      <c r="S2052" s="112"/>
      <c r="T2052" s="112"/>
      <c r="U2052" t="s">
        <v>5813</v>
      </c>
      <c r="V2052" t="s">
        <v>5814</v>
      </c>
      <c r="W2052" t="s">
        <v>3958</v>
      </c>
      <c r="X2052" t="s">
        <v>4660</v>
      </c>
    </row>
    <row r="2053" spans="1:24" x14ac:dyDescent="0.2">
      <c r="A2053" t="s">
        <v>5812</v>
      </c>
      <c r="B2053" t="s">
        <v>1891</v>
      </c>
      <c r="C2053" t="s">
        <v>1892</v>
      </c>
      <c r="D2053" t="s">
        <v>56</v>
      </c>
      <c r="E2053" t="s">
        <v>843</v>
      </c>
      <c r="F2053" t="s">
        <v>26</v>
      </c>
      <c r="G2053" s="202">
        <v>24.318999999999999</v>
      </c>
      <c r="H2053">
        <v>4</v>
      </c>
      <c r="I2053" t="s">
        <v>4017</v>
      </c>
      <c r="J2053" t="s">
        <v>4115</v>
      </c>
      <c r="K2053" t="s">
        <v>1283</v>
      </c>
      <c r="L2053" s="204">
        <v>0.05</v>
      </c>
      <c r="M2053" s="112">
        <v>322.5</v>
      </c>
      <c r="N2053" s="112">
        <v>16.125</v>
      </c>
      <c r="O2053" s="204"/>
      <c r="P2053" s="112"/>
      <c r="Q2053" s="112"/>
      <c r="R2053" s="112"/>
      <c r="S2053" s="112"/>
      <c r="T2053" s="112"/>
      <c r="U2053" t="s">
        <v>5813</v>
      </c>
      <c r="V2053" t="s">
        <v>5814</v>
      </c>
      <c r="W2053" t="s">
        <v>3958</v>
      </c>
      <c r="X2053" t="s">
        <v>4660</v>
      </c>
    </row>
    <row r="2054" spans="1:24" x14ac:dyDescent="0.2">
      <c r="A2054" t="s">
        <v>5812</v>
      </c>
      <c r="B2054" t="s">
        <v>1891</v>
      </c>
      <c r="C2054" t="s">
        <v>1892</v>
      </c>
      <c r="D2054" t="s">
        <v>56</v>
      </c>
      <c r="E2054" t="s">
        <v>843</v>
      </c>
      <c r="F2054" t="s">
        <v>26</v>
      </c>
      <c r="G2054" s="202">
        <v>24.318999999999999</v>
      </c>
      <c r="H2054">
        <v>5</v>
      </c>
      <c r="I2054" t="s">
        <v>3968</v>
      </c>
      <c r="J2054" t="s">
        <v>3969</v>
      </c>
      <c r="K2054" t="s">
        <v>26</v>
      </c>
      <c r="L2054" s="204">
        <v>1</v>
      </c>
      <c r="M2054" s="112"/>
      <c r="N2054" s="112">
        <v>322.5</v>
      </c>
      <c r="O2054" s="204">
        <v>0.22227843033376482</v>
      </c>
      <c r="P2054" s="112">
        <v>71.684793782639133</v>
      </c>
      <c r="Q2054" s="112">
        <v>394.18479378263913</v>
      </c>
      <c r="R2054" s="112">
        <v>9586.18</v>
      </c>
      <c r="S2054" s="112">
        <v>9586.18</v>
      </c>
      <c r="T2054" s="112">
        <v>0</v>
      </c>
      <c r="U2054" t="s">
        <v>5813</v>
      </c>
      <c r="V2054" t="s">
        <v>5814</v>
      </c>
      <c r="W2054" t="s">
        <v>4666</v>
      </c>
      <c r="X2054" t="s">
        <v>4667</v>
      </c>
    </row>
    <row r="2055" spans="1:24" x14ac:dyDescent="0.2">
      <c r="A2055" t="s">
        <v>5815</v>
      </c>
      <c r="B2055" t="s">
        <v>1893</v>
      </c>
      <c r="C2055" t="s">
        <v>1894</v>
      </c>
      <c r="D2055" t="s">
        <v>56</v>
      </c>
      <c r="E2055" t="s">
        <v>847</v>
      </c>
      <c r="F2055" t="s">
        <v>99</v>
      </c>
      <c r="G2055" s="202">
        <v>80</v>
      </c>
      <c r="H2055">
        <v>1</v>
      </c>
      <c r="I2055" t="s">
        <v>3954</v>
      </c>
      <c r="J2055" t="s">
        <v>5227</v>
      </c>
      <c r="K2055" t="s">
        <v>1283</v>
      </c>
      <c r="L2055" s="204">
        <v>0.26</v>
      </c>
      <c r="M2055" s="112">
        <v>21.315000000000001</v>
      </c>
      <c r="N2055" s="112">
        <v>5.5419000000000009</v>
      </c>
      <c r="O2055" s="204"/>
      <c r="P2055" s="112"/>
      <c r="Q2055" s="112"/>
      <c r="R2055" s="112"/>
      <c r="S2055" s="112"/>
      <c r="T2055" s="112"/>
      <c r="U2055" t="s">
        <v>5816</v>
      </c>
      <c r="V2055" t="s">
        <v>5817</v>
      </c>
      <c r="W2055" t="s">
        <v>3958</v>
      </c>
      <c r="X2055" t="s">
        <v>4660</v>
      </c>
    </row>
    <row r="2056" spans="1:24" x14ac:dyDescent="0.2">
      <c r="A2056" t="s">
        <v>5815</v>
      </c>
      <c r="B2056" t="s">
        <v>1893</v>
      </c>
      <c r="C2056" t="s">
        <v>1894</v>
      </c>
      <c r="D2056" t="s">
        <v>56</v>
      </c>
      <c r="E2056" t="s">
        <v>847</v>
      </c>
      <c r="F2056" t="s">
        <v>99</v>
      </c>
      <c r="G2056" s="202">
        <v>80</v>
      </c>
      <c r="H2056">
        <v>2</v>
      </c>
      <c r="I2056" t="s">
        <v>3960</v>
      </c>
      <c r="J2056" t="s">
        <v>5229</v>
      </c>
      <c r="K2056" t="s">
        <v>1283</v>
      </c>
      <c r="L2056" s="204">
        <v>0.64</v>
      </c>
      <c r="M2056" s="112">
        <v>21.315000000000001</v>
      </c>
      <c r="N2056" s="112">
        <v>13.6416</v>
      </c>
      <c r="O2056" s="204"/>
      <c r="P2056" s="112"/>
      <c r="Q2056" s="112"/>
      <c r="R2056" s="112"/>
      <c r="S2056" s="112"/>
      <c r="T2056" s="112"/>
      <c r="U2056" t="s">
        <v>5816</v>
      </c>
      <c r="V2056" t="s">
        <v>5817</v>
      </c>
      <c r="W2056" t="s">
        <v>3958</v>
      </c>
      <c r="X2056" t="s">
        <v>4660</v>
      </c>
    </row>
    <row r="2057" spans="1:24" x14ac:dyDescent="0.2">
      <c r="A2057" t="s">
        <v>5815</v>
      </c>
      <c r="B2057" t="s">
        <v>1893</v>
      </c>
      <c r="C2057" t="s">
        <v>1894</v>
      </c>
      <c r="D2057" t="s">
        <v>56</v>
      </c>
      <c r="E2057" t="s">
        <v>847</v>
      </c>
      <c r="F2057" t="s">
        <v>99</v>
      </c>
      <c r="G2057" s="202">
        <v>80</v>
      </c>
      <c r="H2057">
        <v>3</v>
      </c>
      <c r="I2057" t="s">
        <v>3976</v>
      </c>
      <c r="J2057" t="s">
        <v>5230</v>
      </c>
      <c r="K2057" t="s">
        <v>1283</v>
      </c>
      <c r="L2057" s="204">
        <v>0.04</v>
      </c>
      <c r="M2057" s="112">
        <v>21.315000000000001</v>
      </c>
      <c r="N2057" s="112">
        <v>0.85260000000000002</v>
      </c>
      <c r="O2057" s="204"/>
      <c r="P2057" s="112"/>
      <c r="Q2057" s="112"/>
      <c r="R2057" s="112"/>
      <c r="S2057" s="112"/>
      <c r="T2057" s="112"/>
      <c r="U2057" t="s">
        <v>5816</v>
      </c>
      <c r="V2057" t="s">
        <v>5817</v>
      </c>
      <c r="W2057" t="s">
        <v>3958</v>
      </c>
      <c r="X2057" t="s">
        <v>4660</v>
      </c>
    </row>
    <row r="2058" spans="1:24" x14ac:dyDescent="0.2">
      <c r="A2058" t="s">
        <v>5815</v>
      </c>
      <c r="B2058" t="s">
        <v>1893</v>
      </c>
      <c r="C2058" t="s">
        <v>1894</v>
      </c>
      <c r="D2058" t="s">
        <v>56</v>
      </c>
      <c r="E2058" t="s">
        <v>847</v>
      </c>
      <c r="F2058" t="s">
        <v>99</v>
      </c>
      <c r="G2058" s="202">
        <v>80</v>
      </c>
      <c r="H2058">
        <v>4</v>
      </c>
      <c r="I2058" t="s">
        <v>4017</v>
      </c>
      <c r="J2058" t="s">
        <v>4851</v>
      </c>
      <c r="K2058" t="s">
        <v>1283</v>
      </c>
      <c r="L2058" s="204">
        <v>0.06</v>
      </c>
      <c r="M2058" s="112">
        <v>21.315000000000001</v>
      </c>
      <c r="N2058" s="112">
        <v>1.2788999999999999</v>
      </c>
      <c r="O2058" s="204"/>
      <c r="P2058" s="112"/>
      <c r="Q2058" s="112"/>
      <c r="R2058" s="112"/>
      <c r="S2058" s="112"/>
      <c r="T2058" s="112"/>
      <c r="U2058" t="s">
        <v>5816</v>
      </c>
      <c r="V2058" t="s">
        <v>5817</v>
      </c>
      <c r="W2058" t="s">
        <v>3958</v>
      </c>
      <c r="X2058" t="s">
        <v>4660</v>
      </c>
    </row>
    <row r="2059" spans="1:24" x14ac:dyDescent="0.2">
      <c r="A2059" t="s">
        <v>5815</v>
      </c>
      <c r="B2059" t="s">
        <v>1893</v>
      </c>
      <c r="C2059" t="s">
        <v>1894</v>
      </c>
      <c r="D2059" t="s">
        <v>56</v>
      </c>
      <c r="E2059" t="s">
        <v>847</v>
      </c>
      <c r="F2059" t="s">
        <v>99</v>
      </c>
      <c r="G2059" s="202">
        <v>80</v>
      </c>
      <c r="H2059">
        <v>5</v>
      </c>
      <c r="I2059" t="s">
        <v>3968</v>
      </c>
      <c r="J2059" t="s">
        <v>3969</v>
      </c>
      <c r="K2059" t="s">
        <v>99</v>
      </c>
      <c r="L2059" s="204">
        <v>1</v>
      </c>
      <c r="M2059" s="112"/>
      <c r="N2059" s="112">
        <v>21.315000000000001</v>
      </c>
      <c r="O2059" s="204">
        <v>0.2220267417311752</v>
      </c>
      <c r="P2059" s="112">
        <v>4.7325000000000017</v>
      </c>
      <c r="Q2059" s="112">
        <v>26.047500000000003</v>
      </c>
      <c r="R2059" s="112">
        <v>2083.8000000000002</v>
      </c>
      <c r="S2059" s="112">
        <v>2083.8000000000002</v>
      </c>
      <c r="T2059" s="112">
        <v>0</v>
      </c>
      <c r="U2059" t="s">
        <v>5816</v>
      </c>
      <c r="V2059" t="s">
        <v>5817</v>
      </c>
      <c r="W2059" t="s">
        <v>4666</v>
      </c>
      <c r="X2059" t="s">
        <v>4667</v>
      </c>
    </row>
    <row r="2060" spans="1:24" x14ac:dyDescent="0.2">
      <c r="A2060" t="s">
        <v>5818</v>
      </c>
      <c r="B2060" t="s">
        <v>1895</v>
      </c>
      <c r="C2060" t="s">
        <v>1896</v>
      </c>
      <c r="D2060" t="s">
        <v>56</v>
      </c>
      <c r="E2060" t="s">
        <v>1897</v>
      </c>
      <c r="F2060" t="s">
        <v>99</v>
      </c>
      <c r="G2060" s="202">
        <v>80</v>
      </c>
      <c r="H2060">
        <v>1</v>
      </c>
      <c r="I2060" t="s">
        <v>3954</v>
      </c>
      <c r="J2060" t="s">
        <v>5227</v>
      </c>
      <c r="K2060" t="s">
        <v>1283</v>
      </c>
      <c r="L2060" s="204">
        <v>0.26</v>
      </c>
      <c r="M2060" s="112">
        <v>35.144999999999996</v>
      </c>
      <c r="N2060" s="112">
        <v>9.1376999999999988</v>
      </c>
      <c r="O2060" s="204"/>
      <c r="P2060" s="112"/>
      <c r="Q2060" s="112"/>
      <c r="R2060" s="112"/>
      <c r="S2060" s="112"/>
      <c r="T2060" s="112"/>
      <c r="U2060" t="s">
        <v>5819</v>
      </c>
      <c r="V2060" t="s">
        <v>5820</v>
      </c>
      <c r="W2060" t="s">
        <v>3958</v>
      </c>
      <c r="X2060" t="s">
        <v>4660</v>
      </c>
    </row>
    <row r="2061" spans="1:24" x14ac:dyDescent="0.2">
      <c r="A2061" t="s">
        <v>5818</v>
      </c>
      <c r="B2061" t="s">
        <v>1895</v>
      </c>
      <c r="C2061" t="s">
        <v>1896</v>
      </c>
      <c r="D2061" t="s">
        <v>56</v>
      </c>
      <c r="E2061" t="s">
        <v>1897</v>
      </c>
      <c r="F2061" t="s">
        <v>99</v>
      </c>
      <c r="G2061" s="202">
        <v>80</v>
      </c>
      <c r="H2061">
        <v>2</v>
      </c>
      <c r="I2061" t="s">
        <v>3960</v>
      </c>
      <c r="J2061" t="s">
        <v>5229</v>
      </c>
      <c r="K2061" t="s">
        <v>1283</v>
      </c>
      <c r="L2061" s="204">
        <v>0.64</v>
      </c>
      <c r="M2061" s="112">
        <v>35.144999999999996</v>
      </c>
      <c r="N2061" s="112">
        <v>22.492799999999999</v>
      </c>
      <c r="O2061" s="204"/>
      <c r="P2061" s="112"/>
      <c r="Q2061" s="112"/>
      <c r="R2061" s="112"/>
      <c r="S2061" s="112"/>
      <c r="T2061" s="112"/>
      <c r="U2061" t="s">
        <v>5819</v>
      </c>
      <c r="V2061" t="s">
        <v>5820</v>
      </c>
      <c r="W2061" t="s">
        <v>3958</v>
      </c>
      <c r="X2061" t="s">
        <v>4660</v>
      </c>
    </row>
    <row r="2062" spans="1:24" x14ac:dyDescent="0.2">
      <c r="A2062" t="s">
        <v>5818</v>
      </c>
      <c r="B2062" t="s">
        <v>1895</v>
      </c>
      <c r="C2062" t="s">
        <v>1896</v>
      </c>
      <c r="D2062" t="s">
        <v>56</v>
      </c>
      <c r="E2062" t="s">
        <v>1897</v>
      </c>
      <c r="F2062" t="s">
        <v>99</v>
      </c>
      <c r="G2062" s="202">
        <v>80</v>
      </c>
      <c r="H2062">
        <v>3</v>
      </c>
      <c r="I2062" t="s">
        <v>3976</v>
      </c>
      <c r="J2062" t="s">
        <v>5230</v>
      </c>
      <c r="K2062" t="s">
        <v>1283</v>
      </c>
      <c r="L2062" s="204">
        <v>0.04</v>
      </c>
      <c r="M2062" s="112">
        <v>35.144999999999996</v>
      </c>
      <c r="N2062" s="112">
        <v>1.4057999999999999</v>
      </c>
      <c r="O2062" s="204"/>
      <c r="P2062" s="112"/>
      <c r="Q2062" s="112"/>
      <c r="R2062" s="112"/>
      <c r="S2062" s="112"/>
      <c r="T2062" s="112"/>
      <c r="U2062" t="s">
        <v>5819</v>
      </c>
      <c r="V2062" t="s">
        <v>5820</v>
      </c>
      <c r="W2062" t="s">
        <v>3958</v>
      </c>
      <c r="X2062" t="s">
        <v>4660</v>
      </c>
    </row>
    <row r="2063" spans="1:24" x14ac:dyDescent="0.2">
      <c r="A2063" t="s">
        <v>5818</v>
      </c>
      <c r="B2063" t="s">
        <v>1895</v>
      </c>
      <c r="C2063" t="s">
        <v>1896</v>
      </c>
      <c r="D2063" t="s">
        <v>56</v>
      </c>
      <c r="E2063" t="s">
        <v>1897</v>
      </c>
      <c r="F2063" t="s">
        <v>99</v>
      </c>
      <c r="G2063" s="202">
        <v>80</v>
      </c>
      <c r="H2063">
        <v>4</v>
      </c>
      <c r="I2063" t="s">
        <v>4017</v>
      </c>
      <c r="J2063" t="s">
        <v>4851</v>
      </c>
      <c r="K2063" t="s">
        <v>1283</v>
      </c>
      <c r="L2063" s="204">
        <v>0.06</v>
      </c>
      <c r="M2063" s="112">
        <v>35.144999999999996</v>
      </c>
      <c r="N2063" s="112">
        <v>2.1086999999999998</v>
      </c>
      <c r="O2063" s="204"/>
      <c r="P2063" s="112"/>
      <c r="Q2063" s="112"/>
      <c r="R2063" s="112"/>
      <c r="S2063" s="112"/>
      <c r="T2063" s="112"/>
      <c r="U2063" t="s">
        <v>5819</v>
      </c>
      <c r="V2063" t="s">
        <v>5820</v>
      </c>
      <c r="W2063" t="s">
        <v>3958</v>
      </c>
      <c r="X2063" t="s">
        <v>4660</v>
      </c>
    </row>
    <row r="2064" spans="1:24" x14ac:dyDescent="0.2">
      <c r="A2064" t="s">
        <v>5818</v>
      </c>
      <c r="B2064" t="s">
        <v>1895</v>
      </c>
      <c r="C2064" t="s">
        <v>1896</v>
      </c>
      <c r="D2064" t="s">
        <v>56</v>
      </c>
      <c r="E2064" t="s">
        <v>1897</v>
      </c>
      <c r="F2064" t="s">
        <v>99</v>
      </c>
      <c r="G2064" s="202">
        <v>80</v>
      </c>
      <c r="H2064">
        <v>5</v>
      </c>
      <c r="I2064" t="s">
        <v>3968</v>
      </c>
      <c r="J2064" t="s">
        <v>3969</v>
      </c>
      <c r="K2064" t="s">
        <v>99</v>
      </c>
      <c r="L2064" s="204">
        <v>1</v>
      </c>
      <c r="M2064" s="112"/>
      <c r="N2064" s="112">
        <v>35.144999999999996</v>
      </c>
      <c r="O2064" s="204">
        <v>0.22215108834827157</v>
      </c>
      <c r="P2064" s="112">
        <v>7.8075000000000045</v>
      </c>
      <c r="Q2064" s="112">
        <v>42.952500000000001</v>
      </c>
      <c r="R2064" s="112">
        <v>3436.2</v>
      </c>
      <c r="S2064" s="112">
        <v>3436.2</v>
      </c>
      <c r="T2064" s="112">
        <v>0</v>
      </c>
      <c r="U2064" t="s">
        <v>5819</v>
      </c>
      <c r="V2064" t="s">
        <v>5820</v>
      </c>
      <c r="W2064" t="s">
        <v>4666</v>
      </c>
      <c r="X2064" t="s">
        <v>4667</v>
      </c>
    </row>
    <row r="2065" spans="1:24" x14ac:dyDescent="0.2">
      <c r="A2065" t="s">
        <v>5821</v>
      </c>
      <c r="B2065" t="s">
        <v>1898</v>
      </c>
      <c r="C2065" t="s">
        <v>1899</v>
      </c>
      <c r="D2065" t="s">
        <v>56</v>
      </c>
      <c r="E2065" t="s">
        <v>1900</v>
      </c>
      <c r="F2065" t="s">
        <v>99</v>
      </c>
      <c r="G2065" s="202">
        <v>190</v>
      </c>
      <c r="H2065">
        <v>1</v>
      </c>
      <c r="I2065" t="s">
        <v>3954</v>
      </c>
      <c r="J2065" t="s">
        <v>5227</v>
      </c>
      <c r="K2065" t="s">
        <v>1283</v>
      </c>
      <c r="L2065" s="204">
        <v>0.26</v>
      </c>
      <c r="M2065" s="112">
        <v>45.082499999999996</v>
      </c>
      <c r="N2065" s="112">
        <v>11.721449999999999</v>
      </c>
      <c r="O2065" s="204"/>
      <c r="P2065" s="112"/>
      <c r="Q2065" s="112"/>
      <c r="R2065" s="112"/>
      <c r="S2065" s="112"/>
      <c r="T2065" s="112"/>
      <c r="U2065" t="s">
        <v>5822</v>
      </c>
      <c r="V2065" t="s">
        <v>5823</v>
      </c>
      <c r="W2065" t="s">
        <v>3958</v>
      </c>
      <c r="X2065" t="s">
        <v>4660</v>
      </c>
    </row>
    <row r="2066" spans="1:24" x14ac:dyDescent="0.2">
      <c r="A2066" t="s">
        <v>5821</v>
      </c>
      <c r="B2066" t="s">
        <v>1898</v>
      </c>
      <c r="C2066" t="s">
        <v>1899</v>
      </c>
      <c r="D2066" t="s">
        <v>56</v>
      </c>
      <c r="E2066" t="s">
        <v>1900</v>
      </c>
      <c r="F2066" t="s">
        <v>99</v>
      </c>
      <c r="G2066" s="202">
        <v>190</v>
      </c>
      <c r="H2066">
        <v>2</v>
      </c>
      <c r="I2066" t="s">
        <v>3960</v>
      </c>
      <c r="J2066" t="s">
        <v>5229</v>
      </c>
      <c r="K2066" t="s">
        <v>1283</v>
      </c>
      <c r="L2066" s="204">
        <v>0.64</v>
      </c>
      <c r="M2066" s="112">
        <v>45.082499999999996</v>
      </c>
      <c r="N2066" s="112">
        <v>28.852799999999998</v>
      </c>
      <c r="O2066" s="204"/>
      <c r="P2066" s="112"/>
      <c r="Q2066" s="112"/>
      <c r="R2066" s="112"/>
      <c r="S2066" s="112"/>
      <c r="T2066" s="112"/>
      <c r="U2066" t="s">
        <v>5822</v>
      </c>
      <c r="V2066" t="s">
        <v>5823</v>
      </c>
      <c r="W2066" t="s">
        <v>3958</v>
      </c>
      <c r="X2066" t="s">
        <v>4660</v>
      </c>
    </row>
    <row r="2067" spans="1:24" x14ac:dyDescent="0.2">
      <c r="A2067" t="s">
        <v>5821</v>
      </c>
      <c r="B2067" t="s">
        <v>1898</v>
      </c>
      <c r="C2067" t="s">
        <v>1899</v>
      </c>
      <c r="D2067" t="s">
        <v>56</v>
      </c>
      <c r="E2067" t="s">
        <v>1900</v>
      </c>
      <c r="F2067" t="s">
        <v>99</v>
      </c>
      <c r="G2067" s="202">
        <v>190</v>
      </c>
      <c r="H2067">
        <v>3</v>
      </c>
      <c r="I2067" t="s">
        <v>3976</v>
      </c>
      <c r="J2067" t="s">
        <v>5230</v>
      </c>
      <c r="K2067" t="s">
        <v>1283</v>
      </c>
      <c r="L2067" s="204">
        <v>0.04</v>
      </c>
      <c r="M2067" s="112">
        <v>45.082499999999996</v>
      </c>
      <c r="N2067" s="112">
        <v>1.8032999999999999</v>
      </c>
      <c r="O2067" s="204"/>
      <c r="P2067" s="112"/>
      <c r="Q2067" s="112"/>
      <c r="R2067" s="112"/>
      <c r="S2067" s="112"/>
      <c r="T2067" s="112"/>
      <c r="U2067" t="s">
        <v>5822</v>
      </c>
      <c r="V2067" t="s">
        <v>5823</v>
      </c>
      <c r="W2067" t="s">
        <v>3958</v>
      </c>
      <c r="X2067" t="s">
        <v>4660</v>
      </c>
    </row>
    <row r="2068" spans="1:24" x14ac:dyDescent="0.2">
      <c r="A2068" t="s">
        <v>5821</v>
      </c>
      <c r="B2068" t="s">
        <v>1898</v>
      </c>
      <c r="C2068" t="s">
        <v>1899</v>
      </c>
      <c r="D2068" t="s">
        <v>56</v>
      </c>
      <c r="E2068" t="s">
        <v>1900</v>
      </c>
      <c r="F2068" t="s">
        <v>99</v>
      </c>
      <c r="G2068" s="202">
        <v>190</v>
      </c>
      <c r="H2068">
        <v>4</v>
      </c>
      <c r="I2068" t="s">
        <v>4017</v>
      </c>
      <c r="J2068" t="s">
        <v>4851</v>
      </c>
      <c r="K2068" t="s">
        <v>1283</v>
      </c>
      <c r="L2068" s="204">
        <v>0.06</v>
      </c>
      <c r="M2068" s="112">
        <v>45.082499999999996</v>
      </c>
      <c r="N2068" s="112">
        <v>2.7049499999999997</v>
      </c>
      <c r="O2068" s="204"/>
      <c r="P2068" s="112"/>
      <c r="Q2068" s="112"/>
      <c r="R2068" s="112"/>
      <c r="S2068" s="112"/>
      <c r="T2068" s="112"/>
      <c r="U2068" t="s">
        <v>5822</v>
      </c>
      <c r="V2068" t="s">
        <v>5823</v>
      </c>
      <c r="W2068" t="s">
        <v>3958</v>
      </c>
      <c r="X2068" t="s">
        <v>4660</v>
      </c>
    </row>
    <row r="2069" spans="1:24" x14ac:dyDescent="0.2">
      <c r="A2069" t="s">
        <v>5821</v>
      </c>
      <c r="B2069" t="s">
        <v>1898</v>
      </c>
      <c r="C2069" t="s">
        <v>1899</v>
      </c>
      <c r="D2069" t="s">
        <v>56</v>
      </c>
      <c r="E2069" t="s">
        <v>1900</v>
      </c>
      <c r="F2069" t="s">
        <v>99</v>
      </c>
      <c r="G2069" s="202">
        <v>190</v>
      </c>
      <c r="H2069">
        <v>5</v>
      </c>
      <c r="I2069" t="s">
        <v>3968</v>
      </c>
      <c r="J2069" t="s">
        <v>3969</v>
      </c>
      <c r="K2069" t="s">
        <v>99</v>
      </c>
      <c r="L2069" s="204">
        <v>1</v>
      </c>
      <c r="M2069" s="112"/>
      <c r="N2069" s="112">
        <v>45.082499999999996</v>
      </c>
      <c r="O2069" s="204">
        <v>0.22225860775712358</v>
      </c>
      <c r="P2069" s="112">
        <v>10.019973684210527</v>
      </c>
      <c r="Q2069" s="112">
        <v>55.102473684210523</v>
      </c>
      <c r="R2069" s="112">
        <v>10469.469999999999</v>
      </c>
      <c r="S2069" s="112">
        <v>10469.469999999999</v>
      </c>
      <c r="T2069" s="112">
        <v>0</v>
      </c>
      <c r="U2069" t="s">
        <v>5822</v>
      </c>
      <c r="V2069" t="s">
        <v>5823</v>
      </c>
      <c r="W2069" t="s">
        <v>4666</v>
      </c>
      <c r="X2069" t="s">
        <v>4667</v>
      </c>
    </row>
    <row r="2070" spans="1:24" x14ac:dyDescent="0.2">
      <c r="A2070" t="s">
        <v>5824</v>
      </c>
      <c r="B2070" t="s">
        <v>1901</v>
      </c>
      <c r="C2070" t="s">
        <v>1902</v>
      </c>
      <c r="D2070" t="s">
        <v>56</v>
      </c>
      <c r="E2070" t="s">
        <v>1903</v>
      </c>
      <c r="F2070" t="s">
        <v>99</v>
      </c>
      <c r="G2070" s="202">
        <v>90</v>
      </c>
      <c r="H2070">
        <v>1</v>
      </c>
      <c r="I2070" t="s">
        <v>3954</v>
      </c>
      <c r="J2070" t="s">
        <v>4992</v>
      </c>
      <c r="K2070" t="s">
        <v>1283</v>
      </c>
      <c r="L2070" s="204">
        <v>0.27</v>
      </c>
      <c r="M2070" s="112">
        <v>58.994999999999997</v>
      </c>
      <c r="N2070" s="112">
        <v>15.928650000000001</v>
      </c>
      <c r="O2070" s="204"/>
      <c r="P2070" s="112"/>
      <c r="Q2070" s="112"/>
      <c r="R2070" s="112"/>
      <c r="S2070" s="112"/>
      <c r="T2070" s="112"/>
      <c r="U2070" t="s">
        <v>5825</v>
      </c>
      <c r="V2070" t="s">
        <v>5826</v>
      </c>
      <c r="W2070" t="s">
        <v>3958</v>
      </c>
      <c r="X2070" t="s">
        <v>4660</v>
      </c>
    </row>
    <row r="2071" spans="1:24" x14ac:dyDescent="0.2">
      <c r="A2071" t="s">
        <v>5824</v>
      </c>
      <c r="B2071" t="s">
        <v>1901</v>
      </c>
      <c r="C2071" t="s">
        <v>1902</v>
      </c>
      <c r="D2071" t="s">
        <v>56</v>
      </c>
      <c r="E2071" t="s">
        <v>1903</v>
      </c>
      <c r="F2071" t="s">
        <v>99</v>
      </c>
      <c r="G2071" s="202">
        <v>90</v>
      </c>
      <c r="H2071">
        <v>2</v>
      </c>
      <c r="I2071" t="s">
        <v>3960</v>
      </c>
      <c r="J2071" t="s">
        <v>4994</v>
      </c>
      <c r="K2071" t="s">
        <v>1283</v>
      </c>
      <c r="L2071" s="204">
        <v>0.63</v>
      </c>
      <c r="M2071" s="112">
        <v>58.994999999999997</v>
      </c>
      <c r="N2071" s="112">
        <v>37.166849999999997</v>
      </c>
      <c r="O2071" s="204"/>
      <c r="P2071" s="112"/>
      <c r="Q2071" s="112"/>
      <c r="R2071" s="112"/>
      <c r="S2071" s="112"/>
      <c r="T2071" s="112"/>
      <c r="U2071" t="s">
        <v>5825</v>
      </c>
      <c r="V2071" t="s">
        <v>5826</v>
      </c>
      <c r="W2071" t="s">
        <v>3958</v>
      </c>
      <c r="X2071" t="s">
        <v>4660</v>
      </c>
    </row>
    <row r="2072" spans="1:24" x14ac:dyDescent="0.2">
      <c r="A2072" t="s">
        <v>5824</v>
      </c>
      <c r="B2072" t="s">
        <v>1901</v>
      </c>
      <c r="C2072" t="s">
        <v>1902</v>
      </c>
      <c r="D2072" t="s">
        <v>56</v>
      </c>
      <c r="E2072" t="s">
        <v>1903</v>
      </c>
      <c r="F2072" t="s">
        <v>99</v>
      </c>
      <c r="G2072" s="202">
        <v>90</v>
      </c>
      <c r="H2072">
        <v>3</v>
      </c>
      <c r="I2072" t="s">
        <v>3976</v>
      </c>
      <c r="J2072" t="s">
        <v>4995</v>
      </c>
      <c r="K2072" t="s">
        <v>1283</v>
      </c>
      <c r="L2072" s="204">
        <v>0.05</v>
      </c>
      <c r="M2072" s="112">
        <v>58.994999999999997</v>
      </c>
      <c r="N2072" s="112">
        <v>2.9497499999999999</v>
      </c>
      <c r="O2072" s="204"/>
      <c r="P2072" s="112"/>
      <c r="Q2072" s="112"/>
      <c r="R2072" s="112"/>
      <c r="S2072" s="112"/>
      <c r="T2072" s="112"/>
      <c r="U2072" t="s">
        <v>5825</v>
      </c>
      <c r="V2072" t="s">
        <v>5826</v>
      </c>
      <c r="W2072" t="s">
        <v>3958</v>
      </c>
      <c r="X2072" t="s">
        <v>4660</v>
      </c>
    </row>
    <row r="2073" spans="1:24" x14ac:dyDescent="0.2">
      <c r="A2073" t="s">
        <v>5824</v>
      </c>
      <c r="B2073" t="s">
        <v>1901</v>
      </c>
      <c r="C2073" t="s">
        <v>1902</v>
      </c>
      <c r="D2073" t="s">
        <v>56</v>
      </c>
      <c r="E2073" t="s">
        <v>1903</v>
      </c>
      <c r="F2073" t="s">
        <v>99</v>
      </c>
      <c r="G2073" s="202">
        <v>90</v>
      </c>
      <c r="H2073">
        <v>4</v>
      </c>
      <c r="I2073" t="s">
        <v>4017</v>
      </c>
      <c r="J2073" t="s">
        <v>4809</v>
      </c>
      <c r="K2073" t="s">
        <v>1283</v>
      </c>
      <c r="L2073" s="204">
        <v>0.05</v>
      </c>
      <c r="M2073" s="112">
        <v>58.994999999999997</v>
      </c>
      <c r="N2073" s="112">
        <v>2.9497499999999999</v>
      </c>
      <c r="O2073" s="204"/>
      <c r="P2073" s="112"/>
      <c r="Q2073" s="112"/>
      <c r="R2073" s="112"/>
      <c r="S2073" s="112"/>
      <c r="T2073" s="112"/>
      <c r="U2073" t="s">
        <v>5825</v>
      </c>
      <c r="V2073" t="s">
        <v>5826</v>
      </c>
      <c r="W2073" t="s">
        <v>3958</v>
      </c>
      <c r="X2073" t="s">
        <v>4660</v>
      </c>
    </row>
    <row r="2074" spans="1:24" x14ac:dyDescent="0.2">
      <c r="A2074" t="s">
        <v>5824</v>
      </c>
      <c r="B2074" t="s">
        <v>1901</v>
      </c>
      <c r="C2074" t="s">
        <v>1902</v>
      </c>
      <c r="D2074" t="s">
        <v>56</v>
      </c>
      <c r="E2074" t="s">
        <v>1903</v>
      </c>
      <c r="F2074" t="s">
        <v>99</v>
      </c>
      <c r="G2074" s="202">
        <v>90</v>
      </c>
      <c r="H2074">
        <v>5</v>
      </c>
      <c r="I2074" t="s">
        <v>3968</v>
      </c>
      <c r="J2074" t="s">
        <v>3969</v>
      </c>
      <c r="K2074" t="s">
        <v>99</v>
      </c>
      <c r="L2074" s="204">
        <v>1</v>
      </c>
      <c r="M2074" s="112"/>
      <c r="N2074" s="112">
        <v>58.994999999999997</v>
      </c>
      <c r="O2074" s="204">
        <v>0.22222222222222232</v>
      </c>
      <c r="P2074" s="112">
        <v>13.110000000000007</v>
      </c>
      <c r="Q2074" s="112">
        <v>72.105000000000004</v>
      </c>
      <c r="R2074" s="112">
        <v>6489.45</v>
      </c>
      <c r="S2074" s="112">
        <v>6489.45</v>
      </c>
      <c r="T2074" s="112">
        <v>0</v>
      </c>
      <c r="U2074" t="s">
        <v>5825</v>
      </c>
      <c r="V2074" t="s">
        <v>5826</v>
      </c>
      <c r="W2074" t="s">
        <v>4666</v>
      </c>
      <c r="X2074" t="s">
        <v>4667</v>
      </c>
    </row>
    <row r="2075" spans="1:24" x14ac:dyDescent="0.2">
      <c r="A2075" t="s">
        <v>5827</v>
      </c>
      <c r="B2075" t="s">
        <v>1904</v>
      </c>
      <c r="C2075" t="s">
        <v>1905</v>
      </c>
      <c r="D2075" t="s">
        <v>56</v>
      </c>
      <c r="E2075" t="s">
        <v>1906</v>
      </c>
      <c r="F2075" t="s">
        <v>99</v>
      </c>
      <c r="G2075" s="202">
        <v>100</v>
      </c>
      <c r="H2075">
        <v>1</v>
      </c>
      <c r="I2075" t="s">
        <v>3954</v>
      </c>
      <c r="J2075" t="s">
        <v>5227</v>
      </c>
      <c r="K2075" t="s">
        <v>1283</v>
      </c>
      <c r="L2075" s="204">
        <v>0.26</v>
      </c>
      <c r="M2075" s="112">
        <v>97.41749999999999</v>
      </c>
      <c r="N2075" s="112">
        <v>25.32855</v>
      </c>
      <c r="O2075" s="204"/>
      <c r="P2075" s="112"/>
      <c r="Q2075" s="112"/>
      <c r="R2075" s="112"/>
      <c r="S2075" s="112"/>
      <c r="T2075" s="112"/>
      <c r="U2075" t="s">
        <v>5828</v>
      </c>
      <c r="V2075" t="s">
        <v>5829</v>
      </c>
      <c r="W2075" t="s">
        <v>3958</v>
      </c>
      <c r="X2075" t="s">
        <v>4660</v>
      </c>
    </row>
    <row r="2076" spans="1:24" x14ac:dyDescent="0.2">
      <c r="A2076" t="s">
        <v>5827</v>
      </c>
      <c r="B2076" t="s">
        <v>1904</v>
      </c>
      <c r="C2076" t="s">
        <v>1905</v>
      </c>
      <c r="D2076" t="s">
        <v>56</v>
      </c>
      <c r="E2076" t="s">
        <v>1906</v>
      </c>
      <c r="F2076" t="s">
        <v>99</v>
      </c>
      <c r="G2076" s="202">
        <v>100</v>
      </c>
      <c r="H2076">
        <v>2</v>
      </c>
      <c r="I2076" t="s">
        <v>3960</v>
      </c>
      <c r="J2076" t="s">
        <v>5229</v>
      </c>
      <c r="K2076" t="s">
        <v>1283</v>
      </c>
      <c r="L2076" s="204">
        <v>0.64</v>
      </c>
      <c r="M2076" s="112">
        <v>97.41749999999999</v>
      </c>
      <c r="N2076" s="112">
        <v>62.347199999999994</v>
      </c>
      <c r="O2076" s="204"/>
      <c r="P2076" s="112"/>
      <c r="Q2076" s="112"/>
      <c r="R2076" s="112"/>
      <c r="S2076" s="112"/>
      <c r="T2076" s="112"/>
      <c r="U2076" t="s">
        <v>5828</v>
      </c>
      <c r="V2076" t="s">
        <v>5829</v>
      </c>
      <c r="W2076" t="s">
        <v>3958</v>
      </c>
      <c r="X2076" t="s">
        <v>4660</v>
      </c>
    </row>
    <row r="2077" spans="1:24" x14ac:dyDescent="0.2">
      <c r="A2077" t="s">
        <v>5827</v>
      </c>
      <c r="B2077" t="s">
        <v>1904</v>
      </c>
      <c r="C2077" t="s">
        <v>1905</v>
      </c>
      <c r="D2077" t="s">
        <v>56</v>
      </c>
      <c r="E2077" t="s">
        <v>1906</v>
      </c>
      <c r="F2077" t="s">
        <v>99</v>
      </c>
      <c r="G2077" s="202">
        <v>100</v>
      </c>
      <c r="H2077">
        <v>3</v>
      </c>
      <c r="I2077" t="s">
        <v>3976</v>
      </c>
      <c r="J2077" t="s">
        <v>5230</v>
      </c>
      <c r="K2077" t="s">
        <v>1283</v>
      </c>
      <c r="L2077" s="204">
        <v>0.04</v>
      </c>
      <c r="M2077" s="112">
        <v>97.41749999999999</v>
      </c>
      <c r="N2077" s="112">
        <v>3.8966999999999996</v>
      </c>
      <c r="O2077" s="204"/>
      <c r="P2077" s="112"/>
      <c r="Q2077" s="112"/>
      <c r="R2077" s="112"/>
      <c r="S2077" s="112"/>
      <c r="T2077" s="112"/>
      <c r="U2077" t="s">
        <v>5828</v>
      </c>
      <c r="V2077" t="s">
        <v>5829</v>
      </c>
      <c r="W2077" t="s">
        <v>3958</v>
      </c>
      <c r="X2077" t="s">
        <v>4660</v>
      </c>
    </row>
    <row r="2078" spans="1:24" x14ac:dyDescent="0.2">
      <c r="A2078" t="s">
        <v>5827</v>
      </c>
      <c r="B2078" t="s">
        <v>1904</v>
      </c>
      <c r="C2078" t="s">
        <v>1905</v>
      </c>
      <c r="D2078" t="s">
        <v>56</v>
      </c>
      <c r="E2078" t="s">
        <v>1906</v>
      </c>
      <c r="F2078" t="s">
        <v>99</v>
      </c>
      <c r="G2078" s="202">
        <v>100</v>
      </c>
      <c r="H2078">
        <v>4</v>
      </c>
      <c r="I2078" t="s">
        <v>4017</v>
      </c>
      <c r="J2078" t="s">
        <v>4851</v>
      </c>
      <c r="K2078" t="s">
        <v>1283</v>
      </c>
      <c r="L2078" s="204">
        <v>0.06</v>
      </c>
      <c r="M2078" s="112">
        <v>97.41749999999999</v>
      </c>
      <c r="N2078" s="112">
        <v>5.8450499999999987</v>
      </c>
      <c r="O2078" s="204"/>
      <c r="P2078" s="112"/>
      <c r="Q2078" s="112"/>
      <c r="R2078" s="112"/>
      <c r="S2078" s="112"/>
      <c r="T2078" s="112"/>
      <c r="U2078" t="s">
        <v>5828</v>
      </c>
      <c r="V2078" t="s">
        <v>5829</v>
      </c>
      <c r="W2078" t="s">
        <v>3958</v>
      </c>
      <c r="X2078" t="s">
        <v>4660</v>
      </c>
    </row>
    <row r="2079" spans="1:24" x14ac:dyDescent="0.2">
      <c r="A2079" t="s">
        <v>5827</v>
      </c>
      <c r="B2079" t="s">
        <v>1904</v>
      </c>
      <c r="C2079" t="s">
        <v>1905</v>
      </c>
      <c r="D2079" t="s">
        <v>56</v>
      </c>
      <c r="E2079" t="s">
        <v>1906</v>
      </c>
      <c r="F2079" t="s">
        <v>99</v>
      </c>
      <c r="G2079" s="202">
        <v>100</v>
      </c>
      <c r="H2079">
        <v>5</v>
      </c>
      <c r="I2079" t="s">
        <v>3968</v>
      </c>
      <c r="J2079" t="s">
        <v>3969</v>
      </c>
      <c r="K2079" t="s">
        <v>99</v>
      </c>
      <c r="L2079" s="204">
        <v>1</v>
      </c>
      <c r="M2079" s="112"/>
      <c r="N2079" s="112">
        <v>97.41749999999999</v>
      </c>
      <c r="O2079" s="204">
        <v>0.22226499345600126</v>
      </c>
      <c r="P2079" s="112">
        <v>21.652500000000003</v>
      </c>
      <c r="Q2079" s="112">
        <v>119.07</v>
      </c>
      <c r="R2079" s="112">
        <v>11907</v>
      </c>
      <c r="S2079" s="112">
        <v>11907</v>
      </c>
      <c r="T2079" s="112">
        <v>0</v>
      </c>
      <c r="U2079" t="s">
        <v>5828</v>
      </c>
      <c r="V2079" t="s">
        <v>5829</v>
      </c>
      <c r="W2079" t="s">
        <v>4666</v>
      </c>
      <c r="X2079" t="s">
        <v>4667</v>
      </c>
    </row>
    <row r="2080" spans="1:24" x14ac:dyDescent="0.2">
      <c r="A2080" t="s">
        <v>5830</v>
      </c>
      <c r="B2080" t="s">
        <v>1907</v>
      </c>
      <c r="C2080" t="s">
        <v>852</v>
      </c>
      <c r="D2080" t="s">
        <v>209</v>
      </c>
      <c r="E2080" t="s">
        <v>1908</v>
      </c>
      <c r="F2080" t="s">
        <v>99</v>
      </c>
      <c r="G2080" s="202">
        <v>70</v>
      </c>
      <c r="H2080">
        <v>1</v>
      </c>
      <c r="I2080" t="s">
        <v>3954</v>
      </c>
      <c r="J2080" t="s">
        <v>5227</v>
      </c>
      <c r="K2080" t="s">
        <v>1283</v>
      </c>
      <c r="L2080" s="204">
        <v>0.26</v>
      </c>
      <c r="M2080" s="112">
        <v>84.292500000000004</v>
      </c>
      <c r="N2080" s="112">
        <v>21.916050000000002</v>
      </c>
      <c r="O2080" s="204"/>
      <c r="P2080" s="112"/>
      <c r="Q2080" s="112"/>
      <c r="R2080" s="112"/>
      <c r="S2080" s="112"/>
      <c r="T2080" s="112"/>
      <c r="U2080" t="s">
        <v>4454</v>
      </c>
      <c r="V2080" t="s">
        <v>4455</v>
      </c>
      <c r="W2080" t="s">
        <v>3958</v>
      </c>
      <c r="X2080" t="s">
        <v>4660</v>
      </c>
    </row>
    <row r="2081" spans="1:24" x14ac:dyDescent="0.2">
      <c r="A2081" t="s">
        <v>5830</v>
      </c>
      <c r="B2081" t="s">
        <v>1907</v>
      </c>
      <c r="C2081" t="s">
        <v>852</v>
      </c>
      <c r="D2081" t="s">
        <v>209</v>
      </c>
      <c r="E2081" t="s">
        <v>1908</v>
      </c>
      <c r="F2081" t="s">
        <v>99</v>
      </c>
      <c r="G2081" s="202">
        <v>70</v>
      </c>
      <c r="H2081">
        <v>2</v>
      </c>
      <c r="I2081" t="s">
        <v>3960</v>
      </c>
      <c r="J2081" t="s">
        <v>5229</v>
      </c>
      <c r="K2081" t="s">
        <v>1283</v>
      </c>
      <c r="L2081" s="204">
        <v>0.64</v>
      </c>
      <c r="M2081" s="112">
        <v>84.292500000000004</v>
      </c>
      <c r="N2081" s="112">
        <v>53.947200000000002</v>
      </c>
      <c r="O2081" s="204"/>
      <c r="P2081" s="112"/>
      <c r="Q2081" s="112"/>
      <c r="R2081" s="112"/>
      <c r="S2081" s="112"/>
      <c r="T2081" s="112"/>
      <c r="U2081" t="s">
        <v>4454</v>
      </c>
      <c r="V2081" t="s">
        <v>4455</v>
      </c>
      <c r="W2081" t="s">
        <v>3958</v>
      </c>
      <c r="X2081" t="s">
        <v>4660</v>
      </c>
    </row>
    <row r="2082" spans="1:24" x14ac:dyDescent="0.2">
      <c r="A2082" t="s">
        <v>5830</v>
      </c>
      <c r="B2082" t="s">
        <v>1907</v>
      </c>
      <c r="C2082" t="s">
        <v>852</v>
      </c>
      <c r="D2082" t="s">
        <v>209</v>
      </c>
      <c r="E2082" t="s">
        <v>1908</v>
      </c>
      <c r="F2082" t="s">
        <v>99</v>
      </c>
      <c r="G2082" s="202">
        <v>70</v>
      </c>
      <c r="H2082">
        <v>3</v>
      </c>
      <c r="I2082" t="s">
        <v>3976</v>
      </c>
      <c r="J2082" t="s">
        <v>5230</v>
      </c>
      <c r="K2082" t="s">
        <v>1283</v>
      </c>
      <c r="L2082" s="204">
        <v>0.04</v>
      </c>
      <c r="M2082" s="112">
        <v>84.292500000000004</v>
      </c>
      <c r="N2082" s="112">
        <v>3.3717000000000001</v>
      </c>
      <c r="O2082" s="204"/>
      <c r="P2082" s="112"/>
      <c r="Q2082" s="112"/>
      <c r="R2082" s="112"/>
      <c r="S2082" s="112"/>
      <c r="T2082" s="112"/>
      <c r="U2082" t="s">
        <v>4454</v>
      </c>
      <c r="V2082" t="s">
        <v>4455</v>
      </c>
      <c r="W2082" t="s">
        <v>3958</v>
      </c>
      <c r="X2082" t="s">
        <v>4660</v>
      </c>
    </row>
    <row r="2083" spans="1:24" x14ac:dyDescent="0.2">
      <c r="A2083" t="s">
        <v>5830</v>
      </c>
      <c r="B2083" t="s">
        <v>1907</v>
      </c>
      <c r="C2083" t="s">
        <v>852</v>
      </c>
      <c r="D2083" t="s">
        <v>209</v>
      </c>
      <c r="E2083" t="s">
        <v>1908</v>
      </c>
      <c r="F2083" t="s">
        <v>99</v>
      </c>
      <c r="G2083" s="202">
        <v>70</v>
      </c>
      <c r="H2083">
        <v>4</v>
      </c>
      <c r="I2083" t="s">
        <v>4017</v>
      </c>
      <c r="J2083" t="s">
        <v>4851</v>
      </c>
      <c r="K2083" t="s">
        <v>1283</v>
      </c>
      <c r="L2083" s="204">
        <v>0.06</v>
      </c>
      <c r="M2083" s="112">
        <v>84.292500000000004</v>
      </c>
      <c r="N2083" s="112">
        <v>5.05755</v>
      </c>
      <c r="O2083" s="204"/>
      <c r="P2083" s="112"/>
      <c r="Q2083" s="112"/>
      <c r="R2083" s="112"/>
      <c r="S2083" s="112"/>
      <c r="T2083" s="112"/>
      <c r="U2083" t="s">
        <v>4454</v>
      </c>
      <c r="V2083" t="s">
        <v>4455</v>
      </c>
      <c r="W2083" t="s">
        <v>3958</v>
      </c>
      <c r="X2083" t="s">
        <v>4660</v>
      </c>
    </row>
    <row r="2084" spans="1:24" x14ac:dyDescent="0.2">
      <c r="A2084" t="s">
        <v>5830</v>
      </c>
      <c r="B2084" t="s">
        <v>1907</v>
      </c>
      <c r="C2084" t="s">
        <v>852</v>
      </c>
      <c r="D2084" t="s">
        <v>209</v>
      </c>
      <c r="E2084" t="s">
        <v>1908</v>
      </c>
      <c r="F2084" t="s">
        <v>99</v>
      </c>
      <c r="G2084" s="202">
        <v>70</v>
      </c>
      <c r="H2084">
        <v>5</v>
      </c>
      <c r="I2084" t="s">
        <v>3968</v>
      </c>
      <c r="J2084" t="s">
        <v>3969</v>
      </c>
      <c r="K2084" t="s">
        <v>99</v>
      </c>
      <c r="L2084" s="204">
        <v>1</v>
      </c>
      <c r="M2084" s="112"/>
      <c r="N2084" s="112">
        <v>84.292500000000004</v>
      </c>
      <c r="O2084" s="204">
        <v>0.22226091967172135</v>
      </c>
      <c r="P2084" s="112">
        <v>18.734928571428568</v>
      </c>
      <c r="Q2084" s="112">
        <v>103.02742857142857</v>
      </c>
      <c r="R2084" s="112">
        <v>7211.92</v>
      </c>
      <c r="S2084" s="112">
        <v>7211.92</v>
      </c>
      <c r="T2084" s="112">
        <v>0</v>
      </c>
      <c r="U2084" t="s">
        <v>4454</v>
      </c>
      <c r="V2084" t="s">
        <v>4455</v>
      </c>
      <c r="W2084" t="s">
        <v>4666</v>
      </c>
      <c r="X2084" t="s">
        <v>4667</v>
      </c>
    </row>
    <row r="2085" spans="1:24" x14ac:dyDescent="0.2">
      <c r="A2085" t="s">
        <v>5831</v>
      </c>
      <c r="B2085" t="s">
        <v>1909</v>
      </c>
      <c r="C2085" t="s">
        <v>854</v>
      </c>
      <c r="D2085" t="s">
        <v>209</v>
      </c>
      <c r="E2085" t="s">
        <v>855</v>
      </c>
      <c r="F2085" t="s">
        <v>99</v>
      </c>
      <c r="G2085" s="202">
        <v>30</v>
      </c>
      <c r="H2085">
        <v>1</v>
      </c>
      <c r="I2085" t="s">
        <v>3954</v>
      </c>
      <c r="J2085" t="s">
        <v>5227</v>
      </c>
      <c r="K2085" t="s">
        <v>1283</v>
      </c>
      <c r="L2085" s="204">
        <v>0.26</v>
      </c>
      <c r="M2085" s="112">
        <v>115.77000000000001</v>
      </c>
      <c r="N2085" s="112">
        <v>30.100200000000005</v>
      </c>
      <c r="O2085" s="204"/>
      <c r="P2085" s="112"/>
      <c r="Q2085" s="112"/>
      <c r="R2085" s="112"/>
      <c r="S2085" s="112"/>
      <c r="T2085" s="112"/>
      <c r="U2085" t="s">
        <v>4480</v>
      </c>
      <c r="V2085" t="s">
        <v>4481</v>
      </c>
      <c r="W2085" t="s">
        <v>3958</v>
      </c>
      <c r="X2085" t="s">
        <v>4660</v>
      </c>
    </row>
    <row r="2086" spans="1:24" x14ac:dyDescent="0.2">
      <c r="A2086" t="s">
        <v>5831</v>
      </c>
      <c r="B2086" t="s">
        <v>1909</v>
      </c>
      <c r="C2086" t="s">
        <v>854</v>
      </c>
      <c r="D2086" t="s">
        <v>209</v>
      </c>
      <c r="E2086" t="s">
        <v>855</v>
      </c>
      <c r="F2086" t="s">
        <v>99</v>
      </c>
      <c r="G2086" s="202">
        <v>30</v>
      </c>
      <c r="H2086">
        <v>2</v>
      </c>
      <c r="I2086" t="s">
        <v>3960</v>
      </c>
      <c r="J2086" t="s">
        <v>5229</v>
      </c>
      <c r="K2086" t="s">
        <v>1283</v>
      </c>
      <c r="L2086" s="204">
        <v>0.64</v>
      </c>
      <c r="M2086" s="112">
        <v>115.77000000000001</v>
      </c>
      <c r="N2086" s="112">
        <v>74.092800000000011</v>
      </c>
      <c r="O2086" s="204"/>
      <c r="P2086" s="112"/>
      <c r="Q2086" s="112"/>
      <c r="R2086" s="112"/>
      <c r="S2086" s="112"/>
      <c r="T2086" s="112"/>
      <c r="U2086" t="s">
        <v>4480</v>
      </c>
      <c r="V2086" t="s">
        <v>4481</v>
      </c>
      <c r="W2086" t="s">
        <v>3958</v>
      </c>
      <c r="X2086" t="s">
        <v>4660</v>
      </c>
    </row>
    <row r="2087" spans="1:24" x14ac:dyDescent="0.2">
      <c r="A2087" t="s">
        <v>5831</v>
      </c>
      <c r="B2087" t="s">
        <v>1909</v>
      </c>
      <c r="C2087" t="s">
        <v>854</v>
      </c>
      <c r="D2087" t="s">
        <v>209</v>
      </c>
      <c r="E2087" t="s">
        <v>855</v>
      </c>
      <c r="F2087" t="s">
        <v>99</v>
      </c>
      <c r="G2087" s="202">
        <v>30</v>
      </c>
      <c r="H2087">
        <v>3</v>
      </c>
      <c r="I2087" t="s">
        <v>3976</v>
      </c>
      <c r="J2087" t="s">
        <v>5230</v>
      </c>
      <c r="K2087" t="s">
        <v>1283</v>
      </c>
      <c r="L2087" s="204">
        <v>0.04</v>
      </c>
      <c r="M2087" s="112">
        <v>115.77000000000001</v>
      </c>
      <c r="N2087" s="112">
        <v>4.6308000000000007</v>
      </c>
      <c r="O2087" s="204"/>
      <c r="P2087" s="112"/>
      <c r="Q2087" s="112"/>
      <c r="R2087" s="112"/>
      <c r="S2087" s="112"/>
      <c r="T2087" s="112"/>
      <c r="U2087" t="s">
        <v>4480</v>
      </c>
      <c r="V2087" t="s">
        <v>4481</v>
      </c>
      <c r="W2087" t="s">
        <v>3958</v>
      </c>
      <c r="X2087" t="s">
        <v>4660</v>
      </c>
    </row>
    <row r="2088" spans="1:24" x14ac:dyDescent="0.2">
      <c r="A2088" t="s">
        <v>5831</v>
      </c>
      <c r="B2088" t="s">
        <v>1909</v>
      </c>
      <c r="C2088" t="s">
        <v>854</v>
      </c>
      <c r="D2088" t="s">
        <v>209</v>
      </c>
      <c r="E2088" t="s">
        <v>855</v>
      </c>
      <c r="F2088" t="s">
        <v>99</v>
      </c>
      <c r="G2088" s="202">
        <v>30</v>
      </c>
      <c r="H2088">
        <v>4</v>
      </c>
      <c r="I2088" t="s">
        <v>4017</v>
      </c>
      <c r="J2088" t="s">
        <v>4851</v>
      </c>
      <c r="K2088" t="s">
        <v>1283</v>
      </c>
      <c r="L2088" s="204">
        <v>0.06</v>
      </c>
      <c r="M2088" s="112">
        <v>115.77000000000001</v>
      </c>
      <c r="N2088" s="112">
        <v>6.9462000000000002</v>
      </c>
      <c r="O2088" s="204"/>
      <c r="P2088" s="112"/>
      <c r="Q2088" s="112"/>
      <c r="R2088" s="112"/>
      <c r="S2088" s="112"/>
      <c r="T2088" s="112"/>
      <c r="U2088" t="s">
        <v>4480</v>
      </c>
      <c r="V2088" t="s">
        <v>4481</v>
      </c>
      <c r="W2088" t="s">
        <v>3958</v>
      </c>
      <c r="X2088" t="s">
        <v>4660</v>
      </c>
    </row>
    <row r="2089" spans="1:24" x14ac:dyDescent="0.2">
      <c r="A2089" t="s">
        <v>5831</v>
      </c>
      <c r="B2089" t="s">
        <v>1909</v>
      </c>
      <c r="C2089" t="s">
        <v>854</v>
      </c>
      <c r="D2089" t="s">
        <v>209</v>
      </c>
      <c r="E2089" t="s">
        <v>855</v>
      </c>
      <c r="F2089" t="s">
        <v>99</v>
      </c>
      <c r="G2089" s="202">
        <v>30</v>
      </c>
      <c r="H2089">
        <v>5</v>
      </c>
      <c r="I2089" t="s">
        <v>3968</v>
      </c>
      <c r="J2089" t="s">
        <v>3969</v>
      </c>
      <c r="K2089" t="s">
        <v>99</v>
      </c>
      <c r="L2089" s="204">
        <v>1</v>
      </c>
      <c r="M2089" s="112"/>
      <c r="N2089" s="112">
        <v>115.77000000000001</v>
      </c>
      <c r="O2089" s="204">
        <v>0.22227116984826223</v>
      </c>
      <c r="P2089" s="112">
        <v>25.732333333333315</v>
      </c>
      <c r="Q2089" s="112">
        <v>141.50233333333333</v>
      </c>
      <c r="R2089" s="112">
        <v>4245.07</v>
      </c>
      <c r="S2089" s="112">
        <v>4245.07</v>
      </c>
      <c r="T2089" s="112">
        <v>0</v>
      </c>
      <c r="U2089" t="s">
        <v>4480</v>
      </c>
      <c r="V2089" t="s">
        <v>4481</v>
      </c>
      <c r="W2089" t="s">
        <v>4666</v>
      </c>
      <c r="X2089" t="s">
        <v>4667</v>
      </c>
    </row>
    <row r="2090" spans="1:24" x14ac:dyDescent="0.2">
      <c r="A2090" t="s">
        <v>5832</v>
      </c>
      <c r="B2090" t="s">
        <v>1910</v>
      </c>
      <c r="C2090" t="s">
        <v>856</v>
      </c>
      <c r="D2090" t="s">
        <v>209</v>
      </c>
      <c r="E2090" t="s">
        <v>857</v>
      </c>
      <c r="F2090" t="s">
        <v>99</v>
      </c>
      <c r="G2090" s="202">
        <v>50</v>
      </c>
      <c r="H2090">
        <v>1</v>
      </c>
      <c r="I2090" t="s">
        <v>3954</v>
      </c>
      <c r="J2090" t="s">
        <v>5227</v>
      </c>
      <c r="K2090" t="s">
        <v>1283</v>
      </c>
      <c r="L2090" s="204">
        <v>0.26</v>
      </c>
      <c r="M2090" s="112">
        <v>160.22999999999999</v>
      </c>
      <c r="N2090" s="112">
        <v>41.659799999999997</v>
      </c>
      <c r="O2090" s="204"/>
      <c r="P2090" s="112"/>
      <c r="Q2090" s="112"/>
      <c r="R2090" s="112"/>
      <c r="S2090" s="112"/>
      <c r="T2090" s="112"/>
      <c r="U2090" t="s">
        <v>4430</v>
      </c>
      <c r="V2090" t="s">
        <v>4431</v>
      </c>
      <c r="W2090" t="s">
        <v>3958</v>
      </c>
      <c r="X2090" t="s">
        <v>4660</v>
      </c>
    </row>
    <row r="2091" spans="1:24" x14ac:dyDescent="0.2">
      <c r="A2091" t="s">
        <v>5832</v>
      </c>
      <c r="B2091" t="s">
        <v>1910</v>
      </c>
      <c r="C2091" t="s">
        <v>856</v>
      </c>
      <c r="D2091" t="s">
        <v>209</v>
      </c>
      <c r="E2091" t="s">
        <v>857</v>
      </c>
      <c r="F2091" t="s">
        <v>99</v>
      </c>
      <c r="G2091" s="202">
        <v>50</v>
      </c>
      <c r="H2091">
        <v>2</v>
      </c>
      <c r="I2091" t="s">
        <v>3960</v>
      </c>
      <c r="J2091" t="s">
        <v>5229</v>
      </c>
      <c r="K2091" t="s">
        <v>1283</v>
      </c>
      <c r="L2091" s="204">
        <v>0.64</v>
      </c>
      <c r="M2091" s="112">
        <v>160.22999999999999</v>
      </c>
      <c r="N2091" s="112">
        <v>102.54719999999999</v>
      </c>
      <c r="O2091" s="204"/>
      <c r="P2091" s="112"/>
      <c r="Q2091" s="112"/>
      <c r="R2091" s="112"/>
      <c r="S2091" s="112"/>
      <c r="T2091" s="112"/>
      <c r="U2091" t="s">
        <v>4430</v>
      </c>
      <c r="V2091" t="s">
        <v>4431</v>
      </c>
      <c r="W2091" t="s">
        <v>3958</v>
      </c>
      <c r="X2091" t="s">
        <v>4660</v>
      </c>
    </row>
    <row r="2092" spans="1:24" x14ac:dyDescent="0.2">
      <c r="A2092" t="s">
        <v>5832</v>
      </c>
      <c r="B2092" t="s">
        <v>1910</v>
      </c>
      <c r="C2092" t="s">
        <v>856</v>
      </c>
      <c r="D2092" t="s">
        <v>209</v>
      </c>
      <c r="E2092" t="s">
        <v>857</v>
      </c>
      <c r="F2092" t="s">
        <v>99</v>
      </c>
      <c r="G2092" s="202">
        <v>50</v>
      </c>
      <c r="H2092">
        <v>3</v>
      </c>
      <c r="I2092" t="s">
        <v>3976</v>
      </c>
      <c r="J2092" t="s">
        <v>5230</v>
      </c>
      <c r="K2092" t="s">
        <v>1283</v>
      </c>
      <c r="L2092" s="204">
        <v>0.04</v>
      </c>
      <c r="M2092" s="112">
        <v>160.22999999999999</v>
      </c>
      <c r="N2092" s="112">
        <v>6.4091999999999993</v>
      </c>
      <c r="O2092" s="204"/>
      <c r="P2092" s="112"/>
      <c r="Q2092" s="112"/>
      <c r="R2092" s="112"/>
      <c r="S2092" s="112"/>
      <c r="T2092" s="112"/>
      <c r="U2092" t="s">
        <v>4430</v>
      </c>
      <c r="V2092" t="s">
        <v>4431</v>
      </c>
      <c r="W2092" t="s">
        <v>3958</v>
      </c>
      <c r="X2092" t="s">
        <v>4660</v>
      </c>
    </row>
    <row r="2093" spans="1:24" x14ac:dyDescent="0.2">
      <c r="A2093" t="s">
        <v>5832</v>
      </c>
      <c r="B2093" t="s">
        <v>1910</v>
      </c>
      <c r="C2093" t="s">
        <v>856</v>
      </c>
      <c r="D2093" t="s">
        <v>209</v>
      </c>
      <c r="E2093" t="s">
        <v>857</v>
      </c>
      <c r="F2093" t="s">
        <v>99</v>
      </c>
      <c r="G2093" s="202">
        <v>50</v>
      </c>
      <c r="H2093">
        <v>4</v>
      </c>
      <c r="I2093" t="s">
        <v>4017</v>
      </c>
      <c r="J2093" t="s">
        <v>4851</v>
      </c>
      <c r="K2093" t="s">
        <v>1283</v>
      </c>
      <c r="L2093" s="204">
        <v>0.06</v>
      </c>
      <c r="M2093" s="112">
        <v>160.22999999999999</v>
      </c>
      <c r="N2093" s="112">
        <v>9.6137999999999995</v>
      </c>
      <c r="O2093" s="204"/>
      <c r="P2093" s="112"/>
      <c r="Q2093" s="112"/>
      <c r="R2093" s="112"/>
      <c r="S2093" s="112"/>
      <c r="T2093" s="112"/>
      <c r="U2093" t="s">
        <v>4430</v>
      </c>
      <c r="V2093" t="s">
        <v>4431</v>
      </c>
      <c r="W2093" t="s">
        <v>3958</v>
      </c>
      <c r="X2093" t="s">
        <v>4660</v>
      </c>
    </row>
    <row r="2094" spans="1:24" x14ac:dyDescent="0.2">
      <c r="A2094" t="s">
        <v>5832</v>
      </c>
      <c r="B2094" t="s">
        <v>1910</v>
      </c>
      <c r="C2094" t="s">
        <v>856</v>
      </c>
      <c r="D2094" t="s">
        <v>209</v>
      </c>
      <c r="E2094" t="s">
        <v>857</v>
      </c>
      <c r="F2094" t="s">
        <v>99</v>
      </c>
      <c r="G2094" s="202">
        <v>50</v>
      </c>
      <c r="H2094">
        <v>5</v>
      </c>
      <c r="I2094" t="s">
        <v>3968</v>
      </c>
      <c r="J2094" t="s">
        <v>3969</v>
      </c>
      <c r="K2094" t="s">
        <v>99</v>
      </c>
      <c r="L2094" s="204">
        <v>1</v>
      </c>
      <c r="M2094" s="112"/>
      <c r="N2094" s="112">
        <v>160.22999999999999</v>
      </c>
      <c r="O2094" s="204">
        <v>0.2222892092616866</v>
      </c>
      <c r="P2094" s="112">
        <v>35.617400000000032</v>
      </c>
      <c r="Q2094" s="112">
        <v>195.84740000000002</v>
      </c>
      <c r="R2094" s="112">
        <v>9792.3700000000008</v>
      </c>
      <c r="S2094" s="112">
        <v>9792.3700000000008</v>
      </c>
      <c r="T2094" s="112">
        <v>0</v>
      </c>
      <c r="U2094" t="s">
        <v>4430</v>
      </c>
      <c r="V2094" t="s">
        <v>4431</v>
      </c>
      <c r="W2094" t="s">
        <v>4666</v>
      </c>
      <c r="X2094" t="s">
        <v>4667</v>
      </c>
    </row>
    <row r="2095" spans="1:24" x14ac:dyDescent="0.2">
      <c r="A2095" t="s">
        <v>5833</v>
      </c>
      <c r="B2095" t="s">
        <v>1911</v>
      </c>
      <c r="C2095" t="s">
        <v>858</v>
      </c>
      <c r="D2095" t="s">
        <v>209</v>
      </c>
      <c r="E2095" t="s">
        <v>859</v>
      </c>
      <c r="F2095" t="s">
        <v>99</v>
      </c>
      <c r="G2095" s="202">
        <v>40</v>
      </c>
      <c r="H2095">
        <v>1</v>
      </c>
      <c r="I2095" t="s">
        <v>3954</v>
      </c>
      <c r="J2095" t="s">
        <v>5227</v>
      </c>
      <c r="K2095" t="s">
        <v>1283</v>
      </c>
      <c r="L2095" s="204">
        <v>0.26</v>
      </c>
      <c r="M2095" s="112">
        <v>200.01</v>
      </c>
      <c r="N2095" s="112">
        <v>52.002600000000001</v>
      </c>
      <c r="O2095" s="204"/>
      <c r="P2095" s="112"/>
      <c r="Q2095" s="112"/>
      <c r="R2095" s="112"/>
      <c r="S2095" s="112"/>
      <c r="T2095" s="112"/>
      <c r="U2095" t="s">
        <v>4434</v>
      </c>
      <c r="V2095" t="s">
        <v>4435</v>
      </c>
      <c r="W2095" t="s">
        <v>3958</v>
      </c>
      <c r="X2095" t="s">
        <v>4660</v>
      </c>
    </row>
    <row r="2096" spans="1:24" x14ac:dyDescent="0.2">
      <c r="A2096" t="s">
        <v>5833</v>
      </c>
      <c r="B2096" t="s">
        <v>1911</v>
      </c>
      <c r="C2096" t="s">
        <v>858</v>
      </c>
      <c r="D2096" t="s">
        <v>209</v>
      </c>
      <c r="E2096" t="s">
        <v>859</v>
      </c>
      <c r="F2096" t="s">
        <v>99</v>
      </c>
      <c r="G2096" s="202">
        <v>40</v>
      </c>
      <c r="H2096">
        <v>2</v>
      </c>
      <c r="I2096" t="s">
        <v>3960</v>
      </c>
      <c r="J2096" t="s">
        <v>5229</v>
      </c>
      <c r="K2096" t="s">
        <v>1283</v>
      </c>
      <c r="L2096" s="204">
        <v>0.64</v>
      </c>
      <c r="M2096" s="112">
        <v>200.01</v>
      </c>
      <c r="N2096" s="112">
        <v>128.00639999999999</v>
      </c>
      <c r="O2096" s="204"/>
      <c r="P2096" s="112"/>
      <c r="Q2096" s="112"/>
      <c r="R2096" s="112"/>
      <c r="S2096" s="112"/>
      <c r="T2096" s="112"/>
      <c r="U2096" t="s">
        <v>4434</v>
      </c>
      <c r="V2096" t="s">
        <v>4435</v>
      </c>
      <c r="W2096" t="s">
        <v>3958</v>
      </c>
      <c r="X2096" t="s">
        <v>4660</v>
      </c>
    </row>
    <row r="2097" spans="1:24" x14ac:dyDescent="0.2">
      <c r="A2097" t="s">
        <v>5833</v>
      </c>
      <c r="B2097" t="s">
        <v>1911</v>
      </c>
      <c r="C2097" t="s">
        <v>858</v>
      </c>
      <c r="D2097" t="s">
        <v>209</v>
      </c>
      <c r="E2097" t="s">
        <v>859</v>
      </c>
      <c r="F2097" t="s">
        <v>99</v>
      </c>
      <c r="G2097" s="202">
        <v>40</v>
      </c>
      <c r="H2097">
        <v>3</v>
      </c>
      <c r="I2097" t="s">
        <v>3976</v>
      </c>
      <c r="J2097" t="s">
        <v>5230</v>
      </c>
      <c r="K2097" t="s">
        <v>1283</v>
      </c>
      <c r="L2097" s="204">
        <v>0.04</v>
      </c>
      <c r="M2097" s="112">
        <v>200.01</v>
      </c>
      <c r="N2097" s="112">
        <v>8.0003999999999991</v>
      </c>
      <c r="O2097" s="204"/>
      <c r="P2097" s="112"/>
      <c r="Q2097" s="112"/>
      <c r="R2097" s="112"/>
      <c r="S2097" s="112"/>
      <c r="T2097" s="112"/>
      <c r="U2097" t="s">
        <v>4434</v>
      </c>
      <c r="V2097" t="s">
        <v>4435</v>
      </c>
      <c r="W2097" t="s">
        <v>3958</v>
      </c>
      <c r="X2097" t="s">
        <v>4660</v>
      </c>
    </row>
    <row r="2098" spans="1:24" x14ac:dyDescent="0.2">
      <c r="A2098" t="s">
        <v>5833</v>
      </c>
      <c r="B2098" t="s">
        <v>1911</v>
      </c>
      <c r="C2098" t="s">
        <v>858</v>
      </c>
      <c r="D2098" t="s">
        <v>209</v>
      </c>
      <c r="E2098" t="s">
        <v>859</v>
      </c>
      <c r="F2098" t="s">
        <v>99</v>
      </c>
      <c r="G2098" s="202">
        <v>40</v>
      </c>
      <c r="H2098">
        <v>4</v>
      </c>
      <c r="I2098" t="s">
        <v>4017</v>
      </c>
      <c r="J2098" t="s">
        <v>4851</v>
      </c>
      <c r="K2098" t="s">
        <v>1283</v>
      </c>
      <c r="L2098" s="204">
        <v>0.06</v>
      </c>
      <c r="M2098" s="112">
        <v>200.01</v>
      </c>
      <c r="N2098" s="112">
        <v>12.000599999999999</v>
      </c>
      <c r="O2098" s="204"/>
      <c r="P2098" s="112"/>
      <c r="Q2098" s="112"/>
      <c r="R2098" s="112"/>
      <c r="S2098" s="112"/>
      <c r="T2098" s="112"/>
      <c r="U2098" t="s">
        <v>4434</v>
      </c>
      <c r="V2098" t="s">
        <v>4435</v>
      </c>
      <c r="W2098" t="s">
        <v>3958</v>
      </c>
      <c r="X2098" t="s">
        <v>4660</v>
      </c>
    </row>
    <row r="2099" spans="1:24" x14ac:dyDescent="0.2">
      <c r="A2099" t="s">
        <v>5833</v>
      </c>
      <c r="B2099" t="s">
        <v>1911</v>
      </c>
      <c r="C2099" t="s">
        <v>858</v>
      </c>
      <c r="D2099" t="s">
        <v>209</v>
      </c>
      <c r="E2099" t="s">
        <v>859</v>
      </c>
      <c r="F2099" t="s">
        <v>99</v>
      </c>
      <c r="G2099" s="202">
        <v>40</v>
      </c>
      <c r="H2099">
        <v>5</v>
      </c>
      <c r="I2099" t="s">
        <v>3968</v>
      </c>
      <c r="J2099" t="s">
        <v>3969</v>
      </c>
      <c r="K2099" t="s">
        <v>99</v>
      </c>
      <c r="L2099" s="204">
        <v>1</v>
      </c>
      <c r="M2099" s="112"/>
      <c r="N2099" s="112">
        <v>200.01</v>
      </c>
      <c r="O2099" s="204">
        <v>0.22228888555572213</v>
      </c>
      <c r="P2099" s="112">
        <v>44.45999999999998</v>
      </c>
      <c r="Q2099" s="112">
        <v>244.46999999999997</v>
      </c>
      <c r="R2099" s="112">
        <v>9778.7999999999993</v>
      </c>
      <c r="S2099" s="112">
        <v>9778.7999999999993</v>
      </c>
      <c r="T2099" s="112">
        <v>0</v>
      </c>
      <c r="U2099" t="s">
        <v>4434</v>
      </c>
      <c r="V2099" t="s">
        <v>4435</v>
      </c>
      <c r="W2099" t="s">
        <v>4666</v>
      </c>
      <c r="X2099" t="s">
        <v>4667</v>
      </c>
    </row>
    <row r="2100" spans="1:24" x14ac:dyDescent="0.2">
      <c r="A2100" t="s">
        <v>5834</v>
      </c>
      <c r="B2100" t="s">
        <v>1912</v>
      </c>
      <c r="C2100" t="s">
        <v>860</v>
      </c>
      <c r="D2100" t="s">
        <v>209</v>
      </c>
      <c r="E2100" t="s">
        <v>861</v>
      </c>
      <c r="F2100" t="s">
        <v>99</v>
      </c>
      <c r="G2100" s="202">
        <v>10</v>
      </c>
      <c r="H2100">
        <v>1</v>
      </c>
      <c r="I2100" t="s">
        <v>3954</v>
      </c>
      <c r="J2100" t="s">
        <v>5227</v>
      </c>
      <c r="K2100" t="s">
        <v>1283</v>
      </c>
      <c r="L2100" s="204">
        <v>0.26</v>
      </c>
      <c r="M2100" s="112">
        <v>259.38750000000005</v>
      </c>
      <c r="N2100" s="112">
        <v>67.440750000000008</v>
      </c>
      <c r="O2100" s="204"/>
      <c r="P2100" s="112"/>
      <c r="Q2100" s="112"/>
      <c r="R2100" s="112"/>
      <c r="S2100" s="112"/>
      <c r="T2100" s="112"/>
      <c r="U2100" t="s">
        <v>4504</v>
      </c>
      <c r="V2100" t="s">
        <v>4505</v>
      </c>
      <c r="W2100" t="s">
        <v>3958</v>
      </c>
      <c r="X2100" t="s">
        <v>4660</v>
      </c>
    </row>
    <row r="2101" spans="1:24" x14ac:dyDescent="0.2">
      <c r="A2101" t="s">
        <v>5834</v>
      </c>
      <c r="B2101" t="s">
        <v>1912</v>
      </c>
      <c r="C2101" t="s">
        <v>860</v>
      </c>
      <c r="D2101" t="s">
        <v>209</v>
      </c>
      <c r="E2101" t="s">
        <v>861</v>
      </c>
      <c r="F2101" t="s">
        <v>99</v>
      </c>
      <c r="G2101" s="202">
        <v>10</v>
      </c>
      <c r="H2101">
        <v>2</v>
      </c>
      <c r="I2101" t="s">
        <v>3960</v>
      </c>
      <c r="J2101" t="s">
        <v>5229</v>
      </c>
      <c r="K2101" t="s">
        <v>1283</v>
      </c>
      <c r="L2101" s="204">
        <v>0.64</v>
      </c>
      <c r="M2101" s="112">
        <v>259.38750000000005</v>
      </c>
      <c r="N2101" s="112">
        <v>166.00800000000004</v>
      </c>
      <c r="O2101" s="204"/>
      <c r="P2101" s="112"/>
      <c r="Q2101" s="112"/>
      <c r="R2101" s="112"/>
      <c r="S2101" s="112"/>
      <c r="T2101" s="112"/>
      <c r="U2101" t="s">
        <v>4504</v>
      </c>
      <c r="V2101" t="s">
        <v>4505</v>
      </c>
      <c r="W2101" t="s">
        <v>3958</v>
      </c>
      <c r="X2101" t="s">
        <v>4660</v>
      </c>
    </row>
    <row r="2102" spans="1:24" x14ac:dyDescent="0.2">
      <c r="A2102" t="s">
        <v>5834</v>
      </c>
      <c r="B2102" t="s">
        <v>1912</v>
      </c>
      <c r="C2102" t="s">
        <v>860</v>
      </c>
      <c r="D2102" t="s">
        <v>209</v>
      </c>
      <c r="E2102" t="s">
        <v>861</v>
      </c>
      <c r="F2102" t="s">
        <v>99</v>
      </c>
      <c r="G2102" s="202">
        <v>10</v>
      </c>
      <c r="H2102">
        <v>3</v>
      </c>
      <c r="I2102" t="s">
        <v>3976</v>
      </c>
      <c r="J2102" t="s">
        <v>5230</v>
      </c>
      <c r="K2102" t="s">
        <v>1283</v>
      </c>
      <c r="L2102" s="204">
        <v>0.04</v>
      </c>
      <c r="M2102" s="112">
        <v>259.38750000000005</v>
      </c>
      <c r="N2102" s="112">
        <v>10.375500000000002</v>
      </c>
      <c r="O2102" s="204"/>
      <c r="P2102" s="112"/>
      <c r="Q2102" s="112"/>
      <c r="R2102" s="112"/>
      <c r="S2102" s="112"/>
      <c r="T2102" s="112"/>
      <c r="U2102" t="s">
        <v>4504</v>
      </c>
      <c r="V2102" t="s">
        <v>4505</v>
      </c>
      <c r="W2102" t="s">
        <v>3958</v>
      </c>
      <c r="X2102" t="s">
        <v>4660</v>
      </c>
    </row>
    <row r="2103" spans="1:24" x14ac:dyDescent="0.2">
      <c r="A2103" t="s">
        <v>5834</v>
      </c>
      <c r="B2103" t="s">
        <v>1912</v>
      </c>
      <c r="C2103" t="s">
        <v>860</v>
      </c>
      <c r="D2103" t="s">
        <v>209</v>
      </c>
      <c r="E2103" t="s">
        <v>861</v>
      </c>
      <c r="F2103" t="s">
        <v>99</v>
      </c>
      <c r="G2103" s="202">
        <v>10</v>
      </c>
      <c r="H2103">
        <v>4</v>
      </c>
      <c r="I2103" t="s">
        <v>4017</v>
      </c>
      <c r="J2103" t="s">
        <v>4851</v>
      </c>
      <c r="K2103" t="s">
        <v>1283</v>
      </c>
      <c r="L2103" s="204">
        <v>0.06</v>
      </c>
      <c r="M2103" s="112">
        <v>259.38750000000005</v>
      </c>
      <c r="N2103" s="112">
        <v>15.563250000000002</v>
      </c>
      <c r="O2103" s="204"/>
      <c r="P2103" s="112"/>
      <c r="Q2103" s="112"/>
      <c r="R2103" s="112"/>
      <c r="S2103" s="112"/>
      <c r="T2103" s="112"/>
      <c r="U2103" t="s">
        <v>4504</v>
      </c>
      <c r="V2103" t="s">
        <v>4505</v>
      </c>
      <c r="W2103" t="s">
        <v>3958</v>
      </c>
      <c r="X2103" t="s">
        <v>4660</v>
      </c>
    </row>
    <row r="2104" spans="1:24" x14ac:dyDescent="0.2">
      <c r="A2104" t="s">
        <v>5834</v>
      </c>
      <c r="B2104" t="s">
        <v>1912</v>
      </c>
      <c r="C2104" t="s">
        <v>860</v>
      </c>
      <c r="D2104" t="s">
        <v>209</v>
      </c>
      <c r="E2104" t="s">
        <v>861</v>
      </c>
      <c r="F2104" t="s">
        <v>99</v>
      </c>
      <c r="G2104" s="202">
        <v>10</v>
      </c>
      <c r="H2104">
        <v>5</v>
      </c>
      <c r="I2104" t="s">
        <v>3968</v>
      </c>
      <c r="J2104" t="s">
        <v>3969</v>
      </c>
      <c r="K2104" t="s">
        <v>99</v>
      </c>
      <c r="L2104" s="204">
        <v>1</v>
      </c>
      <c r="M2104" s="112"/>
      <c r="N2104" s="112">
        <v>259.38750000000005</v>
      </c>
      <c r="O2104" s="204">
        <v>0.22229097392896691</v>
      </c>
      <c r="P2104" s="112">
        <v>57.659499999999923</v>
      </c>
      <c r="Q2104" s="112">
        <v>317.04699999999997</v>
      </c>
      <c r="R2104" s="112">
        <v>3170.47</v>
      </c>
      <c r="S2104" s="112">
        <v>3170.47</v>
      </c>
      <c r="T2104" s="112">
        <v>0</v>
      </c>
      <c r="U2104" t="s">
        <v>4504</v>
      </c>
      <c r="V2104" t="s">
        <v>4505</v>
      </c>
      <c r="W2104" t="s">
        <v>4666</v>
      </c>
      <c r="X2104" t="s">
        <v>4667</v>
      </c>
    </row>
    <row r="2105" spans="1:24" x14ac:dyDescent="0.2">
      <c r="A2105" t="s">
        <v>5835</v>
      </c>
      <c r="B2105" t="s">
        <v>1913</v>
      </c>
      <c r="C2105" t="s">
        <v>862</v>
      </c>
      <c r="D2105" t="s">
        <v>209</v>
      </c>
      <c r="E2105" t="s">
        <v>863</v>
      </c>
      <c r="F2105" t="s">
        <v>99</v>
      </c>
      <c r="G2105" s="202">
        <v>20</v>
      </c>
      <c r="H2105">
        <v>1</v>
      </c>
      <c r="I2105" t="s">
        <v>3954</v>
      </c>
      <c r="J2105" t="s">
        <v>5227</v>
      </c>
      <c r="K2105" t="s">
        <v>1283</v>
      </c>
      <c r="L2105" s="204">
        <v>0.26</v>
      </c>
      <c r="M2105" s="112">
        <v>340.85250000000002</v>
      </c>
      <c r="N2105" s="112">
        <v>88.621650000000002</v>
      </c>
      <c r="O2105" s="204"/>
      <c r="P2105" s="112"/>
      <c r="Q2105" s="112"/>
      <c r="R2105" s="112"/>
      <c r="S2105" s="112"/>
      <c r="T2105" s="112"/>
      <c r="U2105" t="s">
        <v>4442</v>
      </c>
      <c r="V2105" t="s">
        <v>4443</v>
      </c>
      <c r="W2105" t="s">
        <v>3958</v>
      </c>
      <c r="X2105" t="s">
        <v>4660</v>
      </c>
    </row>
    <row r="2106" spans="1:24" x14ac:dyDescent="0.2">
      <c r="A2106" t="s">
        <v>5835</v>
      </c>
      <c r="B2106" t="s">
        <v>1913</v>
      </c>
      <c r="C2106" t="s">
        <v>862</v>
      </c>
      <c r="D2106" t="s">
        <v>209</v>
      </c>
      <c r="E2106" t="s">
        <v>863</v>
      </c>
      <c r="F2106" t="s">
        <v>99</v>
      </c>
      <c r="G2106" s="202">
        <v>20</v>
      </c>
      <c r="H2106">
        <v>2</v>
      </c>
      <c r="I2106" t="s">
        <v>3960</v>
      </c>
      <c r="J2106" t="s">
        <v>5229</v>
      </c>
      <c r="K2106" t="s">
        <v>1283</v>
      </c>
      <c r="L2106" s="204">
        <v>0.64</v>
      </c>
      <c r="M2106" s="112">
        <v>340.85250000000002</v>
      </c>
      <c r="N2106" s="112">
        <v>218.14560000000003</v>
      </c>
      <c r="O2106" s="204"/>
      <c r="P2106" s="112"/>
      <c r="Q2106" s="112"/>
      <c r="R2106" s="112"/>
      <c r="S2106" s="112"/>
      <c r="T2106" s="112"/>
      <c r="U2106" t="s">
        <v>4442</v>
      </c>
      <c r="V2106" t="s">
        <v>4443</v>
      </c>
      <c r="W2106" t="s">
        <v>3958</v>
      </c>
      <c r="X2106" t="s">
        <v>4660</v>
      </c>
    </row>
    <row r="2107" spans="1:24" x14ac:dyDescent="0.2">
      <c r="A2107" t="s">
        <v>5835</v>
      </c>
      <c r="B2107" t="s">
        <v>1913</v>
      </c>
      <c r="C2107" t="s">
        <v>862</v>
      </c>
      <c r="D2107" t="s">
        <v>209</v>
      </c>
      <c r="E2107" t="s">
        <v>863</v>
      </c>
      <c r="F2107" t="s">
        <v>99</v>
      </c>
      <c r="G2107" s="202">
        <v>20</v>
      </c>
      <c r="H2107">
        <v>3</v>
      </c>
      <c r="I2107" t="s">
        <v>3976</v>
      </c>
      <c r="J2107" t="s">
        <v>5230</v>
      </c>
      <c r="K2107" t="s">
        <v>1283</v>
      </c>
      <c r="L2107" s="204">
        <v>0.04</v>
      </c>
      <c r="M2107" s="112">
        <v>340.85250000000002</v>
      </c>
      <c r="N2107" s="112">
        <v>13.634100000000002</v>
      </c>
      <c r="O2107" s="204"/>
      <c r="P2107" s="112"/>
      <c r="Q2107" s="112"/>
      <c r="R2107" s="112"/>
      <c r="S2107" s="112"/>
      <c r="T2107" s="112"/>
      <c r="U2107" t="s">
        <v>4442</v>
      </c>
      <c r="V2107" t="s">
        <v>4443</v>
      </c>
      <c r="W2107" t="s">
        <v>3958</v>
      </c>
      <c r="X2107" t="s">
        <v>4660</v>
      </c>
    </row>
    <row r="2108" spans="1:24" x14ac:dyDescent="0.2">
      <c r="A2108" t="s">
        <v>5835</v>
      </c>
      <c r="B2108" t="s">
        <v>1913</v>
      </c>
      <c r="C2108" t="s">
        <v>862</v>
      </c>
      <c r="D2108" t="s">
        <v>209</v>
      </c>
      <c r="E2108" t="s">
        <v>863</v>
      </c>
      <c r="F2108" t="s">
        <v>99</v>
      </c>
      <c r="G2108" s="202">
        <v>20</v>
      </c>
      <c r="H2108">
        <v>4</v>
      </c>
      <c r="I2108" t="s">
        <v>4017</v>
      </c>
      <c r="J2108" t="s">
        <v>4851</v>
      </c>
      <c r="K2108" t="s">
        <v>1283</v>
      </c>
      <c r="L2108" s="204">
        <v>0.06</v>
      </c>
      <c r="M2108" s="112">
        <v>340.85250000000002</v>
      </c>
      <c r="N2108" s="112">
        <v>20.451150000000002</v>
      </c>
      <c r="O2108" s="204"/>
      <c r="P2108" s="112"/>
      <c r="Q2108" s="112"/>
      <c r="R2108" s="112"/>
      <c r="S2108" s="112"/>
      <c r="T2108" s="112"/>
      <c r="U2108" t="s">
        <v>4442</v>
      </c>
      <c r="V2108" t="s">
        <v>4443</v>
      </c>
      <c r="W2108" t="s">
        <v>3958</v>
      </c>
      <c r="X2108" t="s">
        <v>4660</v>
      </c>
    </row>
    <row r="2109" spans="1:24" x14ac:dyDescent="0.2">
      <c r="A2109" t="s">
        <v>5835</v>
      </c>
      <c r="B2109" t="s">
        <v>1913</v>
      </c>
      <c r="C2109" t="s">
        <v>862</v>
      </c>
      <c r="D2109" t="s">
        <v>209</v>
      </c>
      <c r="E2109" t="s">
        <v>863</v>
      </c>
      <c r="F2109" t="s">
        <v>99</v>
      </c>
      <c r="G2109" s="202">
        <v>20</v>
      </c>
      <c r="H2109">
        <v>5</v>
      </c>
      <c r="I2109" t="s">
        <v>3968</v>
      </c>
      <c r="J2109" t="s">
        <v>3969</v>
      </c>
      <c r="K2109" t="s">
        <v>99</v>
      </c>
      <c r="L2109" s="204">
        <v>1</v>
      </c>
      <c r="M2109" s="112"/>
      <c r="N2109" s="112">
        <v>340.85250000000002</v>
      </c>
      <c r="O2109" s="204">
        <v>0.22228089862917244</v>
      </c>
      <c r="P2109" s="112">
        <v>75.764999999999986</v>
      </c>
      <c r="Q2109" s="112">
        <v>416.61750000000001</v>
      </c>
      <c r="R2109" s="112">
        <v>8332.35</v>
      </c>
      <c r="S2109" s="112">
        <v>8332.35</v>
      </c>
      <c r="T2109" s="112">
        <v>0</v>
      </c>
      <c r="U2109" t="s">
        <v>4442</v>
      </c>
      <c r="V2109" t="s">
        <v>4443</v>
      </c>
      <c r="W2109" t="s">
        <v>4666</v>
      </c>
      <c r="X2109" t="s">
        <v>4667</v>
      </c>
    </row>
    <row r="2110" spans="1:24" x14ac:dyDescent="0.2">
      <c r="A2110" t="s">
        <v>5836</v>
      </c>
      <c r="B2110" t="s">
        <v>1914</v>
      </c>
      <c r="C2110" t="s">
        <v>1915</v>
      </c>
      <c r="D2110" t="s">
        <v>24</v>
      </c>
      <c r="E2110" t="s">
        <v>865</v>
      </c>
      <c r="F2110" t="s">
        <v>84</v>
      </c>
      <c r="G2110" s="202">
        <v>3</v>
      </c>
      <c r="H2110">
        <v>1</v>
      </c>
      <c r="I2110" t="s">
        <v>3954</v>
      </c>
      <c r="J2110" t="s">
        <v>5837</v>
      </c>
      <c r="K2110" t="s">
        <v>1283</v>
      </c>
      <c r="L2110" s="204">
        <v>0.2</v>
      </c>
      <c r="M2110" s="112">
        <v>1006.2825</v>
      </c>
      <c r="N2110" s="112">
        <v>201.25650000000002</v>
      </c>
      <c r="O2110" s="204"/>
      <c r="P2110" s="112"/>
      <c r="Q2110" s="112"/>
      <c r="R2110" s="112"/>
      <c r="S2110" s="112"/>
      <c r="T2110" s="112"/>
      <c r="U2110" t="s">
        <v>5838</v>
      </c>
      <c r="V2110" t="s">
        <v>5839</v>
      </c>
      <c r="W2110" t="s">
        <v>3958</v>
      </c>
      <c r="X2110" t="s">
        <v>4660</v>
      </c>
    </row>
    <row r="2111" spans="1:24" x14ac:dyDescent="0.2">
      <c r="A2111" t="s">
        <v>5836</v>
      </c>
      <c r="B2111" t="s">
        <v>1914</v>
      </c>
      <c r="C2111" t="s">
        <v>1915</v>
      </c>
      <c r="D2111" t="s">
        <v>24</v>
      </c>
      <c r="E2111" t="s">
        <v>865</v>
      </c>
      <c r="F2111" t="s">
        <v>84</v>
      </c>
      <c r="G2111" s="202">
        <v>3</v>
      </c>
      <c r="H2111">
        <v>2</v>
      </c>
      <c r="I2111" t="s">
        <v>4091</v>
      </c>
      <c r="J2111" t="s">
        <v>5840</v>
      </c>
      <c r="K2111" t="s">
        <v>1283</v>
      </c>
      <c r="L2111" s="204">
        <v>0.7</v>
      </c>
      <c r="M2111" s="112">
        <v>1006.2825</v>
      </c>
      <c r="N2111" s="112">
        <v>704.39774999999997</v>
      </c>
      <c r="O2111" s="204"/>
      <c r="P2111" s="112"/>
      <c r="Q2111" s="112"/>
      <c r="R2111" s="112"/>
      <c r="S2111" s="112"/>
      <c r="T2111" s="112"/>
      <c r="U2111" t="s">
        <v>5838</v>
      </c>
      <c r="V2111" t="s">
        <v>5839</v>
      </c>
      <c r="W2111" t="s">
        <v>3958</v>
      </c>
      <c r="X2111" t="s">
        <v>4660</v>
      </c>
    </row>
    <row r="2112" spans="1:24" x14ac:dyDescent="0.2">
      <c r="A2112" t="s">
        <v>5836</v>
      </c>
      <c r="B2112" t="s">
        <v>1914</v>
      </c>
      <c r="C2112" t="s">
        <v>1915</v>
      </c>
      <c r="D2112" t="s">
        <v>24</v>
      </c>
      <c r="E2112" t="s">
        <v>865</v>
      </c>
      <c r="F2112" t="s">
        <v>84</v>
      </c>
      <c r="G2112" s="202">
        <v>3</v>
      </c>
      <c r="H2112">
        <v>3</v>
      </c>
      <c r="I2112" t="s">
        <v>4093</v>
      </c>
      <c r="J2112" t="s">
        <v>5841</v>
      </c>
      <c r="K2112" t="s">
        <v>1283</v>
      </c>
      <c r="L2112" s="204">
        <v>0.05</v>
      </c>
      <c r="M2112" s="112">
        <v>1006.2825</v>
      </c>
      <c r="N2112" s="112">
        <v>50.314125000000004</v>
      </c>
      <c r="O2112" s="204"/>
      <c r="P2112" s="112"/>
      <c r="Q2112" s="112"/>
      <c r="R2112" s="112"/>
      <c r="S2112" s="112"/>
      <c r="T2112" s="112"/>
      <c r="U2112" t="s">
        <v>5838</v>
      </c>
      <c r="V2112" t="s">
        <v>5839</v>
      </c>
      <c r="W2112" t="s">
        <v>3958</v>
      </c>
      <c r="X2112" t="s">
        <v>4660</v>
      </c>
    </row>
    <row r="2113" spans="1:24" x14ac:dyDescent="0.2">
      <c r="A2113" t="s">
        <v>5836</v>
      </c>
      <c r="B2113" t="s">
        <v>1914</v>
      </c>
      <c r="C2113" t="s">
        <v>1915</v>
      </c>
      <c r="D2113" t="s">
        <v>24</v>
      </c>
      <c r="E2113" t="s">
        <v>865</v>
      </c>
      <c r="F2113" t="s">
        <v>84</v>
      </c>
      <c r="G2113" s="202">
        <v>3</v>
      </c>
      <c r="H2113">
        <v>4</v>
      </c>
      <c r="I2113" t="s">
        <v>4017</v>
      </c>
      <c r="J2113" t="s">
        <v>5117</v>
      </c>
      <c r="K2113" t="s">
        <v>1283</v>
      </c>
      <c r="L2113" s="204">
        <v>0.05</v>
      </c>
      <c r="M2113" s="112">
        <v>1006.2825</v>
      </c>
      <c r="N2113" s="112">
        <v>50.314125000000004</v>
      </c>
      <c r="O2113" s="204"/>
      <c r="P2113" s="112"/>
      <c r="Q2113" s="112"/>
      <c r="R2113" s="112"/>
      <c r="S2113" s="112"/>
      <c r="T2113" s="112"/>
      <c r="U2113" t="s">
        <v>5838</v>
      </c>
      <c r="V2113" t="s">
        <v>5839</v>
      </c>
      <c r="W2113" t="s">
        <v>3958</v>
      </c>
      <c r="X2113" t="s">
        <v>4660</v>
      </c>
    </row>
    <row r="2114" spans="1:24" x14ac:dyDescent="0.2">
      <c r="A2114" t="s">
        <v>5836</v>
      </c>
      <c r="B2114" t="s">
        <v>1914</v>
      </c>
      <c r="C2114" t="s">
        <v>1915</v>
      </c>
      <c r="D2114" t="s">
        <v>24</v>
      </c>
      <c r="E2114" t="s">
        <v>865</v>
      </c>
      <c r="F2114" t="s">
        <v>84</v>
      </c>
      <c r="G2114" s="202">
        <v>3</v>
      </c>
      <c r="H2114">
        <v>5</v>
      </c>
      <c r="I2114" t="s">
        <v>3968</v>
      </c>
      <c r="J2114" t="s">
        <v>3969</v>
      </c>
      <c r="K2114" t="s">
        <v>84</v>
      </c>
      <c r="L2114" s="204">
        <v>1</v>
      </c>
      <c r="M2114" s="112"/>
      <c r="N2114" s="112">
        <v>1006.2825</v>
      </c>
      <c r="O2114" s="204">
        <v>0.22229758210707895</v>
      </c>
      <c r="P2114" s="112">
        <v>223.69416666666666</v>
      </c>
      <c r="Q2114" s="112">
        <v>1229.9766666666667</v>
      </c>
      <c r="R2114" s="112">
        <v>3689.93</v>
      </c>
      <c r="S2114" s="112">
        <v>3689.93</v>
      </c>
      <c r="T2114" s="112">
        <v>0</v>
      </c>
      <c r="U2114" t="s">
        <v>5838</v>
      </c>
      <c r="V2114" t="s">
        <v>5839</v>
      </c>
      <c r="W2114" t="s">
        <v>4666</v>
      </c>
      <c r="X2114" t="s">
        <v>4667</v>
      </c>
    </row>
    <row r="2115" spans="1:24" x14ac:dyDescent="0.2">
      <c r="A2115" t="s">
        <v>5842</v>
      </c>
      <c r="B2115" t="s">
        <v>1916</v>
      </c>
      <c r="C2115" t="s">
        <v>1917</v>
      </c>
      <c r="D2115" t="s">
        <v>24</v>
      </c>
      <c r="E2115" t="s">
        <v>1918</v>
      </c>
      <c r="F2115" t="s">
        <v>84</v>
      </c>
      <c r="G2115" s="202">
        <v>4</v>
      </c>
      <c r="H2115">
        <v>1</v>
      </c>
      <c r="I2115" t="s">
        <v>3954</v>
      </c>
      <c r="J2115" t="s">
        <v>5837</v>
      </c>
      <c r="K2115" t="s">
        <v>1283</v>
      </c>
      <c r="L2115" s="204">
        <v>0.2</v>
      </c>
      <c r="M2115" s="112">
        <v>931.52250000000004</v>
      </c>
      <c r="N2115" s="112">
        <v>186.30450000000002</v>
      </c>
      <c r="O2115" s="204"/>
      <c r="P2115" s="112"/>
      <c r="Q2115" s="112"/>
      <c r="R2115" s="112"/>
      <c r="S2115" s="112"/>
      <c r="T2115" s="112"/>
      <c r="U2115" t="s">
        <v>5843</v>
      </c>
      <c r="V2115" t="s">
        <v>5844</v>
      </c>
      <c r="W2115" t="s">
        <v>3958</v>
      </c>
      <c r="X2115" t="s">
        <v>4660</v>
      </c>
    </row>
    <row r="2116" spans="1:24" x14ac:dyDescent="0.2">
      <c r="A2116" t="s">
        <v>5842</v>
      </c>
      <c r="B2116" t="s">
        <v>1916</v>
      </c>
      <c r="C2116" t="s">
        <v>1917</v>
      </c>
      <c r="D2116" t="s">
        <v>24</v>
      </c>
      <c r="E2116" t="s">
        <v>1918</v>
      </c>
      <c r="F2116" t="s">
        <v>84</v>
      </c>
      <c r="G2116" s="202">
        <v>4</v>
      </c>
      <c r="H2116">
        <v>2</v>
      </c>
      <c r="I2116" t="s">
        <v>4091</v>
      </c>
      <c r="J2116" t="s">
        <v>5840</v>
      </c>
      <c r="K2116" t="s">
        <v>1283</v>
      </c>
      <c r="L2116" s="204">
        <v>0.7</v>
      </c>
      <c r="M2116" s="112">
        <v>931.52250000000004</v>
      </c>
      <c r="N2116" s="112">
        <v>652.06574999999998</v>
      </c>
      <c r="O2116" s="204"/>
      <c r="P2116" s="112"/>
      <c r="Q2116" s="112"/>
      <c r="R2116" s="112"/>
      <c r="S2116" s="112"/>
      <c r="T2116" s="112"/>
      <c r="U2116" t="s">
        <v>5843</v>
      </c>
      <c r="V2116" t="s">
        <v>5844</v>
      </c>
      <c r="W2116" t="s">
        <v>3958</v>
      </c>
      <c r="X2116" t="s">
        <v>4660</v>
      </c>
    </row>
    <row r="2117" spans="1:24" x14ac:dyDescent="0.2">
      <c r="A2117" t="s">
        <v>5842</v>
      </c>
      <c r="B2117" t="s">
        <v>1916</v>
      </c>
      <c r="C2117" t="s">
        <v>1917</v>
      </c>
      <c r="D2117" t="s">
        <v>24</v>
      </c>
      <c r="E2117" t="s">
        <v>1918</v>
      </c>
      <c r="F2117" t="s">
        <v>84</v>
      </c>
      <c r="G2117" s="202">
        <v>4</v>
      </c>
      <c r="H2117">
        <v>3</v>
      </c>
      <c r="I2117" t="s">
        <v>4093</v>
      </c>
      <c r="J2117" t="s">
        <v>5841</v>
      </c>
      <c r="K2117" t="s">
        <v>1283</v>
      </c>
      <c r="L2117" s="204">
        <v>0.05</v>
      </c>
      <c r="M2117" s="112">
        <v>931.52250000000004</v>
      </c>
      <c r="N2117" s="112">
        <v>46.576125000000005</v>
      </c>
      <c r="O2117" s="204"/>
      <c r="P2117" s="112"/>
      <c r="Q2117" s="112"/>
      <c r="R2117" s="112"/>
      <c r="S2117" s="112"/>
      <c r="T2117" s="112"/>
      <c r="U2117" t="s">
        <v>5843</v>
      </c>
      <c r="V2117" t="s">
        <v>5844</v>
      </c>
      <c r="W2117" t="s">
        <v>3958</v>
      </c>
      <c r="X2117" t="s">
        <v>4660</v>
      </c>
    </row>
    <row r="2118" spans="1:24" x14ac:dyDescent="0.2">
      <c r="A2118" t="s">
        <v>5842</v>
      </c>
      <c r="B2118" t="s">
        <v>1916</v>
      </c>
      <c r="C2118" t="s">
        <v>1917</v>
      </c>
      <c r="D2118" t="s">
        <v>24</v>
      </c>
      <c r="E2118" t="s">
        <v>1918</v>
      </c>
      <c r="F2118" t="s">
        <v>84</v>
      </c>
      <c r="G2118" s="202">
        <v>4</v>
      </c>
      <c r="H2118">
        <v>4</v>
      </c>
      <c r="I2118" t="s">
        <v>4017</v>
      </c>
      <c r="J2118" t="s">
        <v>5117</v>
      </c>
      <c r="K2118" t="s">
        <v>1283</v>
      </c>
      <c r="L2118" s="204">
        <v>0.05</v>
      </c>
      <c r="M2118" s="112">
        <v>931.52250000000004</v>
      </c>
      <c r="N2118" s="112">
        <v>46.576125000000005</v>
      </c>
      <c r="O2118" s="204"/>
      <c r="P2118" s="112"/>
      <c r="Q2118" s="112"/>
      <c r="R2118" s="112"/>
      <c r="S2118" s="112"/>
      <c r="T2118" s="112"/>
      <c r="U2118" t="s">
        <v>5843</v>
      </c>
      <c r="V2118" t="s">
        <v>5844</v>
      </c>
      <c r="W2118" t="s">
        <v>3958</v>
      </c>
      <c r="X2118" t="s">
        <v>4660</v>
      </c>
    </row>
    <row r="2119" spans="1:24" x14ac:dyDescent="0.2">
      <c r="A2119" t="s">
        <v>5842</v>
      </c>
      <c r="B2119" t="s">
        <v>1916</v>
      </c>
      <c r="C2119" t="s">
        <v>1917</v>
      </c>
      <c r="D2119" t="s">
        <v>24</v>
      </c>
      <c r="E2119" t="s">
        <v>1918</v>
      </c>
      <c r="F2119" t="s">
        <v>84</v>
      </c>
      <c r="G2119" s="202">
        <v>4</v>
      </c>
      <c r="H2119">
        <v>5</v>
      </c>
      <c r="I2119" t="s">
        <v>3968</v>
      </c>
      <c r="J2119" t="s">
        <v>3969</v>
      </c>
      <c r="K2119" t="s">
        <v>84</v>
      </c>
      <c r="L2119" s="204">
        <v>1</v>
      </c>
      <c r="M2119" s="112"/>
      <c r="N2119" s="112">
        <v>931.52250000000004</v>
      </c>
      <c r="O2119" s="204">
        <v>0.22229736801848587</v>
      </c>
      <c r="P2119" s="112">
        <v>207.07500000000005</v>
      </c>
      <c r="Q2119" s="112">
        <v>1138.5975000000001</v>
      </c>
      <c r="R2119" s="112">
        <v>4554.3900000000003</v>
      </c>
      <c r="S2119" s="112">
        <v>4554.3900000000003</v>
      </c>
      <c r="T2119" s="112">
        <v>0</v>
      </c>
      <c r="U2119" t="s">
        <v>5843</v>
      </c>
      <c r="V2119" t="s">
        <v>5844</v>
      </c>
      <c r="W2119" t="s">
        <v>4666</v>
      </c>
      <c r="X2119" t="s">
        <v>4667</v>
      </c>
    </row>
    <row r="2120" spans="1:24" x14ac:dyDescent="0.2">
      <c r="A2120" t="s">
        <v>5845</v>
      </c>
      <c r="B2120" t="s">
        <v>1919</v>
      </c>
      <c r="C2120" t="s">
        <v>1920</v>
      </c>
      <c r="D2120" t="s">
        <v>24</v>
      </c>
      <c r="E2120" t="s">
        <v>1921</v>
      </c>
      <c r="F2120" t="s">
        <v>84</v>
      </c>
      <c r="G2120" s="202">
        <v>21</v>
      </c>
      <c r="H2120">
        <v>1</v>
      </c>
      <c r="I2120" t="s">
        <v>3954</v>
      </c>
      <c r="J2120" t="s">
        <v>5837</v>
      </c>
      <c r="K2120" t="s">
        <v>1283</v>
      </c>
      <c r="L2120" s="204">
        <v>0.2</v>
      </c>
      <c r="M2120" s="112">
        <v>294.11249999999995</v>
      </c>
      <c r="N2120" s="112">
        <v>58.822499999999991</v>
      </c>
      <c r="O2120" s="204"/>
      <c r="P2120" s="112"/>
      <c r="Q2120" s="112"/>
      <c r="R2120" s="112"/>
      <c r="S2120" s="112"/>
      <c r="T2120" s="112"/>
      <c r="U2120" t="s">
        <v>5846</v>
      </c>
      <c r="V2120" t="s">
        <v>5847</v>
      </c>
      <c r="W2120" t="s">
        <v>3958</v>
      </c>
      <c r="X2120" t="s">
        <v>4660</v>
      </c>
    </row>
    <row r="2121" spans="1:24" x14ac:dyDescent="0.2">
      <c r="A2121" t="s">
        <v>5845</v>
      </c>
      <c r="B2121" t="s">
        <v>1919</v>
      </c>
      <c r="C2121" t="s">
        <v>1920</v>
      </c>
      <c r="D2121" t="s">
        <v>24</v>
      </c>
      <c r="E2121" t="s">
        <v>1921</v>
      </c>
      <c r="F2121" t="s">
        <v>84</v>
      </c>
      <c r="G2121" s="202">
        <v>21</v>
      </c>
      <c r="H2121">
        <v>2</v>
      </c>
      <c r="I2121" t="s">
        <v>4091</v>
      </c>
      <c r="J2121" t="s">
        <v>5840</v>
      </c>
      <c r="K2121" t="s">
        <v>1283</v>
      </c>
      <c r="L2121" s="204">
        <v>0.7</v>
      </c>
      <c r="M2121" s="112">
        <v>294.11249999999995</v>
      </c>
      <c r="N2121" s="112">
        <v>205.87874999999997</v>
      </c>
      <c r="O2121" s="204"/>
      <c r="P2121" s="112"/>
      <c r="Q2121" s="112"/>
      <c r="R2121" s="112"/>
      <c r="S2121" s="112"/>
      <c r="T2121" s="112"/>
      <c r="U2121" t="s">
        <v>5846</v>
      </c>
      <c r="V2121" t="s">
        <v>5847</v>
      </c>
      <c r="W2121" t="s">
        <v>3958</v>
      </c>
      <c r="X2121" t="s">
        <v>4660</v>
      </c>
    </row>
    <row r="2122" spans="1:24" x14ac:dyDescent="0.2">
      <c r="A2122" t="s">
        <v>5845</v>
      </c>
      <c r="B2122" t="s">
        <v>1919</v>
      </c>
      <c r="C2122" t="s">
        <v>1920</v>
      </c>
      <c r="D2122" t="s">
        <v>24</v>
      </c>
      <c r="E2122" t="s">
        <v>1921</v>
      </c>
      <c r="F2122" t="s">
        <v>84</v>
      </c>
      <c r="G2122" s="202">
        <v>21</v>
      </c>
      <c r="H2122">
        <v>3</v>
      </c>
      <c r="I2122" t="s">
        <v>4093</v>
      </c>
      <c r="J2122" t="s">
        <v>5841</v>
      </c>
      <c r="K2122" t="s">
        <v>1283</v>
      </c>
      <c r="L2122" s="204">
        <v>0.05</v>
      </c>
      <c r="M2122" s="112">
        <v>294.11249999999995</v>
      </c>
      <c r="N2122" s="112">
        <v>14.705624999999998</v>
      </c>
      <c r="O2122" s="204"/>
      <c r="P2122" s="112"/>
      <c r="Q2122" s="112"/>
      <c r="R2122" s="112"/>
      <c r="S2122" s="112"/>
      <c r="T2122" s="112"/>
      <c r="U2122" t="s">
        <v>5846</v>
      </c>
      <c r="V2122" t="s">
        <v>5847</v>
      </c>
      <c r="W2122" t="s">
        <v>3958</v>
      </c>
      <c r="X2122" t="s">
        <v>4660</v>
      </c>
    </row>
    <row r="2123" spans="1:24" x14ac:dyDescent="0.2">
      <c r="A2123" t="s">
        <v>5845</v>
      </c>
      <c r="B2123" t="s">
        <v>1919</v>
      </c>
      <c r="C2123" t="s">
        <v>1920</v>
      </c>
      <c r="D2123" t="s">
        <v>24</v>
      </c>
      <c r="E2123" t="s">
        <v>1921</v>
      </c>
      <c r="F2123" t="s">
        <v>84</v>
      </c>
      <c r="G2123" s="202">
        <v>21</v>
      </c>
      <c r="H2123">
        <v>4</v>
      </c>
      <c r="I2123" t="s">
        <v>4017</v>
      </c>
      <c r="J2123" t="s">
        <v>5117</v>
      </c>
      <c r="K2123" t="s">
        <v>1283</v>
      </c>
      <c r="L2123" s="204">
        <v>0.05</v>
      </c>
      <c r="M2123" s="112">
        <v>294.11249999999995</v>
      </c>
      <c r="N2123" s="112">
        <v>14.705624999999998</v>
      </c>
      <c r="O2123" s="204"/>
      <c r="P2123" s="112"/>
      <c r="Q2123" s="112"/>
      <c r="R2123" s="112"/>
      <c r="S2123" s="112"/>
      <c r="T2123" s="112"/>
      <c r="U2123" t="s">
        <v>5846</v>
      </c>
      <c r="V2123" t="s">
        <v>5847</v>
      </c>
      <c r="W2123" t="s">
        <v>3958</v>
      </c>
      <c r="X2123" t="s">
        <v>4660</v>
      </c>
    </row>
    <row r="2124" spans="1:24" x14ac:dyDescent="0.2">
      <c r="A2124" t="s">
        <v>5845</v>
      </c>
      <c r="B2124" t="s">
        <v>1919</v>
      </c>
      <c r="C2124" t="s">
        <v>1920</v>
      </c>
      <c r="D2124" t="s">
        <v>24</v>
      </c>
      <c r="E2124" t="s">
        <v>1921</v>
      </c>
      <c r="F2124" t="s">
        <v>84</v>
      </c>
      <c r="G2124" s="202">
        <v>21</v>
      </c>
      <c r="H2124">
        <v>5</v>
      </c>
      <c r="I2124" t="s">
        <v>3968</v>
      </c>
      <c r="J2124" t="s">
        <v>3969</v>
      </c>
      <c r="K2124" t="s">
        <v>84</v>
      </c>
      <c r="L2124" s="204">
        <v>1</v>
      </c>
      <c r="M2124" s="112"/>
      <c r="N2124" s="112">
        <v>294.11249999999995</v>
      </c>
      <c r="O2124" s="204">
        <v>0.22228739002932563</v>
      </c>
      <c r="P2124" s="112">
        <v>65.377500000000055</v>
      </c>
      <c r="Q2124" s="112">
        <v>359.49</v>
      </c>
      <c r="R2124" s="112">
        <v>7549.29</v>
      </c>
      <c r="S2124" s="112">
        <v>7549.29</v>
      </c>
      <c r="T2124" s="112">
        <v>0</v>
      </c>
      <c r="U2124" t="s">
        <v>5846</v>
      </c>
      <c r="V2124" t="s">
        <v>5847</v>
      </c>
      <c r="W2124" t="s">
        <v>4666</v>
      </c>
      <c r="X2124" t="s">
        <v>4667</v>
      </c>
    </row>
    <row r="2125" spans="1:24" x14ac:dyDescent="0.2">
      <c r="A2125" t="s">
        <v>5848</v>
      </c>
      <c r="B2125" t="s">
        <v>1922</v>
      </c>
      <c r="C2125" t="s">
        <v>1923</v>
      </c>
      <c r="D2125" t="s">
        <v>24</v>
      </c>
      <c r="E2125" t="s">
        <v>1924</v>
      </c>
      <c r="F2125" t="s">
        <v>84</v>
      </c>
      <c r="G2125" s="202">
        <v>7</v>
      </c>
      <c r="H2125">
        <v>1</v>
      </c>
      <c r="I2125" t="s">
        <v>3954</v>
      </c>
      <c r="J2125" t="s">
        <v>5837</v>
      </c>
      <c r="K2125" t="s">
        <v>1283</v>
      </c>
      <c r="L2125" s="204">
        <v>0.2</v>
      </c>
      <c r="M2125" s="112">
        <v>652.755</v>
      </c>
      <c r="N2125" s="112">
        <v>130.55100000000002</v>
      </c>
      <c r="O2125" s="204"/>
      <c r="P2125" s="112"/>
      <c r="Q2125" s="112"/>
      <c r="R2125" s="112"/>
      <c r="S2125" s="112"/>
      <c r="T2125" s="112"/>
      <c r="U2125" t="s">
        <v>5849</v>
      </c>
      <c r="V2125" t="s">
        <v>5850</v>
      </c>
      <c r="W2125" t="s">
        <v>3958</v>
      </c>
      <c r="X2125" t="s">
        <v>4660</v>
      </c>
    </row>
    <row r="2126" spans="1:24" x14ac:dyDescent="0.2">
      <c r="A2126" t="s">
        <v>5848</v>
      </c>
      <c r="B2126" t="s">
        <v>1922</v>
      </c>
      <c r="C2126" t="s">
        <v>1923</v>
      </c>
      <c r="D2126" t="s">
        <v>24</v>
      </c>
      <c r="E2126" t="s">
        <v>1924</v>
      </c>
      <c r="F2126" t="s">
        <v>84</v>
      </c>
      <c r="G2126" s="202">
        <v>7</v>
      </c>
      <c r="H2126">
        <v>2</v>
      </c>
      <c r="I2126" t="s">
        <v>4091</v>
      </c>
      <c r="J2126" t="s">
        <v>5840</v>
      </c>
      <c r="K2126" t="s">
        <v>1283</v>
      </c>
      <c r="L2126" s="204">
        <v>0.7</v>
      </c>
      <c r="M2126" s="112">
        <v>652.755</v>
      </c>
      <c r="N2126" s="112">
        <v>456.92849999999999</v>
      </c>
      <c r="O2126" s="204"/>
      <c r="P2126" s="112"/>
      <c r="Q2126" s="112"/>
      <c r="R2126" s="112"/>
      <c r="S2126" s="112"/>
      <c r="T2126" s="112"/>
      <c r="U2126" t="s">
        <v>5849</v>
      </c>
      <c r="V2126" t="s">
        <v>5850</v>
      </c>
      <c r="W2126" t="s">
        <v>3958</v>
      </c>
      <c r="X2126" t="s">
        <v>4660</v>
      </c>
    </row>
    <row r="2127" spans="1:24" x14ac:dyDescent="0.2">
      <c r="A2127" t="s">
        <v>5848</v>
      </c>
      <c r="B2127" t="s">
        <v>1922</v>
      </c>
      <c r="C2127" t="s">
        <v>1923</v>
      </c>
      <c r="D2127" t="s">
        <v>24</v>
      </c>
      <c r="E2127" t="s">
        <v>1924</v>
      </c>
      <c r="F2127" t="s">
        <v>84</v>
      </c>
      <c r="G2127" s="202">
        <v>7</v>
      </c>
      <c r="H2127">
        <v>3</v>
      </c>
      <c r="I2127" t="s">
        <v>4093</v>
      </c>
      <c r="J2127" t="s">
        <v>5841</v>
      </c>
      <c r="K2127" t="s">
        <v>1283</v>
      </c>
      <c r="L2127" s="204">
        <v>0.05</v>
      </c>
      <c r="M2127" s="112">
        <v>652.755</v>
      </c>
      <c r="N2127" s="112">
        <v>32.637750000000004</v>
      </c>
      <c r="O2127" s="204"/>
      <c r="P2127" s="112"/>
      <c r="Q2127" s="112"/>
      <c r="R2127" s="112"/>
      <c r="S2127" s="112"/>
      <c r="T2127" s="112"/>
      <c r="U2127" t="s">
        <v>5849</v>
      </c>
      <c r="V2127" t="s">
        <v>5850</v>
      </c>
      <c r="W2127" t="s">
        <v>3958</v>
      </c>
      <c r="X2127" t="s">
        <v>4660</v>
      </c>
    </row>
    <row r="2128" spans="1:24" x14ac:dyDescent="0.2">
      <c r="A2128" t="s">
        <v>5848</v>
      </c>
      <c r="B2128" t="s">
        <v>1922</v>
      </c>
      <c r="C2128" t="s">
        <v>1923</v>
      </c>
      <c r="D2128" t="s">
        <v>24</v>
      </c>
      <c r="E2128" t="s">
        <v>1924</v>
      </c>
      <c r="F2128" t="s">
        <v>84</v>
      </c>
      <c r="G2128" s="202">
        <v>7</v>
      </c>
      <c r="H2128">
        <v>4</v>
      </c>
      <c r="I2128" t="s">
        <v>4017</v>
      </c>
      <c r="J2128" t="s">
        <v>5117</v>
      </c>
      <c r="K2128" t="s">
        <v>1283</v>
      </c>
      <c r="L2128" s="204">
        <v>0.05</v>
      </c>
      <c r="M2128" s="112">
        <v>652.755</v>
      </c>
      <c r="N2128" s="112">
        <v>32.637750000000004</v>
      </c>
      <c r="O2128" s="204"/>
      <c r="P2128" s="112"/>
      <c r="Q2128" s="112"/>
      <c r="R2128" s="112"/>
      <c r="S2128" s="112"/>
      <c r="T2128" s="112"/>
      <c r="U2128" t="s">
        <v>5849</v>
      </c>
      <c r="V2128" t="s">
        <v>5850</v>
      </c>
      <c r="W2128" t="s">
        <v>3958</v>
      </c>
      <c r="X2128" t="s">
        <v>4660</v>
      </c>
    </row>
    <row r="2129" spans="1:24" x14ac:dyDescent="0.2">
      <c r="A2129" t="s">
        <v>5848</v>
      </c>
      <c r="B2129" t="s">
        <v>1922</v>
      </c>
      <c r="C2129" t="s">
        <v>1923</v>
      </c>
      <c r="D2129" t="s">
        <v>24</v>
      </c>
      <c r="E2129" t="s">
        <v>1924</v>
      </c>
      <c r="F2129" t="s">
        <v>84</v>
      </c>
      <c r="G2129" s="202">
        <v>7</v>
      </c>
      <c r="H2129">
        <v>5</v>
      </c>
      <c r="I2129" t="s">
        <v>3968</v>
      </c>
      <c r="J2129" t="s">
        <v>3969</v>
      </c>
      <c r="K2129" t="s">
        <v>84</v>
      </c>
      <c r="L2129" s="204">
        <v>1</v>
      </c>
      <c r="M2129" s="112"/>
      <c r="N2129" s="112">
        <v>652.755</v>
      </c>
      <c r="O2129" s="204">
        <v>0.22229189030668928</v>
      </c>
      <c r="P2129" s="112">
        <v>145.10214285714289</v>
      </c>
      <c r="Q2129" s="112">
        <v>797.85714285714289</v>
      </c>
      <c r="R2129" s="112">
        <v>5585</v>
      </c>
      <c r="S2129" s="112">
        <v>5585</v>
      </c>
      <c r="T2129" s="112">
        <v>0</v>
      </c>
      <c r="U2129" t="s">
        <v>5849</v>
      </c>
      <c r="V2129" t="s">
        <v>5850</v>
      </c>
      <c r="W2129" t="s">
        <v>4666</v>
      </c>
      <c r="X2129" t="s">
        <v>4667</v>
      </c>
    </row>
    <row r="2130" spans="1:24" x14ac:dyDescent="0.2">
      <c r="A2130" t="s">
        <v>5851</v>
      </c>
      <c r="B2130" t="s">
        <v>1925</v>
      </c>
      <c r="C2130" t="s">
        <v>872</v>
      </c>
      <c r="D2130" t="s">
        <v>209</v>
      </c>
      <c r="E2130" t="s">
        <v>873</v>
      </c>
      <c r="F2130" t="s">
        <v>84</v>
      </c>
      <c r="G2130" s="202">
        <v>16</v>
      </c>
      <c r="H2130">
        <v>1</v>
      </c>
      <c r="I2130" t="s">
        <v>3954</v>
      </c>
      <c r="J2130" t="s">
        <v>5227</v>
      </c>
      <c r="K2130" t="s">
        <v>1283</v>
      </c>
      <c r="L2130" s="204">
        <v>0.26</v>
      </c>
      <c r="M2130" s="112">
        <v>167.08500000000001</v>
      </c>
      <c r="N2130" s="112">
        <v>43.442100000000003</v>
      </c>
      <c r="O2130" s="204"/>
      <c r="P2130" s="112"/>
      <c r="Q2130" s="112"/>
      <c r="R2130" s="112"/>
      <c r="S2130" s="112"/>
      <c r="T2130" s="112"/>
      <c r="U2130" t="s">
        <v>4500</v>
      </c>
      <c r="V2130" t="s">
        <v>4501</v>
      </c>
      <c r="W2130" t="s">
        <v>3958</v>
      </c>
      <c r="X2130" t="s">
        <v>4660</v>
      </c>
    </row>
    <row r="2131" spans="1:24" x14ac:dyDescent="0.2">
      <c r="A2131" t="s">
        <v>5851</v>
      </c>
      <c r="B2131" t="s">
        <v>1925</v>
      </c>
      <c r="C2131" t="s">
        <v>872</v>
      </c>
      <c r="D2131" t="s">
        <v>209</v>
      </c>
      <c r="E2131" t="s">
        <v>873</v>
      </c>
      <c r="F2131" t="s">
        <v>84</v>
      </c>
      <c r="G2131" s="202">
        <v>16</v>
      </c>
      <c r="H2131">
        <v>2</v>
      </c>
      <c r="I2131" t="s">
        <v>3960</v>
      </c>
      <c r="J2131" t="s">
        <v>5229</v>
      </c>
      <c r="K2131" t="s">
        <v>1283</v>
      </c>
      <c r="L2131" s="204">
        <v>0.64</v>
      </c>
      <c r="M2131" s="112">
        <v>167.08500000000001</v>
      </c>
      <c r="N2131" s="112">
        <v>106.93440000000001</v>
      </c>
      <c r="O2131" s="204"/>
      <c r="P2131" s="112"/>
      <c r="Q2131" s="112"/>
      <c r="R2131" s="112"/>
      <c r="S2131" s="112"/>
      <c r="T2131" s="112"/>
      <c r="U2131" t="s">
        <v>4500</v>
      </c>
      <c r="V2131" t="s">
        <v>4501</v>
      </c>
      <c r="W2131" t="s">
        <v>3958</v>
      </c>
      <c r="X2131" t="s">
        <v>4660</v>
      </c>
    </row>
    <row r="2132" spans="1:24" x14ac:dyDescent="0.2">
      <c r="A2132" t="s">
        <v>5851</v>
      </c>
      <c r="B2132" t="s">
        <v>1925</v>
      </c>
      <c r="C2132" t="s">
        <v>872</v>
      </c>
      <c r="D2132" t="s">
        <v>209</v>
      </c>
      <c r="E2132" t="s">
        <v>873</v>
      </c>
      <c r="F2132" t="s">
        <v>84</v>
      </c>
      <c r="G2132" s="202">
        <v>16</v>
      </c>
      <c r="H2132">
        <v>3</v>
      </c>
      <c r="I2132" t="s">
        <v>3976</v>
      </c>
      <c r="J2132" t="s">
        <v>5230</v>
      </c>
      <c r="K2132" t="s">
        <v>1283</v>
      </c>
      <c r="L2132" s="204">
        <v>0.04</v>
      </c>
      <c r="M2132" s="112">
        <v>167.08500000000001</v>
      </c>
      <c r="N2132" s="112">
        <v>6.6834000000000007</v>
      </c>
      <c r="O2132" s="204"/>
      <c r="P2132" s="112"/>
      <c r="Q2132" s="112"/>
      <c r="R2132" s="112"/>
      <c r="S2132" s="112"/>
      <c r="T2132" s="112"/>
      <c r="U2132" t="s">
        <v>4500</v>
      </c>
      <c r="V2132" t="s">
        <v>4501</v>
      </c>
      <c r="W2132" t="s">
        <v>3958</v>
      </c>
      <c r="X2132" t="s">
        <v>4660</v>
      </c>
    </row>
    <row r="2133" spans="1:24" x14ac:dyDescent="0.2">
      <c r="A2133" t="s">
        <v>5851</v>
      </c>
      <c r="B2133" t="s">
        <v>1925</v>
      </c>
      <c r="C2133" t="s">
        <v>872</v>
      </c>
      <c r="D2133" t="s">
        <v>209</v>
      </c>
      <c r="E2133" t="s">
        <v>873</v>
      </c>
      <c r="F2133" t="s">
        <v>84</v>
      </c>
      <c r="G2133" s="202">
        <v>16</v>
      </c>
      <c r="H2133">
        <v>4</v>
      </c>
      <c r="I2133" t="s">
        <v>4017</v>
      </c>
      <c r="J2133" t="s">
        <v>4851</v>
      </c>
      <c r="K2133" t="s">
        <v>1283</v>
      </c>
      <c r="L2133" s="204">
        <v>0.06</v>
      </c>
      <c r="M2133" s="112">
        <v>167.08500000000001</v>
      </c>
      <c r="N2133" s="112">
        <v>10.0251</v>
      </c>
      <c r="O2133" s="204"/>
      <c r="P2133" s="112"/>
      <c r="Q2133" s="112"/>
      <c r="R2133" s="112"/>
      <c r="S2133" s="112"/>
      <c r="T2133" s="112"/>
      <c r="U2133" t="s">
        <v>4500</v>
      </c>
      <c r="V2133" t="s">
        <v>4501</v>
      </c>
      <c r="W2133" t="s">
        <v>3958</v>
      </c>
      <c r="X2133" t="s">
        <v>4660</v>
      </c>
    </row>
    <row r="2134" spans="1:24" x14ac:dyDescent="0.2">
      <c r="A2134" t="s">
        <v>5851</v>
      </c>
      <c r="B2134" t="s">
        <v>1925</v>
      </c>
      <c r="C2134" t="s">
        <v>872</v>
      </c>
      <c r="D2134" t="s">
        <v>209</v>
      </c>
      <c r="E2134" t="s">
        <v>873</v>
      </c>
      <c r="F2134" t="s">
        <v>84</v>
      </c>
      <c r="G2134" s="202">
        <v>16</v>
      </c>
      <c r="H2134">
        <v>5</v>
      </c>
      <c r="I2134" t="s">
        <v>3968</v>
      </c>
      <c r="J2134" t="s">
        <v>3969</v>
      </c>
      <c r="K2134" t="s">
        <v>84</v>
      </c>
      <c r="L2134" s="204">
        <v>1</v>
      </c>
      <c r="M2134" s="112"/>
      <c r="N2134" s="112">
        <v>167.08500000000001</v>
      </c>
      <c r="O2134" s="204">
        <v>0.22228207199928174</v>
      </c>
      <c r="P2134" s="112">
        <v>37.139999999999986</v>
      </c>
      <c r="Q2134" s="112">
        <v>204.22499999999999</v>
      </c>
      <c r="R2134" s="112">
        <v>3267.6</v>
      </c>
      <c r="S2134" s="112">
        <v>3267.6</v>
      </c>
      <c r="T2134" s="112">
        <v>0</v>
      </c>
      <c r="U2134" t="s">
        <v>4500</v>
      </c>
      <c r="V2134" t="s">
        <v>4501</v>
      </c>
      <c r="W2134" t="s">
        <v>4666</v>
      </c>
      <c r="X2134" t="s">
        <v>4667</v>
      </c>
    </row>
    <row r="2135" spans="1:24" x14ac:dyDescent="0.2">
      <c r="A2135" t="s">
        <v>5852</v>
      </c>
      <c r="B2135" t="s">
        <v>1926</v>
      </c>
      <c r="C2135" t="s">
        <v>874</v>
      </c>
      <c r="D2135" t="s">
        <v>209</v>
      </c>
      <c r="E2135" t="s">
        <v>875</v>
      </c>
      <c r="F2135" t="s">
        <v>84</v>
      </c>
      <c r="G2135" s="202">
        <v>17</v>
      </c>
      <c r="H2135">
        <v>1</v>
      </c>
      <c r="I2135" t="s">
        <v>3954</v>
      </c>
      <c r="J2135" t="s">
        <v>5227</v>
      </c>
      <c r="K2135" t="s">
        <v>1283</v>
      </c>
      <c r="L2135" s="204">
        <v>0.26</v>
      </c>
      <c r="M2135" s="112">
        <v>168.20250000000001</v>
      </c>
      <c r="N2135" s="112">
        <v>43.732650000000007</v>
      </c>
      <c r="O2135" s="204"/>
      <c r="P2135" s="112"/>
      <c r="Q2135" s="112"/>
      <c r="R2135" s="112"/>
      <c r="S2135" s="112"/>
      <c r="T2135" s="112"/>
      <c r="U2135" t="s">
        <v>4496</v>
      </c>
      <c r="V2135" t="s">
        <v>4497</v>
      </c>
      <c r="W2135" t="s">
        <v>3958</v>
      </c>
      <c r="X2135" t="s">
        <v>4660</v>
      </c>
    </row>
    <row r="2136" spans="1:24" x14ac:dyDescent="0.2">
      <c r="A2136" t="s">
        <v>5852</v>
      </c>
      <c r="B2136" t="s">
        <v>1926</v>
      </c>
      <c r="C2136" t="s">
        <v>874</v>
      </c>
      <c r="D2136" t="s">
        <v>209</v>
      </c>
      <c r="E2136" t="s">
        <v>875</v>
      </c>
      <c r="F2136" t="s">
        <v>84</v>
      </c>
      <c r="G2136" s="202">
        <v>17</v>
      </c>
      <c r="H2136">
        <v>2</v>
      </c>
      <c r="I2136" t="s">
        <v>3960</v>
      </c>
      <c r="J2136" t="s">
        <v>5229</v>
      </c>
      <c r="K2136" t="s">
        <v>1283</v>
      </c>
      <c r="L2136" s="204">
        <v>0.64</v>
      </c>
      <c r="M2136" s="112">
        <v>168.20250000000001</v>
      </c>
      <c r="N2136" s="112">
        <v>107.64960000000001</v>
      </c>
      <c r="O2136" s="204"/>
      <c r="P2136" s="112"/>
      <c r="Q2136" s="112"/>
      <c r="R2136" s="112"/>
      <c r="S2136" s="112"/>
      <c r="T2136" s="112"/>
      <c r="U2136" t="s">
        <v>4496</v>
      </c>
      <c r="V2136" t="s">
        <v>4497</v>
      </c>
      <c r="W2136" t="s">
        <v>3958</v>
      </c>
      <c r="X2136" t="s">
        <v>4660</v>
      </c>
    </row>
    <row r="2137" spans="1:24" x14ac:dyDescent="0.2">
      <c r="A2137" t="s">
        <v>5852</v>
      </c>
      <c r="B2137" t="s">
        <v>1926</v>
      </c>
      <c r="C2137" t="s">
        <v>874</v>
      </c>
      <c r="D2137" t="s">
        <v>209</v>
      </c>
      <c r="E2137" t="s">
        <v>875</v>
      </c>
      <c r="F2137" t="s">
        <v>84</v>
      </c>
      <c r="G2137" s="202">
        <v>17</v>
      </c>
      <c r="H2137">
        <v>3</v>
      </c>
      <c r="I2137" t="s">
        <v>3976</v>
      </c>
      <c r="J2137" t="s">
        <v>5230</v>
      </c>
      <c r="K2137" t="s">
        <v>1283</v>
      </c>
      <c r="L2137" s="204">
        <v>0.04</v>
      </c>
      <c r="M2137" s="112">
        <v>168.20250000000001</v>
      </c>
      <c r="N2137" s="112">
        <v>6.7281000000000004</v>
      </c>
      <c r="O2137" s="204"/>
      <c r="P2137" s="112"/>
      <c r="Q2137" s="112"/>
      <c r="R2137" s="112"/>
      <c r="S2137" s="112"/>
      <c r="T2137" s="112"/>
      <c r="U2137" t="s">
        <v>4496</v>
      </c>
      <c r="V2137" t="s">
        <v>4497</v>
      </c>
      <c r="W2137" t="s">
        <v>3958</v>
      </c>
      <c r="X2137" t="s">
        <v>4660</v>
      </c>
    </row>
    <row r="2138" spans="1:24" x14ac:dyDescent="0.2">
      <c r="A2138" t="s">
        <v>5852</v>
      </c>
      <c r="B2138" t="s">
        <v>1926</v>
      </c>
      <c r="C2138" t="s">
        <v>874</v>
      </c>
      <c r="D2138" t="s">
        <v>209</v>
      </c>
      <c r="E2138" t="s">
        <v>875</v>
      </c>
      <c r="F2138" t="s">
        <v>84</v>
      </c>
      <c r="G2138" s="202">
        <v>17</v>
      </c>
      <c r="H2138">
        <v>4</v>
      </c>
      <c r="I2138" t="s">
        <v>4017</v>
      </c>
      <c r="J2138" t="s">
        <v>4851</v>
      </c>
      <c r="K2138" t="s">
        <v>1283</v>
      </c>
      <c r="L2138" s="204">
        <v>0.06</v>
      </c>
      <c r="M2138" s="112">
        <v>168.20250000000001</v>
      </c>
      <c r="N2138" s="112">
        <v>10.09215</v>
      </c>
      <c r="O2138" s="204"/>
      <c r="P2138" s="112"/>
      <c r="Q2138" s="112"/>
      <c r="R2138" s="112"/>
      <c r="S2138" s="112"/>
      <c r="T2138" s="112"/>
      <c r="U2138" t="s">
        <v>4496</v>
      </c>
      <c r="V2138" t="s">
        <v>4497</v>
      </c>
      <c r="W2138" t="s">
        <v>3958</v>
      </c>
      <c r="X2138" t="s">
        <v>4660</v>
      </c>
    </row>
    <row r="2139" spans="1:24" x14ac:dyDescent="0.2">
      <c r="A2139" t="s">
        <v>5852</v>
      </c>
      <c r="B2139" t="s">
        <v>1926</v>
      </c>
      <c r="C2139" t="s">
        <v>874</v>
      </c>
      <c r="D2139" t="s">
        <v>209</v>
      </c>
      <c r="E2139" t="s">
        <v>875</v>
      </c>
      <c r="F2139" t="s">
        <v>84</v>
      </c>
      <c r="G2139" s="202">
        <v>17</v>
      </c>
      <c r="H2139">
        <v>5</v>
      </c>
      <c r="I2139" t="s">
        <v>3968</v>
      </c>
      <c r="J2139" t="s">
        <v>3969</v>
      </c>
      <c r="K2139" t="s">
        <v>84</v>
      </c>
      <c r="L2139" s="204">
        <v>1</v>
      </c>
      <c r="M2139" s="112"/>
      <c r="N2139" s="112">
        <v>168.20250000000001</v>
      </c>
      <c r="O2139" s="204">
        <v>0.22227672002496979</v>
      </c>
      <c r="P2139" s="112">
        <v>37.387499999999989</v>
      </c>
      <c r="Q2139" s="112">
        <v>205.59</v>
      </c>
      <c r="R2139" s="112">
        <v>3495.03</v>
      </c>
      <c r="S2139" s="112">
        <v>3495.03</v>
      </c>
      <c r="T2139" s="112">
        <v>0</v>
      </c>
      <c r="U2139" t="s">
        <v>4496</v>
      </c>
      <c r="V2139" t="s">
        <v>4497</v>
      </c>
      <c r="W2139" t="s">
        <v>4666</v>
      </c>
      <c r="X2139" t="s">
        <v>4667</v>
      </c>
    </row>
    <row r="2140" spans="1:24" x14ac:dyDescent="0.2">
      <c r="A2140" t="s">
        <v>5853</v>
      </c>
      <c r="B2140" t="s">
        <v>1927</v>
      </c>
      <c r="C2140" t="s">
        <v>876</v>
      </c>
      <c r="D2140" t="s">
        <v>209</v>
      </c>
      <c r="E2140" t="s">
        <v>877</v>
      </c>
      <c r="F2140" t="s">
        <v>84</v>
      </c>
      <c r="G2140" s="202">
        <v>18</v>
      </c>
      <c r="H2140">
        <v>1</v>
      </c>
      <c r="I2140" t="s">
        <v>3954</v>
      </c>
      <c r="J2140" t="s">
        <v>5227</v>
      </c>
      <c r="K2140" t="s">
        <v>1283</v>
      </c>
      <c r="L2140" s="204">
        <v>0.26</v>
      </c>
      <c r="M2140" s="112">
        <v>170.26500000000001</v>
      </c>
      <c r="N2140" s="112">
        <v>44.268900000000002</v>
      </c>
      <c r="O2140" s="204"/>
      <c r="P2140" s="112"/>
      <c r="Q2140" s="112"/>
      <c r="R2140" s="112"/>
      <c r="S2140" s="112"/>
      <c r="T2140" s="112"/>
      <c r="U2140" t="s">
        <v>4488</v>
      </c>
      <c r="V2140" t="s">
        <v>4489</v>
      </c>
      <c r="W2140" t="s">
        <v>3958</v>
      </c>
      <c r="X2140" t="s">
        <v>4660</v>
      </c>
    </row>
    <row r="2141" spans="1:24" x14ac:dyDescent="0.2">
      <c r="A2141" t="s">
        <v>5853</v>
      </c>
      <c r="B2141" t="s">
        <v>1927</v>
      </c>
      <c r="C2141" t="s">
        <v>876</v>
      </c>
      <c r="D2141" t="s">
        <v>209</v>
      </c>
      <c r="E2141" t="s">
        <v>877</v>
      </c>
      <c r="F2141" t="s">
        <v>84</v>
      </c>
      <c r="G2141" s="202">
        <v>18</v>
      </c>
      <c r="H2141">
        <v>2</v>
      </c>
      <c r="I2141" t="s">
        <v>3960</v>
      </c>
      <c r="J2141" t="s">
        <v>5229</v>
      </c>
      <c r="K2141" t="s">
        <v>1283</v>
      </c>
      <c r="L2141" s="204">
        <v>0.64</v>
      </c>
      <c r="M2141" s="112">
        <v>170.26500000000001</v>
      </c>
      <c r="N2141" s="112">
        <v>108.96960000000001</v>
      </c>
      <c r="O2141" s="204"/>
      <c r="P2141" s="112"/>
      <c r="Q2141" s="112"/>
      <c r="R2141" s="112"/>
      <c r="S2141" s="112"/>
      <c r="T2141" s="112"/>
      <c r="U2141" t="s">
        <v>4488</v>
      </c>
      <c r="V2141" t="s">
        <v>4489</v>
      </c>
      <c r="W2141" t="s">
        <v>3958</v>
      </c>
      <c r="X2141" t="s">
        <v>4660</v>
      </c>
    </row>
    <row r="2142" spans="1:24" x14ac:dyDescent="0.2">
      <c r="A2142" t="s">
        <v>5853</v>
      </c>
      <c r="B2142" t="s">
        <v>1927</v>
      </c>
      <c r="C2142" t="s">
        <v>876</v>
      </c>
      <c r="D2142" t="s">
        <v>209</v>
      </c>
      <c r="E2142" t="s">
        <v>877</v>
      </c>
      <c r="F2142" t="s">
        <v>84</v>
      </c>
      <c r="G2142" s="202">
        <v>18</v>
      </c>
      <c r="H2142">
        <v>3</v>
      </c>
      <c r="I2142" t="s">
        <v>3976</v>
      </c>
      <c r="J2142" t="s">
        <v>5230</v>
      </c>
      <c r="K2142" t="s">
        <v>1283</v>
      </c>
      <c r="L2142" s="204">
        <v>0.04</v>
      </c>
      <c r="M2142" s="112">
        <v>170.26500000000001</v>
      </c>
      <c r="N2142" s="112">
        <v>6.8106000000000009</v>
      </c>
      <c r="O2142" s="204"/>
      <c r="P2142" s="112"/>
      <c r="Q2142" s="112"/>
      <c r="R2142" s="112"/>
      <c r="S2142" s="112"/>
      <c r="T2142" s="112"/>
      <c r="U2142" t="s">
        <v>4488</v>
      </c>
      <c r="V2142" t="s">
        <v>4489</v>
      </c>
      <c r="W2142" t="s">
        <v>3958</v>
      </c>
      <c r="X2142" t="s">
        <v>4660</v>
      </c>
    </row>
    <row r="2143" spans="1:24" x14ac:dyDescent="0.2">
      <c r="A2143" t="s">
        <v>5853</v>
      </c>
      <c r="B2143" t="s">
        <v>1927</v>
      </c>
      <c r="C2143" t="s">
        <v>876</v>
      </c>
      <c r="D2143" t="s">
        <v>209</v>
      </c>
      <c r="E2143" t="s">
        <v>877</v>
      </c>
      <c r="F2143" t="s">
        <v>84</v>
      </c>
      <c r="G2143" s="202">
        <v>18</v>
      </c>
      <c r="H2143">
        <v>4</v>
      </c>
      <c r="I2143" t="s">
        <v>4017</v>
      </c>
      <c r="J2143" t="s">
        <v>4851</v>
      </c>
      <c r="K2143" t="s">
        <v>1283</v>
      </c>
      <c r="L2143" s="204">
        <v>0.06</v>
      </c>
      <c r="M2143" s="112">
        <v>170.26500000000001</v>
      </c>
      <c r="N2143" s="112">
        <v>10.215900000000001</v>
      </c>
      <c r="O2143" s="204"/>
      <c r="P2143" s="112"/>
      <c r="Q2143" s="112"/>
      <c r="R2143" s="112"/>
      <c r="S2143" s="112"/>
      <c r="T2143" s="112"/>
      <c r="U2143" t="s">
        <v>4488</v>
      </c>
      <c r="V2143" t="s">
        <v>4489</v>
      </c>
      <c r="W2143" t="s">
        <v>3958</v>
      </c>
      <c r="X2143" t="s">
        <v>4660</v>
      </c>
    </row>
    <row r="2144" spans="1:24" x14ac:dyDescent="0.2">
      <c r="A2144" t="s">
        <v>5853</v>
      </c>
      <c r="B2144" t="s">
        <v>1927</v>
      </c>
      <c r="C2144" t="s">
        <v>876</v>
      </c>
      <c r="D2144" t="s">
        <v>209</v>
      </c>
      <c r="E2144" t="s">
        <v>877</v>
      </c>
      <c r="F2144" t="s">
        <v>84</v>
      </c>
      <c r="G2144" s="202">
        <v>18</v>
      </c>
      <c r="H2144">
        <v>5</v>
      </c>
      <c r="I2144" t="s">
        <v>3968</v>
      </c>
      <c r="J2144" t="s">
        <v>3969</v>
      </c>
      <c r="K2144" t="s">
        <v>84</v>
      </c>
      <c r="L2144" s="204">
        <v>1</v>
      </c>
      <c r="M2144" s="112"/>
      <c r="N2144" s="112">
        <v>170.26500000000001</v>
      </c>
      <c r="O2144" s="204">
        <v>0.22227116553607607</v>
      </c>
      <c r="P2144" s="112">
        <v>37.844999999999999</v>
      </c>
      <c r="Q2144" s="112">
        <v>208.11</v>
      </c>
      <c r="R2144" s="112">
        <v>3745.98</v>
      </c>
      <c r="S2144" s="112">
        <v>3745.98</v>
      </c>
      <c r="T2144" s="112">
        <v>0</v>
      </c>
      <c r="U2144" t="s">
        <v>4488</v>
      </c>
      <c r="V2144" t="s">
        <v>4489</v>
      </c>
      <c r="W2144" t="s">
        <v>4666</v>
      </c>
      <c r="X2144" t="s">
        <v>4667</v>
      </c>
    </row>
    <row r="2145" spans="1:24" x14ac:dyDescent="0.2">
      <c r="A2145" t="s">
        <v>5854</v>
      </c>
      <c r="B2145" t="s">
        <v>1928</v>
      </c>
      <c r="C2145" t="s">
        <v>1929</v>
      </c>
      <c r="D2145" t="s">
        <v>209</v>
      </c>
      <c r="E2145" t="s">
        <v>1930</v>
      </c>
      <c r="F2145" t="s">
        <v>84</v>
      </c>
      <c r="G2145" s="202">
        <v>17</v>
      </c>
      <c r="H2145">
        <v>1</v>
      </c>
      <c r="I2145" t="s">
        <v>3954</v>
      </c>
      <c r="J2145" t="s">
        <v>5227</v>
      </c>
      <c r="K2145" t="s">
        <v>1283</v>
      </c>
      <c r="L2145" s="204">
        <v>0.26</v>
      </c>
      <c r="M2145" s="112">
        <v>174.91499999999999</v>
      </c>
      <c r="N2145" s="112">
        <v>45.477899999999998</v>
      </c>
      <c r="O2145" s="204"/>
      <c r="P2145" s="112"/>
      <c r="Q2145" s="112"/>
      <c r="R2145" s="112"/>
      <c r="S2145" s="112"/>
      <c r="T2145" s="112"/>
      <c r="U2145" t="s">
        <v>4492</v>
      </c>
      <c r="V2145" t="s">
        <v>4493</v>
      </c>
      <c r="W2145" t="s">
        <v>3958</v>
      </c>
      <c r="X2145" t="s">
        <v>4660</v>
      </c>
    </row>
    <row r="2146" spans="1:24" x14ac:dyDescent="0.2">
      <c r="A2146" t="s">
        <v>5854</v>
      </c>
      <c r="B2146" t="s">
        <v>1928</v>
      </c>
      <c r="C2146" t="s">
        <v>1929</v>
      </c>
      <c r="D2146" t="s">
        <v>209</v>
      </c>
      <c r="E2146" t="s">
        <v>1930</v>
      </c>
      <c r="F2146" t="s">
        <v>84</v>
      </c>
      <c r="G2146" s="202">
        <v>17</v>
      </c>
      <c r="H2146">
        <v>2</v>
      </c>
      <c r="I2146" t="s">
        <v>3960</v>
      </c>
      <c r="J2146" t="s">
        <v>5229</v>
      </c>
      <c r="K2146" t="s">
        <v>1283</v>
      </c>
      <c r="L2146" s="204">
        <v>0.64</v>
      </c>
      <c r="M2146" s="112">
        <v>174.91499999999999</v>
      </c>
      <c r="N2146" s="112">
        <v>111.9456</v>
      </c>
      <c r="O2146" s="204"/>
      <c r="P2146" s="112"/>
      <c r="Q2146" s="112"/>
      <c r="R2146" s="112"/>
      <c r="S2146" s="112"/>
      <c r="T2146" s="112"/>
      <c r="U2146" t="s">
        <v>4492</v>
      </c>
      <c r="V2146" t="s">
        <v>4493</v>
      </c>
      <c r="W2146" t="s">
        <v>3958</v>
      </c>
      <c r="X2146" t="s">
        <v>4660</v>
      </c>
    </row>
    <row r="2147" spans="1:24" x14ac:dyDescent="0.2">
      <c r="A2147" t="s">
        <v>5854</v>
      </c>
      <c r="B2147" t="s">
        <v>1928</v>
      </c>
      <c r="C2147" t="s">
        <v>1929</v>
      </c>
      <c r="D2147" t="s">
        <v>209</v>
      </c>
      <c r="E2147" t="s">
        <v>1930</v>
      </c>
      <c r="F2147" t="s">
        <v>84</v>
      </c>
      <c r="G2147" s="202">
        <v>17</v>
      </c>
      <c r="H2147">
        <v>3</v>
      </c>
      <c r="I2147" t="s">
        <v>3976</v>
      </c>
      <c r="J2147" t="s">
        <v>5230</v>
      </c>
      <c r="K2147" t="s">
        <v>1283</v>
      </c>
      <c r="L2147" s="204">
        <v>0.04</v>
      </c>
      <c r="M2147" s="112">
        <v>174.91499999999999</v>
      </c>
      <c r="N2147" s="112">
        <v>6.9965999999999999</v>
      </c>
      <c r="O2147" s="204"/>
      <c r="P2147" s="112"/>
      <c r="Q2147" s="112"/>
      <c r="R2147" s="112"/>
      <c r="S2147" s="112"/>
      <c r="T2147" s="112"/>
      <c r="U2147" t="s">
        <v>4492</v>
      </c>
      <c r="V2147" t="s">
        <v>4493</v>
      </c>
      <c r="W2147" t="s">
        <v>3958</v>
      </c>
      <c r="X2147" t="s">
        <v>4660</v>
      </c>
    </row>
    <row r="2148" spans="1:24" x14ac:dyDescent="0.2">
      <c r="A2148" t="s">
        <v>5854</v>
      </c>
      <c r="B2148" t="s">
        <v>1928</v>
      </c>
      <c r="C2148" t="s">
        <v>1929</v>
      </c>
      <c r="D2148" t="s">
        <v>209</v>
      </c>
      <c r="E2148" t="s">
        <v>1930</v>
      </c>
      <c r="F2148" t="s">
        <v>84</v>
      </c>
      <c r="G2148" s="202">
        <v>17</v>
      </c>
      <c r="H2148">
        <v>4</v>
      </c>
      <c r="I2148" t="s">
        <v>4017</v>
      </c>
      <c r="J2148" t="s">
        <v>4851</v>
      </c>
      <c r="K2148" t="s">
        <v>1283</v>
      </c>
      <c r="L2148" s="204">
        <v>0.06</v>
      </c>
      <c r="M2148" s="112">
        <v>174.91499999999999</v>
      </c>
      <c r="N2148" s="112">
        <v>10.494899999999999</v>
      </c>
      <c r="O2148" s="204"/>
      <c r="P2148" s="112"/>
      <c r="Q2148" s="112"/>
      <c r="R2148" s="112"/>
      <c r="S2148" s="112"/>
      <c r="T2148" s="112"/>
      <c r="U2148" t="s">
        <v>4492</v>
      </c>
      <c r="V2148" t="s">
        <v>4493</v>
      </c>
      <c r="W2148" t="s">
        <v>3958</v>
      </c>
      <c r="X2148" t="s">
        <v>4660</v>
      </c>
    </row>
    <row r="2149" spans="1:24" x14ac:dyDescent="0.2">
      <c r="A2149" t="s">
        <v>5854</v>
      </c>
      <c r="B2149" t="s">
        <v>1928</v>
      </c>
      <c r="C2149" t="s">
        <v>1929</v>
      </c>
      <c r="D2149" t="s">
        <v>209</v>
      </c>
      <c r="E2149" t="s">
        <v>1930</v>
      </c>
      <c r="F2149" t="s">
        <v>84</v>
      </c>
      <c r="G2149" s="202">
        <v>17</v>
      </c>
      <c r="H2149">
        <v>5</v>
      </c>
      <c r="I2149" t="s">
        <v>3968</v>
      </c>
      <c r="J2149" t="s">
        <v>3969</v>
      </c>
      <c r="K2149" t="s">
        <v>84</v>
      </c>
      <c r="L2149" s="204">
        <v>1</v>
      </c>
      <c r="M2149" s="112"/>
      <c r="N2149" s="112">
        <v>174.91499999999999</v>
      </c>
      <c r="O2149" s="204">
        <v>0.22227771135896268</v>
      </c>
      <c r="P2149" s="112">
        <v>38.879705882352965</v>
      </c>
      <c r="Q2149" s="112">
        <v>213.79470588235296</v>
      </c>
      <c r="R2149" s="112">
        <v>3634.51</v>
      </c>
      <c r="S2149" s="112">
        <v>3634.51</v>
      </c>
      <c r="T2149" s="112">
        <v>0</v>
      </c>
      <c r="U2149" t="s">
        <v>4492</v>
      </c>
      <c r="V2149" t="s">
        <v>4493</v>
      </c>
      <c r="W2149" t="s">
        <v>4666</v>
      </c>
      <c r="X2149" t="s">
        <v>4667</v>
      </c>
    </row>
    <row r="2150" spans="1:24" x14ac:dyDescent="0.2">
      <c r="A2150" t="s">
        <v>5855</v>
      </c>
      <c r="B2150" t="s">
        <v>1931</v>
      </c>
      <c r="C2150" t="s">
        <v>1932</v>
      </c>
      <c r="D2150" t="s">
        <v>209</v>
      </c>
      <c r="E2150" t="s">
        <v>1933</v>
      </c>
      <c r="F2150" t="s">
        <v>84</v>
      </c>
      <c r="G2150" s="202">
        <v>2</v>
      </c>
      <c r="H2150">
        <v>1</v>
      </c>
      <c r="I2150" t="s">
        <v>3954</v>
      </c>
      <c r="J2150" t="s">
        <v>5227</v>
      </c>
      <c r="K2150" t="s">
        <v>1283</v>
      </c>
      <c r="L2150" s="204">
        <v>0.26</v>
      </c>
      <c r="M2150" s="112">
        <v>233.38499999999999</v>
      </c>
      <c r="N2150" s="112">
        <v>60.680100000000003</v>
      </c>
      <c r="O2150" s="204"/>
      <c r="P2150" s="112"/>
      <c r="Q2150" s="112"/>
      <c r="R2150" s="112"/>
      <c r="S2150" s="112"/>
      <c r="T2150" s="112"/>
      <c r="U2150" t="s">
        <v>4528</v>
      </c>
      <c r="V2150" t="s">
        <v>4529</v>
      </c>
      <c r="W2150" t="s">
        <v>3958</v>
      </c>
      <c r="X2150" t="s">
        <v>4660</v>
      </c>
    </row>
    <row r="2151" spans="1:24" x14ac:dyDescent="0.2">
      <c r="A2151" t="s">
        <v>5855</v>
      </c>
      <c r="B2151" t="s">
        <v>1931</v>
      </c>
      <c r="C2151" t="s">
        <v>1932</v>
      </c>
      <c r="D2151" t="s">
        <v>209</v>
      </c>
      <c r="E2151" t="s">
        <v>1933</v>
      </c>
      <c r="F2151" t="s">
        <v>84</v>
      </c>
      <c r="G2151" s="202">
        <v>2</v>
      </c>
      <c r="H2151">
        <v>2</v>
      </c>
      <c r="I2151" t="s">
        <v>3960</v>
      </c>
      <c r="J2151" t="s">
        <v>5229</v>
      </c>
      <c r="K2151" t="s">
        <v>1283</v>
      </c>
      <c r="L2151" s="204">
        <v>0.64</v>
      </c>
      <c r="M2151" s="112">
        <v>233.38499999999999</v>
      </c>
      <c r="N2151" s="112">
        <v>149.3664</v>
      </c>
      <c r="O2151" s="204"/>
      <c r="P2151" s="112"/>
      <c r="Q2151" s="112"/>
      <c r="R2151" s="112"/>
      <c r="S2151" s="112"/>
      <c r="T2151" s="112"/>
      <c r="U2151" t="s">
        <v>4528</v>
      </c>
      <c r="V2151" t="s">
        <v>4529</v>
      </c>
      <c r="W2151" t="s">
        <v>3958</v>
      </c>
      <c r="X2151" t="s">
        <v>4660</v>
      </c>
    </row>
    <row r="2152" spans="1:24" x14ac:dyDescent="0.2">
      <c r="A2152" t="s">
        <v>5855</v>
      </c>
      <c r="B2152" t="s">
        <v>1931</v>
      </c>
      <c r="C2152" t="s">
        <v>1932</v>
      </c>
      <c r="D2152" t="s">
        <v>209</v>
      </c>
      <c r="E2152" t="s">
        <v>1933</v>
      </c>
      <c r="F2152" t="s">
        <v>84</v>
      </c>
      <c r="G2152" s="202">
        <v>2</v>
      </c>
      <c r="H2152">
        <v>3</v>
      </c>
      <c r="I2152" t="s">
        <v>3976</v>
      </c>
      <c r="J2152" t="s">
        <v>5230</v>
      </c>
      <c r="K2152" t="s">
        <v>1283</v>
      </c>
      <c r="L2152" s="204">
        <v>0.04</v>
      </c>
      <c r="M2152" s="112">
        <v>233.38499999999999</v>
      </c>
      <c r="N2152" s="112">
        <v>9.3353999999999999</v>
      </c>
      <c r="O2152" s="204"/>
      <c r="P2152" s="112"/>
      <c r="Q2152" s="112"/>
      <c r="R2152" s="112"/>
      <c r="S2152" s="112"/>
      <c r="T2152" s="112"/>
      <c r="U2152" t="s">
        <v>4528</v>
      </c>
      <c r="V2152" t="s">
        <v>4529</v>
      </c>
      <c r="W2152" t="s">
        <v>3958</v>
      </c>
      <c r="X2152" t="s">
        <v>4660</v>
      </c>
    </row>
    <row r="2153" spans="1:24" x14ac:dyDescent="0.2">
      <c r="A2153" t="s">
        <v>5855</v>
      </c>
      <c r="B2153" t="s">
        <v>1931</v>
      </c>
      <c r="C2153" t="s">
        <v>1932</v>
      </c>
      <c r="D2153" t="s">
        <v>209</v>
      </c>
      <c r="E2153" t="s">
        <v>1933</v>
      </c>
      <c r="F2153" t="s">
        <v>84</v>
      </c>
      <c r="G2153" s="202">
        <v>2</v>
      </c>
      <c r="H2153">
        <v>4</v>
      </c>
      <c r="I2153" t="s">
        <v>4017</v>
      </c>
      <c r="J2153" t="s">
        <v>4851</v>
      </c>
      <c r="K2153" t="s">
        <v>1283</v>
      </c>
      <c r="L2153" s="204">
        <v>0.06</v>
      </c>
      <c r="M2153" s="112">
        <v>233.38499999999999</v>
      </c>
      <c r="N2153" s="112">
        <v>14.003099999999998</v>
      </c>
      <c r="O2153" s="204"/>
      <c r="P2153" s="112"/>
      <c r="Q2153" s="112"/>
      <c r="R2153" s="112"/>
      <c r="S2153" s="112"/>
      <c r="T2153" s="112"/>
      <c r="U2153" t="s">
        <v>4528</v>
      </c>
      <c r="V2153" t="s">
        <v>4529</v>
      </c>
      <c r="W2153" t="s">
        <v>3958</v>
      </c>
      <c r="X2153" t="s">
        <v>4660</v>
      </c>
    </row>
    <row r="2154" spans="1:24" x14ac:dyDescent="0.2">
      <c r="A2154" t="s">
        <v>5855</v>
      </c>
      <c r="B2154" t="s">
        <v>1931</v>
      </c>
      <c r="C2154" t="s">
        <v>1932</v>
      </c>
      <c r="D2154" t="s">
        <v>209</v>
      </c>
      <c r="E2154" t="s">
        <v>1933</v>
      </c>
      <c r="F2154" t="s">
        <v>84</v>
      </c>
      <c r="G2154" s="202">
        <v>2</v>
      </c>
      <c r="H2154">
        <v>5</v>
      </c>
      <c r="I2154" t="s">
        <v>3968</v>
      </c>
      <c r="J2154" t="s">
        <v>3969</v>
      </c>
      <c r="K2154" t="s">
        <v>84</v>
      </c>
      <c r="L2154" s="204">
        <v>1</v>
      </c>
      <c r="M2154" s="112"/>
      <c r="N2154" s="112">
        <v>233.38499999999999</v>
      </c>
      <c r="O2154" s="204">
        <v>0.22227221115324469</v>
      </c>
      <c r="P2154" s="112">
        <v>51.875</v>
      </c>
      <c r="Q2154" s="112">
        <v>285.26</v>
      </c>
      <c r="R2154" s="112">
        <v>570.52</v>
      </c>
      <c r="S2154" s="112">
        <v>570.52</v>
      </c>
      <c r="T2154" s="112">
        <v>0</v>
      </c>
      <c r="U2154" t="s">
        <v>4528</v>
      </c>
      <c r="V2154" t="s">
        <v>4529</v>
      </c>
      <c r="W2154" t="s">
        <v>4666</v>
      </c>
      <c r="X2154" t="s">
        <v>4667</v>
      </c>
    </row>
    <row r="2155" spans="1:24" x14ac:dyDescent="0.2">
      <c r="A2155" t="s">
        <v>5856</v>
      </c>
      <c r="B2155" t="s">
        <v>1934</v>
      </c>
      <c r="C2155" t="s">
        <v>1935</v>
      </c>
      <c r="D2155" t="s">
        <v>335</v>
      </c>
      <c r="E2155" t="s">
        <v>882</v>
      </c>
      <c r="F2155" t="s">
        <v>99</v>
      </c>
      <c r="G2155" s="202">
        <v>490</v>
      </c>
      <c r="H2155">
        <v>1</v>
      </c>
      <c r="I2155" t="s">
        <v>3954</v>
      </c>
      <c r="J2155" t="s">
        <v>4823</v>
      </c>
      <c r="K2155" t="s">
        <v>1283</v>
      </c>
      <c r="L2155" s="204">
        <v>0.18</v>
      </c>
      <c r="M2155" s="112">
        <v>12.285</v>
      </c>
      <c r="N2155" s="112">
        <v>2.2113</v>
      </c>
      <c r="O2155" s="204"/>
      <c r="P2155" s="112"/>
      <c r="Q2155" s="112"/>
      <c r="R2155" s="112"/>
      <c r="S2155" s="112"/>
      <c r="T2155" s="112"/>
      <c r="U2155" t="s">
        <v>5857</v>
      </c>
      <c r="V2155" t="s">
        <v>5858</v>
      </c>
      <c r="W2155" t="s">
        <v>3958</v>
      </c>
      <c r="X2155" t="s">
        <v>4660</v>
      </c>
    </row>
    <row r="2156" spans="1:24" x14ac:dyDescent="0.2">
      <c r="A2156" t="s">
        <v>5856</v>
      </c>
      <c r="B2156" t="s">
        <v>1934</v>
      </c>
      <c r="C2156" t="s">
        <v>1935</v>
      </c>
      <c r="D2156" t="s">
        <v>335</v>
      </c>
      <c r="E2156" t="s">
        <v>882</v>
      </c>
      <c r="F2156" t="s">
        <v>99</v>
      </c>
      <c r="G2156" s="202">
        <v>490</v>
      </c>
      <c r="H2156">
        <v>2</v>
      </c>
      <c r="I2156" t="s">
        <v>3960</v>
      </c>
      <c r="J2156" t="s">
        <v>4826</v>
      </c>
      <c r="K2156" t="s">
        <v>1283</v>
      </c>
      <c r="L2156" s="204">
        <v>0.72</v>
      </c>
      <c r="M2156" s="112">
        <v>12.285</v>
      </c>
      <c r="N2156" s="112">
        <v>8.8452000000000002</v>
      </c>
      <c r="O2156" s="204"/>
      <c r="P2156" s="112"/>
      <c r="Q2156" s="112"/>
      <c r="R2156" s="112"/>
      <c r="S2156" s="112"/>
      <c r="T2156" s="112"/>
      <c r="U2156" t="s">
        <v>5857</v>
      </c>
      <c r="V2156" t="s">
        <v>5858</v>
      </c>
      <c r="W2156" t="s">
        <v>3958</v>
      </c>
      <c r="X2156" t="s">
        <v>4660</v>
      </c>
    </row>
    <row r="2157" spans="1:24" x14ac:dyDescent="0.2">
      <c r="A2157" t="s">
        <v>5856</v>
      </c>
      <c r="B2157" t="s">
        <v>1934</v>
      </c>
      <c r="C2157" t="s">
        <v>1935</v>
      </c>
      <c r="D2157" t="s">
        <v>335</v>
      </c>
      <c r="E2157" t="s">
        <v>882</v>
      </c>
      <c r="F2157" t="s">
        <v>99</v>
      </c>
      <c r="G2157" s="202">
        <v>490</v>
      </c>
      <c r="H2157">
        <v>3</v>
      </c>
      <c r="I2157" t="s">
        <v>3976</v>
      </c>
      <c r="J2157" t="s">
        <v>4827</v>
      </c>
      <c r="K2157" t="s">
        <v>1283</v>
      </c>
      <c r="L2157" s="204">
        <v>0.05</v>
      </c>
      <c r="M2157" s="112">
        <v>12.285</v>
      </c>
      <c r="N2157" s="112">
        <v>0.61425000000000007</v>
      </c>
      <c r="O2157" s="204"/>
      <c r="P2157" s="112"/>
      <c r="Q2157" s="112"/>
      <c r="R2157" s="112"/>
      <c r="S2157" s="112"/>
      <c r="T2157" s="112"/>
      <c r="U2157" t="s">
        <v>5857</v>
      </c>
      <c r="V2157" t="s">
        <v>5858</v>
      </c>
      <c r="W2157" t="s">
        <v>3958</v>
      </c>
      <c r="X2157" t="s">
        <v>4660</v>
      </c>
    </row>
    <row r="2158" spans="1:24" x14ac:dyDescent="0.2">
      <c r="A2158" t="s">
        <v>5856</v>
      </c>
      <c r="B2158" t="s">
        <v>1934</v>
      </c>
      <c r="C2158" t="s">
        <v>1935</v>
      </c>
      <c r="D2158" t="s">
        <v>335</v>
      </c>
      <c r="E2158" t="s">
        <v>882</v>
      </c>
      <c r="F2158" t="s">
        <v>99</v>
      </c>
      <c r="G2158" s="202">
        <v>490</v>
      </c>
      <c r="H2158">
        <v>4</v>
      </c>
      <c r="I2158" t="s">
        <v>4017</v>
      </c>
      <c r="J2158" t="s">
        <v>4809</v>
      </c>
      <c r="K2158" t="s">
        <v>1283</v>
      </c>
      <c r="L2158" s="204">
        <v>0.05</v>
      </c>
      <c r="M2158" s="112">
        <v>12.285</v>
      </c>
      <c r="N2158" s="112">
        <v>0.61425000000000007</v>
      </c>
      <c r="O2158" s="204"/>
      <c r="P2158" s="112"/>
      <c r="Q2158" s="112"/>
      <c r="R2158" s="112"/>
      <c r="S2158" s="112"/>
      <c r="T2158" s="112"/>
      <c r="U2158" t="s">
        <v>5857</v>
      </c>
      <c r="V2158" t="s">
        <v>5858</v>
      </c>
      <c r="W2158" t="s">
        <v>3958</v>
      </c>
      <c r="X2158" t="s">
        <v>4660</v>
      </c>
    </row>
    <row r="2159" spans="1:24" x14ac:dyDescent="0.2">
      <c r="A2159" t="s">
        <v>5856</v>
      </c>
      <c r="B2159" t="s">
        <v>1934</v>
      </c>
      <c r="C2159" t="s">
        <v>1935</v>
      </c>
      <c r="D2159" t="s">
        <v>335</v>
      </c>
      <c r="E2159" t="s">
        <v>882</v>
      </c>
      <c r="F2159" t="s">
        <v>99</v>
      </c>
      <c r="G2159" s="202">
        <v>490</v>
      </c>
      <c r="H2159">
        <v>5</v>
      </c>
      <c r="I2159" t="s">
        <v>3968</v>
      </c>
      <c r="J2159" t="s">
        <v>3969</v>
      </c>
      <c r="K2159" t="s">
        <v>99</v>
      </c>
      <c r="L2159" s="204">
        <v>1</v>
      </c>
      <c r="M2159" s="112"/>
      <c r="N2159" s="112">
        <v>12.285</v>
      </c>
      <c r="O2159" s="204">
        <v>0.22222222222222232</v>
      </c>
      <c r="P2159" s="112">
        <v>2.7300000000000004</v>
      </c>
      <c r="Q2159" s="112">
        <v>15.015000000000001</v>
      </c>
      <c r="R2159" s="112">
        <v>7357.35</v>
      </c>
      <c r="S2159" s="112">
        <v>7357.35</v>
      </c>
      <c r="T2159" s="112">
        <v>0</v>
      </c>
      <c r="U2159" t="s">
        <v>5857</v>
      </c>
      <c r="V2159" t="s">
        <v>5858</v>
      </c>
      <c r="W2159" t="s">
        <v>4666</v>
      </c>
      <c r="X2159" t="s">
        <v>4667</v>
      </c>
    </row>
    <row r="2160" spans="1:24" x14ac:dyDescent="0.2">
      <c r="A2160" t="s">
        <v>5859</v>
      </c>
      <c r="B2160" t="s">
        <v>1936</v>
      </c>
      <c r="C2160" t="s">
        <v>1937</v>
      </c>
      <c r="D2160" t="s">
        <v>56</v>
      </c>
      <c r="E2160" t="s">
        <v>885</v>
      </c>
      <c r="F2160" t="s">
        <v>84</v>
      </c>
      <c r="G2160" s="202">
        <v>17</v>
      </c>
      <c r="H2160">
        <v>1</v>
      </c>
      <c r="I2160" t="s">
        <v>3954</v>
      </c>
      <c r="J2160" t="s">
        <v>5837</v>
      </c>
      <c r="K2160" t="s">
        <v>1283</v>
      </c>
      <c r="L2160" s="204">
        <v>0.2</v>
      </c>
      <c r="M2160" s="112">
        <v>5068.1025</v>
      </c>
      <c r="N2160" s="112">
        <v>1013.6205</v>
      </c>
      <c r="O2160" s="204"/>
      <c r="P2160" s="112"/>
      <c r="Q2160" s="112"/>
      <c r="R2160" s="112"/>
      <c r="S2160" s="112"/>
      <c r="T2160" s="112"/>
      <c r="U2160" t="s">
        <v>4102</v>
      </c>
      <c r="V2160" t="s">
        <v>5860</v>
      </c>
      <c r="W2160" t="s">
        <v>3958</v>
      </c>
      <c r="X2160" t="s">
        <v>4660</v>
      </c>
    </row>
    <row r="2161" spans="1:24" x14ac:dyDescent="0.2">
      <c r="A2161" t="s">
        <v>5859</v>
      </c>
      <c r="B2161" t="s">
        <v>1936</v>
      </c>
      <c r="C2161" t="s">
        <v>1937</v>
      </c>
      <c r="D2161" t="s">
        <v>56</v>
      </c>
      <c r="E2161" t="s">
        <v>885</v>
      </c>
      <c r="F2161" t="s">
        <v>84</v>
      </c>
      <c r="G2161" s="202">
        <v>17</v>
      </c>
      <c r="H2161">
        <v>2</v>
      </c>
      <c r="I2161" t="s">
        <v>4091</v>
      </c>
      <c r="J2161" t="s">
        <v>5840</v>
      </c>
      <c r="K2161" t="s">
        <v>1283</v>
      </c>
      <c r="L2161" s="204">
        <v>0.7</v>
      </c>
      <c r="M2161" s="112">
        <v>5068.1025</v>
      </c>
      <c r="N2161" s="112">
        <v>3547.67175</v>
      </c>
      <c r="O2161" s="204"/>
      <c r="P2161" s="112"/>
      <c r="Q2161" s="112"/>
      <c r="R2161" s="112"/>
      <c r="S2161" s="112"/>
      <c r="T2161" s="112"/>
      <c r="U2161" t="s">
        <v>4102</v>
      </c>
      <c r="V2161" t="s">
        <v>5860</v>
      </c>
      <c r="W2161" t="s">
        <v>3958</v>
      </c>
      <c r="X2161" t="s">
        <v>4660</v>
      </c>
    </row>
    <row r="2162" spans="1:24" x14ac:dyDescent="0.2">
      <c r="A2162" t="s">
        <v>5859</v>
      </c>
      <c r="B2162" t="s">
        <v>1936</v>
      </c>
      <c r="C2162" t="s">
        <v>1937</v>
      </c>
      <c r="D2162" t="s">
        <v>56</v>
      </c>
      <c r="E2162" t="s">
        <v>885</v>
      </c>
      <c r="F2162" t="s">
        <v>84</v>
      </c>
      <c r="G2162" s="202">
        <v>17</v>
      </c>
      <c r="H2162">
        <v>3</v>
      </c>
      <c r="I2162" t="s">
        <v>4093</v>
      </c>
      <c r="J2162" t="s">
        <v>5841</v>
      </c>
      <c r="K2162" t="s">
        <v>1283</v>
      </c>
      <c r="L2162" s="204">
        <v>0.05</v>
      </c>
      <c r="M2162" s="112">
        <v>5068.1025</v>
      </c>
      <c r="N2162" s="112">
        <v>253.405125</v>
      </c>
      <c r="O2162" s="204"/>
      <c r="P2162" s="112"/>
      <c r="Q2162" s="112"/>
      <c r="R2162" s="112"/>
      <c r="S2162" s="112"/>
      <c r="T2162" s="112"/>
      <c r="U2162" t="s">
        <v>4102</v>
      </c>
      <c r="V2162" t="s">
        <v>5860</v>
      </c>
      <c r="W2162" t="s">
        <v>3958</v>
      </c>
      <c r="X2162" t="s">
        <v>4660</v>
      </c>
    </row>
    <row r="2163" spans="1:24" x14ac:dyDescent="0.2">
      <c r="A2163" t="s">
        <v>5859</v>
      </c>
      <c r="B2163" t="s">
        <v>1936</v>
      </c>
      <c r="C2163" t="s">
        <v>1937</v>
      </c>
      <c r="D2163" t="s">
        <v>56</v>
      </c>
      <c r="E2163" t="s">
        <v>885</v>
      </c>
      <c r="F2163" t="s">
        <v>84</v>
      </c>
      <c r="G2163" s="202">
        <v>17</v>
      </c>
      <c r="H2163">
        <v>4</v>
      </c>
      <c r="I2163" t="s">
        <v>4017</v>
      </c>
      <c r="J2163" t="s">
        <v>5117</v>
      </c>
      <c r="K2163" t="s">
        <v>1283</v>
      </c>
      <c r="L2163" s="204">
        <v>0.05</v>
      </c>
      <c r="M2163" s="112">
        <v>5068.1025</v>
      </c>
      <c r="N2163" s="112">
        <v>253.405125</v>
      </c>
      <c r="O2163" s="204"/>
      <c r="P2163" s="112"/>
      <c r="Q2163" s="112"/>
      <c r="R2163" s="112"/>
      <c r="S2163" s="112"/>
      <c r="T2163" s="112"/>
      <c r="U2163" t="s">
        <v>4102</v>
      </c>
      <c r="V2163" t="s">
        <v>5860</v>
      </c>
      <c r="W2163" t="s">
        <v>3958</v>
      </c>
      <c r="X2163" t="s">
        <v>4660</v>
      </c>
    </row>
    <row r="2164" spans="1:24" x14ac:dyDescent="0.2">
      <c r="A2164" t="s">
        <v>5859</v>
      </c>
      <c r="B2164" t="s">
        <v>1936</v>
      </c>
      <c r="C2164" t="s">
        <v>1937</v>
      </c>
      <c r="D2164" t="s">
        <v>56</v>
      </c>
      <c r="E2164" t="s">
        <v>885</v>
      </c>
      <c r="F2164" t="s">
        <v>84</v>
      </c>
      <c r="G2164" s="202">
        <v>17</v>
      </c>
      <c r="H2164">
        <v>5</v>
      </c>
      <c r="I2164" t="s">
        <v>3968</v>
      </c>
      <c r="J2164" t="s">
        <v>3969</v>
      </c>
      <c r="K2164" t="s">
        <v>84</v>
      </c>
      <c r="L2164" s="204">
        <v>1</v>
      </c>
      <c r="M2164" s="112"/>
      <c r="N2164" s="112">
        <v>5068.1025</v>
      </c>
      <c r="O2164" s="204">
        <v>0.15277904362454708</v>
      </c>
      <c r="P2164" s="112">
        <v>774.29985294117614</v>
      </c>
      <c r="Q2164" s="112">
        <v>5842.4023529411761</v>
      </c>
      <c r="R2164" s="112">
        <v>99320.84</v>
      </c>
      <c r="S2164" s="112">
        <v>99320.84</v>
      </c>
      <c r="T2164" s="112">
        <v>0</v>
      </c>
      <c r="U2164" t="s">
        <v>4102</v>
      </c>
      <c r="V2164" t="s">
        <v>5860</v>
      </c>
      <c r="W2164" t="s">
        <v>4666</v>
      </c>
      <c r="X2164" t="s">
        <v>4667</v>
      </c>
    </row>
    <row r="2165" spans="1:24" x14ac:dyDescent="0.2">
      <c r="A2165" t="s">
        <v>5861</v>
      </c>
      <c r="B2165" t="s">
        <v>1938</v>
      </c>
      <c r="C2165" t="s">
        <v>1939</v>
      </c>
      <c r="D2165" t="s">
        <v>56</v>
      </c>
      <c r="E2165" t="s">
        <v>887</v>
      </c>
      <c r="F2165" t="s">
        <v>84</v>
      </c>
      <c r="G2165" s="202">
        <v>14</v>
      </c>
      <c r="H2165">
        <v>1</v>
      </c>
      <c r="I2165" t="s">
        <v>3954</v>
      </c>
      <c r="J2165" t="s">
        <v>5837</v>
      </c>
      <c r="K2165" t="s">
        <v>1283</v>
      </c>
      <c r="L2165" s="204">
        <v>0.2</v>
      </c>
      <c r="M2165" s="112">
        <v>6224.7150000000001</v>
      </c>
      <c r="N2165" s="112">
        <v>1244.9430000000002</v>
      </c>
      <c r="O2165" s="204"/>
      <c r="P2165" s="112"/>
      <c r="Q2165" s="112"/>
      <c r="R2165" s="112"/>
      <c r="S2165" s="112"/>
      <c r="T2165" s="112"/>
      <c r="U2165" t="s">
        <v>4089</v>
      </c>
      <c r="V2165" t="s">
        <v>5862</v>
      </c>
      <c r="W2165" t="s">
        <v>3958</v>
      </c>
      <c r="X2165" t="s">
        <v>4660</v>
      </c>
    </row>
    <row r="2166" spans="1:24" x14ac:dyDescent="0.2">
      <c r="A2166" t="s">
        <v>5861</v>
      </c>
      <c r="B2166" t="s">
        <v>1938</v>
      </c>
      <c r="C2166" t="s">
        <v>1939</v>
      </c>
      <c r="D2166" t="s">
        <v>56</v>
      </c>
      <c r="E2166" t="s">
        <v>887</v>
      </c>
      <c r="F2166" t="s">
        <v>84</v>
      </c>
      <c r="G2166" s="202">
        <v>14</v>
      </c>
      <c r="H2166">
        <v>2</v>
      </c>
      <c r="I2166" t="s">
        <v>4091</v>
      </c>
      <c r="J2166" t="s">
        <v>5840</v>
      </c>
      <c r="K2166" t="s">
        <v>1283</v>
      </c>
      <c r="L2166" s="204">
        <v>0.7</v>
      </c>
      <c r="M2166" s="112">
        <v>6224.7150000000001</v>
      </c>
      <c r="N2166" s="112">
        <v>4357.3004999999994</v>
      </c>
      <c r="O2166" s="204"/>
      <c r="P2166" s="112"/>
      <c r="Q2166" s="112"/>
      <c r="R2166" s="112"/>
      <c r="S2166" s="112"/>
      <c r="T2166" s="112"/>
      <c r="U2166" t="s">
        <v>4089</v>
      </c>
      <c r="V2166" t="s">
        <v>5862</v>
      </c>
      <c r="W2166" t="s">
        <v>3958</v>
      </c>
      <c r="X2166" t="s">
        <v>4660</v>
      </c>
    </row>
    <row r="2167" spans="1:24" x14ac:dyDescent="0.2">
      <c r="A2167" t="s">
        <v>5861</v>
      </c>
      <c r="B2167" t="s">
        <v>1938</v>
      </c>
      <c r="C2167" t="s">
        <v>1939</v>
      </c>
      <c r="D2167" t="s">
        <v>56</v>
      </c>
      <c r="E2167" t="s">
        <v>887</v>
      </c>
      <c r="F2167" t="s">
        <v>84</v>
      </c>
      <c r="G2167" s="202">
        <v>14</v>
      </c>
      <c r="H2167">
        <v>3</v>
      </c>
      <c r="I2167" t="s">
        <v>4093</v>
      </c>
      <c r="J2167" t="s">
        <v>5841</v>
      </c>
      <c r="K2167" t="s">
        <v>1283</v>
      </c>
      <c r="L2167" s="204">
        <v>0.05</v>
      </c>
      <c r="M2167" s="112">
        <v>6224.7150000000001</v>
      </c>
      <c r="N2167" s="112">
        <v>311.23575000000005</v>
      </c>
      <c r="O2167" s="204"/>
      <c r="P2167" s="112"/>
      <c r="Q2167" s="112"/>
      <c r="R2167" s="112"/>
      <c r="S2167" s="112"/>
      <c r="T2167" s="112"/>
      <c r="U2167" t="s">
        <v>4089</v>
      </c>
      <c r="V2167" t="s">
        <v>5862</v>
      </c>
      <c r="W2167" t="s">
        <v>3958</v>
      </c>
      <c r="X2167" t="s">
        <v>4660</v>
      </c>
    </row>
    <row r="2168" spans="1:24" x14ac:dyDescent="0.2">
      <c r="A2168" t="s">
        <v>5861</v>
      </c>
      <c r="B2168" t="s">
        <v>1938</v>
      </c>
      <c r="C2168" t="s">
        <v>1939</v>
      </c>
      <c r="D2168" t="s">
        <v>56</v>
      </c>
      <c r="E2168" t="s">
        <v>887</v>
      </c>
      <c r="F2168" t="s">
        <v>84</v>
      </c>
      <c r="G2168" s="202">
        <v>14</v>
      </c>
      <c r="H2168">
        <v>4</v>
      </c>
      <c r="I2168" t="s">
        <v>4017</v>
      </c>
      <c r="J2168" t="s">
        <v>5117</v>
      </c>
      <c r="K2168" t="s">
        <v>1283</v>
      </c>
      <c r="L2168" s="204">
        <v>0.05</v>
      </c>
      <c r="M2168" s="112">
        <v>6224.7150000000001</v>
      </c>
      <c r="N2168" s="112">
        <v>311.23575000000005</v>
      </c>
      <c r="O2168" s="204"/>
      <c r="P2168" s="112"/>
      <c r="Q2168" s="112"/>
      <c r="R2168" s="112"/>
      <c r="S2168" s="112"/>
      <c r="T2168" s="112"/>
      <c r="U2168" t="s">
        <v>4089</v>
      </c>
      <c r="V2168" t="s">
        <v>5862</v>
      </c>
      <c r="W2168" t="s">
        <v>3958</v>
      </c>
      <c r="X2168" t="s">
        <v>4660</v>
      </c>
    </row>
    <row r="2169" spans="1:24" x14ac:dyDescent="0.2">
      <c r="A2169" t="s">
        <v>5861</v>
      </c>
      <c r="B2169" t="s">
        <v>1938</v>
      </c>
      <c r="C2169" t="s">
        <v>1939</v>
      </c>
      <c r="D2169" t="s">
        <v>56</v>
      </c>
      <c r="E2169" t="s">
        <v>887</v>
      </c>
      <c r="F2169" t="s">
        <v>84</v>
      </c>
      <c r="G2169" s="202">
        <v>14</v>
      </c>
      <c r="H2169">
        <v>5</v>
      </c>
      <c r="I2169" t="s">
        <v>3968</v>
      </c>
      <c r="J2169" t="s">
        <v>3969</v>
      </c>
      <c r="K2169" t="s">
        <v>84</v>
      </c>
      <c r="L2169" s="204">
        <v>1</v>
      </c>
      <c r="M2169" s="112"/>
      <c r="N2169" s="112">
        <v>6224.7150000000001</v>
      </c>
      <c r="O2169" s="204">
        <v>0.15278048874526795</v>
      </c>
      <c r="P2169" s="112">
        <v>951.01500000000033</v>
      </c>
      <c r="Q2169" s="112">
        <v>7175.7300000000005</v>
      </c>
      <c r="R2169" s="112">
        <v>100460.22</v>
      </c>
      <c r="S2169" s="112">
        <v>100460.22</v>
      </c>
      <c r="T2169" s="112">
        <v>0</v>
      </c>
      <c r="U2169" t="s">
        <v>4089</v>
      </c>
      <c r="V2169" t="s">
        <v>5862</v>
      </c>
      <c r="W2169" t="s">
        <v>4666</v>
      </c>
      <c r="X2169" t="s">
        <v>4667</v>
      </c>
    </row>
    <row r="2170" spans="1:24" x14ac:dyDescent="0.2">
      <c r="A2170" t="s">
        <v>5863</v>
      </c>
      <c r="B2170" t="s">
        <v>1940</v>
      </c>
      <c r="C2170" t="s">
        <v>1941</v>
      </c>
      <c r="D2170" t="s">
        <v>56</v>
      </c>
      <c r="E2170" t="s">
        <v>889</v>
      </c>
      <c r="F2170" t="s">
        <v>84</v>
      </c>
      <c r="G2170" s="202">
        <v>2</v>
      </c>
      <c r="H2170">
        <v>1</v>
      </c>
      <c r="I2170" t="s">
        <v>3954</v>
      </c>
      <c r="J2170" t="s">
        <v>5837</v>
      </c>
      <c r="K2170" t="s">
        <v>1283</v>
      </c>
      <c r="L2170" s="204">
        <v>0.2</v>
      </c>
      <c r="M2170" s="112">
        <v>9147.067500000001</v>
      </c>
      <c r="N2170" s="112">
        <v>1829.4135000000003</v>
      </c>
      <c r="O2170" s="204"/>
      <c r="P2170" s="112"/>
      <c r="Q2170" s="112"/>
      <c r="R2170" s="112"/>
      <c r="S2170" s="112"/>
      <c r="T2170" s="112"/>
      <c r="U2170" t="s">
        <v>4372</v>
      </c>
      <c r="V2170" t="s">
        <v>5864</v>
      </c>
      <c r="W2170" t="s">
        <v>3958</v>
      </c>
      <c r="X2170" t="s">
        <v>4660</v>
      </c>
    </row>
    <row r="2171" spans="1:24" x14ac:dyDescent="0.2">
      <c r="A2171" t="s">
        <v>5863</v>
      </c>
      <c r="B2171" t="s">
        <v>1940</v>
      </c>
      <c r="C2171" t="s">
        <v>1941</v>
      </c>
      <c r="D2171" t="s">
        <v>56</v>
      </c>
      <c r="E2171" t="s">
        <v>889</v>
      </c>
      <c r="F2171" t="s">
        <v>84</v>
      </c>
      <c r="G2171" s="202">
        <v>2</v>
      </c>
      <c r="H2171">
        <v>2</v>
      </c>
      <c r="I2171" t="s">
        <v>4091</v>
      </c>
      <c r="J2171" t="s">
        <v>5840</v>
      </c>
      <c r="K2171" t="s">
        <v>1283</v>
      </c>
      <c r="L2171" s="204">
        <v>0.7</v>
      </c>
      <c r="M2171" s="112">
        <v>9147.067500000001</v>
      </c>
      <c r="N2171" s="112">
        <v>6402.9472500000002</v>
      </c>
      <c r="O2171" s="204"/>
      <c r="P2171" s="112"/>
      <c r="Q2171" s="112"/>
      <c r="R2171" s="112"/>
      <c r="S2171" s="112"/>
      <c r="T2171" s="112"/>
      <c r="U2171" t="s">
        <v>4372</v>
      </c>
      <c r="V2171" t="s">
        <v>5864</v>
      </c>
      <c r="W2171" t="s">
        <v>3958</v>
      </c>
      <c r="X2171" t="s">
        <v>4660</v>
      </c>
    </row>
    <row r="2172" spans="1:24" x14ac:dyDescent="0.2">
      <c r="A2172" t="s">
        <v>5863</v>
      </c>
      <c r="B2172" t="s">
        <v>1940</v>
      </c>
      <c r="C2172" t="s">
        <v>1941</v>
      </c>
      <c r="D2172" t="s">
        <v>56</v>
      </c>
      <c r="E2172" t="s">
        <v>889</v>
      </c>
      <c r="F2172" t="s">
        <v>84</v>
      </c>
      <c r="G2172" s="202">
        <v>2</v>
      </c>
      <c r="H2172">
        <v>3</v>
      </c>
      <c r="I2172" t="s">
        <v>4093</v>
      </c>
      <c r="J2172" t="s">
        <v>5841</v>
      </c>
      <c r="K2172" t="s">
        <v>1283</v>
      </c>
      <c r="L2172" s="204">
        <v>0.05</v>
      </c>
      <c r="M2172" s="112">
        <v>9147.067500000001</v>
      </c>
      <c r="N2172" s="112">
        <v>457.35337500000009</v>
      </c>
      <c r="O2172" s="204"/>
      <c r="P2172" s="112"/>
      <c r="Q2172" s="112"/>
      <c r="R2172" s="112"/>
      <c r="S2172" s="112"/>
      <c r="T2172" s="112"/>
      <c r="U2172" t="s">
        <v>4372</v>
      </c>
      <c r="V2172" t="s">
        <v>5864</v>
      </c>
      <c r="W2172" t="s">
        <v>3958</v>
      </c>
      <c r="X2172" t="s">
        <v>4660</v>
      </c>
    </row>
    <row r="2173" spans="1:24" x14ac:dyDescent="0.2">
      <c r="A2173" t="s">
        <v>5863</v>
      </c>
      <c r="B2173" t="s">
        <v>1940</v>
      </c>
      <c r="C2173" t="s">
        <v>1941</v>
      </c>
      <c r="D2173" t="s">
        <v>56</v>
      </c>
      <c r="E2173" t="s">
        <v>889</v>
      </c>
      <c r="F2173" t="s">
        <v>84</v>
      </c>
      <c r="G2173" s="202">
        <v>2</v>
      </c>
      <c r="H2173">
        <v>4</v>
      </c>
      <c r="I2173" t="s">
        <v>4017</v>
      </c>
      <c r="J2173" t="s">
        <v>5117</v>
      </c>
      <c r="K2173" t="s">
        <v>1283</v>
      </c>
      <c r="L2173" s="204">
        <v>0.05</v>
      </c>
      <c r="M2173" s="112">
        <v>9147.067500000001</v>
      </c>
      <c r="N2173" s="112">
        <v>457.35337500000009</v>
      </c>
      <c r="O2173" s="204"/>
      <c r="P2173" s="112"/>
      <c r="Q2173" s="112"/>
      <c r="R2173" s="112"/>
      <c r="S2173" s="112"/>
      <c r="T2173" s="112"/>
      <c r="U2173" t="s">
        <v>4372</v>
      </c>
      <c r="V2173" t="s">
        <v>5864</v>
      </c>
      <c r="W2173" t="s">
        <v>3958</v>
      </c>
      <c r="X2173" t="s">
        <v>4660</v>
      </c>
    </row>
    <row r="2174" spans="1:24" x14ac:dyDescent="0.2">
      <c r="A2174" t="s">
        <v>5863</v>
      </c>
      <c r="B2174" t="s">
        <v>1940</v>
      </c>
      <c r="C2174" t="s">
        <v>1941</v>
      </c>
      <c r="D2174" t="s">
        <v>56</v>
      </c>
      <c r="E2174" t="s">
        <v>889</v>
      </c>
      <c r="F2174" t="s">
        <v>84</v>
      </c>
      <c r="G2174" s="202">
        <v>2</v>
      </c>
      <c r="H2174">
        <v>5</v>
      </c>
      <c r="I2174" t="s">
        <v>3968</v>
      </c>
      <c r="J2174" t="s">
        <v>3969</v>
      </c>
      <c r="K2174" t="s">
        <v>84</v>
      </c>
      <c r="L2174" s="204">
        <v>1</v>
      </c>
      <c r="M2174" s="112"/>
      <c r="N2174" s="112">
        <v>9147.067500000001</v>
      </c>
      <c r="O2174" s="204">
        <v>0.15277983900304659</v>
      </c>
      <c r="P2174" s="112">
        <v>1397.4874999999993</v>
      </c>
      <c r="Q2174" s="112">
        <v>10544.555</v>
      </c>
      <c r="R2174" s="112">
        <v>21089.11</v>
      </c>
      <c r="S2174" s="112">
        <v>21089.11</v>
      </c>
      <c r="T2174" s="112">
        <v>0</v>
      </c>
      <c r="U2174" t="s">
        <v>4372</v>
      </c>
      <c r="V2174" t="s">
        <v>5864</v>
      </c>
      <c r="W2174" t="s">
        <v>4666</v>
      </c>
      <c r="X2174" t="s">
        <v>4667</v>
      </c>
    </row>
    <row r="2175" spans="1:24" x14ac:dyDescent="0.2">
      <c r="A2175" t="s">
        <v>5865</v>
      </c>
      <c r="B2175" t="s">
        <v>1942</v>
      </c>
      <c r="C2175" t="s">
        <v>1943</v>
      </c>
      <c r="D2175" t="s">
        <v>56</v>
      </c>
      <c r="E2175" t="s">
        <v>891</v>
      </c>
      <c r="F2175" t="s">
        <v>84</v>
      </c>
      <c r="G2175" s="202">
        <v>2</v>
      </c>
      <c r="H2175">
        <v>1</v>
      </c>
      <c r="I2175" t="s">
        <v>3954</v>
      </c>
      <c r="J2175" t="s">
        <v>5837</v>
      </c>
      <c r="K2175" t="s">
        <v>1283</v>
      </c>
      <c r="L2175" s="204">
        <v>0.2</v>
      </c>
      <c r="M2175" s="112">
        <v>9726.2024999999994</v>
      </c>
      <c r="N2175" s="112">
        <v>1945.2404999999999</v>
      </c>
      <c r="O2175" s="204"/>
      <c r="P2175" s="112"/>
      <c r="Q2175" s="112"/>
      <c r="R2175" s="112"/>
      <c r="S2175" s="112"/>
      <c r="T2175" s="112"/>
      <c r="U2175" t="s">
        <v>4356</v>
      </c>
      <c r="V2175" t="s">
        <v>5866</v>
      </c>
      <c r="W2175" t="s">
        <v>3958</v>
      </c>
      <c r="X2175" t="s">
        <v>4660</v>
      </c>
    </row>
    <row r="2176" spans="1:24" x14ac:dyDescent="0.2">
      <c r="A2176" t="s">
        <v>5865</v>
      </c>
      <c r="B2176" t="s">
        <v>1942</v>
      </c>
      <c r="C2176" t="s">
        <v>1943</v>
      </c>
      <c r="D2176" t="s">
        <v>56</v>
      </c>
      <c r="E2176" t="s">
        <v>891</v>
      </c>
      <c r="F2176" t="s">
        <v>84</v>
      </c>
      <c r="G2176" s="202">
        <v>2</v>
      </c>
      <c r="H2176">
        <v>2</v>
      </c>
      <c r="I2176" t="s">
        <v>4091</v>
      </c>
      <c r="J2176" t="s">
        <v>5840</v>
      </c>
      <c r="K2176" t="s">
        <v>1283</v>
      </c>
      <c r="L2176" s="204">
        <v>0.7</v>
      </c>
      <c r="M2176" s="112">
        <v>9726.2024999999994</v>
      </c>
      <c r="N2176" s="112">
        <v>6808.3417499999996</v>
      </c>
      <c r="O2176" s="204"/>
      <c r="P2176" s="112"/>
      <c r="Q2176" s="112"/>
      <c r="R2176" s="112"/>
      <c r="S2176" s="112"/>
      <c r="T2176" s="112"/>
      <c r="U2176" t="s">
        <v>4356</v>
      </c>
      <c r="V2176" t="s">
        <v>5866</v>
      </c>
      <c r="W2176" t="s">
        <v>3958</v>
      </c>
      <c r="X2176" t="s">
        <v>4660</v>
      </c>
    </row>
    <row r="2177" spans="1:24" x14ac:dyDescent="0.2">
      <c r="A2177" t="s">
        <v>5865</v>
      </c>
      <c r="B2177" t="s">
        <v>1942</v>
      </c>
      <c r="C2177" t="s">
        <v>1943</v>
      </c>
      <c r="D2177" t="s">
        <v>56</v>
      </c>
      <c r="E2177" t="s">
        <v>891</v>
      </c>
      <c r="F2177" t="s">
        <v>84</v>
      </c>
      <c r="G2177" s="202">
        <v>2</v>
      </c>
      <c r="H2177">
        <v>3</v>
      </c>
      <c r="I2177" t="s">
        <v>4093</v>
      </c>
      <c r="J2177" t="s">
        <v>5841</v>
      </c>
      <c r="K2177" t="s">
        <v>1283</v>
      </c>
      <c r="L2177" s="204">
        <v>0.05</v>
      </c>
      <c r="M2177" s="112">
        <v>9726.2024999999994</v>
      </c>
      <c r="N2177" s="112">
        <v>486.31012499999997</v>
      </c>
      <c r="O2177" s="204"/>
      <c r="P2177" s="112"/>
      <c r="Q2177" s="112"/>
      <c r="R2177" s="112"/>
      <c r="S2177" s="112"/>
      <c r="T2177" s="112"/>
      <c r="U2177" t="s">
        <v>4356</v>
      </c>
      <c r="V2177" t="s">
        <v>5866</v>
      </c>
      <c r="W2177" t="s">
        <v>3958</v>
      </c>
      <c r="X2177" t="s">
        <v>4660</v>
      </c>
    </row>
    <row r="2178" spans="1:24" x14ac:dyDescent="0.2">
      <c r="A2178" t="s">
        <v>5865</v>
      </c>
      <c r="B2178" t="s">
        <v>1942</v>
      </c>
      <c r="C2178" t="s">
        <v>1943</v>
      </c>
      <c r="D2178" t="s">
        <v>56</v>
      </c>
      <c r="E2178" t="s">
        <v>891</v>
      </c>
      <c r="F2178" t="s">
        <v>84</v>
      </c>
      <c r="G2178" s="202">
        <v>2</v>
      </c>
      <c r="H2178">
        <v>4</v>
      </c>
      <c r="I2178" t="s">
        <v>4017</v>
      </c>
      <c r="J2178" t="s">
        <v>5117</v>
      </c>
      <c r="K2178" t="s">
        <v>1283</v>
      </c>
      <c r="L2178" s="204">
        <v>0.05</v>
      </c>
      <c r="M2178" s="112">
        <v>9726.2024999999994</v>
      </c>
      <c r="N2178" s="112">
        <v>486.31012499999997</v>
      </c>
      <c r="O2178" s="204"/>
      <c r="P2178" s="112"/>
      <c r="Q2178" s="112"/>
      <c r="R2178" s="112"/>
      <c r="S2178" s="112"/>
      <c r="T2178" s="112"/>
      <c r="U2178" t="s">
        <v>4356</v>
      </c>
      <c r="V2178" t="s">
        <v>5866</v>
      </c>
      <c r="W2178" t="s">
        <v>3958</v>
      </c>
      <c r="X2178" t="s">
        <v>4660</v>
      </c>
    </row>
    <row r="2179" spans="1:24" x14ac:dyDescent="0.2">
      <c r="A2179" t="s">
        <v>5865</v>
      </c>
      <c r="B2179" t="s">
        <v>1942</v>
      </c>
      <c r="C2179" t="s">
        <v>1943</v>
      </c>
      <c r="D2179" t="s">
        <v>56</v>
      </c>
      <c r="E2179" t="s">
        <v>891</v>
      </c>
      <c r="F2179" t="s">
        <v>84</v>
      </c>
      <c r="G2179" s="202">
        <v>2</v>
      </c>
      <c r="H2179">
        <v>5</v>
      </c>
      <c r="I2179" t="s">
        <v>3968</v>
      </c>
      <c r="J2179" t="s">
        <v>3969</v>
      </c>
      <c r="K2179" t="s">
        <v>84</v>
      </c>
      <c r="L2179" s="204">
        <v>1</v>
      </c>
      <c r="M2179" s="112"/>
      <c r="N2179" s="112">
        <v>9726.2024999999994</v>
      </c>
      <c r="O2179" s="204">
        <v>0.15277982336888418</v>
      </c>
      <c r="P2179" s="112">
        <v>1485.9675000000007</v>
      </c>
      <c r="Q2179" s="112">
        <v>11212.17</v>
      </c>
      <c r="R2179" s="112">
        <v>22424.34</v>
      </c>
      <c r="S2179" s="112">
        <v>22424.34</v>
      </c>
      <c r="T2179" s="112">
        <v>0</v>
      </c>
      <c r="U2179" t="s">
        <v>4356</v>
      </c>
      <c r="V2179" t="s">
        <v>5866</v>
      </c>
      <c r="W2179" t="s">
        <v>4666</v>
      </c>
      <c r="X2179" t="s">
        <v>4667</v>
      </c>
    </row>
    <row r="2180" spans="1:24" x14ac:dyDescent="0.2">
      <c r="A2180" t="s">
        <v>5867</v>
      </c>
      <c r="B2180" t="s">
        <v>1944</v>
      </c>
      <c r="C2180" t="s">
        <v>1945</v>
      </c>
      <c r="D2180" t="s">
        <v>24</v>
      </c>
      <c r="E2180" t="s">
        <v>894</v>
      </c>
      <c r="F2180" t="s">
        <v>84</v>
      </c>
      <c r="G2180" s="202">
        <v>1</v>
      </c>
      <c r="H2180">
        <v>1</v>
      </c>
      <c r="I2180" t="s">
        <v>3954</v>
      </c>
      <c r="J2180" t="s">
        <v>5837</v>
      </c>
      <c r="K2180" t="s">
        <v>1283</v>
      </c>
      <c r="L2180" s="204">
        <v>0.2</v>
      </c>
      <c r="M2180" s="112">
        <v>44898.21</v>
      </c>
      <c r="N2180" s="112">
        <v>8979.6419999999998</v>
      </c>
      <c r="O2180" s="204"/>
      <c r="P2180" s="112"/>
      <c r="Q2180" s="112"/>
      <c r="R2180" s="112"/>
      <c r="S2180" s="112"/>
      <c r="T2180" s="112"/>
      <c r="U2180" t="s">
        <v>5868</v>
      </c>
      <c r="V2180" t="s">
        <v>5869</v>
      </c>
      <c r="W2180" t="s">
        <v>3958</v>
      </c>
      <c r="X2180" t="s">
        <v>4660</v>
      </c>
    </row>
    <row r="2181" spans="1:24" x14ac:dyDescent="0.2">
      <c r="A2181" t="s">
        <v>5867</v>
      </c>
      <c r="B2181" t="s">
        <v>1944</v>
      </c>
      <c r="C2181" t="s">
        <v>1945</v>
      </c>
      <c r="D2181" t="s">
        <v>24</v>
      </c>
      <c r="E2181" t="s">
        <v>894</v>
      </c>
      <c r="F2181" t="s">
        <v>84</v>
      </c>
      <c r="G2181" s="202">
        <v>1</v>
      </c>
      <c r="H2181">
        <v>2</v>
      </c>
      <c r="I2181" t="s">
        <v>4091</v>
      </c>
      <c r="J2181" t="s">
        <v>5840</v>
      </c>
      <c r="K2181" t="s">
        <v>1283</v>
      </c>
      <c r="L2181" s="204">
        <v>0.7</v>
      </c>
      <c r="M2181" s="112">
        <v>44898.21</v>
      </c>
      <c r="N2181" s="112">
        <v>31428.746999999996</v>
      </c>
      <c r="O2181" s="204"/>
      <c r="P2181" s="112"/>
      <c r="Q2181" s="112"/>
      <c r="R2181" s="112"/>
      <c r="S2181" s="112"/>
      <c r="T2181" s="112"/>
      <c r="U2181" t="s">
        <v>5868</v>
      </c>
      <c r="V2181" t="s">
        <v>5869</v>
      </c>
      <c r="W2181" t="s">
        <v>3958</v>
      </c>
      <c r="X2181" t="s">
        <v>4660</v>
      </c>
    </row>
    <row r="2182" spans="1:24" x14ac:dyDescent="0.2">
      <c r="A2182" t="s">
        <v>5867</v>
      </c>
      <c r="B2182" t="s">
        <v>1944</v>
      </c>
      <c r="C2182" t="s">
        <v>1945</v>
      </c>
      <c r="D2182" t="s">
        <v>24</v>
      </c>
      <c r="E2182" t="s">
        <v>894</v>
      </c>
      <c r="F2182" t="s">
        <v>84</v>
      </c>
      <c r="G2182" s="202">
        <v>1</v>
      </c>
      <c r="H2182">
        <v>3</v>
      </c>
      <c r="I2182" t="s">
        <v>4093</v>
      </c>
      <c r="J2182" t="s">
        <v>5841</v>
      </c>
      <c r="K2182" t="s">
        <v>1283</v>
      </c>
      <c r="L2182" s="204">
        <v>0.05</v>
      </c>
      <c r="M2182" s="112">
        <v>44898.21</v>
      </c>
      <c r="N2182" s="112">
        <v>2244.9105</v>
      </c>
      <c r="O2182" s="204"/>
      <c r="P2182" s="112"/>
      <c r="Q2182" s="112"/>
      <c r="R2182" s="112"/>
      <c r="S2182" s="112"/>
      <c r="T2182" s="112"/>
      <c r="U2182" t="s">
        <v>5868</v>
      </c>
      <c r="V2182" t="s">
        <v>5869</v>
      </c>
      <c r="W2182" t="s">
        <v>3958</v>
      </c>
      <c r="X2182" t="s">
        <v>4660</v>
      </c>
    </row>
    <row r="2183" spans="1:24" x14ac:dyDescent="0.2">
      <c r="A2183" t="s">
        <v>5867</v>
      </c>
      <c r="B2183" t="s">
        <v>1944</v>
      </c>
      <c r="C2183" t="s">
        <v>1945</v>
      </c>
      <c r="D2183" t="s">
        <v>24</v>
      </c>
      <c r="E2183" t="s">
        <v>894</v>
      </c>
      <c r="F2183" t="s">
        <v>84</v>
      </c>
      <c r="G2183" s="202">
        <v>1</v>
      </c>
      <c r="H2183">
        <v>4</v>
      </c>
      <c r="I2183" t="s">
        <v>4017</v>
      </c>
      <c r="J2183" t="s">
        <v>5117</v>
      </c>
      <c r="K2183" t="s">
        <v>1283</v>
      </c>
      <c r="L2183" s="204">
        <v>0.05</v>
      </c>
      <c r="M2183" s="112">
        <v>44898.21</v>
      </c>
      <c r="N2183" s="112">
        <v>2244.9105</v>
      </c>
      <c r="O2183" s="204"/>
      <c r="P2183" s="112"/>
      <c r="Q2183" s="112"/>
      <c r="R2183" s="112"/>
      <c r="S2183" s="112"/>
      <c r="T2183" s="112"/>
      <c r="U2183" t="s">
        <v>5868</v>
      </c>
      <c r="V2183" t="s">
        <v>5869</v>
      </c>
      <c r="W2183" t="s">
        <v>3958</v>
      </c>
      <c r="X2183" t="s">
        <v>4660</v>
      </c>
    </row>
    <row r="2184" spans="1:24" x14ac:dyDescent="0.2">
      <c r="A2184" t="s">
        <v>5867</v>
      </c>
      <c r="B2184" t="s">
        <v>1944</v>
      </c>
      <c r="C2184" t="s">
        <v>1945</v>
      </c>
      <c r="D2184" t="s">
        <v>24</v>
      </c>
      <c r="E2184" t="s">
        <v>894</v>
      </c>
      <c r="F2184" t="s">
        <v>84</v>
      </c>
      <c r="G2184" s="202">
        <v>1</v>
      </c>
      <c r="H2184">
        <v>5</v>
      </c>
      <c r="I2184" t="s">
        <v>3968</v>
      </c>
      <c r="J2184" t="s">
        <v>3969</v>
      </c>
      <c r="K2184" t="s">
        <v>84</v>
      </c>
      <c r="L2184" s="204">
        <v>1</v>
      </c>
      <c r="M2184" s="112"/>
      <c r="N2184" s="112">
        <v>44898.21</v>
      </c>
      <c r="O2184" s="204">
        <v>0.15278025560484476</v>
      </c>
      <c r="P2184" s="112">
        <v>6859.5599999999977</v>
      </c>
      <c r="Q2184" s="112">
        <v>51757.77</v>
      </c>
      <c r="R2184" s="112">
        <v>51757.77</v>
      </c>
      <c r="S2184" s="112">
        <v>51757.77</v>
      </c>
      <c r="T2184" s="112">
        <v>0</v>
      </c>
      <c r="U2184" t="s">
        <v>5868</v>
      </c>
      <c r="V2184" t="s">
        <v>5869</v>
      </c>
      <c r="W2184" t="s">
        <v>4666</v>
      </c>
      <c r="X2184" t="s">
        <v>4667</v>
      </c>
    </row>
    <row r="2185" spans="1:24" x14ac:dyDescent="0.2">
      <c r="A2185" t="s">
        <v>5870</v>
      </c>
      <c r="B2185" t="s">
        <v>1946</v>
      </c>
      <c r="C2185" t="s">
        <v>1947</v>
      </c>
      <c r="D2185" t="s">
        <v>24</v>
      </c>
      <c r="E2185" t="s">
        <v>897</v>
      </c>
      <c r="F2185" t="s">
        <v>84</v>
      </c>
      <c r="G2185" s="202">
        <v>2</v>
      </c>
      <c r="H2185">
        <v>1</v>
      </c>
      <c r="I2185" t="s">
        <v>3954</v>
      </c>
      <c r="J2185" t="s">
        <v>5837</v>
      </c>
      <c r="K2185" t="s">
        <v>1283</v>
      </c>
      <c r="L2185" s="204">
        <v>0.2</v>
      </c>
      <c r="M2185" s="112">
        <v>60936.967499999999</v>
      </c>
      <c r="N2185" s="112">
        <v>12187.3935</v>
      </c>
      <c r="O2185" s="204"/>
      <c r="P2185" s="112"/>
      <c r="Q2185" s="112"/>
      <c r="R2185" s="112"/>
      <c r="S2185" s="112"/>
      <c r="T2185" s="112"/>
      <c r="U2185" t="s">
        <v>5871</v>
      </c>
      <c r="V2185" t="s">
        <v>5872</v>
      </c>
      <c r="W2185" t="s">
        <v>3958</v>
      </c>
      <c r="X2185" t="s">
        <v>4660</v>
      </c>
    </row>
    <row r="2186" spans="1:24" x14ac:dyDescent="0.2">
      <c r="A2186" t="s">
        <v>5870</v>
      </c>
      <c r="B2186" t="s">
        <v>1946</v>
      </c>
      <c r="C2186" t="s">
        <v>1947</v>
      </c>
      <c r="D2186" t="s">
        <v>24</v>
      </c>
      <c r="E2186" t="s">
        <v>897</v>
      </c>
      <c r="F2186" t="s">
        <v>84</v>
      </c>
      <c r="G2186" s="202">
        <v>2</v>
      </c>
      <c r="H2186">
        <v>2</v>
      </c>
      <c r="I2186" t="s">
        <v>4091</v>
      </c>
      <c r="J2186" t="s">
        <v>5840</v>
      </c>
      <c r="K2186" t="s">
        <v>1283</v>
      </c>
      <c r="L2186" s="204">
        <v>0.7</v>
      </c>
      <c r="M2186" s="112">
        <v>60936.967499999999</v>
      </c>
      <c r="N2186" s="112">
        <v>42655.877249999998</v>
      </c>
      <c r="O2186" s="204"/>
      <c r="P2186" s="112"/>
      <c r="Q2186" s="112"/>
      <c r="R2186" s="112"/>
      <c r="S2186" s="112"/>
      <c r="T2186" s="112"/>
      <c r="U2186" t="s">
        <v>5871</v>
      </c>
      <c r="V2186" t="s">
        <v>5872</v>
      </c>
      <c r="W2186" t="s">
        <v>3958</v>
      </c>
      <c r="X2186" t="s">
        <v>4660</v>
      </c>
    </row>
    <row r="2187" spans="1:24" x14ac:dyDescent="0.2">
      <c r="A2187" t="s">
        <v>5870</v>
      </c>
      <c r="B2187" t="s">
        <v>1946</v>
      </c>
      <c r="C2187" t="s">
        <v>1947</v>
      </c>
      <c r="D2187" t="s">
        <v>24</v>
      </c>
      <c r="E2187" t="s">
        <v>897</v>
      </c>
      <c r="F2187" t="s">
        <v>84</v>
      </c>
      <c r="G2187" s="202">
        <v>2</v>
      </c>
      <c r="H2187">
        <v>3</v>
      </c>
      <c r="I2187" t="s">
        <v>4093</v>
      </c>
      <c r="J2187" t="s">
        <v>5841</v>
      </c>
      <c r="K2187" t="s">
        <v>1283</v>
      </c>
      <c r="L2187" s="204">
        <v>0.05</v>
      </c>
      <c r="M2187" s="112">
        <v>60936.967499999999</v>
      </c>
      <c r="N2187" s="112">
        <v>3046.848375</v>
      </c>
      <c r="O2187" s="204"/>
      <c r="P2187" s="112"/>
      <c r="Q2187" s="112"/>
      <c r="R2187" s="112"/>
      <c r="S2187" s="112"/>
      <c r="T2187" s="112"/>
      <c r="U2187" t="s">
        <v>5871</v>
      </c>
      <c r="V2187" t="s">
        <v>5872</v>
      </c>
      <c r="W2187" t="s">
        <v>3958</v>
      </c>
      <c r="X2187" t="s">
        <v>4660</v>
      </c>
    </row>
    <row r="2188" spans="1:24" x14ac:dyDescent="0.2">
      <c r="A2188" t="s">
        <v>5870</v>
      </c>
      <c r="B2188" t="s">
        <v>1946</v>
      </c>
      <c r="C2188" t="s">
        <v>1947</v>
      </c>
      <c r="D2188" t="s">
        <v>24</v>
      </c>
      <c r="E2188" t="s">
        <v>897</v>
      </c>
      <c r="F2188" t="s">
        <v>84</v>
      </c>
      <c r="G2188" s="202">
        <v>2</v>
      </c>
      <c r="H2188">
        <v>4</v>
      </c>
      <c r="I2188" t="s">
        <v>4017</v>
      </c>
      <c r="J2188" t="s">
        <v>5117</v>
      </c>
      <c r="K2188" t="s">
        <v>1283</v>
      </c>
      <c r="L2188" s="204">
        <v>0.05</v>
      </c>
      <c r="M2188" s="112">
        <v>60936.967499999999</v>
      </c>
      <c r="N2188" s="112">
        <v>3046.848375</v>
      </c>
      <c r="O2188" s="204"/>
      <c r="P2188" s="112"/>
      <c r="Q2188" s="112"/>
      <c r="R2188" s="112"/>
      <c r="S2188" s="112"/>
      <c r="T2188" s="112"/>
      <c r="U2188" t="s">
        <v>5871</v>
      </c>
      <c r="V2188" t="s">
        <v>5872</v>
      </c>
      <c r="W2188" t="s">
        <v>3958</v>
      </c>
      <c r="X2188" t="s">
        <v>4660</v>
      </c>
    </row>
    <row r="2189" spans="1:24" x14ac:dyDescent="0.2">
      <c r="A2189" t="s">
        <v>5870</v>
      </c>
      <c r="B2189" t="s">
        <v>1946</v>
      </c>
      <c r="C2189" t="s">
        <v>1947</v>
      </c>
      <c r="D2189" t="s">
        <v>24</v>
      </c>
      <c r="E2189" t="s">
        <v>897</v>
      </c>
      <c r="F2189" t="s">
        <v>84</v>
      </c>
      <c r="G2189" s="202">
        <v>2</v>
      </c>
      <c r="H2189">
        <v>5</v>
      </c>
      <c r="I2189" t="s">
        <v>3968</v>
      </c>
      <c r="J2189" t="s">
        <v>3969</v>
      </c>
      <c r="K2189" t="s">
        <v>84</v>
      </c>
      <c r="L2189" s="204">
        <v>1</v>
      </c>
      <c r="M2189" s="112"/>
      <c r="N2189" s="112">
        <v>60936.967499999999</v>
      </c>
      <c r="O2189" s="204">
        <v>0.15278037096283148</v>
      </c>
      <c r="P2189" s="112">
        <v>9309.9725000000035</v>
      </c>
      <c r="Q2189" s="112">
        <v>70246.94</v>
      </c>
      <c r="R2189" s="112">
        <v>140493.88</v>
      </c>
      <c r="S2189" s="112">
        <v>140493.88</v>
      </c>
      <c r="T2189" s="112">
        <v>0</v>
      </c>
      <c r="U2189" t="s">
        <v>5871</v>
      </c>
      <c r="V2189" t="s">
        <v>5872</v>
      </c>
      <c r="W2189" t="s">
        <v>4666</v>
      </c>
      <c r="X2189" t="s">
        <v>4667</v>
      </c>
    </row>
    <row r="2190" spans="1:24" x14ac:dyDescent="0.2">
      <c r="A2190" t="s">
        <v>5873</v>
      </c>
      <c r="B2190" t="s">
        <v>1948</v>
      </c>
      <c r="C2190" t="s">
        <v>1949</v>
      </c>
      <c r="D2190" t="s">
        <v>24</v>
      </c>
      <c r="E2190" t="s">
        <v>900</v>
      </c>
      <c r="F2190" t="s">
        <v>84</v>
      </c>
      <c r="G2190" s="202">
        <v>1</v>
      </c>
      <c r="H2190">
        <v>1</v>
      </c>
      <c r="I2190" t="s">
        <v>3954</v>
      </c>
      <c r="J2190" t="s">
        <v>4804</v>
      </c>
      <c r="K2190" t="s">
        <v>1283</v>
      </c>
      <c r="L2190" s="204">
        <v>0.28000000000000003</v>
      </c>
      <c r="M2190" s="112">
        <v>541.08750000000009</v>
      </c>
      <c r="N2190" s="112">
        <v>151.50450000000004</v>
      </c>
      <c r="O2190" s="204"/>
      <c r="P2190" s="112"/>
      <c r="Q2190" s="112"/>
      <c r="R2190" s="112"/>
      <c r="S2190" s="112"/>
      <c r="T2190" s="112"/>
      <c r="U2190" t="s">
        <v>5874</v>
      </c>
      <c r="V2190" t="s">
        <v>5875</v>
      </c>
      <c r="W2190" t="s">
        <v>3958</v>
      </c>
      <c r="X2190" t="s">
        <v>4660</v>
      </c>
    </row>
    <row r="2191" spans="1:24" x14ac:dyDescent="0.2">
      <c r="A2191" t="s">
        <v>5873</v>
      </c>
      <c r="B2191" t="s">
        <v>1948</v>
      </c>
      <c r="C2191" t="s">
        <v>1949</v>
      </c>
      <c r="D2191" t="s">
        <v>24</v>
      </c>
      <c r="E2191" t="s">
        <v>900</v>
      </c>
      <c r="F2191" t="s">
        <v>84</v>
      </c>
      <c r="G2191" s="202">
        <v>1</v>
      </c>
      <c r="H2191">
        <v>2</v>
      </c>
      <c r="I2191" t="s">
        <v>3960</v>
      </c>
      <c r="J2191" t="s">
        <v>4807</v>
      </c>
      <c r="K2191" t="s">
        <v>1283</v>
      </c>
      <c r="L2191" s="204">
        <v>0.56000000000000005</v>
      </c>
      <c r="M2191" s="112">
        <v>541.08750000000009</v>
      </c>
      <c r="N2191" s="112">
        <v>303.00900000000007</v>
      </c>
      <c r="O2191" s="204"/>
      <c r="P2191" s="112"/>
      <c r="Q2191" s="112"/>
      <c r="R2191" s="112"/>
      <c r="S2191" s="112"/>
      <c r="T2191" s="112"/>
      <c r="U2191" t="s">
        <v>5874</v>
      </c>
      <c r="V2191" t="s">
        <v>5875</v>
      </c>
      <c r="W2191" t="s">
        <v>3958</v>
      </c>
      <c r="X2191" t="s">
        <v>4660</v>
      </c>
    </row>
    <row r="2192" spans="1:24" x14ac:dyDescent="0.2">
      <c r="A2192" t="s">
        <v>5873</v>
      </c>
      <c r="B2192" t="s">
        <v>1948</v>
      </c>
      <c r="C2192" t="s">
        <v>1949</v>
      </c>
      <c r="D2192" t="s">
        <v>24</v>
      </c>
      <c r="E2192" t="s">
        <v>900</v>
      </c>
      <c r="F2192" t="s">
        <v>84</v>
      </c>
      <c r="G2192" s="202">
        <v>1</v>
      </c>
      <c r="H2192">
        <v>3</v>
      </c>
      <c r="I2192" t="s">
        <v>3962</v>
      </c>
      <c r="J2192" t="s">
        <v>4808</v>
      </c>
      <c r="K2192" t="s">
        <v>1283</v>
      </c>
      <c r="L2192" s="204">
        <v>0.1</v>
      </c>
      <c r="M2192" s="112">
        <v>541.08750000000009</v>
      </c>
      <c r="N2192" s="112">
        <v>54.108750000000015</v>
      </c>
      <c r="O2192" s="204"/>
      <c r="P2192" s="112"/>
      <c r="Q2192" s="112"/>
      <c r="R2192" s="112"/>
      <c r="S2192" s="112"/>
      <c r="T2192" s="112"/>
      <c r="U2192" t="s">
        <v>5874</v>
      </c>
      <c r="V2192" t="s">
        <v>5875</v>
      </c>
      <c r="W2192" t="s">
        <v>3958</v>
      </c>
      <c r="X2192" t="s">
        <v>4660</v>
      </c>
    </row>
    <row r="2193" spans="1:24" x14ac:dyDescent="0.2">
      <c r="A2193" t="s">
        <v>5873</v>
      </c>
      <c r="B2193" t="s">
        <v>1948</v>
      </c>
      <c r="C2193" t="s">
        <v>1949</v>
      </c>
      <c r="D2193" t="s">
        <v>24</v>
      </c>
      <c r="E2193" t="s">
        <v>900</v>
      </c>
      <c r="F2193" t="s">
        <v>84</v>
      </c>
      <c r="G2193" s="202">
        <v>1</v>
      </c>
      <c r="H2193">
        <v>4</v>
      </c>
      <c r="I2193" t="s">
        <v>4017</v>
      </c>
      <c r="J2193" t="s">
        <v>4809</v>
      </c>
      <c r="K2193" t="s">
        <v>1283</v>
      </c>
      <c r="L2193" s="204">
        <v>0.06</v>
      </c>
      <c r="M2193" s="112">
        <v>541.08750000000009</v>
      </c>
      <c r="N2193" s="112">
        <v>32.465250000000005</v>
      </c>
      <c r="O2193" s="204"/>
      <c r="P2193" s="112"/>
      <c r="Q2193" s="112"/>
      <c r="R2193" s="112"/>
      <c r="S2193" s="112"/>
      <c r="T2193" s="112"/>
      <c r="U2193" t="s">
        <v>5874</v>
      </c>
      <c r="V2193" t="s">
        <v>5875</v>
      </c>
      <c r="W2193" t="s">
        <v>3958</v>
      </c>
      <c r="X2193" t="s">
        <v>4660</v>
      </c>
    </row>
    <row r="2194" spans="1:24" x14ac:dyDescent="0.2">
      <c r="A2194" t="s">
        <v>5873</v>
      </c>
      <c r="B2194" t="s">
        <v>1948</v>
      </c>
      <c r="C2194" t="s">
        <v>1949</v>
      </c>
      <c r="D2194" t="s">
        <v>24</v>
      </c>
      <c r="E2194" t="s">
        <v>900</v>
      </c>
      <c r="F2194" t="s">
        <v>84</v>
      </c>
      <c r="G2194" s="202">
        <v>1</v>
      </c>
      <c r="H2194">
        <v>5</v>
      </c>
      <c r="I2194" t="s">
        <v>3968</v>
      </c>
      <c r="J2194" t="s">
        <v>3969</v>
      </c>
      <c r="K2194" t="s">
        <v>84</v>
      </c>
      <c r="L2194" s="204">
        <v>1</v>
      </c>
      <c r="M2194" s="112"/>
      <c r="N2194" s="112">
        <v>541.08750000000009</v>
      </c>
      <c r="O2194" s="204">
        <v>0.22227920622819775</v>
      </c>
      <c r="P2194" s="112">
        <v>120.27249999999992</v>
      </c>
      <c r="Q2194" s="112">
        <v>661.36</v>
      </c>
      <c r="R2194" s="112">
        <v>661.36</v>
      </c>
      <c r="S2194" s="112">
        <v>661.36</v>
      </c>
      <c r="T2194" s="112">
        <v>0</v>
      </c>
      <c r="U2194" t="s">
        <v>5874</v>
      </c>
      <c r="V2194" t="s">
        <v>5875</v>
      </c>
      <c r="W2194" t="s">
        <v>4666</v>
      </c>
      <c r="X2194" t="s">
        <v>4667</v>
      </c>
    </row>
    <row r="2195" spans="1:24" x14ac:dyDescent="0.2">
      <c r="A2195" t="s">
        <v>5876</v>
      </c>
      <c r="B2195" t="s">
        <v>1950</v>
      </c>
      <c r="C2195" t="s">
        <v>1951</v>
      </c>
      <c r="D2195" t="s">
        <v>24</v>
      </c>
      <c r="E2195" t="s">
        <v>902</v>
      </c>
      <c r="F2195" t="s">
        <v>84</v>
      </c>
      <c r="G2195" s="202">
        <v>2</v>
      </c>
      <c r="H2195">
        <v>1</v>
      </c>
      <c r="I2195" t="s">
        <v>3954</v>
      </c>
      <c r="J2195" t="s">
        <v>4804</v>
      </c>
      <c r="K2195" t="s">
        <v>1283</v>
      </c>
      <c r="L2195" s="204">
        <v>0.28000000000000003</v>
      </c>
      <c r="M2195" s="112">
        <v>613.26</v>
      </c>
      <c r="N2195" s="112">
        <v>171.71280000000002</v>
      </c>
      <c r="O2195" s="204"/>
      <c r="P2195" s="112"/>
      <c r="Q2195" s="112"/>
      <c r="R2195" s="112"/>
      <c r="S2195" s="112"/>
      <c r="T2195" s="112"/>
      <c r="U2195" t="s">
        <v>5877</v>
      </c>
      <c r="V2195" t="s">
        <v>5878</v>
      </c>
      <c r="W2195" t="s">
        <v>3958</v>
      </c>
      <c r="X2195" t="s">
        <v>4660</v>
      </c>
    </row>
    <row r="2196" spans="1:24" x14ac:dyDescent="0.2">
      <c r="A2196" t="s">
        <v>5876</v>
      </c>
      <c r="B2196" t="s">
        <v>1950</v>
      </c>
      <c r="C2196" t="s">
        <v>1951</v>
      </c>
      <c r="D2196" t="s">
        <v>24</v>
      </c>
      <c r="E2196" t="s">
        <v>902</v>
      </c>
      <c r="F2196" t="s">
        <v>84</v>
      </c>
      <c r="G2196" s="202">
        <v>2</v>
      </c>
      <c r="H2196">
        <v>2</v>
      </c>
      <c r="I2196" t="s">
        <v>3960</v>
      </c>
      <c r="J2196" t="s">
        <v>4807</v>
      </c>
      <c r="K2196" t="s">
        <v>1283</v>
      </c>
      <c r="L2196" s="204">
        <v>0.56000000000000005</v>
      </c>
      <c r="M2196" s="112">
        <v>613.26</v>
      </c>
      <c r="N2196" s="112">
        <v>343.42560000000003</v>
      </c>
      <c r="O2196" s="204"/>
      <c r="P2196" s="112"/>
      <c r="Q2196" s="112"/>
      <c r="R2196" s="112"/>
      <c r="S2196" s="112"/>
      <c r="T2196" s="112"/>
      <c r="U2196" t="s">
        <v>5877</v>
      </c>
      <c r="V2196" t="s">
        <v>5878</v>
      </c>
      <c r="W2196" t="s">
        <v>3958</v>
      </c>
      <c r="X2196" t="s">
        <v>4660</v>
      </c>
    </row>
    <row r="2197" spans="1:24" x14ac:dyDescent="0.2">
      <c r="A2197" t="s">
        <v>5876</v>
      </c>
      <c r="B2197" t="s">
        <v>1950</v>
      </c>
      <c r="C2197" t="s">
        <v>1951</v>
      </c>
      <c r="D2197" t="s">
        <v>24</v>
      </c>
      <c r="E2197" t="s">
        <v>902</v>
      </c>
      <c r="F2197" t="s">
        <v>84</v>
      </c>
      <c r="G2197" s="202">
        <v>2</v>
      </c>
      <c r="H2197">
        <v>3</v>
      </c>
      <c r="I2197" t="s">
        <v>3962</v>
      </c>
      <c r="J2197" t="s">
        <v>4808</v>
      </c>
      <c r="K2197" t="s">
        <v>1283</v>
      </c>
      <c r="L2197" s="204">
        <v>0.1</v>
      </c>
      <c r="M2197" s="112">
        <v>613.26</v>
      </c>
      <c r="N2197" s="112">
        <v>61.326000000000001</v>
      </c>
      <c r="O2197" s="204"/>
      <c r="P2197" s="112"/>
      <c r="Q2197" s="112"/>
      <c r="R2197" s="112"/>
      <c r="S2197" s="112"/>
      <c r="T2197" s="112"/>
      <c r="U2197" t="s">
        <v>5877</v>
      </c>
      <c r="V2197" t="s">
        <v>5878</v>
      </c>
      <c r="W2197" t="s">
        <v>3958</v>
      </c>
      <c r="X2197" t="s">
        <v>4660</v>
      </c>
    </row>
    <row r="2198" spans="1:24" x14ac:dyDescent="0.2">
      <c r="A2198" t="s">
        <v>5876</v>
      </c>
      <c r="B2198" t="s">
        <v>1950</v>
      </c>
      <c r="C2198" t="s">
        <v>1951</v>
      </c>
      <c r="D2198" t="s">
        <v>24</v>
      </c>
      <c r="E2198" t="s">
        <v>902</v>
      </c>
      <c r="F2198" t="s">
        <v>84</v>
      </c>
      <c r="G2198" s="202">
        <v>2</v>
      </c>
      <c r="H2198">
        <v>4</v>
      </c>
      <c r="I2198" t="s">
        <v>4017</v>
      </c>
      <c r="J2198" t="s">
        <v>4809</v>
      </c>
      <c r="K2198" t="s">
        <v>1283</v>
      </c>
      <c r="L2198" s="204">
        <v>0.06</v>
      </c>
      <c r="M2198" s="112">
        <v>613.26</v>
      </c>
      <c r="N2198" s="112">
        <v>36.7956</v>
      </c>
      <c r="O2198" s="204"/>
      <c r="P2198" s="112"/>
      <c r="Q2198" s="112"/>
      <c r="R2198" s="112"/>
      <c r="S2198" s="112"/>
      <c r="T2198" s="112"/>
      <c r="U2198" t="s">
        <v>5877</v>
      </c>
      <c r="V2198" t="s">
        <v>5878</v>
      </c>
      <c r="W2198" t="s">
        <v>3958</v>
      </c>
      <c r="X2198" t="s">
        <v>4660</v>
      </c>
    </row>
    <row r="2199" spans="1:24" x14ac:dyDescent="0.2">
      <c r="A2199" t="s">
        <v>5876</v>
      </c>
      <c r="B2199" t="s">
        <v>1950</v>
      </c>
      <c r="C2199" t="s">
        <v>1951</v>
      </c>
      <c r="D2199" t="s">
        <v>24</v>
      </c>
      <c r="E2199" t="s">
        <v>902</v>
      </c>
      <c r="F2199" t="s">
        <v>84</v>
      </c>
      <c r="G2199" s="202">
        <v>2</v>
      </c>
      <c r="H2199">
        <v>5</v>
      </c>
      <c r="I2199" t="s">
        <v>3968</v>
      </c>
      <c r="J2199" t="s">
        <v>3969</v>
      </c>
      <c r="K2199" t="s">
        <v>84</v>
      </c>
      <c r="L2199" s="204">
        <v>1</v>
      </c>
      <c r="M2199" s="112"/>
      <c r="N2199" s="112">
        <v>613.26</v>
      </c>
      <c r="O2199" s="204">
        <v>0.22229560056093667</v>
      </c>
      <c r="P2199" s="112">
        <v>136.32500000000005</v>
      </c>
      <c r="Q2199" s="112">
        <v>749.58500000000004</v>
      </c>
      <c r="R2199" s="112">
        <v>1499.17</v>
      </c>
      <c r="S2199" s="112">
        <v>1499.17</v>
      </c>
      <c r="T2199" s="112">
        <v>0</v>
      </c>
      <c r="U2199" t="s">
        <v>5877</v>
      </c>
      <c r="V2199" t="s">
        <v>5878</v>
      </c>
      <c r="W2199" t="s">
        <v>4666</v>
      </c>
      <c r="X2199" t="s">
        <v>4667</v>
      </c>
    </row>
    <row r="2200" spans="1:24" x14ac:dyDescent="0.2">
      <c r="A2200" t="s">
        <v>5879</v>
      </c>
      <c r="B2200" t="s">
        <v>1952</v>
      </c>
      <c r="C2200" t="s">
        <v>1953</v>
      </c>
      <c r="D2200" t="s">
        <v>209</v>
      </c>
      <c r="E2200" t="s">
        <v>1954</v>
      </c>
      <c r="F2200" t="s">
        <v>84</v>
      </c>
      <c r="G2200" s="202">
        <v>7</v>
      </c>
      <c r="H2200">
        <v>1</v>
      </c>
      <c r="I2200" t="s">
        <v>3954</v>
      </c>
      <c r="J2200" t="s">
        <v>5837</v>
      </c>
      <c r="K2200" t="s">
        <v>1283</v>
      </c>
      <c r="L2200" s="204">
        <v>0.2</v>
      </c>
      <c r="M2200" s="112">
        <v>1497.5025000000001</v>
      </c>
      <c r="N2200" s="112">
        <v>299.50050000000005</v>
      </c>
      <c r="O2200" s="204"/>
      <c r="P2200" s="112"/>
      <c r="Q2200" s="112"/>
      <c r="R2200" s="112"/>
      <c r="S2200" s="112"/>
      <c r="T2200" s="112"/>
      <c r="U2200" t="s">
        <v>4408</v>
      </c>
      <c r="V2200" t="s">
        <v>4409</v>
      </c>
      <c r="W2200" t="s">
        <v>3958</v>
      </c>
      <c r="X2200" t="s">
        <v>4660</v>
      </c>
    </row>
    <row r="2201" spans="1:24" x14ac:dyDescent="0.2">
      <c r="A2201" t="s">
        <v>5879</v>
      </c>
      <c r="B2201" t="s">
        <v>1952</v>
      </c>
      <c r="C2201" t="s">
        <v>1953</v>
      </c>
      <c r="D2201" t="s">
        <v>209</v>
      </c>
      <c r="E2201" t="s">
        <v>1954</v>
      </c>
      <c r="F2201" t="s">
        <v>84</v>
      </c>
      <c r="G2201" s="202">
        <v>7</v>
      </c>
      <c r="H2201">
        <v>2</v>
      </c>
      <c r="I2201" t="s">
        <v>4091</v>
      </c>
      <c r="J2201" t="s">
        <v>5840</v>
      </c>
      <c r="K2201" t="s">
        <v>1283</v>
      </c>
      <c r="L2201" s="204">
        <v>0.7</v>
      </c>
      <c r="M2201" s="112">
        <v>1497.5025000000001</v>
      </c>
      <c r="N2201" s="112">
        <v>1048.2517499999999</v>
      </c>
      <c r="O2201" s="204"/>
      <c r="P2201" s="112"/>
      <c r="Q2201" s="112"/>
      <c r="R2201" s="112"/>
      <c r="S2201" s="112"/>
      <c r="T2201" s="112"/>
      <c r="U2201" t="s">
        <v>4408</v>
      </c>
      <c r="V2201" t="s">
        <v>4409</v>
      </c>
      <c r="W2201" t="s">
        <v>3958</v>
      </c>
      <c r="X2201" t="s">
        <v>4660</v>
      </c>
    </row>
    <row r="2202" spans="1:24" x14ac:dyDescent="0.2">
      <c r="A2202" t="s">
        <v>5879</v>
      </c>
      <c r="B2202" t="s">
        <v>1952</v>
      </c>
      <c r="C2202" t="s">
        <v>1953</v>
      </c>
      <c r="D2202" t="s">
        <v>209</v>
      </c>
      <c r="E2202" t="s">
        <v>1954</v>
      </c>
      <c r="F2202" t="s">
        <v>84</v>
      </c>
      <c r="G2202" s="202">
        <v>7</v>
      </c>
      <c r="H2202">
        <v>3</v>
      </c>
      <c r="I2202" t="s">
        <v>4093</v>
      </c>
      <c r="J2202" t="s">
        <v>5841</v>
      </c>
      <c r="K2202" t="s">
        <v>1283</v>
      </c>
      <c r="L2202" s="204">
        <v>0.05</v>
      </c>
      <c r="M2202" s="112">
        <v>1497.5025000000001</v>
      </c>
      <c r="N2202" s="112">
        <v>74.875125000000011</v>
      </c>
      <c r="O2202" s="204"/>
      <c r="P2202" s="112"/>
      <c r="Q2202" s="112"/>
      <c r="R2202" s="112"/>
      <c r="S2202" s="112"/>
      <c r="T2202" s="112"/>
      <c r="U2202" t="s">
        <v>4408</v>
      </c>
      <c r="V2202" t="s">
        <v>4409</v>
      </c>
      <c r="W2202" t="s">
        <v>3958</v>
      </c>
      <c r="X2202" t="s">
        <v>4660</v>
      </c>
    </row>
    <row r="2203" spans="1:24" x14ac:dyDescent="0.2">
      <c r="A2203" t="s">
        <v>5879</v>
      </c>
      <c r="B2203" t="s">
        <v>1952</v>
      </c>
      <c r="C2203" t="s">
        <v>1953</v>
      </c>
      <c r="D2203" t="s">
        <v>209</v>
      </c>
      <c r="E2203" t="s">
        <v>1954</v>
      </c>
      <c r="F2203" t="s">
        <v>84</v>
      </c>
      <c r="G2203" s="202">
        <v>7</v>
      </c>
      <c r="H2203">
        <v>4</v>
      </c>
      <c r="I2203" t="s">
        <v>4017</v>
      </c>
      <c r="J2203" t="s">
        <v>5117</v>
      </c>
      <c r="K2203" t="s">
        <v>1283</v>
      </c>
      <c r="L2203" s="204">
        <v>0.05</v>
      </c>
      <c r="M2203" s="112">
        <v>1497.5025000000001</v>
      </c>
      <c r="N2203" s="112">
        <v>74.875125000000011</v>
      </c>
      <c r="O2203" s="204"/>
      <c r="P2203" s="112"/>
      <c r="Q2203" s="112"/>
      <c r="R2203" s="112"/>
      <c r="S2203" s="112"/>
      <c r="T2203" s="112"/>
      <c r="U2203" t="s">
        <v>4408</v>
      </c>
      <c r="V2203" t="s">
        <v>4409</v>
      </c>
      <c r="W2203" t="s">
        <v>3958</v>
      </c>
      <c r="X2203" t="s">
        <v>4660</v>
      </c>
    </row>
    <row r="2204" spans="1:24" x14ac:dyDescent="0.2">
      <c r="A2204" t="s">
        <v>5879</v>
      </c>
      <c r="B2204" t="s">
        <v>1952</v>
      </c>
      <c r="C2204" t="s">
        <v>1953</v>
      </c>
      <c r="D2204" t="s">
        <v>209</v>
      </c>
      <c r="E2204" t="s">
        <v>1954</v>
      </c>
      <c r="F2204" t="s">
        <v>84</v>
      </c>
      <c r="G2204" s="202">
        <v>7</v>
      </c>
      <c r="H2204">
        <v>5</v>
      </c>
      <c r="I2204" t="s">
        <v>3968</v>
      </c>
      <c r="J2204" t="s">
        <v>3969</v>
      </c>
      <c r="K2204" t="s">
        <v>84</v>
      </c>
      <c r="L2204" s="204">
        <v>1</v>
      </c>
      <c r="M2204" s="112"/>
      <c r="N2204" s="112">
        <v>1497.5025000000001</v>
      </c>
      <c r="O2204" s="204">
        <v>0.22229512137709273</v>
      </c>
      <c r="P2204" s="112">
        <v>332.88749999999982</v>
      </c>
      <c r="Q2204" s="112">
        <v>1830.3899999999999</v>
      </c>
      <c r="R2204" s="112">
        <v>12812.73</v>
      </c>
      <c r="S2204" s="112">
        <v>12812.73</v>
      </c>
      <c r="T2204" s="112">
        <v>0</v>
      </c>
      <c r="U2204" t="s">
        <v>4408</v>
      </c>
      <c r="V2204" t="s">
        <v>4409</v>
      </c>
      <c r="W2204" t="s">
        <v>4666</v>
      </c>
      <c r="X2204" t="s">
        <v>4667</v>
      </c>
    </row>
    <row r="2205" spans="1:24" x14ac:dyDescent="0.2">
      <c r="A2205" t="s">
        <v>5880</v>
      </c>
      <c r="B2205" t="s">
        <v>1955</v>
      </c>
      <c r="C2205" t="s">
        <v>907</v>
      </c>
      <c r="D2205" t="s">
        <v>209</v>
      </c>
      <c r="E2205" t="s">
        <v>908</v>
      </c>
      <c r="F2205" t="s">
        <v>84</v>
      </c>
      <c r="G2205" s="202">
        <v>3</v>
      </c>
      <c r="H2205">
        <v>1</v>
      </c>
      <c r="I2205" t="s">
        <v>3954</v>
      </c>
      <c r="J2205" t="s">
        <v>5837</v>
      </c>
      <c r="K2205" t="s">
        <v>1283</v>
      </c>
      <c r="L2205" s="204">
        <v>0.2</v>
      </c>
      <c r="M2205" s="112">
        <v>2238.12</v>
      </c>
      <c r="N2205" s="112">
        <v>447.62400000000002</v>
      </c>
      <c r="O2205" s="204"/>
      <c r="P2205" s="112"/>
      <c r="Q2205" s="112"/>
      <c r="R2205" s="112"/>
      <c r="S2205" s="112"/>
      <c r="T2205" s="112"/>
      <c r="U2205" t="s">
        <v>4446</v>
      </c>
      <c r="V2205" t="s">
        <v>4447</v>
      </c>
      <c r="W2205" t="s">
        <v>3958</v>
      </c>
      <c r="X2205" t="s">
        <v>4660</v>
      </c>
    </row>
    <row r="2206" spans="1:24" x14ac:dyDescent="0.2">
      <c r="A2206" t="s">
        <v>5880</v>
      </c>
      <c r="B2206" t="s">
        <v>1955</v>
      </c>
      <c r="C2206" t="s">
        <v>907</v>
      </c>
      <c r="D2206" t="s">
        <v>209</v>
      </c>
      <c r="E2206" t="s">
        <v>908</v>
      </c>
      <c r="F2206" t="s">
        <v>84</v>
      </c>
      <c r="G2206" s="202">
        <v>3</v>
      </c>
      <c r="H2206">
        <v>2</v>
      </c>
      <c r="I2206" t="s">
        <v>4091</v>
      </c>
      <c r="J2206" t="s">
        <v>5840</v>
      </c>
      <c r="K2206" t="s">
        <v>1283</v>
      </c>
      <c r="L2206" s="204">
        <v>0.7</v>
      </c>
      <c r="M2206" s="112">
        <v>2238.12</v>
      </c>
      <c r="N2206" s="112">
        <v>1566.6839999999997</v>
      </c>
      <c r="O2206" s="204"/>
      <c r="P2206" s="112"/>
      <c r="Q2206" s="112"/>
      <c r="R2206" s="112"/>
      <c r="S2206" s="112"/>
      <c r="T2206" s="112"/>
      <c r="U2206" t="s">
        <v>4446</v>
      </c>
      <c r="V2206" t="s">
        <v>4447</v>
      </c>
      <c r="W2206" t="s">
        <v>3958</v>
      </c>
      <c r="X2206" t="s">
        <v>4660</v>
      </c>
    </row>
    <row r="2207" spans="1:24" x14ac:dyDescent="0.2">
      <c r="A2207" t="s">
        <v>5880</v>
      </c>
      <c r="B2207" t="s">
        <v>1955</v>
      </c>
      <c r="C2207" t="s">
        <v>907</v>
      </c>
      <c r="D2207" t="s">
        <v>209</v>
      </c>
      <c r="E2207" t="s">
        <v>908</v>
      </c>
      <c r="F2207" t="s">
        <v>84</v>
      </c>
      <c r="G2207" s="202">
        <v>3</v>
      </c>
      <c r="H2207">
        <v>3</v>
      </c>
      <c r="I2207" t="s">
        <v>4093</v>
      </c>
      <c r="J2207" t="s">
        <v>5841</v>
      </c>
      <c r="K2207" t="s">
        <v>1283</v>
      </c>
      <c r="L2207" s="204">
        <v>0.05</v>
      </c>
      <c r="M2207" s="112">
        <v>2238.12</v>
      </c>
      <c r="N2207" s="112">
        <v>111.90600000000001</v>
      </c>
      <c r="O2207" s="204"/>
      <c r="P2207" s="112"/>
      <c r="Q2207" s="112"/>
      <c r="R2207" s="112"/>
      <c r="S2207" s="112"/>
      <c r="T2207" s="112"/>
      <c r="U2207" t="s">
        <v>4446</v>
      </c>
      <c r="V2207" t="s">
        <v>4447</v>
      </c>
      <c r="W2207" t="s">
        <v>3958</v>
      </c>
      <c r="X2207" t="s">
        <v>4660</v>
      </c>
    </row>
    <row r="2208" spans="1:24" x14ac:dyDescent="0.2">
      <c r="A2208" t="s">
        <v>5880</v>
      </c>
      <c r="B2208" t="s">
        <v>1955</v>
      </c>
      <c r="C2208" t="s">
        <v>907</v>
      </c>
      <c r="D2208" t="s">
        <v>209</v>
      </c>
      <c r="E2208" t="s">
        <v>908</v>
      </c>
      <c r="F2208" t="s">
        <v>84</v>
      </c>
      <c r="G2208" s="202">
        <v>3</v>
      </c>
      <c r="H2208">
        <v>4</v>
      </c>
      <c r="I2208" t="s">
        <v>4017</v>
      </c>
      <c r="J2208" t="s">
        <v>5117</v>
      </c>
      <c r="K2208" t="s">
        <v>1283</v>
      </c>
      <c r="L2208" s="204">
        <v>0.05</v>
      </c>
      <c r="M2208" s="112">
        <v>2238.12</v>
      </c>
      <c r="N2208" s="112">
        <v>111.90600000000001</v>
      </c>
      <c r="O2208" s="204"/>
      <c r="P2208" s="112"/>
      <c r="Q2208" s="112"/>
      <c r="R2208" s="112"/>
      <c r="S2208" s="112"/>
      <c r="T2208" s="112"/>
      <c r="U2208" t="s">
        <v>4446</v>
      </c>
      <c r="V2208" t="s">
        <v>4447</v>
      </c>
      <c r="W2208" t="s">
        <v>3958</v>
      </c>
      <c r="X2208" t="s">
        <v>4660</v>
      </c>
    </row>
    <row r="2209" spans="1:24" x14ac:dyDescent="0.2">
      <c r="A2209" t="s">
        <v>5880</v>
      </c>
      <c r="B2209" t="s">
        <v>1955</v>
      </c>
      <c r="C2209" t="s">
        <v>907</v>
      </c>
      <c r="D2209" t="s">
        <v>209</v>
      </c>
      <c r="E2209" t="s">
        <v>908</v>
      </c>
      <c r="F2209" t="s">
        <v>84</v>
      </c>
      <c r="G2209" s="202">
        <v>3</v>
      </c>
      <c r="H2209">
        <v>5</v>
      </c>
      <c r="I2209" t="s">
        <v>3968</v>
      </c>
      <c r="J2209" t="s">
        <v>3969</v>
      </c>
      <c r="K2209" t="s">
        <v>84</v>
      </c>
      <c r="L2209" s="204">
        <v>1</v>
      </c>
      <c r="M2209" s="112"/>
      <c r="N2209" s="112">
        <v>2238.12</v>
      </c>
      <c r="O2209" s="204">
        <v>0.22229668948343573</v>
      </c>
      <c r="P2209" s="112">
        <v>497.5266666666671</v>
      </c>
      <c r="Q2209" s="112">
        <v>2735.646666666667</v>
      </c>
      <c r="R2209" s="112">
        <v>8206.94</v>
      </c>
      <c r="S2209" s="112">
        <v>8206.94</v>
      </c>
      <c r="T2209" s="112">
        <v>0</v>
      </c>
      <c r="U2209" t="s">
        <v>4446</v>
      </c>
      <c r="V2209" t="s">
        <v>4447</v>
      </c>
      <c r="W2209" t="s">
        <v>4666</v>
      </c>
      <c r="X2209" t="s">
        <v>4667</v>
      </c>
    </row>
    <row r="2210" spans="1:24" x14ac:dyDescent="0.2">
      <c r="A2210" t="s">
        <v>5881</v>
      </c>
      <c r="B2210" t="s">
        <v>1956</v>
      </c>
      <c r="C2210" t="s">
        <v>1957</v>
      </c>
      <c r="D2210" t="s">
        <v>335</v>
      </c>
      <c r="E2210" t="s">
        <v>909</v>
      </c>
      <c r="F2210" t="s">
        <v>84</v>
      </c>
      <c r="G2210" s="202">
        <v>29</v>
      </c>
      <c r="H2210">
        <v>1</v>
      </c>
      <c r="I2210" t="s">
        <v>3954</v>
      </c>
      <c r="J2210" t="s">
        <v>4110</v>
      </c>
      <c r="K2210" t="s">
        <v>1283</v>
      </c>
      <c r="L2210" s="204">
        <v>0.3</v>
      </c>
      <c r="M2210" s="112">
        <v>309.27750000000003</v>
      </c>
      <c r="N2210" s="112">
        <v>92.78325000000001</v>
      </c>
      <c r="O2210" s="204"/>
      <c r="P2210" s="112"/>
      <c r="Q2210" s="112"/>
      <c r="R2210" s="112"/>
      <c r="S2210" s="112"/>
      <c r="T2210" s="112"/>
      <c r="U2210" t="s">
        <v>5882</v>
      </c>
      <c r="V2210" t="s">
        <v>5883</v>
      </c>
      <c r="W2210" t="s">
        <v>3958</v>
      </c>
      <c r="X2210" t="s">
        <v>4660</v>
      </c>
    </row>
    <row r="2211" spans="1:24" x14ac:dyDescent="0.2">
      <c r="A2211" t="s">
        <v>5881</v>
      </c>
      <c r="B2211" t="s">
        <v>1956</v>
      </c>
      <c r="C2211" t="s">
        <v>1957</v>
      </c>
      <c r="D2211" t="s">
        <v>335</v>
      </c>
      <c r="E2211" t="s">
        <v>909</v>
      </c>
      <c r="F2211" t="s">
        <v>84</v>
      </c>
      <c r="G2211" s="202">
        <v>29</v>
      </c>
      <c r="H2211">
        <v>2</v>
      </c>
      <c r="I2211" t="s">
        <v>3960</v>
      </c>
      <c r="J2211" t="s">
        <v>4113</v>
      </c>
      <c r="K2211" t="s">
        <v>1283</v>
      </c>
      <c r="L2211" s="204">
        <v>0.55000000000000004</v>
      </c>
      <c r="M2211" s="112">
        <v>309.27750000000003</v>
      </c>
      <c r="N2211" s="112">
        <v>170.10262500000002</v>
      </c>
      <c r="O2211" s="204"/>
      <c r="P2211" s="112"/>
      <c r="Q2211" s="112"/>
      <c r="R2211" s="112"/>
      <c r="S2211" s="112"/>
      <c r="T2211" s="112"/>
      <c r="U2211" t="s">
        <v>5882</v>
      </c>
      <c r="V2211" t="s">
        <v>5883</v>
      </c>
      <c r="W2211" t="s">
        <v>3958</v>
      </c>
      <c r="X2211" t="s">
        <v>4660</v>
      </c>
    </row>
    <row r="2212" spans="1:24" x14ac:dyDescent="0.2">
      <c r="A2212" t="s">
        <v>5881</v>
      </c>
      <c r="B2212" t="s">
        <v>1956</v>
      </c>
      <c r="C2212" t="s">
        <v>1957</v>
      </c>
      <c r="D2212" t="s">
        <v>335</v>
      </c>
      <c r="E2212" t="s">
        <v>909</v>
      </c>
      <c r="F2212" t="s">
        <v>84</v>
      </c>
      <c r="G2212" s="202">
        <v>29</v>
      </c>
      <c r="H2212">
        <v>3</v>
      </c>
      <c r="I2212" t="s">
        <v>3976</v>
      </c>
      <c r="J2212" t="s">
        <v>4114</v>
      </c>
      <c r="K2212" t="s">
        <v>1283</v>
      </c>
      <c r="L2212" s="204">
        <v>0.1</v>
      </c>
      <c r="M2212" s="112">
        <v>309.27750000000003</v>
      </c>
      <c r="N2212" s="112">
        <v>30.927750000000003</v>
      </c>
      <c r="O2212" s="204"/>
      <c r="P2212" s="112"/>
      <c r="Q2212" s="112"/>
      <c r="R2212" s="112"/>
      <c r="S2212" s="112"/>
      <c r="T2212" s="112"/>
      <c r="U2212" t="s">
        <v>5882</v>
      </c>
      <c r="V2212" t="s">
        <v>5883</v>
      </c>
      <c r="W2212" t="s">
        <v>3958</v>
      </c>
      <c r="X2212" t="s">
        <v>4660</v>
      </c>
    </row>
    <row r="2213" spans="1:24" x14ac:dyDescent="0.2">
      <c r="A2213" t="s">
        <v>5881</v>
      </c>
      <c r="B2213" t="s">
        <v>1956</v>
      </c>
      <c r="C2213" t="s">
        <v>1957</v>
      </c>
      <c r="D2213" t="s">
        <v>335</v>
      </c>
      <c r="E2213" t="s">
        <v>909</v>
      </c>
      <c r="F2213" t="s">
        <v>84</v>
      </c>
      <c r="G2213" s="202">
        <v>29</v>
      </c>
      <c r="H2213">
        <v>4</v>
      </c>
      <c r="I2213" t="s">
        <v>4017</v>
      </c>
      <c r="J2213" t="s">
        <v>4115</v>
      </c>
      <c r="K2213" t="s">
        <v>1283</v>
      </c>
      <c r="L2213" s="204">
        <v>0.05</v>
      </c>
      <c r="M2213" s="112">
        <v>309.27750000000003</v>
      </c>
      <c r="N2213" s="112">
        <v>15.463875000000002</v>
      </c>
      <c r="O2213" s="204"/>
      <c r="P2213" s="112"/>
      <c r="Q2213" s="112"/>
      <c r="R2213" s="112"/>
      <c r="S2213" s="112"/>
      <c r="T2213" s="112"/>
      <c r="U2213" t="s">
        <v>5882</v>
      </c>
      <c r="V2213" t="s">
        <v>5883</v>
      </c>
      <c r="W2213" t="s">
        <v>3958</v>
      </c>
      <c r="X2213" t="s">
        <v>4660</v>
      </c>
    </row>
    <row r="2214" spans="1:24" x14ac:dyDescent="0.2">
      <c r="A2214" t="s">
        <v>5881</v>
      </c>
      <c r="B2214" t="s">
        <v>1956</v>
      </c>
      <c r="C2214" t="s">
        <v>1957</v>
      </c>
      <c r="D2214" t="s">
        <v>335</v>
      </c>
      <c r="E2214" t="s">
        <v>909</v>
      </c>
      <c r="F2214" t="s">
        <v>84</v>
      </c>
      <c r="G2214" s="202">
        <v>29</v>
      </c>
      <c r="H2214">
        <v>5</v>
      </c>
      <c r="I2214" t="s">
        <v>3968</v>
      </c>
      <c r="J2214" t="s">
        <v>3969</v>
      </c>
      <c r="K2214" t="s">
        <v>84</v>
      </c>
      <c r="L2214" s="204">
        <v>1</v>
      </c>
      <c r="M2214" s="112"/>
      <c r="N2214" s="112">
        <v>309.27750000000003</v>
      </c>
      <c r="O2214" s="204">
        <v>0.22227583252290706</v>
      </c>
      <c r="P2214" s="112">
        <v>68.744913793103422</v>
      </c>
      <c r="Q2214" s="112">
        <v>378.02241379310345</v>
      </c>
      <c r="R2214" s="112">
        <v>10962.65</v>
      </c>
      <c r="S2214" s="112">
        <v>10962.65</v>
      </c>
      <c r="T2214" s="112">
        <v>0</v>
      </c>
      <c r="U2214" t="s">
        <v>5882</v>
      </c>
      <c r="V2214" t="s">
        <v>5883</v>
      </c>
      <c r="W2214" t="s">
        <v>4666</v>
      </c>
      <c r="X2214" t="s">
        <v>4667</v>
      </c>
    </row>
    <row r="2215" spans="1:24" x14ac:dyDescent="0.2">
      <c r="A2215" t="s">
        <v>5884</v>
      </c>
      <c r="B2215" t="s">
        <v>1958</v>
      </c>
      <c r="C2215" t="s">
        <v>1959</v>
      </c>
      <c r="D2215" t="s">
        <v>335</v>
      </c>
      <c r="E2215" t="s">
        <v>910</v>
      </c>
      <c r="F2215" t="s">
        <v>99</v>
      </c>
      <c r="G2215" s="202">
        <v>109.81</v>
      </c>
      <c r="H2215">
        <v>1</v>
      </c>
      <c r="I2215" t="s">
        <v>3954</v>
      </c>
      <c r="J2215" t="s">
        <v>4110</v>
      </c>
      <c r="K2215" t="s">
        <v>1283</v>
      </c>
      <c r="L2215" s="204">
        <v>0.3</v>
      </c>
      <c r="M2215" s="112">
        <v>16.905000000000001</v>
      </c>
      <c r="N2215" s="112">
        <v>5.0715000000000003</v>
      </c>
      <c r="O2215" s="204"/>
      <c r="P2215" s="112"/>
      <c r="Q2215" s="112"/>
      <c r="R2215" s="112"/>
      <c r="S2215" s="112"/>
      <c r="T2215" s="112"/>
      <c r="U2215" t="s">
        <v>5885</v>
      </c>
      <c r="V2215" t="s">
        <v>5886</v>
      </c>
      <c r="W2215" t="s">
        <v>3958</v>
      </c>
      <c r="X2215" t="s">
        <v>4660</v>
      </c>
    </row>
    <row r="2216" spans="1:24" x14ac:dyDescent="0.2">
      <c r="A2216" t="s">
        <v>5884</v>
      </c>
      <c r="B2216" t="s">
        <v>1958</v>
      </c>
      <c r="C2216" t="s">
        <v>1959</v>
      </c>
      <c r="D2216" t="s">
        <v>335</v>
      </c>
      <c r="E2216" t="s">
        <v>910</v>
      </c>
      <c r="F2216" t="s">
        <v>99</v>
      </c>
      <c r="G2216" s="202">
        <v>109.81</v>
      </c>
      <c r="H2216">
        <v>2</v>
      </c>
      <c r="I2216" t="s">
        <v>3960</v>
      </c>
      <c r="J2216" t="s">
        <v>4113</v>
      </c>
      <c r="K2216" t="s">
        <v>1283</v>
      </c>
      <c r="L2216" s="204">
        <v>0.55000000000000004</v>
      </c>
      <c r="M2216" s="112">
        <v>16.905000000000001</v>
      </c>
      <c r="N2216" s="112">
        <v>9.2977500000000006</v>
      </c>
      <c r="O2216" s="204"/>
      <c r="P2216" s="112"/>
      <c r="Q2216" s="112"/>
      <c r="R2216" s="112"/>
      <c r="S2216" s="112"/>
      <c r="T2216" s="112"/>
      <c r="U2216" t="s">
        <v>5885</v>
      </c>
      <c r="V2216" t="s">
        <v>5886</v>
      </c>
      <c r="W2216" t="s">
        <v>3958</v>
      </c>
      <c r="X2216" t="s">
        <v>4660</v>
      </c>
    </row>
    <row r="2217" spans="1:24" x14ac:dyDescent="0.2">
      <c r="A2217" t="s">
        <v>5884</v>
      </c>
      <c r="B2217" t="s">
        <v>1958</v>
      </c>
      <c r="C2217" t="s">
        <v>1959</v>
      </c>
      <c r="D2217" t="s">
        <v>335</v>
      </c>
      <c r="E2217" t="s">
        <v>910</v>
      </c>
      <c r="F2217" t="s">
        <v>99</v>
      </c>
      <c r="G2217" s="202">
        <v>109.81</v>
      </c>
      <c r="H2217">
        <v>3</v>
      </c>
      <c r="I2217" t="s">
        <v>3976</v>
      </c>
      <c r="J2217" t="s">
        <v>4114</v>
      </c>
      <c r="K2217" t="s">
        <v>1283</v>
      </c>
      <c r="L2217" s="204">
        <v>0.1</v>
      </c>
      <c r="M2217" s="112">
        <v>16.905000000000001</v>
      </c>
      <c r="N2217" s="112">
        <v>1.6905000000000001</v>
      </c>
      <c r="O2217" s="204"/>
      <c r="P2217" s="112"/>
      <c r="Q2217" s="112"/>
      <c r="R2217" s="112"/>
      <c r="S2217" s="112"/>
      <c r="T2217" s="112"/>
      <c r="U2217" t="s">
        <v>5885</v>
      </c>
      <c r="V2217" t="s">
        <v>5886</v>
      </c>
      <c r="W2217" t="s">
        <v>3958</v>
      </c>
      <c r="X2217" t="s">
        <v>4660</v>
      </c>
    </row>
    <row r="2218" spans="1:24" x14ac:dyDescent="0.2">
      <c r="A2218" t="s">
        <v>5884</v>
      </c>
      <c r="B2218" t="s">
        <v>1958</v>
      </c>
      <c r="C2218" t="s">
        <v>1959</v>
      </c>
      <c r="D2218" t="s">
        <v>335</v>
      </c>
      <c r="E2218" t="s">
        <v>910</v>
      </c>
      <c r="F2218" t="s">
        <v>99</v>
      </c>
      <c r="G2218" s="202">
        <v>109.81</v>
      </c>
      <c r="H2218">
        <v>4</v>
      </c>
      <c r="I2218" t="s">
        <v>4017</v>
      </c>
      <c r="J2218" t="s">
        <v>4115</v>
      </c>
      <c r="K2218" t="s">
        <v>1283</v>
      </c>
      <c r="L2218" s="204">
        <v>0.05</v>
      </c>
      <c r="M2218" s="112">
        <v>16.905000000000001</v>
      </c>
      <c r="N2218" s="112">
        <v>0.84525000000000006</v>
      </c>
      <c r="O2218" s="204"/>
      <c r="P2218" s="112"/>
      <c r="Q2218" s="112"/>
      <c r="R2218" s="112"/>
      <c r="S2218" s="112"/>
      <c r="T2218" s="112"/>
      <c r="U2218" t="s">
        <v>5885</v>
      </c>
      <c r="V2218" t="s">
        <v>5886</v>
      </c>
      <c r="W2218" t="s">
        <v>3958</v>
      </c>
      <c r="X2218" t="s">
        <v>4660</v>
      </c>
    </row>
    <row r="2219" spans="1:24" x14ac:dyDescent="0.2">
      <c r="A2219" t="s">
        <v>5884</v>
      </c>
      <c r="B2219" t="s">
        <v>1958</v>
      </c>
      <c r="C2219" t="s">
        <v>1959</v>
      </c>
      <c r="D2219" t="s">
        <v>335</v>
      </c>
      <c r="E2219" t="s">
        <v>910</v>
      </c>
      <c r="F2219" t="s">
        <v>99</v>
      </c>
      <c r="G2219" s="202">
        <v>109.81</v>
      </c>
      <c r="H2219">
        <v>5</v>
      </c>
      <c r="I2219" t="s">
        <v>3968</v>
      </c>
      <c r="J2219" t="s">
        <v>3969</v>
      </c>
      <c r="K2219" t="s">
        <v>99</v>
      </c>
      <c r="L2219" s="204">
        <v>1</v>
      </c>
      <c r="M2219" s="112"/>
      <c r="N2219" s="112">
        <v>16.905000000000001</v>
      </c>
      <c r="O2219" s="204">
        <v>0.22226660171082502</v>
      </c>
      <c r="P2219" s="112">
        <v>3.7574169019214985</v>
      </c>
      <c r="Q2219" s="112">
        <v>20.6624169019215</v>
      </c>
      <c r="R2219" s="112">
        <v>2268.94</v>
      </c>
      <c r="S2219" s="112">
        <v>2268.94</v>
      </c>
      <c r="T2219" s="112">
        <v>0</v>
      </c>
      <c r="U2219" t="s">
        <v>5885</v>
      </c>
      <c r="V2219" t="s">
        <v>5886</v>
      </c>
      <c r="W2219" t="s">
        <v>4666</v>
      </c>
      <c r="X2219" t="s">
        <v>4667</v>
      </c>
    </row>
    <row r="2220" spans="1:24" x14ac:dyDescent="0.2">
      <c r="A2220" t="s">
        <v>5887</v>
      </c>
      <c r="B2220" t="s">
        <v>1960</v>
      </c>
      <c r="C2220" t="s">
        <v>1961</v>
      </c>
      <c r="D2220" t="s">
        <v>335</v>
      </c>
      <c r="E2220" t="s">
        <v>911</v>
      </c>
      <c r="F2220" t="s">
        <v>99</v>
      </c>
      <c r="G2220" s="202">
        <v>145.71</v>
      </c>
      <c r="H2220">
        <v>1</v>
      </c>
      <c r="I2220" t="s">
        <v>3954</v>
      </c>
      <c r="J2220" t="s">
        <v>4110</v>
      </c>
      <c r="K2220" t="s">
        <v>1283</v>
      </c>
      <c r="L2220" s="204">
        <v>0.3</v>
      </c>
      <c r="M2220" s="112">
        <v>30.93</v>
      </c>
      <c r="N2220" s="112">
        <v>9.2789999999999999</v>
      </c>
      <c r="O2220" s="204"/>
      <c r="P2220" s="112"/>
      <c r="Q2220" s="112"/>
      <c r="R2220" s="112"/>
      <c r="S2220" s="112"/>
      <c r="T2220" s="112"/>
      <c r="U2220" t="s">
        <v>5888</v>
      </c>
      <c r="V2220" t="s">
        <v>5889</v>
      </c>
      <c r="W2220" t="s">
        <v>3958</v>
      </c>
      <c r="X2220" t="s">
        <v>4660</v>
      </c>
    </row>
    <row r="2221" spans="1:24" x14ac:dyDescent="0.2">
      <c r="A2221" t="s">
        <v>5887</v>
      </c>
      <c r="B2221" t="s">
        <v>1960</v>
      </c>
      <c r="C2221" t="s">
        <v>1961</v>
      </c>
      <c r="D2221" t="s">
        <v>335</v>
      </c>
      <c r="E2221" t="s">
        <v>911</v>
      </c>
      <c r="F2221" t="s">
        <v>99</v>
      </c>
      <c r="G2221" s="202">
        <v>145.71</v>
      </c>
      <c r="H2221">
        <v>2</v>
      </c>
      <c r="I2221" t="s">
        <v>3960</v>
      </c>
      <c r="J2221" t="s">
        <v>4113</v>
      </c>
      <c r="K2221" t="s">
        <v>1283</v>
      </c>
      <c r="L2221" s="204">
        <v>0.55000000000000004</v>
      </c>
      <c r="M2221" s="112">
        <v>30.93</v>
      </c>
      <c r="N2221" s="112">
        <v>17.011500000000002</v>
      </c>
      <c r="O2221" s="204"/>
      <c r="P2221" s="112"/>
      <c r="Q2221" s="112"/>
      <c r="R2221" s="112"/>
      <c r="S2221" s="112"/>
      <c r="T2221" s="112"/>
      <c r="U2221" t="s">
        <v>5888</v>
      </c>
      <c r="V2221" t="s">
        <v>5889</v>
      </c>
      <c r="W2221" t="s">
        <v>3958</v>
      </c>
      <c r="X2221" t="s">
        <v>4660</v>
      </c>
    </row>
    <row r="2222" spans="1:24" x14ac:dyDescent="0.2">
      <c r="A2222" t="s">
        <v>5887</v>
      </c>
      <c r="B2222" t="s">
        <v>1960</v>
      </c>
      <c r="C2222" t="s">
        <v>1961</v>
      </c>
      <c r="D2222" t="s">
        <v>335</v>
      </c>
      <c r="E2222" t="s">
        <v>911</v>
      </c>
      <c r="F2222" t="s">
        <v>99</v>
      </c>
      <c r="G2222" s="202">
        <v>145.71</v>
      </c>
      <c r="H2222">
        <v>3</v>
      </c>
      <c r="I2222" t="s">
        <v>3976</v>
      </c>
      <c r="J2222" t="s">
        <v>4114</v>
      </c>
      <c r="K2222" t="s">
        <v>1283</v>
      </c>
      <c r="L2222" s="204">
        <v>0.1</v>
      </c>
      <c r="M2222" s="112">
        <v>30.93</v>
      </c>
      <c r="N2222" s="112">
        <v>3.093</v>
      </c>
      <c r="O2222" s="204"/>
      <c r="P2222" s="112"/>
      <c r="Q2222" s="112"/>
      <c r="R2222" s="112"/>
      <c r="S2222" s="112"/>
      <c r="T2222" s="112"/>
      <c r="U2222" t="s">
        <v>5888</v>
      </c>
      <c r="V2222" t="s">
        <v>5889</v>
      </c>
      <c r="W2222" t="s">
        <v>3958</v>
      </c>
      <c r="X2222" t="s">
        <v>4660</v>
      </c>
    </row>
    <row r="2223" spans="1:24" x14ac:dyDescent="0.2">
      <c r="A2223" t="s">
        <v>5887</v>
      </c>
      <c r="B2223" t="s">
        <v>1960</v>
      </c>
      <c r="C2223" t="s">
        <v>1961</v>
      </c>
      <c r="D2223" t="s">
        <v>335</v>
      </c>
      <c r="E2223" t="s">
        <v>911</v>
      </c>
      <c r="F2223" t="s">
        <v>99</v>
      </c>
      <c r="G2223" s="202">
        <v>145.71</v>
      </c>
      <c r="H2223">
        <v>4</v>
      </c>
      <c r="I2223" t="s">
        <v>4017</v>
      </c>
      <c r="J2223" t="s">
        <v>4115</v>
      </c>
      <c r="K2223" t="s">
        <v>1283</v>
      </c>
      <c r="L2223" s="204">
        <v>0.05</v>
      </c>
      <c r="M2223" s="112">
        <v>30.93</v>
      </c>
      <c r="N2223" s="112">
        <v>1.5465</v>
      </c>
      <c r="O2223" s="204"/>
      <c r="P2223" s="112"/>
      <c r="Q2223" s="112"/>
      <c r="R2223" s="112"/>
      <c r="S2223" s="112"/>
      <c r="T2223" s="112"/>
      <c r="U2223" t="s">
        <v>5888</v>
      </c>
      <c r="V2223" t="s">
        <v>5889</v>
      </c>
      <c r="W2223" t="s">
        <v>3958</v>
      </c>
      <c r="X2223" t="s">
        <v>4660</v>
      </c>
    </row>
    <row r="2224" spans="1:24" x14ac:dyDescent="0.2">
      <c r="A2224" t="s">
        <v>5887</v>
      </c>
      <c r="B2224" t="s">
        <v>1960</v>
      </c>
      <c r="C2224" t="s">
        <v>1961</v>
      </c>
      <c r="D2224" t="s">
        <v>335</v>
      </c>
      <c r="E2224" t="s">
        <v>911</v>
      </c>
      <c r="F2224" t="s">
        <v>99</v>
      </c>
      <c r="G2224" s="202">
        <v>145.71</v>
      </c>
      <c r="H2224">
        <v>5</v>
      </c>
      <c r="I2224" t="s">
        <v>3968</v>
      </c>
      <c r="J2224" t="s">
        <v>3969</v>
      </c>
      <c r="K2224" t="s">
        <v>99</v>
      </c>
      <c r="L2224" s="204">
        <v>1</v>
      </c>
      <c r="M2224" s="112"/>
      <c r="N2224" s="112">
        <v>30.93</v>
      </c>
      <c r="O2224" s="204">
        <v>0.22211267689700631</v>
      </c>
      <c r="P2224" s="112">
        <v>6.8699450964244022</v>
      </c>
      <c r="Q2224" s="112">
        <v>37.799945096424402</v>
      </c>
      <c r="R2224" s="112">
        <v>5507.83</v>
      </c>
      <c r="S2224" s="112">
        <v>5507.83</v>
      </c>
      <c r="T2224" s="112">
        <v>0</v>
      </c>
      <c r="U2224" t="s">
        <v>5888</v>
      </c>
      <c r="V2224" t="s">
        <v>5889</v>
      </c>
      <c r="W2224" t="s">
        <v>4666</v>
      </c>
      <c r="X2224" t="s">
        <v>4667</v>
      </c>
    </row>
    <row r="2225" spans="1:24" x14ac:dyDescent="0.2">
      <c r="A2225" t="s">
        <v>5890</v>
      </c>
      <c r="B2225" t="s">
        <v>1962</v>
      </c>
      <c r="C2225" t="s">
        <v>1963</v>
      </c>
      <c r="D2225" t="s">
        <v>335</v>
      </c>
      <c r="E2225" t="s">
        <v>912</v>
      </c>
      <c r="F2225" t="s">
        <v>84</v>
      </c>
      <c r="G2225" s="202">
        <v>10</v>
      </c>
      <c r="H2225">
        <v>1</v>
      </c>
      <c r="I2225" t="s">
        <v>3954</v>
      </c>
      <c r="J2225" t="s">
        <v>4110</v>
      </c>
      <c r="K2225" t="s">
        <v>1283</v>
      </c>
      <c r="L2225" s="204">
        <v>0.3</v>
      </c>
      <c r="M2225" s="112">
        <v>30.375</v>
      </c>
      <c r="N2225" s="112">
        <v>9.1124999999999989</v>
      </c>
      <c r="O2225" s="204"/>
      <c r="P2225" s="112"/>
      <c r="Q2225" s="112"/>
      <c r="R2225" s="112"/>
      <c r="S2225" s="112"/>
      <c r="T2225" s="112"/>
      <c r="U2225" t="s">
        <v>5891</v>
      </c>
      <c r="V2225" t="s">
        <v>5892</v>
      </c>
      <c r="W2225" t="s">
        <v>3958</v>
      </c>
      <c r="X2225" t="s">
        <v>4660</v>
      </c>
    </row>
    <row r="2226" spans="1:24" x14ac:dyDescent="0.2">
      <c r="A2226" t="s">
        <v>5890</v>
      </c>
      <c r="B2226" t="s">
        <v>1962</v>
      </c>
      <c r="C2226" t="s">
        <v>1963</v>
      </c>
      <c r="D2226" t="s">
        <v>335</v>
      </c>
      <c r="E2226" t="s">
        <v>912</v>
      </c>
      <c r="F2226" t="s">
        <v>84</v>
      </c>
      <c r="G2226" s="202">
        <v>10</v>
      </c>
      <c r="H2226">
        <v>2</v>
      </c>
      <c r="I2226" t="s">
        <v>3960</v>
      </c>
      <c r="J2226" t="s">
        <v>4113</v>
      </c>
      <c r="K2226" t="s">
        <v>1283</v>
      </c>
      <c r="L2226" s="204">
        <v>0.55000000000000004</v>
      </c>
      <c r="M2226" s="112">
        <v>30.375</v>
      </c>
      <c r="N2226" s="112">
        <v>16.706250000000001</v>
      </c>
      <c r="O2226" s="204"/>
      <c r="P2226" s="112"/>
      <c r="Q2226" s="112"/>
      <c r="R2226" s="112"/>
      <c r="S2226" s="112"/>
      <c r="T2226" s="112"/>
      <c r="U2226" t="s">
        <v>5891</v>
      </c>
      <c r="V2226" t="s">
        <v>5892</v>
      </c>
      <c r="W2226" t="s">
        <v>3958</v>
      </c>
      <c r="X2226" t="s">
        <v>4660</v>
      </c>
    </row>
    <row r="2227" spans="1:24" x14ac:dyDescent="0.2">
      <c r="A2227" t="s">
        <v>5890</v>
      </c>
      <c r="B2227" t="s">
        <v>1962</v>
      </c>
      <c r="C2227" t="s">
        <v>1963</v>
      </c>
      <c r="D2227" t="s">
        <v>335</v>
      </c>
      <c r="E2227" t="s">
        <v>912</v>
      </c>
      <c r="F2227" t="s">
        <v>84</v>
      </c>
      <c r="G2227" s="202">
        <v>10</v>
      </c>
      <c r="H2227">
        <v>3</v>
      </c>
      <c r="I2227" t="s">
        <v>3976</v>
      </c>
      <c r="J2227" t="s">
        <v>4114</v>
      </c>
      <c r="K2227" t="s">
        <v>1283</v>
      </c>
      <c r="L2227" s="204">
        <v>0.1</v>
      </c>
      <c r="M2227" s="112">
        <v>30.375</v>
      </c>
      <c r="N2227" s="112">
        <v>3.0375000000000001</v>
      </c>
      <c r="O2227" s="204"/>
      <c r="P2227" s="112"/>
      <c r="Q2227" s="112"/>
      <c r="R2227" s="112"/>
      <c r="S2227" s="112"/>
      <c r="T2227" s="112"/>
      <c r="U2227" t="s">
        <v>5891</v>
      </c>
      <c r="V2227" t="s">
        <v>5892</v>
      </c>
      <c r="W2227" t="s">
        <v>3958</v>
      </c>
      <c r="X2227" t="s">
        <v>4660</v>
      </c>
    </row>
    <row r="2228" spans="1:24" x14ac:dyDescent="0.2">
      <c r="A2228" t="s">
        <v>5890</v>
      </c>
      <c r="B2228" t="s">
        <v>1962</v>
      </c>
      <c r="C2228" t="s">
        <v>1963</v>
      </c>
      <c r="D2228" t="s">
        <v>335</v>
      </c>
      <c r="E2228" t="s">
        <v>912</v>
      </c>
      <c r="F2228" t="s">
        <v>84</v>
      </c>
      <c r="G2228" s="202">
        <v>10</v>
      </c>
      <c r="H2228">
        <v>4</v>
      </c>
      <c r="I2228" t="s">
        <v>4017</v>
      </c>
      <c r="J2228" t="s">
        <v>4115</v>
      </c>
      <c r="K2228" t="s">
        <v>1283</v>
      </c>
      <c r="L2228" s="204">
        <v>0.05</v>
      </c>
      <c r="M2228" s="112">
        <v>30.375</v>
      </c>
      <c r="N2228" s="112">
        <v>1.51875</v>
      </c>
      <c r="O2228" s="204"/>
      <c r="P2228" s="112"/>
      <c r="Q2228" s="112"/>
      <c r="R2228" s="112"/>
      <c r="S2228" s="112"/>
      <c r="T2228" s="112"/>
      <c r="U2228" t="s">
        <v>5891</v>
      </c>
      <c r="V2228" t="s">
        <v>5892</v>
      </c>
      <c r="W2228" t="s">
        <v>3958</v>
      </c>
      <c r="X2228" t="s">
        <v>4660</v>
      </c>
    </row>
    <row r="2229" spans="1:24" x14ac:dyDescent="0.2">
      <c r="A2229" t="s">
        <v>5890</v>
      </c>
      <c r="B2229" t="s">
        <v>1962</v>
      </c>
      <c r="C2229" t="s">
        <v>1963</v>
      </c>
      <c r="D2229" t="s">
        <v>335</v>
      </c>
      <c r="E2229" t="s">
        <v>912</v>
      </c>
      <c r="F2229" t="s">
        <v>84</v>
      </c>
      <c r="G2229" s="202">
        <v>10</v>
      </c>
      <c r="H2229">
        <v>5</v>
      </c>
      <c r="I2229" t="s">
        <v>3968</v>
      </c>
      <c r="J2229" t="s">
        <v>3969</v>
      </c>
      <c r="K2229" t="s">
        <v>84</v>
      </c>
      <c r="L2229" s="204">
        <v>1</v>
      </c>
      <c r="M2229" s="112"/>
      <c r="N2229" s="112">
        <v>30.375</v>
      </c>
      <c r="O2229" s="204">
        <v>0.22222222222222232</v>
      </c>
      <c r="P2229" s="112">
        <v>6.75</v>
      </c>
      <c r="Q2229" s="112">
        <v>37.125</v>
      </c>
      <c r="R2229" s="112">
        <v>371.25</v>
      </c>
      <c r="S2229" s="112">
        <v>371.25</v>
      </c>
      <c r="T2229" s="112">
        <v>0</v>
      </c>
      <c r="U2229" t="s">
        <v>5891</v>
      </c>
      <c r="V2229" t="s">
        <v>5892</v>
      </c>
      <c r="W2229" t="s">
        <v>4666</v>
      </c>
      <c r="X2229" t="s">
        <v>4667</v>
      </c>
    </row>
    <row r="2230" spans="1:24" x14ac:dyDescent="0.2">
      <c r="A2230" t="s">
        <v>5893</v>
      </c>
      <c r="B2230" t="s">
        <v>1964</v>
      </c>
      <c r="C2230" t="s">
        <v>1965</v>
      </c>
      <c r="D2230" t="s">
        <v>335</v>
      </c>
      <c r="E2230" t="s">
        <v>1966</v>
      </c>
      <c r="F2230" t="s">
        <v>84</v>
      </c>
      <c r="G2230" s="202">
        <v>4</v>
      </c>
      <c r="H2230">
        <v>1</v>
      </c>
      <c r="I2230" t="s">
        <v>3954</v>
      </c>
      <c r="J2230" t="s">
        <v>4110</v>
      </c>
      <c r="K2230" t="s">
        <v>1283</v>
      </c>
      <c r="L2230" s="204">
        <v>0.3</v>
      </c>
      <c r="M2230" s="112">
        <v>13.5</v>
      </c>
      <c r="N2230" s="112">
        <v>4.05</v>
      </c>
      <c r="O2230" s="204"/>
      <c r="P2230" s="112"/>
      <c r="Q2230" s="112"/>
      <c r="R2230" s="112"/>
      <c r="S2230" s="112"/>
      <c r="T2230" s="112"/>
      <c r="U2230" t="s">
        <v>5894</v>
      </c>
      <c r="V2230" t="s">
        <v>5895</v>
      </c>
      <c r="W2230" t="s">
        <v>3958</v>
      </c>
      <c r="X2230" t="s">
        <v>4660</v>
      </c>
    </row>
    <row r="2231" spans="1:24" x14ac:dyDescent="0.2">
      <c r="A2231" t="s">
        <v>5893</v>
      </c>
      <c r="B2231" t="s">
        <v>1964</v>
      </c>
      <c r="C2231" t="s">
        <v>1965</v>
      </c>
      <c r="D2231" t="s">
        <v>335</v>
      </c>
      <c r="E2231" t="s">
        <v>1966</v>
      </c>
      <c r="F2231" t="s">
        <v>84</v>
      </c>
      <c r="G2231" s="202">
        <v>4</v>
      </c>
      <c r="H2231">
        <v>2</v>
      </c>
      <c r="I2231" t="s">
        <v>3960</v>
      </c>
      <c r="J2231" t="s">
        <v>4113</v>
      </c>
      <c r="K2231" t="s">
        <v>1283</v>
      </c>
      <c r="L2231" s="204">
        <v>0.55000000000000004</v>
      </c>
      <c r="M2231" s="112">
        <v>13.5</v>
      </c>
      <c r="N2231" s="112">
        <v>7.4250000000000007</v>
      </c>
      <c r="O2231" s="204"/>
      <c r="P2231" s="112"/>
      <c r="Q2231" s="112"/>
      <c r="R2231" s="112"/>
      <c r="S2231" s="112"/>
      <c r="T2231" s="112"/>
      <c r="U2231" t="s">
        <v>5894</v>
      </c>
      <c r="V2231" t="s">
        <v>5895</v>
      </c>
      <c r="W2231" t="s">
        <v>3958</v>
      </c>
      <c r="X2231" t="s">
        <v>4660</v>
      </c>
    </row>
    <row r="2232" spans="1:24" x14ac:dyDescent="0.2">
      <c r="A2232" t="s">
        <v>5893</v>
      </c>
      <c r="B2232" t="s">
        <v>1964</v>
      </c>
      <c r="C2232" t="s">
        <v>1965</v>
      </c>
      <c r="D2232" t="s">
        <v>335</v>
      </c>
      <c r="E2232" t="s">
        <v>1966</v>
      </c>
      <c r="F2232" t="s">
        <v>84</v>
      </c>
      <c r="G2232" s="202">
        <v>4</v>
      </c>
      <c r="H2232">
        <v>3</v>
      </c>
      <c r="I2232" t="s">
        <v>3976</v>
      </c>
      <c r="J2232" t="s">
        <v>4114</v>
      </c>
      <c r="K2232" t="s">
        <v>1283</v>
      </c>
      <c r="L2232" s="204">
        <v>0.1</v>
      </c>
      <c r="M2232" s="112">
        <v>13.5</v>
      </c>
      <c r="N2232" s="112">
        <v>1.35</v>
      </c>
      <c r="O2232" s="204"/>
      <c r="P2232" s="112"/>
      <c r="Q2232" s="112"/>
      <c r="R2232" s="112"/>
      <c r="S2232" s="112"/>
      <c r="T2232" s="112"/>
      <c r="U2232" t="s">
        <v>5894</v>
      </c>
      <c r="V2232" t="s">
        <v>5895</v>
      </c>
      <c r="W2232" t="s">
        <v>3958</v>
      </c>
      <c r="X2232" t="s">
        <v>4660</v>
      </c>
    </row>
    <row r="2233" spans="1:24" x14ac:dyDescent="0.2">
      <c r="A2233" t="s">
        <v>5893</v>
      </c>
      <c r="B2233" t="s">
        <v>1964</v>
      </c>
      <c r="C2233" t="s">
        <v>1965</v>
      </c>
      <c r="D2233" t="s">
        <v>335</v>
      </c>
      <c r="E2233" t="s">
        <v>1966</v>
      </c>
      <c r="F2233" t="s">
        <v>84</v>
      </c>
      <c r="G2233" s="202">
        <v>4</v>
      </c>
      <c r="H2233">
        <v>4</v>
      </c>
      <c r="I2233" t="s">
        <v>4017</v>
      </c>
      <c r="J2233" t="s">
        <v>4115</v>
      </c>
      <c r="K2233" t="s">
        <v>1283</v>
      </c>
      <c r="L2233" s="204">
        <v>0.05</v>
      </c>
      <c r="M2233" s="112">
        <v>13.5</v>
      </c>
      <c r="N2233" s="112">
        <v>0.67500000000000004</v>
      </c>
      <c r="O2233" s="204"/>
      <c r="P2233" s="112"/>
      <c r="Q2233" s="112"/>
      <c r="R2233" s="112"/>
      <c r="S2233" s="112"/>
      <c r="T2233" s="112"/>
      <c r="U2233" t="s">
        <v>5894</v>
      </c>
      <c r="V2233" t="s">
        <v>5895</v>
      </c>
      <c r="W2233" t="s">
        <v>3958</v>
      </c>
      <c r="X2233" t="s">
        <v>4660</v>
      </c>
    </row>
    <row r="2234" spans="1:24" x14ac:dyDescent="0.2">
      <c r="A2234" t="s">
        <v>5893</v>
      </c>
      <c r="B2234" t="s">
        <v>1964</v>
      </c>
      <c r="C2234" t="s">
        <v>1965</v>
      </c>
      <c r="D2234" t="s">
        <v>335</v>
      </c>
      <c r="E2234" t="s">
        <v>1966</v>
      </c>
      <c r="F2234" t="s">
        <v>84</v>
      </c>
      <c r="G2234" s="202">
        <v>4</v>
      </c>
      <c r="H2234">
        <v>5</v>
      </c>
      <c r="I2234" t="s">
        <v>3968</v>
      </c>
      <c r="J2234" t="s">
        <v>3969</v>
      </c>
      <c r="K2234" t="s">
        <v>84</v>
      </c>
      <c r="L2234" s="204">
        <v>1</v>
      </c>
      <c r="M2234" s="112"/>
      <c r="N2234" s="112">
        <v>13.5</v>
      </c>
      <c r="O2234" s="204">
        <v>0.22222222222222232</v>
      </c>
      <c r="P2234" s="112">
        <v>3</v>
      </c>
      <c r="Q2234" s="112">
        <v>16.5</v>
      </c>
      <c r="R2234" s="112">
        <v>66</v>
      </c>
      <c r="S2234" s="112">
        <v>66</v>
      </c>
      <c r="T2234" s="112">
        <v>0</v>
      </c>
      <c r="U2234" t="s">
        <v>5894</v>
      </c>
      <c r="V2234" t="s">
        <v>5895</v>
      </c>
      <c r="W2234" t="s">
        <v>4666</v>
      </c>
      <c r="X2234" t="s">
        <v>4667</v>
      </c>
    </row>
    <row r="2235" spans="1:24" x14ac:dyDescent="0.2">
      <c r="A2235" t="s">
        <v>5896</v>
      </c>
      <c r="B2235" t="s">
        <v>1967</v>
      </c>
      <c r="C2235" t="s">
        <v>1968</v>
      </c>
      <c r="D2235" t="s">
        <v>335</v>
      </c>
      <c r="E2235" t="s">
        <v>914</v>
      </c>
      <c r="F2235" t="s">
        <v>84</v>
      </c>
      <c r="G2235" s="202">
        <v>34</v>
      </c>
      <c r="H2235">
        <v>1</v>
      </c>
      <c r="I2235" t="s">
        <v>3954</v>
      </c>
      <c r="J2235" t="s">
        <v>5227</v>
      </c>
      <c r="K2235" t="s">
        <v>1283</v>
      </c>
      <c r="L2235" s="204">
        <v>0.26</v>
      </c>
      <c r="M2235" s="112">
        <v>263.1825</v>
      </c>
      <c r="N2235" s="112">
        <v>68.427450000000007</v>
      </c>
      <c r="O2235" s="204"/>
      <c r="P2235" s="112"/>
      <c r="Q2235" s="112"/>
      <c r="R2235" s="112"/>
      <c r="S2235" s="112"/>
      <c r="T2235" s="112"/>
      <c r="U2235" t="s">
        <v>5897</v>
      </c>
      <c r="V2235" t="s">
        <v>5898</v>
      </c>
      <c r="W2235" t="s">
        <v>3958</v>
      </c>
      <c r="X2235" t="s">
        <v>4660</v>
      </c>
    </row>
    <row r="2236" spans="1:24" x14ac:dyDescent="0.2">
      <c r="A2236" t="s">
        <v>5896</v>
      </c>
      <c r="B2236" t="s">
        <v>1967</v>
      </c>
      <c r="C2236" t="s">
        <v>1968</v>
      </c>
      <c r="D2236" t="s">
        <v>335</v>
      </c>
      <c r="E2236" t="s">
        <v>914</v>
      </c>
      <c r="F2236" t="s">
        <v>84</v>
      </c>
      <c r="G2236" s="202">
        <v>34</v>
      </c>
      <c r="H2236">
        <v>2</v>
      </c>
      <c r="I2236" t="s">
        <v>3960</v>
      </c>
      <c r="J2236" t="s">
        <v>5229</v>
      </c>
      <c r="K2236" t="s">
        <v>1283</v>
      </c>
      <c r="L2236" s="204">
        <v>0.64</v>
      </c>
      <c r="M2236" s="112">
        <v>263.1825</v>
      </c>
      <c r="N2236" s="112">
        <v>168.43680000000001</v>
      </c>
      <c r="O2236" s="204"/>
      <c r="P2236" s="112"/>
      <c r="Q2236" s="112"/>
      <c r="R2236" s="112"/>
      <c r="S2236" s="112"/>
      <c r="T2236" s="112"/>
      <c r="U2236" t="s">
        <v>5897</v>
      </c>
      <c r="V2236" t="s">
        <v>5898</v>
      </c>
      <c r="W2236" t="s">
        <v>3958</v>
      </c>
      <c r="X2236" t="s">
        <v>4660</v>
      </c>
    </row>
    <row r="2237" spans="1:24" x14ac:dyDescent="0.2">
      <c r="A2237" t="s">
        <v>5896</v>
      </c>
      <c r="B2237" t="s">
        <v>1967</v>
      </c>
      <c r="C2237" t="s">
        <v>1968</v>
      </c>
      <c r="D2237" t="s">
        <v>335</v>
      </c>
      <c r="E2237" t="s">
        <v>914</v>
      </c>
      <c r="F2237" t="s">
        <v>84</v>
      </c>
      <c r="G2237" s="202">
        <v>34</v>
      </c>
      <c r="H2237">
        <v>3</v>
      </c>
      <c r="I2237" t="s">
        <v>3976</v>
      </c>
      <c r="J2237" t="s">
        <v>5230</v>
      </c>
      <c r="K2237" t="s">
        <v>1283</v>
      </c>
      <c r="L2237" s="204">
        <v>0.04</v>
      </c>
      <c r="M2237" s="112">
        <v>263.1825</v>
      </c>
      <c r="N2237" s="112">
        <v>10.5273</v>
      </c>
      <c r="O2237" s="204"/>
      <c r="P2237" s="112"/>
      <c r="Q2237" s="112"/>
      <c r="R2237" s="112"/>
      <c r="S2237" s="112"/>
      <c r="T2237" s="112"/>
      <c r="U2237" t="s">
        <v>5897</v>
      </c>
      <c r="V2237" t="s">
        <v>5898</v>
      </c>
      <c r="W2237" t="s">
        <v>3958</v>
      </c>
      <c r="X2237" t="s">
        <v>4660</v>
      </c>
    </row>
    <row r="2238" spans="1:24" x14ac:dyDescent="0.2">
      <c r="A2238" t="s">
        <v>5896</v>
      </c>
      <c r="B2238" t="s">
        <v>1967</v>
      </c>
      <c r="C2238" t="s">
        <v>1968</v>
      </c>
      <c r="D2238" t="s">
        <v>335</v>
      </c>
      <c r="E2238" t="s">
        <v>914</v>
      </c>
      <c r="F2238" t="s">
        <v>84</v>
      </c>
      <c r="G2238" s="202">
        <v>34</v>
      </c>
      <c r="H2238">
        <v>4</v>
      </c>
      <c r="I2238" t="s">
        <v>4017</v>
      </c>
      <c r="J2238" t="s">
        <v>4851</v>
      </c>
      <c r="K2238" t="s">
        <v>1283</v>
      </c>
      <c r="L2238" s="204">
        <v>0.06</v>
      </c>
      <c r="M2238" s="112">
        <v>263.1825</v>
      </c>
      <c r="N2238" s="112">
        <v>15.79095</v>
      </c>
      <c r="O2238" s="204"/>
      <c r="P2238" s="112"/>
      <c r="Q2238" s="112"/>
      <c r="R2238" s="112"/>
      <c r="S2238" s="112"/>
      <c r="T2238" s="112"/>
      <c r="U2238" t="s">
        <v>5897</v>
      </c>
      <c r="V2238" t="s">
        <v>5898</v>
      </c>
      <c r="W2238" t="s">
        <v>3958</v>
      </c>
      <c r="X2238" t="s">
        <v>4660</v>
      </c>
    </row>
    <row r="2239" spans="1:24" x14ac:dyDescent="0.2">
      <c r="A2239" t="s">
        <v>5896</v>
      </c>
      <c r="B2239" t="s">
        <v>1967</v>
      </c>
      <c r="C2239" t="s">
        <v>1968</v>
      </c>
      <c r="D2239" t="s">
        <v>335</v>
      </c>
      <c r="E2239" t="s">
        <v>914</v>
      </c>
      <c r="F2239" t="s">
        <v>84</v>
      </c>
      <c r="G2239" s="202">
        <v>34</v>
      </c>
      <c r="H2239">
        <v>5</v>
      </c>
      <c r="I2239" t="s">
        <v>3968</v>
      </c>
      <c r="J2239" t="s">
        <v>3969</v>
      </c>
      <c r="K2239" t="s">
        <v>84</v>
      </c>
      <c r="L2239" s="204">
        <v>1</v>
      </c>
      <c r="M2239" s="112"/>
      <c r="N2239" s="112">
        <v>263.1825</v>
      </c>
      <c r="O2239" s="204">
        <v>0.22227865812193626</v>
      </c>
      <c r="P2239" s="112">
        <v>58.499852941176471</v>
      </c>
      <c r="Q2239" s="112">
        <v>321.68235294117648</v>
      </c>
      <c r="R2239" s="112">
        <v>10937.2</v>
      </c>
      <c r="S2239" s="112">
        <v>10937.2</v>
      </c>
      <c r="T2239" s="112">
        <v>0</v>
      </c>
      <c r="U2239" t="s">
        <v>5897</v>
      </c>
      <c r="V2239" t="s">
        <v>5898</v>
      </c>
      <c r="W2239" t="s">
        <v>4666</v>
      </c>
      <c r="X2239" t="s">
        <v>4667</v>
      </c>
    </row>
    <row r="2240" spans="1:24" x14ac:dyDescent="0.2">
      <c r="A2240" t="s">
        <v>5899</v>
      </c>
      <c r="B2240" t="s">
        <v>1969</v>
      </c>
      <c r="C2240" t="s">
        <v>1970</v>
      </c>
      <c r="D2240" t="s">
        <v>24</v>
      </c>
      <c r="E2240" t="s">
        <v>918</v>
      </c>
      <c r="F2240" t="s">
        <v>84</v>
      </c>
      <c r="G2240" s="202">
        <v>1</v>
      </c>
      <c r="H2240">
        <v>1</v>
      </c>
      <c r="I2240" t="s">
        <v>3954</v>
      </c>
      <c r="J2240" t="s">
        <v>3955</v>
      </c>
      <c r="K2240" t="s">
        <v>1283</v>
      </c>
      <c r="L2240" s="204">
        <v>0.14000000000000001</v>
      </c>
      <c r="M2240" s="112">
        <v>63435.345000000001</v>
      </c>
      <c r="N2240" s="112">
        <v>8880.9483000000018</v>
      </c>
      <c r="O2240" s="204"/>
      <c r="P2240" s="112"/>
      <c r="Q2240" s="112"/>
      <c r="R2240" s="112"/>
      <c r="S2240" s="112"/>
      <c r="T2240" s="112"/>
      <c r="U2240" t="s">
        <v>5900</v>
      </c>
      <c r="V2240" t="s">
        <v>5901</v>
      </c>
      <c r="W2240" t="s">
        <v>3958</v>
      </c>
      <c r="X2240" t="s">
        <v>4660</v>
      </c>
    </row>
    <row r="2241" spans="1:24" x14ac:dyDescent="0.2">
      <c r="A2241" t="s">
        <v>5899</v>
      </c>
      <c r="B2241" t="s">
        <v>1969</v>
      </c>
      <c r="C2241" t="s">
        <v>1970</v>
      </c>
      <c r="D2241" t="s">
        <v>24</v>
      </c>
      <c r="E2241" t="s">
        <v>918</v>
      </c>
      <c r="F2241" t="s">
        <v>84</v>
      </c>
      <c r="G2241" s="202">
        <v>1</v>
      </c>
      <c r="H2241">
        <v>2</v>
      </c>
      <c r="I2241" t="s">
        <v>3960</v>
      </c>
      <c r="J2241" t="s">
        <v>4800</v>
      </c>
      <c r="K2241" t="s">
        <v>1283</v>
      </c>
      <c r="L2241" s="204">
        <v>0.5</v>
      </c>
      <c r="M2241" s="112">
        <v>63435.345000000001</v>
      </c>
      <c r="N2241" s="112">
        <v>31717.672500000001</v>
      </c>
      <c r="O2241" s="204"/>
      <c r="P2241" s="112"/>
      <c r="Q2241" s="112"/>
      <c r="R2241" s="112"/>
      <c r="S2241" s="112"/>
      <c r="T2241" s="112"/>
      <c r="U2241" t="s">
        <v>5900</v>
      </c>
      <c r="V2241" t="s">
        <v>5901</v>
      </c>
      <c r="W2241" t="s">
        <v>3958</v>
      </c>
      <c r="X2241" t="s">
        <v>4660</v>
      </c>
    </row>
    <row r="2242" spans="1:24" x14ac:dyDescent="0.2">
      <c r="A2242" t="s">
        <v>5899</v>
      </c>
      <c r="B2242" t="s">
        <v>1969</v>
      </c>
      <c r="C2242" t="s">
        <v>1970</v>
      </c>
      <c r="D2242" t="s">
        <v>24</v>
      </c>
      <c r="E2242" t="s">
        <v>918</v>
      </c>
      <c r="F2242" t="s">
        <v>84</v>
      </c>
      <c r="G2242" s="202">
        <v>1</v>
      </c>
      <c r="H2242">
        <v>3</v>
      </c>
      <c r="I2242" t="s">
        <v>3962</v>
      </c>
      <c r="J2242" t="s">
        <v>4801</v>
      </c>
      <c r="K2242" t="s">
        <v>1283</v>
      </c>
      <c r="L2242" s="204">
        <v>0.26</v>
      </c>
      <c r="M2242" s="112">
        <v>63435.345000000001</v>
      </c>
      <c r="N2242" s="112">
        <v>16493.189700000003</v>
      </c>
      <c r="O2242" s="204"/>
      <c r="P2242" s="112"/>
      <c r="Q2242" s="112"/>
      <c r="R2242" s="112"/>
      <c r="S2242" s="112"/>
      <c r="T2242" s="112"/>
      <c r="U2242" t="s">
        <v>5900</v>
      </c>
      <c r="V2242" t="s">
        <v>5901</v>
      </c>
      <c r="W2242" t="s">
        <v>3958</v>
      </c>
      <c r="X2242" t="s">
        <v>4660</v>
      </c>
    </row>
    <row r="2243" spans="1:24" x14ac:dyDescent="0.2">
      <c r="A2243" t="s">
        <v>5899</v>
      </c>
      <c r="B2243" t="s">
        <v>1969</v>
      </c>
      <c r="C2243" t="s">
        <v>1970</v>
      </c>
      <c r="D2243" t="s">
        <v>24</v>
      </c>
      <c r="E2243" t="s">
        <v>918</v>
      </c>
      <c r="F2243" t="s">
        <v>84</v>
      </c>
      <c r="G2243" s="202">
        <v>1</v>
      </c>
      <c r="H2243">
        <v>4</v>
      </c>
      <c r="I2243" t="s">
        <v>3964</v>
      </c>
      <c r="J2243" t="s">
        <v>4802</v>
      </c>
      <c r="K2243" t="s">
        <v>1283</v>
      </c>
      <c r="L2243" s="204">
        <v>7.0000000000000007E-2</v>
      </c>
      <c r="M2243" s="112">
        <v>63435.345000000001</v>
      </c>
      <c r="N2243" s="112">
        <v>4440.4741500000009</v>
      </c>
      <c r="O2243" s="204"/>
      <c r="P2243" s="112"/>
      <c r="Q2243" s="112"/>
      <c r="R2243" s="112"/>
      <c r="S2243" s="112"/>
      <c r="T2243" s="112"/>
      <c r="U2243" t="s">
        <v>5900</v>
      </c>
      <c r="V2243" t="s">
        <v>5901</v>
      </c>
      <c r="W2243" t="s">
        <v>3958</v>
      </c>
      <c r="X2243" t="s">
        <v>4660</v>
      </c>
    </row>
    <row r="2244" spans="1:24" x14ac:dyDescent="0.2">
      <c r="A2244" t="s">
        <v>5899</v>
      </c>
      <c r="B2244" t="s">
        <v>1969</v>
      </c>
      <c r="C2244" t="s">
        <v>1970</v>
      </c>
      <c r="D2244" t="s">
        <v>24</v>
      </c>
      <c r="E2244" t="s">
        <v>918</v>
      </c>
      <c r="F2244" t="s">
        <v>84</v>
      </c>
      <c r="G2244" s="202">
        <v>1</v>
      </c>
      <c r="H2244">
        <v>5</v>
      </c>
      <c r="I2244" t="s">
        <v>3966</v>
      </c>
      <c r="J2244" t="s">
        <v>3967</v>
      </c>
      <c r="K2244" t="s">
        <v>1283</v>
      </c>
      <c r="L2244" s="204">
        <v>0.03</v>
      </c>
      <c r="M2244" s="112">
        <v>63435.345000000001</v>
      </c>
      <c r="N2244" s="112">
        <v>1903.06035</v>
      </c>
      <c r="O2244" s="204"/>
      <c r="P2244" s="112"/>
      <c r="Q2244" s="112"/>
      <c r="R2244" s="112"/>
      <c r="S2244" s="112"/>
      <c r="T2244" s="112"/>
      <c r="U2244" t="s">
        <v>5900</v>
      </c>
      <c r="V2244" t="s">
        <v>5901</v>
      </c>
      <c r="W2244" t="s">
        <v>3958</v>
      </c>
      <c r="X2244" t="s">
        <v>4660</v>
      </c>
    </row>
    <row r="2245" spans="1:24" x14ac:dyDescent="0.2">
      <c r="A2245" t="s">
        <v>5899</v>
      </c>
      <c r="B2245" t="s">
        <v>1969</v>
      </c>
      <c r="C2245" t="s">
        <v>1970</v>
      </c>
      <c r="D2245" t="s">
        <v>24</v>
      </c>
      <c r="E2245" t="s">
        <v>918</v>
      </c>
      <c r="F2245" t="s">
        <v>84</v>
      </c>
      <c r="G2245" s="202">
        <v>1</v>
      </c>
      <c r="H2245">
        <v>6</v>
      </c>
      <c r="I2245" t="s">
        <v>3968</v>
      </c>
      <c r="J2245" t="s">
        <v>3969</v>
      </c>
      <c r="K2245" t="s">
        <v>84</v>
      </c>
      <c r="L2245" s="204">
        <v>1</v>
      </c>
      <c r="M2245" s="112"/>
      <c r="N2245" s="112">
        <v>63435.345000000001</v>
      </c>
      <c r="O2245" s="204">
        <v>0.22229980778066216</v>
      </c>
      <c r="P2245" s="112">
        <v>14101.664999999994</v>
      </c>
      <c r="Q2245" s="112">
        <v>77537.009999999995</v>
      </c>
      <c r="R2245" s="112">
        <v>77537.009999999995</v>
      </c>
      <c r="S2245" s="112">
        <v>77537.009999999995</v>
      </c>
      <c r="T2245" s="112">
        <v>0</v>
      </c>
      <c r="U2245" t="s">
        <v>5900</v>
      </c>
      <c r="V2245" t="s">
        <v>5901</v>
      </c>
      <c r="W2245" t="s">
        <v>4666</v>
      </c>
      <c r="X2245" t="s">
        <v>4667</v>
      </c>
    </row>
    <row r="2246" spans="1:24" x14ac:dyDescent="0.2">
      <c r="A2246" t="s">
        <v>5902</v>
      </c>
      <c r="B2246" t="s">
        <v>1387</v>
      </c>
      <c r="C2246" t="s">
        <v>1971</v>
      </c>
      <c r="D2246" t="s">
        <v>56</v>
      </c>
      <c r="E2246" t="s">
        <v>921</v>
      </c>
      <c r="F2246" t="s">
        <v>84</v>
      </c>
      <c r="G2246" s="202">
        <v>242</v>
      </c>
      <c r="H2246">
        <v>1</v>
      </c>
      <c r="I2246" t="s">
        <v>3954</v>
      </c>
      <c r="J2246" t="s">
        <v>4992</v>
      </c>
      <c r="K2246" t="s">
        <v>1283</v>
      </c>
      <c r="L2246" s="204">
        <v>0.27</v>
      </c>
      <c r="M2246" s="112">
        <v>18.945</v>
      </c>
      <c r="N2246" s="112">
        <v>5.1151500000000008</v>
      </c>
      <c r="O2246" s="204"/>
      <c r="P2246" s="112"/>
      <c r="Q2246" s="112"/>
      <c r="R2246" s="112"/>
      <c r="S2246" s="112"/>
      <c r="T2246" s="112"/>
      <c r="U2246" t="s">
        <v>5903</v>
      </c>
      <c r="V2246" t="s">
        <v>4843</v>
      </c>
      <c r="W2246" t="s">
        <v>3958</v>
      </c>
      <c r="X2246" t="s">
        <v>4660</v>
      </c>
    </row>
    <row r="2247" spans="1:24" x14ac:dyDescent="0.2">
      <c r="A2247" t="s">
        <v>5902</v>
      </c>
      <c r="B2247" t="s">
        <v>1387</v>
      </c>
      <c r="C2247" t="s">
        <v>1971</v>
      </c>
      <c r="D2247" t="s">
        <v>56</v>
      </c>
      <c r="E2247" t="s">
        <v>921</v>
      </c>
      <c r="F2247" t="s">
        <v>84</v>
      </c>
      <c r="G2247" s="202">
        <v>242</v>
      </c>
      <c r="H2247">
        <v>2</v>
      </c>
      <c r="I2247" t="s">
        <v>3960</v>
      </c>
      <c r="J2247" t="s">
        <v>4994</v>
      </c>
      <c r="K2247" t="s">
        <v>1283</v>
      </c>
      <c r="L2247" s="204">
        <v>0.63</v>
      </c>
      <c r="M2247" s="112">
        <v>18.945</v>
      </c>
      <c r="N2247" s="112">
        <v>11.93535</v>
      </c>
      <c r="O2247" s="204"/>
      <c r="P2247" s="112"/>
      <c r="Q2247" s="112"/>
      <c r="R2247" s="112"/>
      <c r="S2247" s="112"/>
      <c r="T2247" s="112"/>
      <c r="U2247" t="s">
        <v>5903</v>
      </c>
      <c r="V2247" t="s">
        <v>4843</v>
      </c>
      <c r="W2247" t="s">
        <v>3958</v>
      </c>
      <c r="X2247" t="s">
        <v>4660</v>
      </c>
    </row>
    <row r="2248" spans="1:24" x14ac:dyDescent="0.2">
      <c r="A2248" t="s">
        <v>5902</v>
      </c>
      <c r="B2248" t="s">
        <v>1387</v>
      </c>
      <c r="C2248" t="s">
        <v>1971</v>
      </c>
      <c r="D2248" t="s">
        <v>56</v>
      </c>
      <c r="E2248" t="s">
        <v>921</v>
      </c>
      <c r="F2248" t="s">
        <v>84</v>
      </c>
      <c r="G2248" s="202">
        <v>242</v>
      </c>
      <c r="H2248">
        <v>3</v>
      </c>
      <c r="I2248" t="s">
        <v>3976</v>
      </c>
      <c r="J2248" t="s">
        <v>4995</v>
      </c>
      <c r="K2248" t="s">
        <v>1283</v>
      </c>
      <c r="L2248" s="204">
        <v>0.05</v>
      </c>
      <c r="M2248" s="112">
        <v>18.945</v>
      </c>
      <c r="N2248" s="112">
        <v>0.94725000000000004</v>
      </c>
      <c r="O2248" s="204"/>
      <c r="P2248" s="112"/>
      <c r="Q2248" s="112"/>
      <c r="R2248" s="112"/>
      <c r="S2248" s="112"/>
      <c r="T2248" s="112"/>
      <c r="U2248" t="s">
        <v>5903</v>
      </c>
      <c r="V2248" t="s">
        <v>4843</v>
      </c>
      <c r="W2248" t="s">
        <v>3958</v>
      </c>
      <c r="X2248" t="s">
        <v>4660</v>
      </c>
    </row>
    <row r="2249" spans="1:24" x14ac:dyDescent="0.2">
      <c r="A2249" t="s">
        <v>5902</v>
      </c>
      <c r="B2249" t="s">
        <v>1387</v>
      </c>
      <c r="C2249" t="s">
        <v>1971</v>
      </c>
      <c r="D2249" t="s">
        <v>56</v>
      </c>
      <c r="E2249" t="s">
        <v>921</v>
      </c>
      <c r="F2249" t="s">
        <v>84</v>
      </c>
      <c r="G2249" s="202">
        <v>242</v>
      </c>
      <c r="H2249">
        <v>4</v>
      </c>
      <c r="I2249" t="s">
        <v>4017</v>
      </c>
      <c r="J2249" t="s">
        <v>4809</v>
      </c>
      <c r="K2249" t="s">
        <v>1283</v>
      </c>
      <c r="L2249" s="204">
        <v>0.05</v>
      </c>
      <c r="M2249" s="112">
        <v>18.945</v>
      </c>
      <c r="N2249" s="112">
        <v>0.94725000000000004</v>
      </c>
      <c r="O2249" s="204"/>
      <c r="P2249" s="112"/>
      <c r="Q2249" s="112"/>
      <c r="R2249" s="112"/>
      <c r="S2249" s="112"/>
      <c r="T2249" s="112"/>
      <c r="U2249" t="s">
        <v>5903</v>
      </c>
      <c r="V2249" t="s">
        <v>4843</v>
      </c>
      <c r="W2249" t="s">
        <v>3958</v>
      </c>
      <c r="X2249" t="s">
        <v>4660</v>
      </c>
    </row>
    <row r="2250" spans="1:24" x14ac:dyDescent="0.2">
      <c r="A2250" t="s">
        <v>5902</v>
      </c>
      <c r="B2250" t="s">
        <v>1387</v>
      </c>
      <c r="C2250" t="s">
        <v>1971</v>
      </c>
      <c r="D2250" t="s">
        <v>56</v>
      </c>
      <c r="E2250" t="s">
        <v>921</v>
      </c>
      <c r="F2250" t="s">
        <v>84</v>
      </c>
      <c r="G2250" s="202">
        <v>242</v>
      </c>
      <c r="H2250">
        <v>5</v>
      </c>
      <c r="I2250" t="s">
        <v>3968</v>
      </c>
      <c r="J2250" t="s">
        <v>3969</v>
      </c>
      <c r="K2250" t="s">
        <v>84</v>
      </c>
      <c r="L2250" s="204">
        <v>1</v>
      </c>
      <c r="M2250" s="112"/>
      <c r="N2250" s="112">
        <v>18.945</v>
      </c>
      <c r="O2250" s="204">
        <v>0.22208917069638279</v>
      </c>
      <c r="P2250" s="112">
        <v>4.2074793388429725</v>
      </c>
      <c r="Q2250" s="112">
        <v>23.152479338842973</v>
      </c>
      <c r="R2250" s="112">
        <v>5602.9</v>
      </c>
      <c r="S2250" s="112">
        <v>5602.9</v>
      </c>
      <c r="T2250" s="112">
        <v>0</v>
      </c>
      <c r="U2250" t="s">
        <v>5903</v>
      </c>
      <c r="V2250" t="s">
        <v>4843</v>
      </c>
      <c r="W2250" t="s">
        <v>4666</v>
      </c>
      <c r="X2250" t="s">
        <v>4667</v>
      </c>
    </row>
    <row r="2251" spans="1:24" x14ac:dyDescent="0.2">
      <c r="A2251" t="s">
        <v>5904</v>
      </c>
      <c r="B2251" t="s">
        <v>1972</v>
      </c>
      <c r="C2251" t="s">
        <v>1973</v>
      </c>
      <c r="D2251" t="s">
        <v>56</v>
      </c>
      <c r="E2251" t="s">
        <v>922</v>
      </c>
      <c r="F2251" t="s">
        <v>84</v>
      </c>
      <c r="G2251" s="202">
        <v>104</v>
      </c>
      <c r="H2251">
        <v>1</v>
      </c>
      <c r="I2251" t="s">
        <v>3954</v>
      </c>
      <c r="J2251" t="s">
        <v>4992</v>
      </c>
      <c r="K2251" t="s">
        <v>1283</v>
      </c>
      <c r="L2251" s="204">
        <v>0.27</v>
      </c>
      <c r="M2251" s="112">
        <v>19.47</v>
      </c>
      <c r="N2251" s="112">
        <v>5.2568999999999999</v>
      </c>
      <c r="O2251" s="204"/>
      <c r="P2251" s="112"/>
      <c r="Q2251" s="112"/>
      <c r="R2251" s="112"/>
      <c r="S2251" s="112"/>
      <c r="T2251" s="112"/>
      <c r="U2251" t="s">
        <v>5905</v>
      </c>
      <c r="V2251" t="s">
        <v>5906</v>
      </c>
      <c r="W2251" t="s">
        <v>3958</v>
      </c>
      <c r="X2251" t="s">
        <v>4660</v>
      </c>
    </row>
    <row r="2252" spans="1:24" x14ac:dyDescent="0.2">
      <c r="A2252" t="s">
        <v>5904</v>
      </c>
      <c r="B2252" t="s">
        <v>1972</v>
      </c>
      <c r="C2252" t="s">
        <v>1973</v>
      </c>
      <c r="D2252" t="s">
        <v>56</v>
      </c>
      <c r="E2252" t="s">
        <v>922</v>
      </c>
      <c r="F2252" t="s">
        <v>84</v>
      </c>
      <c r="G2252" s="202">
        <v>104</v>
      </c>
      <c r="H2252">
        <v>2</v>
      </c>
      <c r="I2252" t="s">
        <v>3960</v>
      </c>
      <c r="J2252" t="s">
        <v>4994</v>
      </c>
      <c r="K2252" t="s">
        <v>1283</v>
      </c>
      <c r="L2252" s="204">
        <v>0.63</v>
      </c>
      <c r="M2252" s="112">
        <v>19.47</v>
      </c>
      <c r="N2252" s="112">
        <v>12.2661</v>
      </c>
      <c r="O2252" s="204"/>
      <c r="P2252" s="112"/>
      <c r="Q2252" s="112"/>
      <c r="R2252" s="112"/>
      <c r="S2252" s="112"/>
      <c r="T2252" s="112"/>
      <c r="U2252" t="s">
        <v>5905</v>
      </c>
      <c r="V2252" t="s">
        <v>5906</v>
      </c>
      <c r="W2252" t="s">
        <v>3958</v>
      </c>
      <c r="X2252" t="s">
        <v>4660</v>
      </c>
    </row>
    <row r="2253" spans="1:24" x14ac:dyDescent="0.2">
      <c r="A2253" t="s">
        <v>5904</v>
      </c>
      <c r="B2253" t="s">
        <v>1972</v>
      </c>
      <c r="C2253" t="s">
        <v>1973</v>
      </c>
      <c r="D2253" t="s">
        <v>56</v>
      </c>
      <c r="E2253" t="s">
        <v>922</v>
      </c>
      <c r="F2253" t="s">
        <v>84</v>
      </c>
      <c r="G2253" s="202">
        <v>104</v>
      </c>
      <c r="H2253">
        <v>3</v>
      </c>
      <c r="I2253" t="s">
        <v>3976</v>
      </c>
      <c r="J2253" t="s">
        <v>4995</v>
      </c>
      <c r="K2253" t="s">
        <v>1283</v>
      </c>
      <c r="L2253" s="204">
        <v>0.05</v>
      </c>
      <c r="M2253" s="112">
        <v>19.47</v>
      </c>
      <c r="N2253" s="112">
        <v>0.97350000000000003</v>
      </c>
      <c r="O2253" s="204"/>
      <c r="P2253" s="112"/>
      <c r="Q2253" s="112"/>
      <c r="R2253" s="112"/>
      <c r="S2253" s="112"/>
      <c r="T2253" s="112"/>
      <c r="U2253" t="s">
        <v>5905</v>
      </c>
      <c r="V2253" t="s">
        <v>5906</v>
      </c>
      <c r="W2253" t="s">
        <v>3958</v>
      </c>
      <c r="X2253" t="s">
        <v>4660</v>
      </c>
    </row>
    <row r="2254" spans="1:24" x14ac:dyDescent="0.2">
      <c r="A2254" t="s">
        <v>5904</v>
      </c>
      <c r="B2254" t="s">
        <v>1972</v>
      </c>
      <c r="C2254" t="s">
        <v>1973</v>
      </c>
      <c r="D2254" t="s">
        <v>56</v>
      </c>
      <c r="E2254" t="s">
        <v>922</v>
      </c>
      <c r="F2254" t="s">
        <v>84</v>
      </c>
      <c r="G2254" s="202">
        <v>104</v>
      </c>
      <c r="H2254">
        <v>4</v>
      </c>
      <c r="I2254" t="s">
        <v>4017</v>
      </c>
      <c r="J2254" t="s">
        <v>4809</v>
      </c>
      <c r="K2254" t="s">
        <v>1283</v>
      </c>
      <c r="L2254" s="204">
        <v>0.05</v>
      </c>
      <c r="M2254" s="112">
        <v>19.47</v>
      </c>
      <c r="N2254" s="112">
        <v>0.97350000000000003</v>
      </c>
      <c r="O2254" s="204"/>
      <c r="P2254" s="112"/>
      <c r="Q2254" s="112"/>
      <c r="R2254" s="112"/>
      <c r="S2254" s="112"/>
      <c r="T2254" s="112"/>
      <c r="U2254" t="s">
        <v>5905</v>
      </c>
      <c r="V2254" t="s">
        <v>5906</v>
      </c>
      <c r="W2254" t="s">
        <v>3958</v>
      </c>
      <c r="X2254" t="s">
        <v>4660</v>
      </c>
    </row>
    <row r="2255" spans="1:24" x14ac:dyDescent="0.2">
      <c r="A2255" t="s">
        <v>5904</v>
      </c>
      <c r="B2255" t="s">
        <v>1972</v>
      </c>
      <c r="C2255" t="s">
        <v>1973</v>
      </c>
      <c r="D2255" t="s">
        <v>56</v>
      </c>
      <c r="E2255" t="s">
        <v>922</v>
      </c>
      <c r="F2255" t="s">
        <v>84</v>
      </c>
      <c r="G2255" s="202">
        <v>104</v>
      </c>
      <c r="H2255">
        <v>5</v>
      </c>
      <c r="I2255" t="s">
        <v>3968</v>
      </c>
      <c r="J2255" t="s">
        <v>3969</v>
      </c>
      <c r="K2255" t="s">
        <v>84</v>
      </c>
      <c r="L2255" s="204">
        <v>1</v>
      </c>
      <c r="M2255" s="112"/>
      <c r="N2255" s="112">
        <v>19.47</v>
      </c>
      <c r="O2255" s="204">
        <v>0.22226502311248075</v>
      </c>
      <c r="P2255" s="112">
        <v>4.3275000000000006</v>
      </c>
      <c r="Q2255" s="112">
        <v>23.797499999999999</v>
      </c>
      <c r="R2255" s="112">
        <v>2474.94</v>
      </c>
      <c r="S2255" s="112">
        <v>2474.94</v>
      </c>
      <c r="T2255" s="112">
        <v>0</v>
      </c>
      <c r="U2255" t="s">
        <v>5905</v>
      </c>
      <c r="V2255" t="s">
        <v>5906</v>
      </c>
      <c r="W2255" t="s">
        <v>4666</v>
      </c>
      <c r="X2255" t="s">
        <v>4667</v>
      </c>
    </row>
    <row r="2256" spans="1:24" x14ac:dyDescent="0.2">
      <c r="A2256" t="s">
        <v>5907</v>
      </c>
      <c r="B2256" t="s">
        <v>1406</v>
      </c>
      <c r="C2256" t="s">
        <v>1974</v>
      </c>
      <c r="D2256" t="s">
        <v>56</v>
      </c>
      <c r="E2256" t="s">
        <v>923</v>
      </c>
      <c r="F2256" t="s">
        <v>84</v>
      </c>
      <c r="G2256" s="202">
        <v>387</v>
      </c>
      <c r="H2256">
        <v>1</v>
      </c>
      <c r="I2256" t="s">
        <v>3954</v>
      </c>
      <c r="J2256" t="s">
        <v>5227</v>
      </c>
      <c r="K2256" t="s">
        <v>1283</v>
      </c>
      <c r="L2256" s="204">
        <v>0.26</v>
      </c>
      <c r="M2256" s="112">
        <v>18.225000000000001</v>
      </c>
      <c r="N2256" s="112">
        <v>4.7385000000000002</v>
      </c>
      <c r="O2256" s="204"/>
      <c r="P2256" s="112"/>
      <c r="Q2256" s="112"/>
      <c r="R2256" s="112"/>
      <c r="S2256" s="112"/>
      <c r="T2256" s="112"/>
      <c r="U2256" t="s">
        <v>5908</v>
      </c>
      <c r="V2256" t="s">
        <v>4889</v>
      </c>
      <c r="W2256" t="s">
        <v>3958</v>
      </c>
      <c r="X2256" t="s">
        <v>4660</v>
      </c>
    </row>
    <row r="2257" spans="1:24" x14ac:dyDescent="0.2">
      <c r="A2257" t="s">
        <v>5907</v>
      </c>
      <c r="B2257" t="s">
        <v>1406</v>
      </c>
      <c r="C2257" t="s">
        <v>1974</v>
      </c>
      <c r="D2257" t="s">
        <v>56</v>
      </c>
      <c r="E2257" t="s">
        <v>923</v>
      </c>
      <c r="F2257" t="s">
        <v>84</v>
      </c>
      <c r="G2257" s="202">
        <v>387</v>
      </c>
      <c r="H2257">
        <v>2</v>
      </c>
      <c r="I2257" t="s">
        <v>3960</v>
      </c>
      <c r="J2257" t="s">
        <v>5229</v>
      </c>
      <c r="K2257" t="s">
        <v>1283</v>
      </c>
      <c r="L2257" s="204">
        <v>0.64</v>
      </c>
      <c r="M2257" s="112">
        <v>18.225000000000001</v>
      </c>
      <c r="N2257" s="112">
        <v>11.664000000000001</v>
      </c>
      <c r="O2257" s="204"/>
      <c r="P2257" s="112"/>
      <c r="Q2257" s="112"/>
      <c r="R2257" s="112"/>
      <c r="S2257" s="112"/>
      <c r="T2257" s="112"/>
      <c r="U2257" t="s">
        <v>5908</v>
      </c>
      <c r="V2257" t="s">
        <v>4889</v>
      </c>
      <c r="W2257" t="s">
        <v>3958</v>
      </c>
      <c r="X2257" t="s">
        <v>4660</v>
      </c>
    </row>
    <row r="2258" spans="1:24" x14ac:dyDescent="0.2">
      <c r="A2258" t="s">
        <v>5907</v>
      </c>
      <c r="B2258" t="s">
        <v>1406</v>
      </c>
      <c r="C2258" t="s">
        <v>1974</v>
      </c>
      <c r="D2258" t="s">
        <v>56</v>
      </c>
      <c r="E2258" t="s">
        <v>923</v>
      </c>
      <c r="F2258" t="s">
        <v>84</v>
      </c>
      <c r="G2258" s="202">
        <v>387</v>
      </c>
      <c r="H2258">
        <v>3</v>
      </c>
      <c r="I2258" t="s">
        <v>3976</v>
      </c>
      <c r="J2258" t="s">
        <v>5230</v>
      </c>
      <c r="K2258" t="s">
        <v>1283</v>
      </c>
      <c r="L2258" s="204">
        <v>0.04</v>
      </c>
      <c r="M2258" s="112">
        <v>18.225000000000001</v>
      </c>
      <c r="N2258" s="112">
        <v>0.72900000000000009</v>
      </c>
      <c r="O2258" s="204"/>
      <c r="P2258" s="112"/>
      <c r="Q2258" s="112"/>
      <c r="R2258" s="112"/>
      <c r="S2258" s="112"/>
      <c r="T2258" s="112"/>
      <c r="U2258" t="s">
        <v>5908</v>
      </c>
      <c r="V2258" t="s">
        <v>4889</v>
      </c>
      <c r="W2258" t="s">
        <v>3958</v>
      </c>
      <c r="X2258" t="s">
        <v>4660</v>
      </c>
    </row>
    <row r="2259" spans="1:24" x14ac:dyDescent="0.2">
      <c r="A2259" t="s">
        <v>5907</v>
      </c>
      <c r="B2259" t="s">
        <v>1406</v>
      </c>
      <c r="C2259" t="s">
        <v>1974</v>
      </c>
      <c r="D2259" t="s">
        <v>56</v>
      </c>
      <c r="E2259" t="s">
        <v>923</v>
      </c>
      <c r="F2259" t="s">
        <v>84</v>
      </c>
      <c r="G2259" s="202">
        <v>387</v>
      </c>
      <c r="H2259">
        <v>4</v>
      </c>
      <c r="I2259" t="s">
        <v>4017</v>
      </c>
      <c r="J2259" t="s">
        <v>4851</v>
      </c>
      <c r="K2259" t="s">
        <v>1283</v>
      </c>
      <c r="L2259" s="204">
        <v>0.06</v>
      </c>
      <c r="M2259" s="112">
        <v>18.225000000000001</v>
      </c>
      <c r="N2259" s="112">
        <v>1.0935000000000001</v>
      </c>
      <c r="O2259" s="204"/>
      <c r="P2259" s="112"/>
      <c r="Q2259" s="112"/>
      <c r="R2259" s="112"/>
      <c r="S2259" s="112"/>
      <c r="T2259" s="112"/>
      <c r="U2259" t="s">
        <v>5908</v>
      </c>
      <c r="V2259" t="s">
        <v>4889</v>
      </c>
      <c r="W2259" t="s">
        <v>3958</v>
      </c>
      <c r="X2259" t="s">
        <v>4660</v>
      </c>
    </row>
    <row r="2260" spans="1:24" x14ac:dyDescent="0.2">
      <c r="A2260" t="s">
        <v>5907</v>
      </c>
      <c r="B2260" t="s">
        <v>1406</v>
      </c>
      <c r="C2260" t="s">
        <v>1974</v>
      </c>
      <c r="D2260" t="s">
        <v>56</v>
      </c>
      <c r="E2260" t="s">
        <v>923</v>
      </c>
      <c r="F2260" t="s">
        <v>84</v>
      </c>
      <c r="G2260" s="202">
        <v>387</v>
      </c>
      <c r="H2260">
        <v>5</v>
      </c>
      <c r="I2260" t="s">
        <v>3968</v>
      </c>
      <c r="J2260" t="s">
        <v>3969</v>
      </c>
      <c r="K2260" t="s">
        <v>84</v>
      </c>
      <c r="L2260" s="204">
        <v>1</v>
      </c>
      <c r="M2260" s="112"/>
      <c r="N2260" s="112">
        <v>18.225000000000001</v>
      </c>
      <c r="O2260" s="204">
        <v>0.2222215133115697</v>
      </c>
      <c r="P2260" s="112">
        <v>4.0499870801033566</v>
      </c>
      <c r="Q2260" s="112">
        <v>22.274987080103358</v>
      </c>
      <c r="R2260" s="112">
        <v>8620.42</v>
      </c>
      <c r="S2260" s="112">
        <v>8620.42</v>
      </c>
      <c r="T2260" s="112">
        <v>0</v>
      </c>
      <c r="U2260" t="s">
        <v>5908</v>
      </c>
      <c r="V2260" t="s">
        <v>4889</v>
      </c>
      <c r="W2260" t="s">
        <v>4666</v>
      </c>
      <c r="X2260" t="s">
        <v>4667</v>
      </c>
    </row>
    <row r="2261" spans="1:24" x14ac:dyDescent="0.2">
      <c r="A2261" t="s">
        <v>5909</v>
      </c>
      <c r="B2261" t="s">
        <v>1975</v>
      </c>
      <c r="C2261" t="s">
        <v>1976</v>
      </c>
      <c r="D2261" t="s">
        <v>56</v>
      </c>
      <c r="E2261" t="s">
        <v>924</v>
      </c>
      <c r="F2261" t="s">
        <v>84</v>
      </c>
      <c r="G2261" s="202">
        <v>2</v>
      </c>
      <c r="H2261">
        <v>1</v>
      </c>
      <c r="I2261" t="s">
        <v>3954</v>
      </c>
      <c r="J2261" t="s">
        <v>4804</v>
      </c>
      <c r="K2261" t="s">
        <v>1283</v>
      </c>
      <c r="L2261" s="204">
        <v>0.28000000000000003</v>
      </c>
      <c r="M2261" s="112">
        <v>127.88249999999999</v>
      </c>
      <c r="N2261" s="112">
        <v>35.807099999999998</v>
      </c>
      <c r="O2261" s="204"/>
      <c r="P2261" s="112"/>
      <c r="Q2261" s="112"/>
      <c r="R2261" s="112"/>
      <c r="S2261" s="112"/>
      <c r="T2261" s="112"/>
      <c r="U2261" t="s">
        <v>5910</v>
      </c>
      <c r="V2261" t="s">
        <v>5911</v>
      </c>
      <c r="W2261" t="s">
        <v>3958</v>
      </c>
      <c r="X2261" t="s">
        <v>4660</v>
      </c>
    </row>
    <row r="2262" spans="1:24" x14ac:dyDescent="0.2">
      <c r="A2262" t="s">
        <v>5909</v>
      </c>
      <c r="B2262" t="s">
        <v>1975</v>
      </c>
      <c r="C2262" t="s">
        <v>1976</v>
      </c>
      <c r="D2262" t="s">
        <v>56</v>
      </c>
      <c r="E2262" t="s">
        <v>924</v>
      </c>
      <c r="F2262" t="s">
        <v>84</v>
      </c>
      <c r="G2262" s="202">
        <v>2</v>
      </c>
      <c r="H2262">
        <v>2</v>
      </c>
      <c r="I2262" t="s">
        <v>3960</v>
      </c>
      <c r="J2262" t="s">
        <v>4807</v>
      </c>
      <c r="K2262" t="s">
        <v>1283</v>
      </c>
      <c r="L2262" s="204">
        <v>0.56000000000000005</v>
      </c>
      <c r="M2262" s="112">
        <v>127.88249999999999</v>
      </c>
      <c r="N2262" s="112">
        <v>71.614199999999997</v>
      </c>
      <c r="O2262" s="204"/>
      <c r="P2262" s="112"/>
      <c r="Q2262" s="112"/>
      <c r="R2262" s="112"/>
      <c r="S2262" s="112"/>
      <c r="T2262" s="112"/>
      <c r="U2262" t="s">
        <v>5910</v>
      </c>
      <c r="V2262" t="s">
        <v>5911</v>
      </c>
      <c r="W2262" t="s">
        <v>3958</v>
      </c>
      <c r="X2262" t="s">
        <v>4660</v>
      </c>
    </row>
    <row r="2263" spans="1:24" x14ac:dyDescent="0.2">
      <c r="A2263" t="s">
        <v>5909</v>
      </c>
      <c r="B2263" t="s">
        <v>1975</v>
      </c>
      <c r="C2263" t="s">
        <v>1976</v>
      </c>
      <c r="D2263" t="s">
        <v>56</v>
      </c>
      <c r="E2263" t="s">
        <v>924</v>
      </c>
      <c r="F2263" t="s">
        <v>84</v>
      </c>
      <c r="G2263" s="202">
        <v>2</v>
      </c>
      <c r="H2263">
        <v>3</v>
      </c>
      <c r="I2263" t="s">
        <v>3962</v>
      </c>
      <c r="J2263" t="s">
        <v>4808</v>
      </c>
      <c r="K2263" t="s">
        <v>1283</v>
      </c>
      <c r="L2263" s="204">
        <v>0.1</v>
      </c>
      <c r="M2263" s="112">
        <v>127.88249999999999</v>
      </c>
      <c r="N2263" s="112">
        <v>12.78825</v>
      </c>
      <c r="O2263" s="204"/>
      <c r="P2263" s="112"/>
      <c r="Q2263" s="112"/>
      <c r="R2263" s="112"/>
      <c r="S2263" s="112"/>
      <c r="T2263" s="112"/>
      <c r="U2263" t="s">
        <v>5910</v>
      </c>
      <c r="V2263" t="s">
        <v>5911</v>
      </c>
      <c r="W2263" t="s">
        <v>3958</v>
      </c>
      <c r="X2263" t="s">
        <v>4660</v>
      </c>
    </row>
    <row r="2264" spans="1:24" x14ac:dyDescent="0.2">
      <c r="A2264" t="s">
        <v>5909</v>
      </c>
      <c r="B2264" t="s">
        <v>1975</v>
      </c>
      <c r="C2264" t="s">
        <v>1976</v>
      </c>
      <c r="D2264" t="s">
        <v>56</v>
      </c>
      <c r="E2264" t="s">
        <v>924</v>
      </c>
      <c r="F2264" t="s">
        <v>84</v>
      </c>
      <c r="G2264" s="202">
        <v>2</v>
      </c>
      <c r="H2264">
        <v>4</v>
      </c>
      <c r="I2264" t="s">
        <v>4017</v>
      </c>
      <c r="J2264" t="s">
        <v>4809</v>
      </c>
      <c r="K2264" t="s">
        <v>1283</v>
      </c>
      <c r="L2264" s="204">
        <v>0.06</v>
      </c>
      <c r="M2264" s="112">
        <v>127.88249999999999</v>
      </c>
      <c r="N2264" s="112">
        <v>7.6729499999999993</v>
      </c>
      <c r="O2264" s="204"/>
      <c r="P2264" s="112"/>
      <c r="Q2264" s="112"/>
      <c r="R2264" s="112"/>
      <c r="S2264" s="112"/>
      <c r="T2264" s="112"/>
      <c r="U2264" t="s">
        <v>5910</v>
      </c>
      <c r="V2264" t="s">
        <v>5911</v>
      </c>
      <c r="W2264" t="s">
        <v>3958</v>
      </c>
      <c r="X2264" t="s">
        <v>4660</v>
      </c>
    </row>
    <row r="2265" spans="1:24" x14ac:dyDescent="0.2">
      <c r="A2265" t="s">
        <v>5909</v>
      </c>
      <c r="B2265" t="s">
        <v>1975</v>
      </c>
      <c r="C2265" t="s">
        <v>1976</v>
      </c>
      <c r="D2265" t="s">
        <v>56</v>
      </c>
      <c r="E2265" t="s">
        <v>924</v>
      </c>
      <c r="F2265" t="s">
        <v>84</v>
      </c>
      <c r="G2265" s="202">
        <v>2</v>
      </c>
      <c r="H2265">
        <v>5</v>
      </c>
      <c r="I2265" t="s">
        <v>3968</v>
      </c>
      <c r="J2265" t="s">
        <v>3969</v>
      </c>
      <c r="K2265" t="s">
        <v>84</v>
      </c>
      <c r="L2265" s="204">
        <v>1</v>
      </c>
      <c r="M2265" s="112"/>
      <c r="N2265" s="112">
        <v>127.88249999999999</v>
      </c>
      <c r="O2265" s="204">
        <v>0.2222548042148067</v>
      </c>
      <c r="P2265" s="112">
        <v>28.422500000000014</v>
      </c>
      <c r="Q2265" s="112">
        <v>156.30500000000001</v>
      </c>
      <c r="R2265" s="112">
        <v>312.61</v>
      </c>
      <c r="S2265" s="112">
        <v>312.61</v>
      </c>
      <c r="T2265" s="112">
        <v>0</v>
      </c>
      <c r="U2265" t="s">
        <v>5910</v>
      </c>
      <c r="V2265" t="s">
        <v>5911</v>
      </c>
      <c r="W2265" t="s">
        <v>4666</v>
      </c>
      <c r="X2265" t="s">
        <v>4667</v>
      </c>
    </row>
    <row r="2266" spans="1:24" x14ac:dyDescent="0.2">
      <c r="A2266" t="s">
        <v>5912</v>
      </c>
      <c r="B2266" t="s">
        <v>1430</v>
      </c>
      <c r="C2266" t="s">
        <v>1977</v>
      </c>
      <c r="D2266" t="s">
        <v>56</v>
      </c>
      <c r="E2266" t="s">
        <v>925</v>
      </c>
      <c r="F2266" t="s">
        <v>84</v>
      </c>
      <c r="G2266" s="202">
        <v>16</v>
      </c>
      <c r="H2266">
        <v>1</v>
      </c>
      <c r="I2266" t="s">
        <v>3954</v>
      </c>
      <c r="J2266" t="s">
        <v>4804</v>
      </c>
      <c r="K2266" t="s">
        <v>1283</v>
      </c>
      <c r="L2266" s="204">
        <v>0.28000000000000003</v>
      </c>
      <c r="M2266" s="112">
        <v>190.07249999999999</v>
      </c>
      <c r="N2266" s="112">
        <v>53.220300000000002</v>
      </c>
      <c r="O2266" s="204"/>
      <c r="P2266" s="112"/>
      <c r="Q2266" s="112"/>
      <c r="R2266" s="112"/>
      <c r="S2266" s="112"/>
      <c r="T2266" s="112"/>
      <c r="U2266" t="s">
        <v>5913</v>
      </c>
      <c r="V2266" t="s">
        <v>4942</v>
      </c>
      <c r="W2266" t="s">
        <v>3958</v>
      </c>
      <c r="X2266" t="s">
        <v>4660</v>
      </c>
    </row>
    <row r="2267" spans="1:24" x14ac:dyDescent="0.2">
      <c r="A2267" t="s">
        <v>5912</v>
      </c>
      <c r="B2267" t="s">
        <v>1430</v>
      </c>
      <c r="C2267" t="s">
        <v>1977</v>
      </c>
      <c r="D2267" t="s">
        <v>56</v>
      </c>
      <c r="E2267" t="s">
        <v>925</v>
      </c>
      <c r="F2267" t="s">
        <v>84</v>
      </c>
      <c r="G2267" s="202">
        <v>16</v>
      </c>
      <c r="H2267">
        <v>2</v>
      </c>
      <c r="I2267" t="s">
        <v>3960</v>
      </c>
      <c r="J2267" t="s">
        <v>4807</v>
      </c>
      <c r="K2267" t="s">
        <v>1283</v>
      </c>
      <c r="L2267" s="204">
        <v>0.56000000000000005</v>
      </c>
      <c r="M2267" s="112">
        <v>190.07249999999999</v>
      </c>
      <c r="N2267" s="112">
        <v>106.4406</v>
      </c>
      <c r="O2267" s="204"/>
      <c r="P2267" s="112"/>
      <c r="Q2267" s="112"/>
      <c r="R2267" s="112"/>
      <c r="S2267" s="112"/>
      <c r="T2267" s="112"/>
      <c r="U2267" t="s">
        <v>5913</v>
      </c>
      <c r="V2267" t="s">
        <v>4942</v>
      </c>
      <c r="W2267" t="s">
        <v>3958</v>
      </c>
      <c r="X2267" t="s">
        <v>4660</v>
      </c>
    </row>
    <row r="2268" spans="1:24" x14ac:dyDescent="0.2">
      <c r="A2268" t="s">
        <v>5912</v>
      </c>
      <c r="B2268" t="s">
        <v>1430</v>
      </c>
      <c r="C2268" t="s">
        <v>1977</v>
      </c>
      <c r="D2268" t="s">
        <v>56</v>
      </c>
      <c r="E2268" t="s">
        <v>925</v>
      </c>
      <c r="F2268" t="s">
        <v>84</v>
      </c>
      <c r="G2268" s="202">
        <v>16</v>
      </c>
      <c r="H2268">
        <v>3</v>
      </c>
      <c r="I2268" t="s">
        <v>3962</v>
      </c>
      <c r="J2268" t="s">
        <v>4808</v>
      </c>
      <c r="K2268" t="s">
        <v>1283</v>
      </c>
      <c r="L2268" s="204">
        <v>0.1</v>
      </c>
      <c r="M2268" s="112">
        <v>190.07249999999999</v>
      </c>
      <c r="N2268" s="112">
        <v>19.007249999999999</v>
      </c>
      <c r="O2268" s="204"/>
      <c r="P2268" s="112"/>
      <c r="Q2268" s="112"/>
      <c r="R2268" s="112"/>
      <c r="S2268" s="112"/>
      <c r="T2268" s="112"/>
      <c r="U2268" t="s">
        <v>5913</v>
      </c>
      <c r="V2268" t="s">
        <v>4942</v>
      </c>
      <c r="W2268" t="s">
        <v>3958</v>
      </c>
      <c r="X2268" t="s">
        <v>4660</v>
      </c>
    </row>
    <row r="2269" spans="1:24" x14ac:dyDescent="0.2">
      <c r="A2269" t="s">
        <v>5912</v>
      </c>
      <c r="B2269" t="s">
        <v>1430</v>
      </c>
      <c r="C2269" t="s">
        <v>1977</v>
      </c>
      <c r="D2269" t="s">
        <v>56</v>
      </c>
      <c r="E2269" t="s">
        <v>925</v>
      </c>
      <c r="F2269" t="s">
        <v>84</v>
      </c>
      <c r="G2269" s="202">
        <v>16</v>
      </c>
      <c r="H2269">
        <v>4</v>
      </c>
      <c r="I2269" t="s">
        <v>4017</v>
      </c>
      <c r="J2269" t="s">
        <v>4809</v>
      </c>
      <c r="K2269" t="s">
        <v>1283</v>
      </c>
      <c r="L2269" s="204">
        <v>0.06</v>
      </c>
      <c r="M2269" s="112">
        <v>190.07249999999999</v>
      </c>
      <c r="N2269" s="112">
        <v>11.404349999999999</v>
      </c>
      <c r="O2269" s="204"/>
      <c r="P2269" s="112"/>
      <c r="Q2269" s="112"/>
      <c r="R2269" s="112"/>
      <c r="S2269" s="112"/>
      <c r="T2269" s="112"/>
      <c r="U2269" t="s">
        <v>5913</v>
      </c>
      <c r="V2269" t="s">
        <v>4942</v>
      </c>
      <c r="W2269" t="s">
        <v>3958</v>
      </c>
      <c r="X2269" t="s">
        <v>4660</v>
      </c>
    </row>
    <row r="2270" spans="1:24" x14ac:dyDescent="0.2">
      <c r="A2270" t="s">
        <v>5912</v>
      </c>
      <c r="B2270" t="s">
        <v>1430</v>
      </c>
      <c r="C2270" t="s">
        <v>1977</v>
      </c>
      <c r="D2270" t="s">
        <v>56</v>
      </c>
      <c r="E2270" t="s">
        <v>925</v>
      </c>
      <c r="F2270" t="s">
        <v>84</v>
      </c>
      <c r="G2270" s="202">
        <v>16</v>
      </c>
      <c r="H2270">
        <v>5</v>
      </c>
      <c r="I2270" t="s">
        <v>3968</v>
      </c>
      <c r="J2270" t="s">
        <v>3969</v>
      </c>
      <c r="K2270" t="s">
        <v>84</v>
      </c>
      <c r="L2270" s="204">
        <v>1</v>
      </c>
      <c r="M2270" s="112"/>
      <c r="N2270" s="112">
        <v>190.07249999999999</v>
      </c>
      <c r="O2270" s="204">
        <v>0.22227044943376861</v>
      </c>
      <c r="P2270" s="112">
        <v>42.247500000000002</v>
      </c>
      <c r="Q2270" s="112">
        <v>232.32</v>
      </c>
      <c r="R2270" s="112">
        <v>3717.12</v>
      </c>
      <c r="S2270" s="112">
        <v>3717.12</v>
      </c>
      <c r="T2270" s="112">
        <v>0</v>
      </c>
      <c r="U2270" t="s">
        <v>5913</v>
      </c>
      <c r="V2270" t="s">
        <v>4942</v>
      </c>
      <c r="W2270" t="s">
        <v>4666</v>
      </c>
      <c r="X2270" t="s">
        <v>4667</v>
      </c>
    </row>
    <row r="2271" spans="1:24" x14ac:dyDescent="0.2">
      <c r="A2271" t="s">
        <v>5914</v>
      </c>
      <c r="B2271" t="s">
        <v>1439</v>
      </c>
      <c r="C2271" t="s">
        <v>1978</v>
      </c>
      <c r="D2271" t="s">
        <v>24</v>
      </c>
      <c r="E2271" t="s">
        <v>927</v>
      </c>
      <c r="F2271" t="s">
        <v>84</v>
      </c>
      <c r="G2271" s="202">
        <v>2</v>
      </c>
      <c r="H2271">
        <v>1</v>
      </c>
      <c r="I2271" t="s">
        <v>3954</v>
      </c>
      <c r="J2271" t="s">
        <v>5227</v>
      </c>
      <c r="K2271" t="s">
        <v>1283</v>
      </c>
      <c r="L2271" s="204">
        <v>0.26</v>
      </c>
      <c r="M2271" s="112">
        <v>42.547499999999999</v>
      </c>
      <c r="N2271" s="112">
        <v>11.06235</v>
      </c>
      <c r="O2271" s="204"/>
      <c r="P2271" s="112"/>
      <c r="Q2271" s="112"/>
      <c r="R2271" s="112"/>
      <c r="S2271" s="112"/>
      <c r="T2271" s="112"/>
      <c r="U2271" t="s">
        <v>5915</v>
      </c>
      <c r="V2271" t="s">
        <v>5916</v>
      </c>
      <c r="W2271" t="s">
        <v>3958</v>
      </c>
      <c r="X2271" t="s">
        <v>4660</v>
      </c>
    </row>
    <row r="2272" spans="1:24" x14ac:dyDescent="0.2">
      <c r="A2272" t="s">
        <v>5914</v>
      </c>
      <c r="B2272" t="s">
        <v>1439</v>
      </c>
      <c r="C2272" t="s">
        <v>1978</v>
      </c>
      <c r="D2272" t="s">
        <v>24</v>
      </c>
      <c r="E2272" t="s">
        <v>927</v>
      </c>
      <c r="F2272" t="s">
        <v>84</v>
      </c>
      <c r="G2272" s="202">
        <v>2</v>
      </c>
      <c r="H2272">
        <v>2</v>
      </c>
      <c r="I2272" t="s">
        <v>3960</v>
      </c>
      <c r="J2272" t="s">
        <v>5229</v>
      </c>
      <c r="K2272" t="s">
        <v>1283</v>
      </c>
      <c r="L2272" s="204">
        <v>0.64</v>
      </c>
      <c r="M2272" s="112">
        <v>42.547499999999999</v>
      </c>
      <c r="N2272" s="112">
        <v>27.230399999999999</v>
      </c>
      <c r="O2272" s="204"/>
      <c r="P2272" s="112"/>
      <c r="Q2272" s="112"/>
      <c r="R2272" s="112"/>
      <c r="S2272" s="112"/>
      <c r="T2272" s="112"/>
      <c r="U2272" t="s">
        <v>5915</v>
      </c>
      <c r="V2272" t="s">
        <v>5916</v>
      </c>
      <c r="W2272" t="s">
        <v>3958</v>
      </c>
      <c r="X2272" t="s">
        <v>4660</v>
      </c>
    </row>
    <row r="2273" spans="1:24" x14ac:dyDescent="0.2">
      <c r="A2273" t="s">
        <v>5914</v>
      </c>
      <c r="B2273" t="s">
        <v>1439</v>
      </c>
      <c r="C2273" t="s">
        <v>1978</v>
      </c>
      <c r="D2273" t="s">
        <v>24</v>
      </c>
      <c r="E2273" t="s">
        <v>927</v>
      </c>
      <c r="F2273" t="s">
        <v>84</v>
      </c>
      <c r="G2273" s="202">
        <v>2</v>
      </c>
      <c r="H2273">
        <v>3</v>
      </c>
      <c r="I2273" t="s">
        <v>3976</v>
      </c>
      <c r="J2273" t="s">
        <v>5230</v>
      </c>
      <c r="K2273" t="s">
        <v>1283</v>
      </c>
      <c r="L2273" s="204">
        <v>0.04</v>
      </c>
      <c r="M2273" s="112">
        <v>42.547499999999999</v>
      </c>
      <c r="N2273" s="112">
        <v>1.7019</v>
      </c>
      <c r="O2273" s="204"/>
      <c r="P2273" s="112"/>
      <c r="Q2273" s="112"/>
      <c r="R2273" s="112"/>
      <c r="S2273" s="112"/>
      <c r="T2273" s="112"/>
      <c r="U2273" t="s">
        <v>5915</v>
      </c>
      <c r="V2273" t="s">
        <v>5916</v>
      </c>
      <c r="W2273" t="s">
        <v>3958</v>
      </c>
      <c r="X2273" t="s">
        <v>4660</v>
      </c>
    </row>
    <row r="2274" spans="1:24" x14ac:dyDescent="0.2">
      <c r="A2274" t="s">
        <v>5914</v>
      </c>
      <c r="B2274" t="s">
        <v>1439</v>
      </c>
      <c r="C2274" t="s">
        <v>1978</v>
      </c>
      <c r="D2274" t="s">
        <v>24</v>
      </c>
      <c r="E2274" t="s">
        <v>927</v>
      </c>
      <c r="F2274" t="s">
        <v>84</v>
      </c>
      <c r="G2274" s="202">
        <v>2</v>
      </c>
      <c r="H2274">
        <v>4</v>
      </c>
      <c r="I2274" t="s">
        <v>4017</v>
      </c>
      <c r="J2274" t="s">
        <v>4851</v>
      </c>
      <c r="K2274" t="s">
        <v>1283</v>
      </c>
      <c r="L2274" s="204">
        <v>0.06</v>
      </c>
      <c r="M2274" s="112">
        <v>42.547499999999999</v>
      </c>
      <c r="N2274" s="112">
        <v>2.5528499999999998</v>
      </c>
      <c r="O2274" s="204"/>
      <c r="P2274" s="112"/>
      <c r="Q2274" s="112"/>
      <c r="R2274" s="112"/>
      <c r="S2274" s="112"/>
      <c r="T2274" s="112"/>
      <c r="U2274" t="s">
        <v>5915</v>
      </c>
      <c r="V2274" t="s">
        <v>5916</v>
      </c>
      <c r="W2274" t="s">
        <v>3958</v>
      </c>
      <c r="X2274" t="s">
        <v>4660</v>
      </c>
    </row>
    <row r="2275" spans="1:24" x14ac:dyDescent="0.2">
      <c r="A2275" t="s">
        <v>5914</v>
      </c>
      <c r="B2275" t="s">
        <v>1439</v>
      </c>
      <c r="C2275" t="s">
        <v>1978</v>
      </c>
      <c r="D2275" t="s">
        <v>24</v>
      </c>
      <c r="E2275" t="s">
        <v>927</v>
      </c>
      <c r="F2275" t="s">
        <v>84</v>
      </c>
      <c r="G2275" s="202">
        <v>2</v>
      </c>
      <c r="H2275">
        <v>5</v>
      </c>
      <c r="I2275" t="s">
        <v>3968</v>
      </c>
      <c r="J2275" t="s">
        <v>3969</v>
      </c>
      <c r="K2275" t="s">
        <v>84</v>
      </c>
      <c r="L2275" s="204">
        <v>1</v>
      </c>
      <c r="M2275" s="112"/>
      <c r="N2275" s="112">
        <v>42.547499999999999</v>
      </c>
      <c r="O2275" s="204">
        <v>0.22228098008108588</v>
      </c>
      <c r="P2275" s="112">
        <v>9.4575000000000031</v>
      </c>
      <c r="Q2275" s="112">
        <v>52.005000000000003</v>
      </c>
      <c r="R2275" s="112">
        <v>104.01</v>
      </c>
      <c r="S2275" s="112">
        <v>104.01</v>
      </c>
      <c r="T2275" s="112">
        <v>0</v>
      </c>
      <c r="U2275" t="s">
        <v>5915</v>
      </c>
      <c r="V2275" t="s">
        <v>5916</v>
      </c>
      <c r="W2275" t="s">
        <v>4666</v>
      </c>
      <c r="X2275" t="s">
        <v>4667</v>
      </c>
    </row>
    <row r="2276" spans="1:24" x14ac:dyDescent="0.2">
      <c r="A2276" t="s">
        <v>5917</v>
      </c>
      <c r="B2276" t="s">
        <v>1979</v>
      </c>
      <c r="C2276" t="s">
        <v>1980</v>
      </c>
      <c r="D2276" t="s">
        <v>24</v>
      </c>
      <c r="E2276" t="s">
        <v>929</v>
      </c>
      <c r="F2276" t="s">
        <v>84</v>
      </c>
      <c r="G2276" s="202">
        <v>2</v>
      </c>
      <c r="H2276">
        <v>1</v>
      </c>
      <c r="I2276" t="s">
        <v>3954</v>
      </c>
      <c r="J2276" t="s">
        <v>5227</v>
      </c>
      <c r="K2276" t="s">
        <v>1283</v>
      </c>
      <c r="L2276" s="204">
        <v>0.26</v>
      </c>
      <c r="M2276" s="112">
        <v>57.5625</v>
      </c>
      <c r="N2276" s="112">
        <v>14.96625</v>
      </c>
      <c r="O2276" s="204"/>
      <c r="P2276" s="112"/>
      <c r="Q2276" s="112"/>
      <c r="R2276" s="112"/>
      <c r="S2276" s="112"/>
      <c r="T2276" s="112"/>
      <c r="U2276" t="s">
        <v>5918</v>
      </c>
      <c r="V2276" t="s">
        <v>5919</v>
      </c>
      <c r="W2276" t="s">
        <v>3958</v>
      </c>
      <c r="X2276" t="s">
        <v>4660</v>
      </c>
    </row>
    <row r="2277" spans="1:24" x14ac:dyDescent="0.2">
      <c r="A2277" t="s">
        <v>5917</v>
      </c>
      <c r="B2277" t="s">
        <v>1979</v>
      </c>
      <c r="C2277" t="s">
        <v>1980</v>
      </c>
      <c r="D2277" t="s">
        <v>24</v>
      </c>
      <c r="E2277" t="s">
        <v>929</v>
      </c>
      <c r="F2277" t="s">
        <v>84</v>
      </c>
      <c r="G2277" s="202">
        <v>2</v>
      </c>
      <c r="H2277">
        <v>2</v>
      </c>
      <c r="I2277" t="s">
        <v>3960</v>
      </c>
      <c r="J2277" t="s">
        <v>5229</v>
      </c>
      <c r="K2277" t="s">
        <v>1283</v>
      </c>
      <c r="L2277" s="204">
        <v>0.64</v>
      </c>
      <c r="M2277" s="112">
        <v>57.5625</v>
      </c>
      <c r="N2277" s="112">
        <v>36.840000000000003</v>
      </c>
      <c r="O2277" s="204"/>
      <c r="P2277" s="112"/>
      <c r="Q2277" s="112"/>
      <c r="R2277" s="112"/>
      <c r="S2277" s="112"/>
      <c r="T2277" s="112"/>
      <c r="U2277" t="s">
        <v>5918</v>
      </c>
      <c r="V2277" t="s">
        <v>5919</v>
      </c>
      <c r="W2277" t="s">
        <v>3958</v>
      </c>
      <c r="X2277" t="s">
        <v>4660</v>
      </c>
    </row>
    <row r="2278" spans="1:24" x14ac:dyDescent="0.2">
      <c r="A2278" t="s">
        <v>5917</v>
      </c>
      <c r="B2278" t="s">
        <v>1979</v>
      </c>
      <c r="C2278" t="s">
        <v>1980</v>
      </c>
      <c r="D2278" t="s">
        <v>24</v>
      </c>
      <c r="E2278" t="s">
        <v>929</v>
      </c>
      <c r="F2278" t="s">
        <v>84</v>
      </c>
      <c r="G2278" s="202">
        <v>2</v>
      </c>
      <c r="H2278">
        <v>3</v>
      </c>
      <c r="I2278" t="s">
        <v>3976</v>
      </c>
      <c r="J2278" t="s">
        <v>5230</v>
      </c>
      <c r="K2278" t="s">
        <v>1283</v>
      </c>
      <c r="L2278" s="204">
        <v>0.04</v>
      </c>
      <c r="M2278" s="112">
        <v>57.5625</v>
      </c>
      <c r="N2278" s="112">
        <v>2.3025000000000002</v>
      </c>
      <c r="O2278" s="204"/>
      <c r="P2278" s="112"/>
      <c r="Q2278" s="112"/>
      <c r="R2278" s="112"/>
      <c r="S2278" s="112"/>
      <c r="T2278" s="112"/>
      <c r="U2278" t="s">
        <v>5918</v>
      </c>
      <c r="V2278" t="s">
        <v>5919</v>
      </c>
      <c r="W2278" t="s">
        <v>3958</v>
      </c>
      <c r="X2278" t="s">
        <v>4660</v>
      </c>
    </row>
    <row r="2279" spans="1:24" x14ac:dyDescent="0.2">
      <c r="A2279" t="s">
        <v>5917</v>
      </c>
      <c r="B2279" t="s">
        <v>1979</v>
      </c>
      <c r="C2279" t="s">
        <v>1980</v>
      </c>
      <c r="D2279" t="s">
        <v>24</v>
      </c>
      <c r="E2279" t="s">
        <v>929</v>
      </c>
      <c r="F2279" t="s">
        <v>84</v>
      </c>
      <c r="G2279" s="202">
        <v>2</v>
      </c>
      <c r="H2279">
        <v>4</v>
      </c>
      <c r="I2279" t="s">
        <v>4017</v>
      </c>
      <c r="J2279" t="s">
        <v>4851</v>
      </c>
      <c r="K2279" t="s">
        <v>1283</v>
      </c>
      <c r="L2279" s="204">
        <v>0.06</v>
      </c>
      <c r="M2279" s="112">
        <v>57.5625</v>
      </c>
      <c r="N2279" s="112">
        <v>3.4537499999999999</v>
      </c>
      <c r="O2279" s="204"/>
      <c r="P2279" s="112"/>
      <c r="Q2279" s="112"/>
      <c r="R2279" s="112"/>
      <c r="S2279" s="112"/>
      <c r="T2279" s="112"/>
      <c r="U2279" t="s">
        <v>5918</v>
      </c>
      <c r="V2279" t="s">
        <v>5919</v>
      </c>
      <c r="W2279" t="s">
        <v>3958</v>
      </c>
      <c r="X2279" t="s">
        <v>4660</v>
      </c>
    </row>
    <row r="2280" spans="1:24" x14ac:dyDescent="0.2">
      <c r="A2280" t="s">
        <v>5917</v>
      </c>
      <c r="B2280" t="s">
        <v>1979</v>
      </c>
      <c r="C2280" t="s">
        <v>1980</v>
      </c>
      <c r="D2280" t="s">
        <v>24</v>
      </c>
      <c r="E2280" t="s">
        <v>929</v>
      </c>
      <c r="F2280" t="s">
        <v>84</v>
      </c>
      <c r="G2280" s="202">
        <v>2</v>
      </c>
      <c r="H2280">
        <v>5</v>
      </c>
      <c r="I2280" t="s">
        <v>3968</v>
      </c>
      <c r="J2280" t="s">
        <v>3969</v>
      </c>
      <c r="K2280" t="s">
        <v>84</v>
      </c>
      <c r="L2280" s="204">
        <v>1</v>
      </c>
      <c r="M2280" s="112"/>
      <c r="N2280" s="112">
        <v>57.5625</v>
      </c>
      <c r="O2280" s="204">
        <v>0.2222366992399567</v>
      </c>
      <c r="P2280" s="112">
        <v>12.792500000000004</v>
      </c>
      <c r="Q2280" s="112">
        <v>70.355000000000004</v>
      </c>
      <c r="R2280" s="112">
        <v>140.71</v>
      </c>
      <c r="S2280" s="112">
        <v>140.71</v>
      </c>
      <c r="T2280" s="112">
        <v>0</v>
      </c>
      <c r="U2280" t="s">
        <v>5918</v>
      </c>
      <c r="V2280" t="s">
        <v>5919</v>
      </c>
      <c r="W2280" t="s">
        <v>4666</v>
      </c>
      <c r="X2280" t="s">
        <v>4667</v>
      </c>
    </row>
    <row r="2281" spans="1:24" x14ac:dyDescent="0.2">
      <c r="A2281" t="s">
        <v>5920</v>
      </c>
      <c r="B2281" t="s">
        <v>1981</v>
      </c>
      <c r="C2281" t="s">
        <v>1982</v>
      </c>
      <c r="D2281" t="s">
        <v>24</v>
      </c>
      <c r="E2281" t="s">
        <v>931</v>
      </c>
      <c r="F2281" t="s">
        <v>84</v>
      </c>
      <c r="G2281" s="202">
        <v>1</v>
      </c>
      <c r="H2281">
        <v>1</v>
      </c>
      <c r="I2281" t="s">
        <v>3954</v>
      </c>
      <c r="J2281" t="s">
        <v>5227</v>
      </c>
      <c r="K2281" t="s">
        <v>1283</v>
      </c>
      <c r="L2281" s="204">
        <v>0.26</v>
      </c>
      <c r="M2281" s="112">
        <v>87.045000000000002</v>
      </c>
      <c r="N2281" s="112">
        <v>22.631700000000002</v>
      </c>
      <c r="O2281" s="204"/>
      <c r="P2281" s="112"/>
      <c r="Q2281" s="112"/>
      <c r="R2281" s="112"/>
      <c r="S2281" s="112"/>
      <c r="T2281" s="112"/>
      <c r="U2281" t="s">
        <v>5921</v>
      </c>
      <c r="V2281" t="s">
        <v>5922</v>
      </c>
      <c r="W2281" t="s">
        <v>3958</v>
      </c>
      <c r="X2281" t="s">
        <v>4660</v>
      </c>
    </row>
    <row r="2282" spans="1:24" x14ac:dyDescent="0.2">
      <c r="A2282" t="s">
        <v>5920</v>
      </c>
      <c r="B2282" t="s">
        <v>1981</v>
      </c>
      <c r="C2282" t="s">
        <v>1982</v>
      </c>
      <c r="D2282" t="s">
        <v>24</v>
      </c>
      <c r="E2282" t="s">
        <v>931</v>
      </c>
      <c r="F2282" t="s">
        <v>84</v>
      </c>
      <c r="G2282" s="202">
        <v>1</v>
      </c>
      <c r="H2282">
        <v>2</v>
      </c>
      <c r="I2282" t="s">
        <v>3960</v>
      </c>
      <c r="J2282" t="s">
        <v>5229</v>
      </c>
      <c r="K2282" t="s">
        <v>1283</v>
      </c>
      <c r="L2282" s="204">
        <v>0.64</v>
      </c>
      <c r="M2282" s="112">
        <v>87.045000000000002</v>
      </c>
      <c r="N2282" s="112">
        <v>55.708800000000004</v>
      </c>
      <c r="O2282" s="204"/>
      <c r="P2282" s="112"/>
      <c r="Q2282" s="112"/>
      <c r="R2282" s="112"/>
      <c r="S2282" s="112"/>
      <c r="T2282" s="112"/>
      <c r="U2282" t="s">
        <v>5921</v>
      </c>
      <c r="V2282" t="s">
        <v>5922</v>
      </c>
      <c r="W2282" t="s">
        <v>3958</v>
      </c>
      <c r="X2282" t="s">
        <v>4660</v>
      </c>
    </row>
    <row r="2283" spans="1:24" x14ac:dyDescent="0.2">
      <c r="A2283" t="s">
        <v>5920</v>
      </c>
      <c r="B2283" t="s">
        <v>1981</v>
      </c>
      <c r="C2283" t="s">
        <v>1982</v>
      </c>
      <c r="D2283" t="s">
        <v>24</v>
      </c>
      <c r="E2283" t="s">
        <v>931</v>
      </c>
      <c r="F2283" t="s">
        <v>84</v>
      </c>
      <c r="G2283" s="202">
        <v>1</v>
      </c>
      <c r="H2283">
        <v>3</v>
      </c>
      <c r="I2283" t="s">
        <v>3976</v>
      </c>
      <c r="J2283" t="s">
        <v>5230</v>
      </c>
      <c r="K2283" t="s">
        <v>1283</v>
      </c>
      <c r="L2283" s="204">
        <v>0.04</v>
      </c>
      <c r="M2283" s="112">
        <v>87.045000000000002</v>
      </c>
      <c r="N2283" s="112">
        <v>3.4818000000000002</v>
      </c>
      <c r="O2283" s="204"/>
      <c r="P2283" s="112"/>
      <c r="Q2283" s="112"/>
      <c r="R2283" s="112"/>
      <c r="S2283" s="112"/>
      <c r="T2283" s="112"/>
      <c r="U2283" t="s">
        <v>5921</v>
      </c>
      <c r="V2283" t="s">
        <v>5922</v>
      </c>
      <c r="W2283" t="s">
        <v>3958</v>
      </c>
      <c r="X2283" t="s">
        <v>4660</v>
      </c>
    </row>
    <row r="2284" spans="1:24" x14ac:dyDescent="0.2">
      <c r="A2284" t="s">
        <v>5920</v>
      </c>
      <c r="B2284" t="s">
        <v>1981</v>
      </c>
      <c r="C2284" t="s">
        <v>1982</v>
      </c>
      <c r="D2284" t="s">
        <v>24</v>
      </c>
      <c r="E2284" t="s">
        <v>931</v>
      </c>
      <c r="F2284" t="s">
        <v>84</v>
      </c>
      <c r="G2284" s="202">
        <v>1</v>
      </c>
      <c r="H2284">
        <v>4</v>
      </c>
      <c r="I2284" t="s">
        <v>4017</v>
      </c>
      <c r="J2284" t="s">
        <v>4851</v>
      </c>
      <c r="K2284" t="s">
        <v>1283</v>
      </c>
      <c r="L2284" s="204">
        <v>0.06</v>
      </c>
      <c r="M2284" s="112">
        <v>87.045000000000002</v>
      </c>
      <c r="N2284" s="112">
        <v>5.2226999999999997</v>
      </c>
      <c r="O2284" s="204"/>
      <c r="P2284" s="112"/>
      <c r="Q2284" s="112"/>
      <c r="R2284" s="112"/>
      <c r="S2284" s="112"/>
      <c r="T2284" s="112"/>
      <c r="U2284" t="s">
        <v>5921</v>
      </c>
      <c r="V2284" t="s">
        <v>5922</v>
      </c>
      <c r="W2284" t="s">
        <v>3958</v>
      </c>
      <c r="X2284" t="s">
        <v>4660</v>
      </c>
    </row>
    <row r="2285" spans="1:24" x14ac:dyDescent="0.2">
      <c r="A2285" t="s">
        <v>5920</v>
      </c>
      <c r="B2285" t="s">
        <v>1981</v>
      </c>
      <c r="C2285" t="s">
        <v>1982</v>
      </c>
      <c r="D2285" t="s">
        <v>24</v>
      </c>
      <c r="E2285" t="s">
        <v>931</v>
      </c>
      <c r="F2285" t="s">
        <v>84</v>
      </c>
      <c r="G2285" s="202">
        <v>1</v>
      </c>
      <c r="H2285">
        <v>5</v>
      </c>
      <c r="I2285" t="s">
        <v>3968</v>
      </c>
      <c r="J2285" t="s">
        <v>3969</v>
      </c>
      <c r="K2285" t="s">
        <v>84</v>
      </c>
      <c r="L2285" s="204">
        <v>1</v>
      </c>
      <c r="M2285" s="112"/>
      <c r="N2285" s="112">
        <v>87.045000000000002</v>
      </c>
      <c r="O2285" s="204">
        <v>0.22224136940662875</v>
      </c>
      <c r="P2285" s="112">
        <v>19.344999999999999</v>
      </c>
      <c r="Q2285" s="112">
        <v>106.39</v>
      </c>
      <c r="R2285" s="112">
        <v>106.39</v>
      </c>
      <c r="S2285" s="112">
        <v>106.39</v>
      </c>
      <c r="T2285" s="112">
        <v>0</v>
      </c>
      <c r="U2285" t="s">
        <v>5921</v>
      </c>
      <c r="V2285" t="s">
        <v>5922</v>
      </c>
      <c r="W2285" t="s">
        <v>4666</v>
      </c>
      <c r="X2285" t="s">
        <v>4667</v>
      </c>
    </row>
    <row r="2286" spans="1:24" x14ac:dyDescent="0.2">
      <c r="A2286" t="s">
        <v>5923</v>
      </c>
      <c r="B2286" t="s">
        <v>1983</v>
      </c>
      <c r="C2286" t="s">
        <v>1984</v>
      </c>
      <c r="D2286" t="s">
        <v>24</v>
      </c>
      <c r="E2286" t="s">
        <v>933</v>
      </c>
      <c r="F2286" t="s">
        <v>84</v>
      </c>
      <c r="G2286" s="202">
        <v>1</v>
      </c>
      <c r="H2286">
        <v>1</v>
      </c>
      <c r="I2286" t="s">
        <v>3954</v>
      </c>
      <c r="J2286" t="s">
        <v>5227</v>
      </c>
      <c r="K2286" t="s">
        <v>1283</v>
      </c>
      <c r="L2286" s="204">
        <v>0.26</v>
      </c>
      <c r="M2286" s="112">
        <v>36.517499999999998</v>
      </c>
      <c r="N2286" s="112">
        <v>9.4945500000000003</v>
      </c>
      <c r="O2286" s="204"/>
      <c r="P2286" s="112"/>
      <c r="Q2286" s="112"/>
      <c r="R2286" s="112"/>
      <c r="S2286" s="112"/>
      <c r="T2286" s="112"/>
      <c r="U2286" t="s">
        <v>5924</v>
      </c>
      <c r="V2286" t="s">
        <v>5925</v>
      </c>
      <c r="W2286" t="s">
        <v>3958</v>
      </c>
      <c r="X2286" t="s">
        <v>4660</v>
      </c>
    </row>
    <row r="2287" spans="1:24" x14ac:dyDescent="0.2">
      <c r="A2287" t="s">
        <v>5923</v>
      </c>
      <c r="B2287" t="s">
        <v>1983</v>
      </c>
      <c r="C2287" t="s">
        <v>1984</v>
      </c>
      <c r="D2287" t="s">
        <v>24</v>
      </c>
      <c r="E2287" t="s">
        <v>933</v>
      </c>
      <c r="F2287" t="s">
        <v>84</v>
      </c>
      <c r="G2287" s="202">
        <v>1</v>
      </c>
      <c r="H2287">
        <v>2</v>
      </c>
      <c r="I2287" t="s">
        <v>3960</v>
      </c>
      <c r="J2287" t="s">
        <v>5229</v>
      </c>
      <c r="K2287" t="s">
        <v>1283</v>
      </c>
      <c r="L2287" s="204">
        <v>0.64</v>
      </c>
      <c r="M2287" s="112">
        <v>36.517499999999998</v>
      </c>
      <c r="N2287" s="112">
        <v>23.371199999999998</v>
      </c>
      <c r="O2287" s="204"/>
      <c r="P2287" s="112"/>
      <c r="Q2287" s="112"/>
      <c r="R2287" s="112"/>
      <c r="S2287" s="112"/>
      <c r="T2287" s="112"/>
      <c r="U2287" t="s">
        <v>5924</v>
      </c>
      <c r="V2287" t="s">
        <v>5925</v>
      </c>
      <c r="W2287" t="s">
        <v>3958</v>
      </c>
      <c r="X2287" t="s">
        <v>4660</v>
      </c>
    </row>
    <row r="2288" spans="1:24" x14ac:dyDescent="0.2">
      <c r="A2288" t="s">
        <v>5923</v>
      </c>
      <c r="B2288" t="s">
        <v>1983</v>
      </c>
      <c r="C2288" t="s">
        <v>1984</v>
      </c>
      <c r="D2288" t="s">
        <v>24</v>
      </c>
      <c r="E2288" t="s">
        <v>933</v>
      </c>
      <c r="F2288" t="s">
        <v>84</v>
      </c>
      <c r="G2288" s="202">
        <v>1</v>
      </c>
      <c r="H2288">
        <v>3</v>
      </c>
      <c r="I2288" t="s">
        <v>3976</v>
      </c>
      <c r="J2288" t="s">
        <v>5230</v>
      </c>
      <c r="K2288" t="s">
        <v>1283</v>
      </c>
      <c r="L2288" s="204">
        <v>0.04</v>
      </c>
      <c r="M2288" s="112">
        <v>36.517499999999998</v>
      </c>
      <c r="N2288" s="112">
        <v>1.4606999999999999</v>
      </c>
      <c r="O2288" s="204"/>
      <c r="P2288" s="112"/>
      <c r="Q2288" s="112"/>
      <c r="R2288" s="112"/>
      <c r="S2288" s="112"/>
      <c r="T2288" s="112"/>
      <c r="U2288" t="s">
        <v>5924</v>
      </c>
      <c r="V2288" t="s">
        <v>5925</v>
      </c>
      <c r="W2288" t="s">
        <v>3958</v>
      </c>
      <c r="X2288" t="s">
        <v>4660</v>
      </c>
    </row>
    <row r="2289" spans="1:24" x14ac:dyDescent="0.2">
      <c r="A2289" t="s">
        <v>5923</v>
      </c>
      <c r="B2289" t="s">
        <v>1983</v>
      </c>
      <c r="C2289" t="s">
        <v>1984</v>
      </c>
      <c r="D2289" t="s">
        <v>24</v>
      </c>
      <c r="E2289" t="s">
        <v>933</v>
      </c>
      <c r="F2289" t="s">
        <v>84</v>
      </c>
      <c r="G2289" s="202">
        <v>1</v>
      </c>
      <c r="H2289">
        <v>4</v>
      </c>
      <c r="I2289" t="s">
        <v>4017</v>
      </c>
      <c r="J2289" t="s">
        <v>4851</v>
      </c>
      <c r="K2289" t="s">
        <v>1283</v>
      </c>
      <c r="L2289" s="204">
        <v>0.06</v>
      </c>
      <c r="M2289" s="112">
        <v>36.517499999999998</v>
      </c>
      <c r="N2289" s="112">
        <v>2.1910499999999997</v>
      </c>
      <c r="O2289" s="204"/>
      <c r="P2289" s="112"/>
      <c r="Q2289" s="112"/>
      <c r="R2289" s="112"/>
      <c r="S2289" s="112"/>
      <c r="T2289" s="112"/>
      <c r="U2289" t="s">
        <v>5924</v>
      </c>
      <c r="V2289" t="s">
        <v>5925</v>
      </c>
      <c r="W2289" t="s">
        <v>3958</v>
      </c>
      <c r="X2289" t="s">
        <v>4660</v>
      </c>
    </row>
    <row r="2290" spans="1:24" x14ac:dyDescent="0.2">
      <c r="A2290" t="s">
        <v>5923</v>
      </c>
      <c r="B2290" t="s">
        <v>1983</v>
      </c>
      <c r="C2290" t="s">
        <v>1984</v>
      </c>
      <c r="D2290" t="s">
        <v>24</v>
      </c>
      <c r="E2290" t="s">
        <v>933</v>
      </c>
      <c r="F2290" t="s">
        <v>84</v>
      </c>
      <c r="G2290" s="202">
        <v>1</v>
      </c>
      <c r="H2290">
        <v>5</v>
      </c>
      <c r="I2290" t="s">
        <v>3968</v>
      </c>
      <c r="J2290" t="s">
        <v>3969</v>
      </c>
      <c r="K2290" t="s">
        <v>84</v>
      </c>
      <c r="L2290" s="204">
        <v>1</v>
      </c>
      <c r="M2290" s="112"/>
      <c r="N2290" s="112">
        <v>36.517499999999998</v>
      </c>
      <c r="O2290" s="204">
        <v>0.22215376189498204</v>
      </c>
      <c r="P2290" s="112">
        <v>8.1125000000000043</v>
      </c>
      <c r="Q2290" s="112">
        <v>44.63</v>
      </c>
      <c r="R2290" s="112">
        <v>44.63</v>
      </c>
      <c r="S2290" s="112">
        <v>44.63</v>
      </c>
      <c r="T2290" s="112">
        <v>0</v>
      </c>
      <c r="U2290" t="s">
        <v>5924</v>
      </c>
      <c r="V2290" t="s">
        <v>5925</v>
      </c>
      <c r="W2290" t="s">
        <v>4666</v>
      </c>
      <c r="X2290" t="s">
        <v>4667</v>
      </c>
    </row>
    <row r="2291" spans="1:24" x14ac:dyDescent="0.2">
      <c r="A2291" t="s">
        <v>5926</v>
      </c>
      <c r="B2291" t="s">
        <v>1985</v>
      </c>
      <c r="C2291" t="s">
        <v>1986</v>
      </c>
      <c r="D2291" t="s">
        <v>24</v>
      </c>
      <c r="E2291" t="s">
        <v>1987</v>
      </c>
      <c r="F2291" t="s">
        <v>84</v>
      </c>
      <c r="G2291" s="202">
        <v>1</v>
      </c>
      <c r="H2291">
        <v>1</v>
      </c>
      <c r="I2291" t="s">
        <v>3954</v>
      </c>
      <c r="J2291" t="s">
        <v>5227</v>
      </c>
      <c r="K2291" t="s">
        <v>1283</v>
      </c>
      <c r="L2291" s="204">
        <v>0.26</v>
      </c>
      <c r="M2291" s="112">
        <v>81.435000000000002</v>
      </c>
      <c r="N2291" s="112">
        <v>21.173100000000002</v>
      </c>
      <c r="O2291" s="204"/>
      <c r="P2291" s="112"/>
      <c r="Q2291" s="112"/>
      <c r="R2291" s="112"/>
      <c r="S2291" s="112"/>
      <c r="T2291" s="112"/>
      <c r="U2291" t="s">
        <v>5927</v>
      </c>
      <c r="V2291" t="s">
        <v>5928</v>
      </c>
      <c r="W2291" t="s">
        <v>3958</v>
      </c>
      <c r="X2291" t="s">
        <v>4660</v>
      </c>
    </row>
    <row r="2292" spans="1:24" x14ac:dyDescent="0.2">
      <c r="A2292" t="s">
        <v>5926</v>
      </c>
      <c r="B2292" t="s">
        <v>1985</v>
      </c>
      <c r="C2292" t="s">
        <v>1986</v>
      </c>
      <c r="D2292" t="s">
        <v>24</v>
      </c>
      <c r="E2292" t="s">
        <v>1987</v>
      </c>
      <c r="F2292" t="s">
        <v>84</v>
      </c>
      <c r="G2292" s="202">
        <v>1</v>
      </c>
      <c r="H2292">
        <v>2</v>
      </c>
      <c r="I2292" t="s">
        <v>3960</v>
      </c>
      <c r="J2292" t="s">
        <v>5229</v>
      </c>
      <c r="K2292" t="s">
        <v>1283</v>
      </c>
      <c r="L2292" s="204">
        <v>0.64</v>
      </c>
      <c r="M2292" s="112">
        <v>81.435000000000002</v>
      </c>
      <c r="N2292" s="112">
        <v>52.118400000000001</v>
      </c>
      <c r="O2292" s="204"/>
      <c r="P2292" s="112"/>
      <c r="Q2292" s="112"/>
      <c r="R2292" s="112"/>
      <c r="S2292" s="112"/>
      <c r="T2292" s="112"/>
      <c r="U2292" t="s">
        <v>5927</v>
      </c>
      <c r="V2292" t="s">
        <v>5928</v>
      </c>
      <c r="W2292" t="s">
        <v>3958</v>
      </c>
      <c r="X2292" t="s">
        <v>4660</v>
      </c>
    </row>
    <row r="2293" spans="1:24" x14ac:dyDescent="0.2">
      <c r="A2293" t="s">
        <v>5926</v>
      </c>
      <c r="B2293" t="s">
        <v>1985</v>
      </c>
      <c r="C2293" t="s">
        <v>1986</v>
      </c>
      <c r="D2293" t="s">
        <v>24</v>
      </c>
      <c r="E2293" t="s">
        <v>1987</v>
      </c>
      <c r="F2293" t="s">
        <v>84</v>
      </c>
      <c r="G2293" s="202">
        <v>1</v>
      </c>
      <c r="H2293">
        <v>3</v>
      </c>
      <c r="I2293" t="s">
        <v>3976</v>
      </c>
      <c r="J2293" t="s">
        <v>5230</v>
      </c>
      <c r="K2293" t="s">
        <v>1283</v>
      </c>
      <c r="L2293" s="204">
        <v>0.04</v>
      </c>
      <c r="M2293" s="112">
        <v>81.435000000000002</v>
      </c>
      <c r="N2293" s="112">
        <v>3.2574000000000001</v>
      </c>
      <c r="O2293" s="204"/>
      <c r="P2293" s="112"/>
      <c r="Q2293" s="112"/>
      <c r="R2293" s="112"/>
      <c r="S2293" s="112"/>
      <c r="T2293" s="112"/>
      <c r="U2293" t="s">
        <v>5927</v>
      </c>
      <c r="V2293" t="s">
        <v>5928</v>
      </c>
      <c r="W2293" t="s">
        <v>3958</v>
      </c>
      <c r="X2293" t="s">
        <v>4660</v>
      </c>
    </row>
    <row r="2294" spans="1:24" x14ac:dyDescent="0.2">
      <c r="A2294" t="s">
        <v>5926</v>
      </c>
      <c r="B2294" t="s">
        <v>1985</v>
      </c>
      <c r="C2294" t="s">
        <v>1986</v>
      </c>
      <c r="D2294" t="s">
        <v>24</v>
      </c>
      <c r="E2294" t="s">
        <v>1987</v>
      </c>
      <c r="F2294" t="s">
        <v>84</v>
      </c>
      <c r="G2294" s="202">
        <v>1</v>
      </c>
      <c r="H2294">
        <v>4</v>
      </c>
      <c r="I2294" t="s">
        <v>4017</v>
      </c>
      <c r="J2294" t="s">
        <v>4851</v>
      </c>
      <c r="K2294" t="s">
        <v>1283</v>
      </c>
      <c r="L2294" s="204">
        <v>0.06</v>
      </c>
      <c r="M2294" s="112">
        <v>81.435000000000002</v>
      </c>
      <c r="N2294" s="112">
        <v>4.8860999999999999</v>
      </c>
      <c r="O2294" s="204"/>
      <c r="P2294" s="112"/>
      <c r="Q2294" s="112"/>
      <c r="R2294" s="112"/>
      <c r="S2294" s="112"/>
      <c r="T2294" s="112"/>
      <c r="U2294" t="s">
        <v>5927</v>
      </c>
      <c r="V2294" t="s">
        <v>5928</v>
      </c>
      <c r="W2294" t="s">
        <v>3958</v>
      </c>
      <c r="X2294" t="s">
        <v>4660</v>
      </c>
    </row>
    <row r="2295" spans="1:24" x14ac:dyDescent="0.2">
      <c r="A2295" t="s">
        <v>5926</v>
      </c>
      <c r="B2295" t="s">
        <v>1985</v>
      </c>
      <c r="C2295" t="s">
        <v>1986</v>
      </c>
      <c r="D2295" t="s">
        <v>24</v>
      </c>
      <c r="E2295" t="s">
        <v>1987</v>
      </c>
      <c r="F2295" t="s">
        <v>84</v>
      </c>
      <c r="G2295" s="202">
        <v>1</v>
      </c>
      <c r="H2295">
        <v>5</v>
      </c>
      <c r="I2295" t="s">
        <v>3968</v>
      </c>
      <c r="J2295" t="s">
        <v>3969</v>
      </c>
      <c r="K2295" t="s">
        <v>84</v>
      </c>
      <c r="L2295" s="204">
        <v>1</v>
      </c>
      <c r="M2295" s="112"/>
      <c r="N2295" s="112">
        <v>81.435000000000002</v>
      </c>
      <c r="O2295" s="204">
        <v>0.2222017560017191</v>
      </c>
      <c r="P2295" s="112">
        <v>18.094999999999999</v>
      </c>
      <c r="Q2295" s="112">
        <v>99.53</v>
      </c>
      <c r="R2295" s="112">
        <v>99.53</v>
      </c>
      <c r="S2295" s="112">
        <v>99.53</v>
      </c>
      <c r="T2295" s="112">
        <v>0</v>
      </c>
      <c r="U2295" t="s">
        <v>5927</v>
      </c>
      <c r="V2295" t="s">
        <v>5928</v>
      </c>
      <c r="W2295" t="s">
        <v>4666</v>
      </c>
      <c r="X2295" t="s">
        <v>4667</v>
      </c>
    </row>
    <row r="2296" spans="1:24" x14ac:dyDescent="0.2">
      <c r="A2296" t="s">
        <v>5929</v>
      </c>
      <c r="B2296" t="s">
        <v>1988</v>
      </c>
      <c r="C2296" t="s">
        <v>1989</v>
      </c>
      <c r="D2296" t="s">
        <v>56</v>
      </c>
      <c r="E2296" t="s">
        <v>936</v>
      </c>
      <c r="F2296" t="s">
        <v>99</v>
      </c>
      <c r="G2296" s="202">
        <v>19.3</v>
      </c>
      <c r="H2296">
        <v>1</v>
      </c>
      <c r="I2296" t="s">
        <v>3954</v>
      </c>
      <c r="J2296" t="s">
        <v>4823</v>
      </c>
      <c r="K2296" t="s">
        <v>1283</v>
      </c>
      <c r="L2296" s="204">
        <v>0.18</v>
      </c>
      <c r="M2296" s="112">
        <v>7.5525000000000002</v>
      </c>
      <c r="N2296" s="112">
        <v>1.35945</v>
      </c>
      <c r="O2296" s="204"/>
      <c r="P2296" s="112"/>
      <c r="Q2296" s="112"/>
      <c r="R2296" s="112"/>
      <c r="S2296" s="112"/>
      <c r="T2296" s="112"/>
      <c r="U2296" t="s">
        <v>5930</v>
      </c>
      <c r="V2296" t="s">
        <v>5931</v>
      </c>
      <c r="W2296" t="s">
        <v>3958</v>
      </c>
      <c r="X2296" t="s">
        <v>4660</v>
      </c>
    </row>
    <row r="2297" spans="1:24" x14ac:dyDescent="0.2">
      <c r="A2297" t="s">
        <v>5929</v>
      </c>
      <c r="B2297" t="s">
        <v>1988</v>
      </c>
      <c r="C2297" t="s">
        <v>1989</v>
      </c>
      <c r="D2297" t="s">
        <v>56</v>
      </c>
      <c r="E2297" t="s">
        <v>936</v>
      </c>
      <c r="F2297" t="s">
        <v>99</v>
      </c>
      <c r="G2297" s="202">
        <v>19.3</v>
      </c>
      <c r="H2297">
        <v>2</v>
      </c>
      <c r="I2297" t="s">
        <v>3960</v>
      </c>
      <c r="J2297" t="s">
        <v>4826</v>
      </c>
      <c r="K2297" t="s">
        <v>1283</v>
      </c>
      <c r="L2297" s="204">
        <v>0.72</v>
      </c>
      <c r="M2297" s="112">
        <v>7.5525000000000002</v>
      </c>
      <c r="N2297" s="112">
        <v>5.4378000000000002</v>
      </c>
      <c r="O2297" s="204"/>
      <c r="P2297" s="112"/>
      <c r="Q2297" s="112"/>
      <c r="R2297" s="112"/>
      <c r="S2297" s="112"/>
      <c r="T2297" s="112"/>
      <c r="U2297" t="s">
        <v>5930</v>
      </c>
      <c r="V2297" t="s">
        <v>5931</v>
      </c>
      <c r="W2297" t="s">
        <v>3958</v>
      </c>
      <c r="X2297" t="s">
        <v>4660</v>
      </c>
    </row>
    <row r="2298" spans="1:24" x14ac:dyDescent="0.2">
      <c r="A2298" t="s">
        <v>5929</v>
      </c>
      <c r="B2298" t="s">
        <v>1988</v>
      </c>
      <c r="C2298" t="s">
        <v>1989</v>
      </c>
      <c r="D2298" t="s">
        <v>56</v>
      </c>
      <c r="E2298" t="s">
        <v>936</v>
      </c>
      <c r="F2298" t="s">
        <v>99</v>
      </c>
      <c r="G2298" s="202">
        <v>19.3</v>
      </c>
      <c r="H2298">
        <v>3</v>
      </c>
      <c r="I2298" t="s">
        <v>3976</v>
      </c>
      <c r="J2298" t="s">
        <v>4827</v>
      </c>
      <c r="K2298" t="s">
        <v>1283</v>
      </c>
      <c r="L2298" s="204">
        <v>0.05</v>
      </c>
      <c r="M2298" s="112">
        <v>7.5525000000000002</v>
      </c>
      <c r="N2298" s="112">
        <v>0.37762500000000004</v>
      </c>
      <c r="O2298" s="204"/>
      <c r="P2298" s="112"/>
      <c r="Q2298" s="112"/>
      <c r="R2298" s="112"/>
      <c r="S2298" s="112"/>
      <c r="T2298" s="112"/>
      <c r="U2298" t="s">
        <v>5930</v>
      </c>
      <c r="V2298" t="s">
        <v>5931</v>
      </c>
      <c r="W2298" t="s">
        <v>3958</v>
      </c>
      <c r="X2298" t="s">
        <v>4660</v>
      </c>
    </row>
    <row r="2299" spans="1:24" x14ac:dyDescent="0.2">
      <c r="A2299" t="s">
        <v>5929</v>
      </c>
      <c r="B2299" t="s">
        <v>1988</v>
      </c>
      <c r="C2299" t="s">
        <v>1989</v>
      </c>
      <c r="D2299" t="s">
        <v>56</v>
      </c>
      <c r="E2299" t="s">
        <v>936</v>
      </c>
      <c r="F2299" t="s">
        <v>99</v>
      </c>
      <c r="G2299" s="202">
        <v>19.3</v>
      </c>
      <c r="H2299">
        <v>4</v>
      </c>
      <c r="I2299" t="s">
        <v>4017</v>
      </c>
      <c r="J2299" t="s">
        <v>4809</v>
      </c>
      <c r="K2299" t="s">
        <v>1283</v>
      </c>
      <c r="L2299" s="204">
        <v>0.05</v>
      </c>
      <c r="M2299" s="112">
        <v>7.5525000000000002</v>
      </c>
      <c r="N2299" s="112">
        <v>0.37762500000000004</v>
      </c>
      <c r="O2299" s="204"/>
      <c r="P2299" s="112"/>
      <c r="Q2299" s="112"/>
      <c r="R2299" s="112"/>
      <c r="S2299" s="112"/>
      <c r="T2299" s="112"/>
      <c r="U2299" t="s">
        <v>5930</v>
      </c>
      <c r="V2299" t="s">
        <v>5931</v>
      </c>
      <c r="W2299" t="s">
        <v>3958</v>
      </c>
      <c r="X2299" t="s">
        <v>4660</v>
      </c>
    </row>
    <row r="2300" spans="1:24" x14ac:dyDescent="0.2">
      <c r="A2300" t="s">
        <v>5929</v>
      </c>
      <c r="B2300" t="s">
        <v>1988</v>
      </c>
      <c r="C2300" t="s">
        <v>1989</v>
      </c>
      <c r="D2300" t="s">
        <v>56</v>
      </c>
      <c r="E2300" t="s">
        <v>936</v>
      </c>
      <c r="F2300" t="s">
        <v>99</v>
      </c>
      <c r="G2300" s="202">
        <v>19.3</v>
      </c>
      <c r="H2300">
        <v>5</v>
      </c>
      <c r="I2300" t="s">
        <v>3968</v>
      </c>
      <c r="J2300" t="s">
        <v>3969</v>
      </c>
      <c r="K2300" t="s">
        <v>99</v>
      </c>
      <c r="L2300" s="204">
        <v>1</v>
      </c>
      <c r="M2300" s="112"/>
      <c r="N2300" s="112">
        <v>7.5525000000000002</v>
      </c>
      <c r="O2300" s="204">
        <v>0.22143269994322967</v>
      </c>
      <c r="P2300" s="112">
        <v>1.672370466321242</v>
      </c>
      <c r="Q2300" s="112">
        <v>9.2248704663212422</v>
      </c>
      <c r="R2300" s="112">
        <v>178.04</v>
      </c>
      <c r="S2300" s="112">
        <v>178.04</v>
      </c>
      <c r="T2300" s="112">
        <v>0</v>
      </c>
      <c r="U2300" t="s">
        <v>5930</v>
      </c>
      <c r="V2300" t="s">
        <v>5931</v>
      </c>
      <c r="W2300" t="s">
        <v>4666</v>
      </c>
      <c r="X2300" t="s">
        <v>4667</v>
      </c>
    </row>
    <row r="2301" spans="1:24" x14ac:dyDescent="0.2">
      <c r="A2301" t="s">
        <v>5932</v>
      </c>
      <c r="B2301" t="s">
        <v>1990</v>
      </c>
      <c r="C2301" t="s">
        <v>1991</v>
      </c>
      <c r="D2301" t="s">
        <v>56</v>
      </c>
      <c r="E2301" t="s">
        <v>937</v>
      </c>
      <c r="F2301" t="s">
        <v>99</v>
      </c>
      <c r="G2301" s="202">
        <v>23.1</v>
      </c>
      <c r="H2301">
        <v>1</v>
      </c>
      <c r="I2301" t="s">
        <v>3954</v>
      </c>
      <c r="J2301" t="s">
        <v>4823</v>
      </c>
      <c r="K2301" t="s">
        <v>1283</v>
      </c>
      <c r="L2301" s="204">
        <v>0.18</v>
      </c>
      <c r="M2301" s="112">
        <v>10.74</v>
      </c>
      <c r="N2301" s="112">
        <v>1.9332</v>
      </c>
      <c r="O2301" s="204"/>
      <c r="P2301" s="112"/>
      <c r="Q2301" s="112"/>
      <c r="R2301" s="112"/>
      <c r="S2301" s="112"/>
      <c r="T2301" s="112"/>
      <c r="U2301" t="s">
        <v>5933</v>
      </c>
      <c r="V2301" t="s">
        <v>5934</v>
      </c>
      <c r="W2301" t="s">
        <v>3958</v>
      </c>
      <c r="X2301" t="s">
        <v>4660</v>
      </c>
    </row>
    <row r="2302" spans="1:24" x14ac:dyDescent="0.2">
      <c r="A2302" t="s">
        <v>5932</v>
      </c>
      <c r="B2302" t="s">
        <v>1990</v>
      </c>
      <c r="C2302" t="s">
        <v>1991</v>
      </c>
      <c r="D2302" t="s">
        <v>56</v>
      </c>
      <c r="E2302" t="s">
        <v>937</v>
      </c>
      <c r="F2302" t="s">
        <v>99</v>
      </c>
      <c r="G2302" s="202">
        <v>23.1</v>
      </c>
      <c r="H2302">
        <v>2</v>
      </c>
      <c r="I2302" t="s">
        <v>3960</v>
      </c>
      <c r="J2302" t="s">
        <v>4826</v>
      </c>
      <c r="K2302" t="s">
        <v>1283</v>
      </c>
      <c r="L2302" s="204">
        <v>0.72</v>
      </c>
      <c r="M2302" s="112">
        <v>10.74</v>
      </c>
      <c r="N2302" s="112">
        <v>7.7328000000000001</v>
      </c>
      <c r="O2302" s="204"/>
      <c r="P2302" s="112"/>
      <c r="Q2302" s="112"/>
      <c r="R2302" s="112"/>
      <c r="S2302" s="112"/>
      <c r="T2302" s="112"/>
      <c r="U2302" t="s">
        <v>5933</v>
      </c>
      <c r="V2302" t="s">
        <v>5934</v>
      </c>
      <c r="W2302" t="s">
        <v>3958</v>
      </c>
      <c r="X2302" t="s">
        <v>4660</v>
      </c>
    </row>
    <row r="2303" spans="1:24" x14ac:dyDescent="0.2">
      <c r="A2303" t="s">
        <v>5932</v>
      </c>
      <c r="B2303" t="s">
        <v>1990</v>
      </c>
      <c r="C2303" t="s">
        <v>1991</v>
      </c>
      <c r="D2303" t="s">
        <v>56</v>
      </c>
      <c r="E2303" t="s">
        <v>937</v>
      </c>
      <c r="F2303" t="s">
        <v>99</v>
      </c>
      <c r="G2303" s="202">
        <v>23.1</v>
      </c>
      <c r="H2303">
        <v>3</v>
      </c>
      <c r="I2303" t="s">
        <v>3976</v>
      </c>
      <c r="J2303" t="s">
        <v>4827</v>
      </c>
      <c r="K2303" t="s">
        <v>1283</v>
      </c>
      <c r="L2303" s="204">
        <v>0.05</v>
      </c>
      <c r="M2303" s="112">
        <v>10.74</v>
      </c>
      <c r="N2303" s="112">
        <v>0.53700000000000003</v>
      </c>
      <c r="O2303" s="204"/>
      <c r="P2303" s="112"/>
      <c r="Q2303" s="112"/>
      <c r="R2303" s="112"/>
      <c r="S2303" s="112"/>
      <c r="T2303" s="112"/>
      <c r="U2303" t="s">
        <v>5933</v>
      </c>
      <c r="V2303" t="s">
        <v>5934</v>
      </c>
      <c r="W2303" t="s">
        <v>3958</v>
      </c>
      <c r="X2303" t="s">
        <v>4660</v>
      </c>
    </row>
    <row r="2304" spans="1:24" x14ac:dyDescent="0.2">
      <c r="A2304" t="s">
        <v>5932</v>
      </c>
      <c r="B2304" t="s">
        <v>1990</v>
      </c>
      <c r="C2304" t="s">
        <v>1991</v>
      </c>
      <c r="D2304" t="s">
        <v>56</v>
      </c>
      <c r="E2304" t="s">
        <v>937</v>
      </c>
      <c r="F2304" t="s">
        <v>99</v>
      </c>
      <c r="G2304" s="202">
        <v>23.1</v>
      </c>
      <c r="H2304">
        <v>4</v>
      </c>
      <c r="I2304" t="s">
        <v>4017</v>
      </c>
      <c r="J2304" t="s">
        <v>4809</v>
      </c>
      <c r="K2304" t="s">
        <v>1283</v>
      </c>
      <c r="L2304" s="204">
        <v>0.05</v>
      </c>
      <c r="M2304" s="112">
        <v>10.74</v>
      </c>
      <c r="N2304" s="112">
        <v>0.53700000000000003</v>
      </c>
      <c r="O2304" s="204"/>
      <c r="P2304" s="112"/>
      <c r="Q2304" s="112"/>
      <c r="R2304" s="112"/>
      <c r="S2304" s="112"/>
      <c r="T2304" s="112"/>
      <c r="U2304" t="s">
        <v>5933</v>
      </c>
      <c r="V2304" t="s">
        <v>5934</v>
      </c>
      <c r="W2304" t="s">
        <v>3958</v>
      </c>
      <c r="X2304" t="s">
        <v>4660</v>
      </c>
    </row>
    <row r="2305" spans="1:24" x14ac:dyDescent="0.2">
      <c r="A2305" t="s">
        <v>5932</v>
      </c>
      <c r="B2305" t="s">
        <v>1990</v>
      </c>
      <c r="C2305" t="s">
        <v>1991</v>
      </c>
      <c r="D2305" t="s">
        <v>56</v>
      </c>
      <c r="E2305" t="s">
        <v>937</v>
      </c>
      <c r="F2305" t="s">
        <v>99</v>
      </c>
      <c r="G2305" s="202">
        <v>23.1</v>
      </c>
      <c r="H2305">
        <v>5</v>
      </c>
      <c r="I2305" t="s">
        <v>3968</v>
      </c>
      <c r="J2305" t="s">
        <v>3969</v>
      </c>
      <c r="K2305" t="s">
        <v>99</v>
      </c>
      <c r="L2305" s="204">
        <v>1</v>
      </c>
      <c r="M2305" s="112"/>
      <c r="N2305" s="112">
        <v>10.74</v>
      </c>
      <c r="O2305" s="204">
        <v>0.22203680862898745</v>
      </c>
      <c r="P2305" s="112">
        <v>2.3846753246753245</v>
      </c>
      <c r="Q2305" s="112">
        <v>13.124675324675325</v>
      </c>
      <c r="R2305" s="112">
        <v>303.18</v>
      </c>
      <c r="S2305" s="112">
        <v>303.18</v>
      </c>
      <c r="T2305" s="112">
        <v>0</v>
      </c>
      <c r="U2305" t="s">
        <v>5933</v>
      </c>
      <c r="V2305" t="s">
        <v>5934</v>
      </c>
      <c r="W2305" t="s">
        <v>4666</v>
      </c>
      <c r="X2305" t="s">
        <v>4667</v>
      </c>
    </row>
    <row r="2306" spans="1:24" x14ac:dyDescent="0.2">
      <c r="A2306" t="s">
        <v>5935</v>
      </c>
      <c r="B2306" t="s">
        <v>1992</v>
      </c>
      <c r="C2306" t="s">
        <v>938</v>
      </c>
      <c r="D2306" t="s">
        <v>209</v>
      </c>
      <c r="E2306" t="s">
        <v>939</v>
      </c>
      <c r="F2306" t="s">
        <v>99</v>
      </c>
      <c r="G2306" s="202">
        <v>21.7</v>
      </c>
      <c r="H2306">
        <v>1</v>
      </c>
      <c r="I2306" t="s">
        <v>3954</v>
      </c>
      <c r="J2306" t="s">
        <v>4823</v>
      </c>
      <c r="K2306" t="s">
        <v>1283</v>
      </c>
      <c r="L2306" s="204">
        <v>0.18</v>
      </c>
      <c r="M2306" s="112">
        <v>54.352499999999999</v>
      </c>
      <c r="N2306" s="112">
        <v>9.7834500000000002</v>
      </c>
      <c r="O2306" s="204"/>
      <c r="P2306" s="112"/>
      <c r="Q2306" s="112"/>
      <c r="R2306" s="112"/>
      <c r="S2306" s="112"/>
      <c r="T2306" s="112"/>
      <c r="U2306" t="s">
        <v>4516</v>
      </c>
      <c r="V2306" t="s">
        <v>5936</v>
      </c>
      <c r="W2306" t="s">
        <v>3958</v>
      </c>
      <c r="X2306" t="s">
        <v>4660</v>
      </c>
    </row>
    <row r="2307" spans="1:24" x14ac:dyDescent="0.2">
      <c r="A2307" t="s">
        <v>5935</v>
      </c>
      <c r="B2307" t="s">
        <v>1992</v>
      </c>
      <c r="C2307" t="s">
        <v>938</v>
      </c>
      <c r="D2307" t="s">
        <v>209</v>
      </c>
      <c r="E2307" t="s">
        <v>939</v>
      </c>
      <c r="F2307" t="s">
        <v>99</v>
      </c>
      <c r="G2307" s="202">
        <v>21.7</v>
      </c>
      <c r="H2307">
        <v>2</v>
      </c>
      <c r="I2307" t="s">
        <v>3960</v>
      </c>
      <c r="J2307" t="s">
        <v>4826</v>
      </c>
      <c r="K2307" t="s">
        <v>1283</v>
      </c>
      <c r="L2307" s="204">
        <v>0.72</v>
      </c>
      <c r="M2307" s="112">
        <v>54.352499999999999</v>
      </c>
      <c r="N2307" s="112">
        <v>39.133800000000001</v>
      </c>
      <c r="O2307" s="204"/>
      <c r="P2307" s="112"/>
      <c r="Q2307" s="112"/>
      <c r="R2307" s="112"/>
      <c r="S2307" s="112"/>
      <c r="T2307" s="112"/>
      <c r="U2307" t="s">
        <v>4516</v>
      </c>
      <c r="V2307" t="s">
        <v>5936</v>
      </c>
      <c r="W2307" t="s">
        <v>3958</v>
      </c>
      <c r="X2307" t="s">
        <v>4660</v>
      </c>
    </row>
    <row r="2308" spans="1:24" x14ac:dyDescent="0.2">
      <c r="A2308" t="s">
        <v>5935</v>
      </c>
      <c r="B2308" t="s">
        <v>1992</v>
      </c>
      <c r="C2308" t="s">
        <v>938</v>
      </c>
      <c r="D2308" t="s">
        <v>209</v>
      </c>
      <c r="E2308" t="s">
        <v>939</v>
      </c>
      <c r="F2308" t="s">
        <v>99</v>
      </c>
      <c r="G2308" s="202">
        <v>21.7</v>
      </c>
      <c r="H2308">
        <v>3</v>
      </c>
      <c r="I2308" t="s">
        <v>3976</v>
      </c>
      <c r="J2308" t="s">
        <v>4827</v>
      </c>
      <c r="K2308" t="s">
        <v>1283</v>
      </c>
      <c r="L2308" s="204">
        <v>0.05</v>
      </c>
      <c r="M2308" s="112">
        <v>54.352499999999999</v>
      </c>
      <c r="N2308" s="112">
        <v>2.717625</v>
      </c>
      <c r="O2308" s="204"/>
      <c r="P2308" s="112"/>
      <c r="Q2308" s="112"/>
      <c r="R2308" s="112"/>
      <c r="S2308" s="112"/>
      <c r="T2308" s="112"/>
      <c r="U2308" t="s">
        <v>4516</v>
      </c>
      <c r="V2308" t="s">
        <v>5936</v>
      </c>
      <c r="W2308" t="s">
        <v>3958</v>
      </c>
      <c r="X2308" t="s">
        <v>4660</v>
      </c>
    </row>
    <row r="2309" spans="1:24" x14ac:dyDescent="0.2">
      <c r="A2309" t="s">
        <v>5935</v>
      </c>
      <c r="B2309" t="s">
        <v>1992</v>
      </c>
      <c r="C2309" t="s">
        <v>938</v>
      </c>
      <c r="D2309" t="s">
        <v>209</v>
      </c>
      <c r="E2309" t="s">
        <v>939</v>
      </c>
      <c r="F2309" t="s">
        <v>99</v>
      </c>
      <c r="G2309" s="202">
        <v>21.7</v>
      </c>
      <c r="H2309">
        <v>4</v>
      </c>
      <c r="I2309" t="s">
        <v>4017</v>
      </c>
      <c r="J2309" t="s">
        <v>4809</v>
      </c>
      <c r="K2309" t="s">
        <v>1283</v>
      </c>
      <c r="L2309" s="204">
        <v>0.05</v>
      </c>
      <c r="M2309" s="112">
        <v>54.352499999999999</v>
      </c>
      <c r="N2309" s="112">
        <v>2.717625</v>
      </c>
      <c r="O2309" s="204"/>
      <c r="P2309" s="112"/>
      <c r="Q2309" s="112"/>
      <c r="R2309" s="112"/>
      <c r="S2309" s="112"/>
      <c r="T2309" s="112"/>
      <c r="U2309" t="s">
        <v>4516</v>
      </c>
      <c r="V2309" t="s">
        <v>5936</v>
      </c>
      <c r="W2309" t="s">
        <v>3958</v>
      </c>
      <c r="X2309" t="s">
        <v>4660</v>
      </c>
    </row>
    <row r="2310" spans="1:24" x14ac:dyDescent="0.2">
      <c r="A2310" t="s">
        <v>5935</v>
      </c>
      <c r="B2310" t="s">
        <v>1992</v>
      </c>
      <c r="C2310" t="s">
        <v>938</v>
      </c>
      <c r="D2310" t="s">
        <v>209</v>
      </c>
      <c r="E2310" t="s">
        <v>939</v>
      </c>
      <c r="F2310" t="s">
        <v>99</v>
      </c>
      <c r="G2310" s="202">
        <v>21.7</v>
      </c>
      <c r="H2310">
        <v>5</v>
      </c>
      <c r="I2310" t="s">
        <v>3968</v>
      </c>
      <c r="J2310" t="s">
        <v>3969</v>
      </c>
      <c r="K2310" t="s">
        <v>99</v>
      </c>
      <c r="L2310" s="204">
        <v>1</v>
      </c>
      <c r="M2310" s="112"/>
      <c r="N2310" s="112">
        <v>54.352499999999999</v>
      </c>
      <c r="O2310" s="204">
        <v>0.22229082768927966</v>
      </c>
      <c r="P2310" s="112">
        <v>12.082062211981572</v>
      </c>
      <c r="Q2310" s="112">
        <v>66.434562211981572</v>
      </c>
      <c r="R2310" s="112">
        <v>1441.63</v>
      </c>
      <c r="S2310" s="112">
        <v>1441.63</v>
      </c>
      <c r="T2310" s="112">
        <v>0</v>
      </c>
      <c r="U2310" t="s">
        <v>4516</v>
      </c>
      <c r="V2310" t="s">
        <v>5936</v>
      </c>
      <c r="W2310" t="s">
        <v>4666</v>
      </c>
      <c r="X2310" t="s">
        <v>4667</v>
      </c>
    </row>
    <row r="2311" spans="1:24" x14ac:dyDescent="0.2">
      <c r="A2311" t="s">
        <v>5937</v>
      </c>
      <c r="B2311" t="s">
        <v>1993</v>
      </c>
      <c r="C2311" t="s">
        <v>940</v>
      </c>
      <c r="D2311" t="s">
        <v>209</v>
      </c>
      <c r="E2311" t="s">
        <v>941</v>
      </c>
      <c r="F2311" t="s">
        <v>99</v>
      </c>
      <c r="G2311" s="202">
        <v>78.900000000000006</v>
      </c>
      <c r="H2311">
        <v>1</v>
      </c>
      <c r="I2311" t="s">
        <v>3954</v>
      </c>
      <c r="J2311" t="s">
        <v>4823</v>
      </c>
      <c r="K2311" t="s">
        <v>1283</v>
      </c>
      <c r="L2311" s="204">
        <v>0.18</v>
      </c>
      <c r="M2311" s="112">
        <v>80.894999999999996</v>
      </c>
      <c r="N2311" s="112">
        <v>14.561099999999998</v>
      </c>
      <c r="O2311" s="204"/>
      <c r="P2311" s="112"/>
      <c r="Q2311" s="112"/>
      <c r="R2311" s="112"/>
      <c r="S2311" s="112"/>
      <c r="T2311" s="112"/>
      <c r="U2311" t="s">
        <v>4450</v>
      </c>
      <c r="V2311" t="s">
        <v>5938</v>
      </c>
      <c r="W2311" t="s">
        <v>3958</v>
      </c>
      <c r="X2311" t="s">
        <v>4660</v>
      </c>
    </row>
    <row r="2312" spans="1:24" x14ac:dyDescent="0.2">
      <c r="A2312" t="s">
        <v>5937</v>
      </c>
      <c r="B2312" t="s">
        <v>1993</v>
      </c>
      <c r="C2312" t="s">
        <v>940</v>
      </c>
      <c r="D2312" t="s">
        <v>209</v>
      </c>
      <c r="E2312" t="s">
        <v>941</v>
      </c>
      <c r="F2312" t="s">
        <v>99</v>
      </c>
      <c r="G2312" s="202">
        <v>78.900000000000006</v>
      </c>
      <c r="H2312">
        <v>2</v>
      </c>
      <c r="I2312" t="s">
        <v>3960</v>
      </c>
      <c r="J2312" t="s">
        <v>4826</v>
      </c>
      <c r="K2312" t="s">
        <v>1283</v>
      </c>
      <c r="L2312" s="204">
        <v>0.72</v>
      </c>
      <c r="M2312" s="112">
        <v>80.894999999999996</v>
      </c>
      <c r="N2312" s="112">
        <v>58.244399999999992</v>
      </c>
      <c r="O2312" s="204"/>
      <c r="P2312" s="112"/>
      <c r="Q2312" s="112"/>
      <c r="R2312" s="112"/>
      <c r="S2312" s="112"/>
      <c r="T2312" s="112"/>
      <c r="U2312" t="s">
        <v>4450</v>
      </c>
      <c r="V2312" t="s">
        <v>5938</v>
      </c>
      <c r="W2312" t="s">
        <v>3958</v>
      </c>
      <c r="X2312" t="s">
        <v>4660</v>
      </c>
    </row>
    <row r="2313" spans="1:24" x14ac:dyDescent="0.2">
      <c r="A2313" t="s">
        <v>5937</v>
      </c>
      <c r="B2313" t="s">
        <v>1993</v>
      </c>
      <c r="C2313" t="s">
        <v>940</v>
      </c>
      <c r="D2313" t="s">
        <v>209</v>
      </c>
      <c r="E2313" t="s">
        <v>941</v>
      </c>
      <c r="F2313" t="s">
        <v>99</v>
      </c>
      <c r="G2313" s="202">
        <v>78.900000000000006</v>
      </c>
      <c r="H2313">
        <v>3</v>
      </c>
      <c r="I2313" t="s">
        <v>3976</v>
      </c>
      <c r="J2313" t="s">
        <v>4827</v>
      </c>
      <c r="K2313" t="s">
        <v>1283</v>
      </c>
      <c r="L2313" s="204">
        <v>0.05</v>
      </c>
      <c r="M2313" s="112">
        <v>80.894999999999996</v>
      </c>
      <c r="N2313" s="112">
        <v>4.0447499999999996</v>
      </c>
      <c r="O2313" s="204"/>
      <c r="P2313" s="112"/>
      <c r="Q2313" s="112"/>
      <c r="R2313" s="112"/>
      <c r="S2313" s="112"/>
      <c r="T2313" s="112"/>
      <c r="U2313" t="s">
        <v>4450</v>
      </c>
      <c r="V2313" t="s">
        <v>5938</v>
      </c>
      <c r="W2313" t="s">
        <v>3958</v>
      </c>
      <c r="X2313" t="s">
        <v>4660</v>
      </c>
    </row>
    <row r="2314" spans="1:24" x14ac:dyDescent="0.2">
      <c r="A2314" t="s">
        <v>5937</v>
      </c>
      <c r="B2314" t="s">
        <v>1993</v>
      </c>
      <c r="C2314" t="s">
        <v>940</v>
      </c>
      <c r="D2314" t="s">
        <v>209</v>
      </c>
      <c r="E2314" t="s">
        <v>941</v>
      </c>
      <c r="F2314" t="s">
        <v>99</v>
      </c>
      <c r="G2314" s="202">
        <v>78.900000000000006</v>
      </c>
      <c r="H2314">
        <v>4</v>
      </c>
      <c r="I2314" t="s">
        <v>4017</v>
      </c>
      <c r="J2314" t="s">
        <v>4809</v>
      </c>
      <c r="K2314" t="s">
        <v>1283</v>
      </c>
      <c r="L2314" s="204">
        <v>0.05</v>
      </c>
      <c r="M2314" s="112">
        <v>80.894999999999996</v>
      </c>
      <c r="N2314" s="112">
        <v>4.0447499999999996</v>
      </c>
      <c r="O2314" s="204"/>
      <c r="P2314" s="112"/>
      <c r="Q2314" s="112"/>
      <c r="R2314" s="112"/>
      <c r="S2314" s="112"/>
      <c r="T2314" s="112"/>
      <c r="U2314" t="s">
        <v>4450</v>
      </c>
      <c r="V2314" t="s">
        <v>5938</v>
      </c>
      <c r="W2314" t="s">
        <v>3958</v>
      </c>
      <c r="X2314" t="s">
        <v>4660</v>
      </c>
    </row>
    <row r="2315" spans="1:24" x14ac:dyDescent="0.2">
      <c r="A2315" t="s">
        <v>5937</v>
      </c>
      <c r="B2315" t="s">
        <v>1993</v>
      </c>
      <c r="C2315" t="s">
        <v>940</v>
      </c>
      <c r="D2315" t="s">
        <v>209</v>
      </c>
      <c r="E2315" t="s">
        <v>941</v>
      </c>
      <c r="F2315" t="s">
        <v>99</v>
      </c>
      <c r="G2315" s="202">
        <v>78.900000000000006</v>
      </c>
      <c r="H2315">
        <v>5</v>
      </c>
      <c r="I2315" t="s">
        <v>3968</v>
      </c>
      <c r="J2315" t="s">
        <v>3969</v>
      </c>
      <c r="K2315" t="s">
        <v>99</v>
      </c>
      <c r="L2315" s="204">
        <v>1</v>
      </c>
      <c r="M2315" s="112"/>
      <c r="N2315" s="112">
        <v>80.894999999999996</v>
      </c>
      <c r="O2315" s="204">
        <v>0.22223248447286226</v>
      </c>
      <c r="P2315" s="112">
        <v>17.977496831432191</v>
      </c>
      <c r="Q2315" s="112">
        <v>98.872496831432187</v>
      </c>
      <c r="R2315" s="112">
        <v>7801.04</v>
      </c>
      <c r="S2315" s="112">
        <v>7801.04</v>
      </c>
      <c r="T2315" s="112">
        <v>0</v>
      </c>
      <c r="U2315" t="s">
        <v>4450</v>
      </c>
      <c r="V2315" t="s">
        <v>5938</v>
      </c>
      <c r="W2315" t="s">
        <v>4666</v>
      </c>
      <c r="X2315" t="s">
        <v>4667</v>
      </c>
    </row>
    <row r="2316" spans="1:24" x14ac:dyDescent="0.2">
      <c r="A2316" t="s">
        <v>5939</v>
      </c>
      <c r="B2316" t="s">
        <v>1994</v>
      </c>
      <c r="C2316" t="s">
        <v>1634</v>
      </c>
      <c r="D2316" t="s">
        <v>56</v>
      </c>
      <c r="E2316" t="s">
        <v>942</v>
      </c>
      <c r="F2316" t="s">
        <v>84</v>
      </c>
      <c r="G2316" s="202">
        <v>4</v>
      </c>
      <c r="H2316">
        <v>1</v>
      </c>
      <c r="I2316" t="s">
        <v>3954</v>
      </c>
      <c r="J2316" t="s">
        <v>4110</v>
      </c>
      <c r="K2316" t="s">
        <v>1283</v>
      </c>
      <c r="L2316" s="204">
        <v>0.3</v>
      </c>
      <c r="M2316" s="112">
        <v>118.38</v>
      </c>
      <c r="N2316" s="112">
        <v>35.513999999999996</v>
      </c>
      <c r="O2316" s="204"/>
      <c r="P2316" s="112"/>
      <c r="Q2316" s="112"/>
      <c r="R2316" s="112"/>
      <c r="S2316" s="112"/>
      <c r="T2316" s="112"/>
      <c r="U2316" t="s">
        <v>5354</v>
      </c>
      <c r="V2316" t="s">
        <v>5940</v>
      </c>
      <c r="W2316" t="s">
        <v>3958</v>
      </c>
      <c r="X2316" t="s">
        <v>4660</v>
      </c>
    </row>
    <row r="2317" spans="1:24" x14ac:dyDescent="0.2">
      <c r="A2317" t="s">
        <v>5939</v>
      </c>
      <c r="B2317" t="s">
        <v>1994</v>
      </c>
      <c r="C2317" t="s">
        <v>1634</v>
      </c>
      <c r="D2317" t="s">
        <v>56</v>
      </c>
      <c r="E2317" t="s">
        <v>942</v>
      </c>
      <c r="F2317" t="s">
        <v>84</v>
      </c>
      <c r="G2317" s="202">
        <v>4</v>
      </c>
      <c r="H2317">
        <v>2</v>
      </c>
      <c r="I2317" t="s">
        <v>3960</v>
      </c>
      <c r="J2317" t="s">
        <v>4113</v>
      </c>
      <c r="K2317" t="s">
        <v>1283</v>
      </c>
      <c r="L2317" s="204">
        <v>0.55000000000000004</v>
      </c>
      <c r="M2317" s="112">
        <v>118.38</v>
      </c>
      <c r="N2317" s="112">
        <v>65.109000000000009</v>
      </c>
      <c r="O2317" s="204"/>
      <c r="P2317" s="112"/>
      <c r="Q2317" s="112"/>
      <c r="R2317" s="112"/>
      <c r="S2317" s="112"/>
      <c r="T2317" s="112"/>
      <c r="U2317" t="s">
        <v>5354</v>
      </c>
      <c r="V2317" t="s">
        <v>5940</v>
      </c>
      <c r="W2317" t="s">
        <v>3958</v>
      </c>
      <c r="X2317" t="s">
        <v>4660</v>
      </c>
    </row>
    <row r="2318" spans="1:24" x14ac:dyDescent="0.2">
      <c r="A2318" t="s">
        <v>5939</v>
      </c>
      <c r="B2318" t="s">
        <v>1994</v>
      </c>
      <c r="C2318" t="s">
        <v>1634</v>
      </c>
      <c r="D2318" t="s">
        <v>56</v>
      </c>
      <c r="E2318" t="s">
        <v>942</v>
      </c>
      <c r="F2318" t="s">
        <v>84</v>
      </c>
      <c r="G2318" s="202">
        <v>4</v>
      </c>
      <c r="H2318">
        <v>3</v>
      </c>
      <c r="I2318" t="s">
        <v>3976</v>
      </c>
      <c r="J2318" t="s">
        <v>4114</v>
      </c>
      <c r="K2318" t="s">
        <v>1283</v>
      </c>
      <c r="L2318" s="204">
        <v>0.1</v>
      </c>
      <c r="M2318" s="112">
        <v>118.38</v>
      </c>
      <c r="N2318" s="112">
        <v>11.838000000000001</v>
      </c>
      <c r="O2318" s="204"/>
      <c r="P2318" s="112"/>
      <c r="Q2318" s="112"/>
      <c r="R2318" s="112"/>
      <c r="S2318" s="112"/>
      <c r="T2318" s="112"/>
      <c r="U2318" t="s">
        <v>5354</v>
      </c>
      <c r="V2318" t="s">
        <v>5940</v>
      </c>
      <c r="W2318" t="s">
        <v>3958</v>
      </c>
      <c r="X2318" t="s">
        <v>4660</v>
      </c>
    </row>
    <row r="2319" spans="1:24" x14ac:dyDescent="0.2">
      <c r="A2319" t="s">
        <v>5939</v>
      </c>
      <c r="B2319" t="s">
        <v>1994</v>
      </c>
      <c r="C2319" t="s">
        <v>1634</v>
      </c>
      <c r="D2319" t="s">
        <v>56</v>
      </c>
      <c r="E2319" t="s">
        <v>942</v>
      </c>
      <c r="F2319" t="s">
        <v>84</v>
      </c>
      <c r="G2319" s="202">
        <v>4</v>
      </c>
      <c r="H2319">
        <v>4</v>
      </c>
      <c r="I2319" t="s">
        <v>4017</v>
      </c>
      <c r="J2319" t="s">
        <v>4115</v>
      </c>
      <c r="K2319" t="s">
        <v>1283</v>
      </c>
      <c r="L2319" s="204">
        <v>0.05</v>
      </c>
      <c r="M2319" s="112">
        <v>118.38</v>
      </c>
      <c r="N2319" s="112">
        <v>5.9190000000000005</v>
      </c>
      <c r="O2319" s="204"/>
      <c r="P2319" s="112"/>
      <c r="Q2319" s="112"/>
      <c r="R2319" s="112"/>
      <c r="S2319" s="112"/>
      <c r="T2319" s="112"/>
      <c r="U2319" t="s">
        <v>5354</v>
      </c>
      <c r="V2319" t="s">
        <v>5940</v>
      </c>
      <c r="W2319" t="s">
        <v>3958</v>
      </c>
      <c r="X2319" t="s">
        <v>4660</v>
      </c>
    </row>
    <row r="2320" spans="1:24" x14ac:dyDescent="0.2">
      <c r="A2320" t="s">
        <v>5939</v>
      </c>
      <c r="B2320" t="s">
        <v>1994</v>
      </c>
      <c r="C2320" t="s">
        <v>1634</v>
      </c>
      <c r="D2320" t="s">
        <v>56</v>
      </c>
      <c r="E2320" t="s">
        <v>942</v>
      </c>
      <c r="F2320" t="s">
        <v>84</v>
      </c>
      <c r="G2320" s="202">
        <v>4</v>
      </c>
      <c r="H2320">
        <v>5</v>
      </c>
      <c r="I2320" t="s">
        <v>3968</v>
      </c>
      <c r="J2320" t="s">
        <v>3969</v>
      </c>
      <c r="K2320" t="s">
        <v>84</v>
      </c>
      <c r="L2320" s="204">
        <v>1</v>
      </c>
      <c r="M2320" s="112"/>
      <c r="N2320" s="112">
        <v>118.38</v>
      </c>
      <c r="O2320" s="204">
        <v>0.222250380131779</v>
      </c>
      <c r="P2320" s="112">
        <v>26.310000000000002</v>
      </c>
      <c r="Q2320" s="112">
        <v>144.69</v>
      </c>
      <c r="R2320" s="112">
        <v>578.76</v>
      </c>
      <c r="S2320" s="112">
        <v>578.76</v>
      </c>
      <c r="T2320" s="112">
        <v>0</v>
      </c>
      <c r="U2320" t="s">
        <v>5354</v>
      </c>
      <c r="V2320" t="s">
        <v>5940</v>
      </c>
      <c r="W2320" t="s">
        <v>4666</v>
      </c>
      <c r="X2320" t="s">
        <v>4667</v>
      </c>
    </row>
    <row r="2321" spans="1:24" x14ac:dyDescent="0.2">
      <c r="A2321" t="s">
        <v>5941</v>
      </c>
      <c r="B2321" t="s">
        <v>1995</v>
      </c>
      <c r="C2321" t="s">
        <v>1996</v>
      </c>
      <c r="D2321" t="s">
        <v>56</v>
      </c>
      <c r="E2321" t="s">
        <v>943</v>
      </c>
      <c r="F2321" t="s">
        <v>99</v>
      </c>
      <c r="G2321" s="202">
        <v>219</v>
      </c>
      <c r="H2321">
        <v>1</v>
      </c>
      <c r="I2321" t="s">
        <v>3954</v>
      </c>
      <c r="J2321" t="s">
        <v>4823</v>
      </c>
      <c r="K2321" t="s">
        <v>1283</v>
      </c>
      <c r="L2321" s="204">
        <v>0.18</v>
      </c>
      <c r="M2321" s="112">
        <v>8.8349999999999991</v>
      </c>
      <c r="N2321" s="112">
        <v>1.5902999999999998</v>
      </c>
      <c r="O2321" s="204"/>
      <c r="P2321" s="112"/>
      <c r="Q2321" s="112"/>
      <c r="R2321" s="112"/>
      <c r="S2321" s="112"/>
      <c r="T2321" s="112"/>
      <c r="U2321" t="s">
        <v>5942</v>
      </c>
      <c r="V2321" t="s">
        <v>5943</v>
      </c>
      <c r="W2321" t="s">
        <v>3958</v>
      </c>
      <c r="X2321" t="s">
        <v>4660</v>
      </c>
    </row>
    <row r="2322" spans="1:24" x14ac:dyDescent="0.2">
      <c r="A2322" t="s">
        <v>5941</v>
      </c>
      <c r="B2322" t="s">
        <v>1995</v>
      </c>
      <c r="C2322" t="s">
        <v>1996</v>
      </c>
      <c r="D2322" t="s">
        <v>56</v>
      </c>
      <c r="E2322" t="s">
        <v>943</v>
      </c>
      <c r="F2322" t="s">
        <v>99</v>
      </c>
      <c r="G2322" s="202">
        <v>219</v>
      </c>
      <c r="H2322">
        <v>2</v>
      </c>
      <c r="I2322" t="s">
        <v>3960</v>
      </c>
      <c r="J2322" t="s">
        <v>4826</v>
      </c>
      <c r="K2322" t="s">
        <v>1283</v>
      </c>
      <c r="L2322" s="204">
        <v>0.72</v>
      </c>
      <c r="M2322" s="112">
        <v>8.8349999999999991</v>
      </c>
      <c r="N2322" s="112">
        <v>6.3611999999999993</v>
      </c>
      <c r="O2322" s="204"/>
      <c r="P2322" s="112"/>
      <c r="Q2322" s="112"/>
      <c r="R2322" s="112"/>
      <c r="S2322" s="112"/>
      <c r="T2322" s="112"/>
      <c r="U2322" t="s">
        <v>5942</v>
      </c>
      <c r="V2322" t="s">
        <v>5943</v>
      </c>
      <c r="W2322" t="s">
        <v>3958</v>
      </c>
      <c r="X2322" t="s">
        <v>4660</v>
      </c>
    </row>
    <row r="2323" spans="1:24" x14ac:dyDescent="0.2">
      <c r="A2323" t="s">
        <v>5941</v>
      </c>
      <c r="B2323" t="s">
        <v>1995</v>
      </c>
      <c r="C2323" t="s">
        <v>1996</v>
      </c>
      <c r="D2323" t="s">
        <v>56</v>
      </c>
      <c r="E2323" t="s">
        <v>943</v>
      </c>
      <c r="F2323" t="s">
        <v>99</v>
      </c>
      <c r="G2323" s="202">
        <v>219</v>
      </c>
      <c r="H2323">
        <v>3</v>
      </c>
      <c r="I2323" t="s">
        <v>3976</v>
      </c>
      <c r="J2323" t="s">
        <v>4827</v>
      </c>
      <c r="K2323" t="s">
        <v>1283</v>
      </c>
      <c r="L2323" s="204">
        <v>0.05</v>
      </c>
      <c r="M2323" s="112">
        <v>8.8349999999999991</v>
      </c>
      <c r="N2323" s="112">
        <v>0.44174999999999998</v>
      </c>
      <c r="O2323" s="204"/>
      <c r="P2323" s="112"/>
      <c r="Q2323" s="112"/>
      <c r="R2323" s="112"/>
      <c r="S2323" s="112"/>
      <c r="T2323" s="112"/>
      <c r="U2323" t="s">
        <v>5942</v>
      </c>
      <c r="V2323" t="s">
        <v>5943</v>
      </c>
      <c r="W2323" t="s">
        <v>3958</v>
      </c>
      <c r="X2323" t="s">
        <v>4660</v>
      </c>
    </row>
    <row r="2324" spans="1:24" x14ac:dyDescent="0.2">
      <c r="A2324" t="s">
        <v>5941</v>
      </c>
      <c r="B2324" t="s">
        <v>1995</v>
      </c>
      <c r="C2324" t="s">
        <v>1996</v>
      </c>
      <c r="D2324" t="s">
        <v>56</v>
      </c>
      <c r="E2324" t="s">
        <v>943</v>
      </c>
      <c r="F2324" t="s">
        <v>99</v>
      </c>
      <c r="G2324" s="202">
        <v>219</v>
      </c>
      <c r="H2324">
        <v>4</v>
      </c>
      <c r="I2324" t="s">
        <v>4017</v>
      </c>
      <c r="J2324" t="s">
        <v>4809</v>
      </c>
      <c r="K2324" t="s">
        <v>1283</v>
      </c>
      <c r="L2324" s="204">
        <v>0.05</v>
      </c>
      <c r="M2324" s="112">
        <v>8.8349999999999991</v>
      </c>
      <c r="N2324" s="112">
        <v>0.44174999999999998</v>
      </c>
      <c r="O2324" s="204"/>
      <c r="P2324" s="112"/>
      <c r="Q2324" s="112"/>
      <c r="R2324" s="112"/>
      <c r="S2324" s="112"/>
      <c r="T2324" s="112"/>
      <c r="U2324" t="s">
        <v>5942</v>
      </c>
      <c r="V2324" t="s">
        <v>5943</v>
      </c>
      <c r="W2324" t="s">
        <v>3958</v>
      </c>
      <c r="X2324" t="s">
        <v>4660</v>
      </c>
    </row>
    <row r="2325" spans="1:24" x14ac:dyDescent="0.2">
      <c r="A2325" t="s">
        <v>5941</v>
      </c>
      <c r="B2325" t="s">
        <v>1995</v>
      </c>
      <c r="C2325" t="s">
        <v>1996</v>
      </c>
      <c r="D2325" t="s">
        <v>56</v>
      </c>
      <c r="E2325" t="s">
        <v>943</v>
      </c>
      <c r="F2325" t="s">
        <v>99</v>
      </c>
      <c r="G2325" s="202">
        <v>219</v>
      </c>
      <c r="H2325">
        <v>5</v>
      </c>
      <c r="I2325" t="s">
        <v>3968</v>
      </c>
      <c r="J2325" t="s">
        <v>3969</v>
      </c>
      <c r="K2325" t="s">
        <v>99</v>
      </c>
      <c r="L2325" s="204">
        <v>1</v>
      </c>
      <c r="M2325" s="112"/>
      <c r="N2325" s="112">
        <v>8.8349999999999991</v>
      </c>
      <c r="O2325" s="204">
        <v>0.22155809320030095</v>
      </c>
      <c r="P2325" s="112">
        <v>1.9574657534246587</v>
      </c>
      <c r="Q2325" s="112">
        <v>10.792465753424658</v>
      </c>
      <c r="R2325" s="112">
        <v>2363.5500000000002</v>
      </c>
      <c r="S2325" s="112">
        <v>2363.5500000000002</v>
      </c>
      <c r="T2325" s="112">
        <v>0</v>
      </c>
      <c r="U2325" t="s">
        <v>5942</v>
      </c>
      <c r="V2325" t="s">
        <v>5943</v>
      </c>
      <c r="W2325" t="s">
        <v>4666</v>
      </c>
      <c r="X2325" t="s">
        <v>4667</v>
      </c>
    </row>
    <row r="2326" spans="1:24" x14ac:dyDescent="0.2">
      <c r="A2326" t="s">
        <v>5944</v>
      </c>
      <c r="B2326" t="s">
        <v>1997</v>
      </c>
      <c r="C2326" t="s">
        <v>1688</v>
      </c>
      <c r="D2326" t="s">
        <v>56</v>
      </c>
      <c r="E2326" t="s">
        <v>1689</v>
      </c>
      <c r="F2326" t="s">
        <v>99</v>
      </c>
      <c r="G2326" s="202">
        <v>219</v>
      </c>
      <c r="H2326">
        <v>1</v>
      </c>
      <c r="I2326" t="s">
        <v>3954</v>
      </c>
      <c r="J2326" t="s">
        <v>4110</v>
      </c>
      <c r="K2326" t="s">
        <v>1283</v>
      </c>
      <c r="L2326" s="204">
        <v>0.3</v>
      </c>
      <c r="M2326" s="112">
        <v>15.375</v>
      </c>
      <c r="N2326" s="112">
        <v>4.6124999999999998</v>
      </c>
      <c r="O2326" s="204"/>
      <c r="P2326" s="112"/>
      <c r="Q2326" s="112"/>
      <c r="R2326" s="112"/>
      <c r="S2326" s="112"/>
      <c r="T2326" s="112"/>
      <c r="U2326" t="s">
        <v>5446</v>
      </c>
      <c r="V2326" t="s">
        <v>5945</v>
      </c>
      <c r="W2326" t="s">
        <v>3958</v>
      </c>
      <c r="X2326" t="s">
        <v>4660</v>
      </c>
    </row>
    <row r="2327" spans="1:24" x14ac:dyDescent="0.2">
      <c r="A2327" t="s">
        <v>5944</v>
      </c>
      <c r="B2327" t="s">
        <v>1997</v>
      </c>
      <c r="C2327" t="s">
        <v>1688</v>
      </c>
      <c r="D2327" t="s">
        <v>56</v>
      </c>
      <c r="E2327" t="s">
        <v>1689</v>
      </c>
      <c r="F2327" t="s">
        <v>99</v>
      </c>
      <c r="G2327" s="202">
        <v>219</v>
      </c>
      <c r="H2327">
        <v>2</v>
      </c>
      <c r="I2327" t="s">
        <v>3960</v>
      </c>
      <c r="J2327" t="s">
        <v>4113</v>
      </c>
      <c r="K2327" t="s">
        <v>1283</v>
      </c>
      <c r="L2327" s="204">
        <v>0.55000000000000004</v>
      </c>
      <c r="M2327" s="112">
        <v>15.375</v>
      </c>
      <c r="N2327" s="112">
        <v>8.4562500000000007</v>
      </c>
      <c r="O2327" s="204"/>
      <c r="P2327" s="112"/>
      <c r="Q2327" s="112"/>
      <c r="R2327" s="112"/>
      <c r="S2327" s="112"/>
      <c r="T2327" s="112"/>
      <c r="U2327" t="s">
        <v>5446</v>
      </c>
      <c r="V2327" t="s">
        <v>5945</v>
      </c>
      <c r="W2327" t="s">
        <v>3958</v>
      </c>
      <c r="X2327" t="s">
        <v>4660</v>
      </c>
    </row>
    <row r="2328" spans="1:24" x14ac:dyDescent="0.2">
      <c r="A2328" t="s">
        <v>5944</v>
      </c>
      <c r="B2328" t="s">
        <v>1997</v>
      </c>
      <c r="C2328" t="s">
        <v>1688</v>
      </c>
      <c r="D2328" t="s">
        <v>56</v>
      </c>
      <c r="E2328" t="s">
        <v>1689</v>
      </c>
      <c r="F2328" t="s">
        <v>99</v>
      </c>
      <c r="G2328" s="202">
        <v>219</v>
      </c>
      <c r="H2328">
        <v>3</v>
      </c>
      <c r="I2328" t="s">
        <v>3976</v>
      </c>
      <c r="J2328" t="s">
        <v>4114</v>
      </c>
      <c r="K2328" t="s">
        <v>1283</v>
      </c>
      <c r="L2328" s="204">
        <v>0.1</v>
      </c>
      <c r="M2328" s="112">
        <v>15.375</v>
      </c>
      <c r="N2328" s="112">
        <v>1.5375000000000001</v>
      </c>
      <c r="O2328" s="204"/>
      <c r="P2328" s="112"/>
      <c r="Q2328" s="112"/>
      <c r="R2328" s="112"/>
      <c r="S2328" s="112"/>
      <c r="T2328" s="112"/>
      <c r="U2328" t="s">
        <v>5446</v>
      </c>
      <c r="V2328" t="s">
        <v>5945</v>
      </c>
      <c r="W2328" t="s">
        <v>3958</v>
      </c>
      <c r="X2328" t="s">
        <v>4660</v>
      </c>
    </row>
    <row r="2329" spans="1:24" x14ac:dyDescent="0.2">
      <c r="A2329" t="s">
        <v>5944</v>
      </c>
      <c r="B2329" t="s">
        <v>1997</v>
      </c>
      <c r="C2329" t="s">
        <v>1688</v>
      </c>
      <c r="D2329" t="s">
        <v>56</v>
      </c>
      <c r="E2329" t="s">
        <v>1689</v>
      </c>
      <c r="F2329" t="s">
        <v>99</v>
      </c>
      <c r="G2329" s="202">
        <v>219</v>
      </c>
      <c r="H2329">
        <v>4</v>
      </c>
      <c r="I2329" t="s">
        <v>4017</v>
      </c>
      <c r="J2329" t="s">
        <v>4115</v>
      </c>
      <c r="K2329" t="s">
        <v>1283</v>
      </c>
      <c r="L2329" s="204">
        <v>0.05</v>
      </c>
      <c r="M2329" s="112">
        <v>15.375</v>
      </c>
      <c r="N2329" s="112">
        <v>0.76875000000000004</v>
      </c>
      <c r="O2329" s="204"/>
      <c r="P2329" s="112"/>
      <c r="Q2329" s="112"/>
      <c r="R2329" s="112"/>
      <c r="S2329" s="112"/>
      <c r="T2329" s="112"/>
      <c r="U2329" t="s">
        <v>5446</v>
      </c>
      <c r="V2329" t="s">
        <v>5945</v>
      </c>
      <c r="W2329" t="s">
        <v>3958</v>
      </c>
      <c r="X2329" t="s">
        <v>4660</v>
      </c>
    </row>
    <row r="2330" spans="1:24" x14ac:dyDescent="0.2">
      <c r="A2330" t="s">
        <v>5944</v>
      </c>
      <c r="B2330" t="s">
        <v>1997</v>
      </c>
      <c r="C2330" t="s">
        <v>1688</v>
      </c>
      <c r="D2330" t="s">
        <v>56</v>
      </c>
      <c r="E2330" t="s">
        <v>1689</v>
      </c>
      <c r="F2330" t="s">
        <v>99</v>
      </c>
      <c r="G2330" s="202">
        <v>219</v>
      </c>
      <c r="H2330">
        <v>5</v>
      </c>
      <c r="I2330" t="s">
        <v>3968</v>
      </c>
      <c r="J2330" t="s">
        <v>3969</v>
      </c>
      <c r="K2330" t="s">
        <v>99</v>
      </c>
      <c r="L2330" s="204">
        <v>1</v>
      </c>
      <c r="M2330" s="112"/>
      <c r="N2330" s="112">
        <v>15.375</v>
      </c>
      <c r="O2330" s="204">
        <v>0.22195047703901705</v>
      </c>
      <c r="P2330" s="112">
        <v>3.412488584474886</v>
      </c>
      <c r="Q2330" s="112">
        <v>18.787488584474886</v>
      </c>
      <c r="R2330" s="112">
        <v>4114.46</v>
      </c>
      <c r="S2330" s="112">
        <v>4114.46</v>
      </c>
      <c r="T2330" s="112">
        <v>0</v>
      </c>
      <c r="U2330" t="s">
        <v>5446</v>
      </c>
      <c r="V2330" t="s">
        <v>5945</v>
      </c>
      <c r="W2330" t="s">
        <v>4666</v>
      </c>
      <c r="X2330" t="s">
        <v>4667</v>
      </c>
    </row>
    <row r="2331" spans="1:24" x14ac:dyDescent="0.2">
      <c r="A2331" t="s">
        <v>5946</v>
      </c>
      <c r="B2331" t="s">
        <v>1998</v>
      </c>
      <c r="C2331" t="s">
        <v>1999</v>
      </c>
      <c r="D2331" t="s">
        <v>56</v>
      </c>
      <c r="E2331" t="s">
        <v>2000</v>
      </c>
      <c r="F2331" t="s">
        <v>99</v>
      </c>
      <c r="G2331" s="202">
        <v>1.5</v>
      </c>
      <c r="H2331">
        <v>1</v>
      </c>
      <c r="I2331" t="s">
        <v>3954</v>
      </c>
      <c r="J2331" t="s">
        <v>4823</v>
      </c>
      <c r="K2331" t="s">
        <v>1283</v>
      </c>
      <c r="L2331" s="204">
        <v>0.18</v>
      </c>
      <c r="M2331" s="112">
        <v>8.8049999999999997</v>
      </c>
      <c r="N2331" s="112">
        <v>1.5849</v>
      </c>
      <c r="O2331" s="204"/>
      <c r="P2331" s="112"/>
      <c r="Q2331" s="112"/>
      <c r="R2331" s="112"/>
      <c r="S2331" s="112"/>
      <c r="T2331" s="112"/>
      <c r="U2331" t="s">
        <v>5947</v>
      </c>
      <c r="V2331" t="s">
        <v>5948</v>
      </c>
      <c r="W2331" t="s">
        <v>3958</v>
      </c>
      <c r="X2331" t="s">
        <v>4660</v>
      </c>
    </row>
    <row r="2332" spans="1:24" x14ac:dyDescent="0.2">
      <c r="A2332" t="s">
        <v>5946</v>
      </c>
      <c r="B2332" t="s">
        <v>1998</v>
      </c>
      <c r="C2332" t="s">
        <v>1999</v>
      </c>
      <c r="D2332" t="s">
        <v>56</v>
      </c>
      <c r="E2332" t="s">
        <v>2000</v>
      </c>
      <c r="F2332" t="s">
        <v>99</v>
      </c>
      <c r="G2332" s="202">
        <v>1.5</v>
      </c>
      <c r="H2332">
        <v>2</v>
      </c>
      <c r="I2332" t="s">
        <v>3960</v>
      </c>
      <c r="J2332" t="s">
        <v>4826</v>
      </c>
      <c r="K2332" t="s">
        <v>1283</v>
      </c>
      <c r="L2332" s="204">
        <v>0.72</v>
      </c>
      <c r="M2332" s="112">
        <v>8.8049999999999997</v>
      </c>
      <c r="N2332" s="112">
        <v>6.3395999999999999</v>
      </c>
      <c r="O2332" s="204"/>
      <c r="P2332" s="112"/>
      <c r="Q2332" s="112"/>
      <c r="R2332" s="112"/>
      <c r="S2332" s="112"/>
      <c r="T2332" s="112"/>
      <c r="U2332" t="s">
        <v>5947</v>
      </c>
      <c r="V2332" t="s">
        <v>5948</v>
      </c>
      <c r="W2332" t="s">
        <v>3958</v>
      </c>
      <c r="X2332" t="s">
        <v>4660</v>
      </c>
    </row>
    <row r="2333" spans="1:24" x14ac:dyDescent="0.2">
      <c r="A2333" t="s">
        <v>5946</v>
      </c>
      <c r="B2333" t="s">
        <v>1998</v>
      </c>
      <c r="C2333" t="s">
        <v>1999</v>
      </c>
      <c r="D2333" t="s">
        <v>56</v>
      </c>
      <c r="E2333" t="s">
        <v>2000</v>
      </c>
      <c r="F2333" t="s">
        <v>99</v>
      </c>
      <c r="G2333" s="202">
        <v>1.5</v>
      </c>
      <c r="H2333">
        <v>3</v>
      </c>
      <c r="I2333" t="s">
        <v>3976</v>
      </c>
      <c r="J2333" t="s">
        <v>4827</v>
      </c>
      <c r="K2333" t="s">
        <v>1283</v>
      </c>
      <c r="L2333" s="204">
        <v>0.05</v>
      </c>
      <c r="M2333" s="112">
        <v>8.8049999999999997</v>
      </c>
      <c r="N2333" s="112">
        <v>0.44025000000000003</v>
      </c>
      <c r="O2333" s="204"/>
      <c r="P2333" s="112"/>
      <c r="Q2333" s="112"/>
      <c r="R2333" s="112"/>
      <c r="S2333" s="112"/>
      <c r="T2333" s="112"/>
      <c r="U2333" t="s">
        <v>5947</v>
      </c>
      <c r="V2333" t="s">
        <v>5948</v>
      </c>
      <c r="W2333" t="s">
        <v>3958</v>
      </c>
      <c r="X2333" t="s">
        <v>4660</v>
      </c>
    </row>
    <row r="2334" spans="1:24" x14ac:dyDescent="0.2">
      <c r="A2334" t="s">
        <v>5946</v>
      </c>
      <c r="B2334" t="s">
        <v>1998</v>
      </c>
      <c r="C2334" t="s">
        <v>1999</v>
      </c>
      <c r="D2334" t="s">
        <v>56</v>
      </c>
      <c r="E2334" t="s">
        <v>2000</v>
      </c>
      <c r="F2334" t="s">
        <v>99</v>
      </c>
      <c r="G2334" s="202">
        <v>1.5</v>
      </c>
      <c r="H2334">
        <v>4</v>
      </c>
      <c r="I2334" t="s">
        <v>4017</v>
      </c>
      <c r="J2334" t="s">
        <v>4809</v>
      </c>
      <c r="K2334" t="s">
        <v>1283</v>
      </c>
      <c r="L2334" s="204">
        <v>0.05</v>
      </c>
      <c r="M2334" s="112">
        <v>8.8049999999999997</v>
      </c>
      <c r="N2334" s="112">
        <v>0.44025000000000003</v>
      </c>
      <c r="O2334" s="204"/>
      <c r="P2334" s="112"/>
      <c r="Q2334" s="112"/>
      <c r="R2334" s="112"/>
      <c r="S2334" s="112"/>
      <c r="T2334" s="112"/>
      <c r="U2334" t="s">
        <v>5947</v>
      </c>
      <c r="V2334" t="s">
        <v>5948</v>
      </c>
      <c r="W2334" t="s">
        <v>3958</v>
      </c>
      <c r="X2334" t="s">
        <v>4660</v>
      </c>
    </row>
    <row r="2335" spans="1:24" x14ac:dyDescent="0.2">
      <c r="A2335" t="s">
        <v>5946</v>
      </c>
      <c r="B2335" t="s">
        <v>1998</v>
      </c>
      <c r="C2335" t="s">
        <v>1999</v>
      </c>
      <c r="D2335" t="s">
        <v>56</v>
      </c>
      <c r="E2335" t="s">
        <v>2000</v>
      </c>
      <c r="F2335" t="s">
        <v>99</v>
      </c>
      <c r="G2335" s="202">
        <v>1.5</v>
      </c>
      <c r="H2335">
        <v>5</v>
      </c>
      <c r="I2335" t="s">
        <v>3968</v>
      </c>
      <c r="J2335" t="s">
        <v>3969</v>
      </c>
      <c r="K2335" t="s">
        <v>99</v>
      </c>
      <c r="L2335" s="204">
        <v>1</v>
      </c>
      <c r="M2335" s="112"/>
      <c r="N2335" s="112">
        <v>8.8049999999999997</v>
      </c>
      <c r="O2335" s="204">
        <v>0.22127579027067945</v>
      </c>
      <c r="P2335" s="112">
        <v>1.9483333333333324</v>
      </c>
      <c r="Q2335" s="112">
        <v>10.753333333333332</v>
      </c>
      <c r="R2335" s="112">
        <v>16.13</v>
      </c>
      <c r="S2335" s="112">
        <v>16.13</v>
      </c>
      <c r="T2335" s="112">
        <v>0</v>
      </c>
      <c r="U2335" t="s">
        <v>5947</v>
      </c>
      <c r="V2335" t="s">
        <v>5948</v>
      </c>
      <c r="W2335" t="s">
        <v>4666</v>
      </c>
      <c r="X2335" t="s">
        <v>4667</v>
      </c>
    </row>
    <row r="2336" spans="1:24" x14ac:dyDescent="0.2">
      <c r="A2336" t="s">
        <v>5949</v>
      </c>
      <c r="B2336" t="s">
        <v>2001</v>
      </c>
      <c r="C2336" t="s">
        <v>2002</v>
      </c>
      <c r="D2336" t="s">
        <v>56</v>
      </c>
      <c r="E2336" t="s">
        <v>2003</v>
      </c>
      <c r="F2336" t="s">
        <v>99</v>
      </c>
      <c r="G2336" s="202">
        <v>1098.7</v>
      </c>
      <c r="H2336">
        <v>1</v>
      </c>
      <c r="I2336" t="s">
        <v>3954</v>
      </c>
      <c r="J2336" t="s">
        <v>4823</v>
      </c>
      <c r="K2336" t="s">
        <v>1283</v>
      </c>
      <c r="L2336" s="204">
        <v>0.18</v>
      </c>
      <c r="M2336" s="112">
        <v>10.32</v>
      </c>
      <c r="N2336" s="112">
        <v>1.8575999999999999</v>
      </c>
      <c r="O2336" s="204"/>
      <c r="P2336" s="112"/>
      <c r="Q2336" s="112"/>
      <c r="R2336" s="112"/>
      <c r="S2336" s="112"/>
      <c r="T2336" s="112"/>
      <c r="U2336" t="s">
        <v>5950</v>
      </c>
      <c r="V2336" t="s">
        <v>5951</v>
      </c>
      <c r="W2336" t="s">
        <v>3958</v>
      </c>
      <c r="X2336" t="s">
        <v>4660</v>
      </c>
    </row>
    <row r="2337" spans="1:24" x14ac:dyDescent="0.2">
      <c r="A2337" t="s">
        <v>5949</v>
      </c>
      <c r="B2337" t="s">
        <v>2001</v>
      </c>
      <c r="C2337" t="s">
        <v>2002</v>
      </c>
      <c r="D2337" t="s">
        <v>56</v>
      </c>
      <c r="E2337" t="s">
        <v>2003</v>
      </c>
      <c r="F2337" t="s">
        <v>99</v>
      </c>
      <c r="G2337" s="202">
        <v>1098.7</v>
      </c>
      <c r="H2337">
        <v>2</v>
      </c>
      <c r="I2337" t="s">
        <v>3960</v>
      </c>
      <c r="J2337" t="s">
        <v>4826</v>
      </c>
      <c r="K2337" t="s">
        <v>1283</v>
      </c>
      <c r="L2337" s="204">
        <v>0.72</v>
      </c>
      <c r="M2337" s="112">
        <v>10.32</v>
      </c>
      <c r="N2337" s="112">
        <v>7.4303999999999997</v>
      </c>
      <c r="O2337" s="204"/>
      <c r="P2337" s="112"/>
      <c r="Q2337" s="112"/>
      <c r="R2337" s="112"/>
      <c r="S2337" s="112"/>
      <c r="T2337" s="112"/>
      <c r="U2337" t="s">
        <v>5950</v>
      </c>
      <c r="V2337" t="s">
        <v>5951</v>
      </c>
      <c r="W2337" t="s">
        <v>3958</v>
      </c>
      <c r="X2337" t="s">
        <v>4660</v>
      </c>
    </row>
    <row r="2338" spans="1:24" x14ac:dyDescent="0.2">
      <c r="A2338" t="s">
        <v>5949</v>
      </c>
      <c r="B2338" t="s">
        <v>2001</v>
      </c>
      <c r="C2338" t="s">
        <v>2002</v>
      </c>
      <c r="D2338" t="s">
        <v>56</v>
      </c>
      <c r="E2338" t="s">
        <v>2003</v>
      </c>
      <c r="F2338" t="s">
        <v>99</v>
      </c>
      <c r="G2338" s="202">
        <v>1098.7</v>
      </c>
      <c r="H2338">
        <v>3</v>
      </c>
      <c r="I2338" t="s">
        <v>3976</v>
      </c>
      <c r="J2338" t="s">
        <v>4827</v>
      </c>
      <c r="K2338" t="s">
        <v>1283</v>
      </c>
      <c r="L2338" s="204">
        <v>0.05</v>
      </c>
      <c r="M2338" s="112">
        <v>10.32</v>
      </c>
      <c r="N2338" s="112">
        <v>0.51600000000000001</v>
      </c>
      <c r="O2338" s="204"/>
      <c r="P2338" s="112"/>
      <c r="Q2338" s="112"/>
      <c r="R2338" s="112"/>
      <c r="S2338" s="112"/>
      <c r="T2338" s="112"/>
      <c r="U2338" t="s">
        <v>5950</v>
      </c>
      <c r="V2338" t="s">
        <v>5951</v>
      </c>
      <c r="W2338" t="s">
        <v>3958</v>
      </c>
      <c r="X2338" t="s">
        <v>4660</v>
      </c>
    </row>
    <row r="2339" spans="1:24" x14ac:dyDescent="0.2">
      <c r="A2339" t="s">
        <v>5949</v>
      </c>
      <c r="B2339" t="s">
        <v>2001</v>
      </c>
      <c r="C2339" t="s">
        <v>2002</v>
      </c>
      <c r="D2339" t="s">
        <v>56</v>
      </c>
      <c r="E2339" t="s">
        <v>2003</v>
      </c>
      <c r="F2339" t="s">
        <v>99</v>
      </c>
      <c r="G2339" s="202">
        <v>1098.7</v>
      </c>
      <c r="H2339">
        <v>4</v>
      </c>
      <c r="I2339" t="s">
        <v>4017</v>
      </c>
      <c r="J2339" t="s">
        <v>4809</v>
      </c>
      <c r="K2339" t="s">
        <v>1283</v>
      </c>
      <c r="L2339" s="204">
        <v>0.05</v>
      </c>
      <c r="M2339" s="112">
        <v>10.32</v>
      </c>
      <c r="N2339" s="112">
        <v>0.51600000000000001</v>
      </c>
      <c r="O2339" s="204"/>
      <c r="P2339" s="112"/>
      <c r="Q2339" s="112"/>
      <c r="R2339" s="112"/>
      <c r="S2339" s="112"/>
      <c r="T2339" s="112"/>
      <c r="U2339" t="s">
        <v>5950</v>
      </c>
      <c r="V2339" t="s">
        <v>5951</v>
      </c>
      <c r="W2339" t="s">
        <v>3958</v>
      </c>
      <c r="X2339" t="s">
        <v>4660</v>
      </c>
    </row>
    <row r="2340" spans="1:24" x14ac:dyDescent="0.2">
      <c r="A2340" t="s">
        <v>5949</v>
      </c>
      <c r="B2340" t="s">
        <v>2001</v>
      </c>
      <c r="C2340" t="s">
        <v>2002</v>
      </c>
      <c r="D2340" t="s">
        <v>56</v>
      </c>
      <c r="E2340" t="s">
        <v>2003</v>
      </c>
      <c r="F2340" t="s">
        <v>99</v>
      </c>
      <c r="G2340" s="202">
        <v>1098.7</v>
      </c>
      <c r="H2340">
        <v>5</v>
      </c>
      <c r="I2340" t="s">
        <v>3968</v>
      </c>
      <c r="J2340" t="s">
        <v>3969</v>
      </c>
      <c r="K2340" t="s">
        <v>99</v>
      </c>
      <c r="L2340" s="204">
        <v>1</v>
      </c>
      <c r="M2340" s="112"/>
      <c r="N2340" s="112">
        <v>10.32</v>
      </c>
      <c r="O2340" s="204">
        <v>0.22165695469557734</v>
      </c>
      <c r="P2340" s="112">
        <v>2.287499772458359</v>
      </c>
      <c r="Q2340" s="112">
        <v>12.607499772458359</v>
      </c>
      <c r="R2340" s="112">
        <v>13851.86</v>
      </c>
      <c r="S2340" s="112">
        <v>13851.86</v>
      </c>
      <c r="T2340" s="112">
        <v>0</v>
      </c>
      <c r="U2340" t="s">
        <v>5950</v>
      </c>
      <c r="V2340" t="s">
        <v>5951</v>
      </c>
      <c r="W2340" t="s">
        <v>4666</v>
      </c>
      <c r="X2340" t="s">
        <v>4667</v>
      </c>
    </row>
    <row r="2341" spans="1:24" x14ac:dyDescent="0.2">
      <c r="A2341" t="s">
        <v>5952</v>
      </c>
      <c r="B2341" t="s">
        <v>2004</v>
      </c>
      <c r="C2341" t="s">
        <v>2005</v>
      </c>
      <c r="D2341" t="s">
        <v>56</v>
      </c>
      <c r="E2341" t="s">
        <v>946</v>
      </c>
      <c r="F2341" t="s">
        <v>99</v>
      </c>
      <c r="G2341" s="202">
        <v>366.7</v>
      </c>
      <c r="H2341">
        <v>1</v>
      </c>
      <c r="I2341" t="s">
        <v>3954</v>
      </c>
      <c r="J2341" t="s">
        <v>4823</v>
      </c>
      <c r="K2341" t="s">
        <v>1283</v>
      </c>
      <c r="L2341" s="204">
        <v>0.18</v>
      </c>
      <c r="M2341" s="112">
        <v>13.5075</v>
      </c>
      <c r="N2341" s="112">
        <v>2.4313500000000001</v>
      </c>
      <c r="O2341" s="204"/>
      <c r="P2341" s="112"/>
      <c r="Q2341" s="112"/>
      <c r="R2341" s="112"/>
      <c r="S2341" s="112"/>
      <c r="T2341" s="112"/>
      <c r="U2341" t="s">
        <v>5953</v>
      </c>
      <c r="V2341" t="s">
        <v>5954</v>
      </c>
      <c r="W2341" t="s">
        <v>3958</v>
      </c>
      <c r="X2341" t="s">
        <v>4660</v>
      </c>
    </row>
    <row r="2342" spans="1:24" x14ac:dyDescent="0.2">
      <c r="A2342" t="s">
        <v>5952</v>
      </c>
      <c r="B2342" t="s">
        <v>2004</v>
      </c>
      <c r="C2342" t="s">
        <v>2005</v>
      </c>
      <c r="D2342" t="s">
        <v>56</v>
      </c>
      <c r="E2342" t="s">
        <v>946</v>
      </c>
      <c r="F2342" t="s">
        <v>99</v>
      </c>
      <c r="G2342" s="202">
        <v>366.7</v>
      </c>
      <c r="H2342">
        <v>2</v>
      </c>
      <c r="I2342" t="s">
        <v>3960</v>
      </c>
      <c r="J2342" t="s">
        <v>4826</v>
      </c>
      <c r="K2342" t="s">
        <v>1283</v>
      </c>
      <c r="L2342" s="204">
        <v>0.72</v>
      </c>
      <c r="M2342" s="112">
        <v>13.5075</v>
      </c>
      <c r="N2342" s="112">
        <v>9.7254000000000005</v>
      </c>
      <c r="O2342" s="204"/>
      <c r="P2342" s="112"/>
      <c r="Q2342" s="112"/>
      <c r="R2342" s="112"/>
      <c r="S2342" s="112"/>
      <c r="T2342" s="112"/>
      <c r="U2342" t="s">
        <v>5953</v>
      </c>
      <c r="V2342" t="s">
        <v>5954</v>
      </c>
      <c r="W2342" t="s">
        <v>3958</v>
      </c>
      <c r="X2342" t="s">
        <v>4660</v>
      </c>
    </row>
    <row r="2343" spans="1:24" x14ac:dyDescent="0.2">
      <c r="A2343" t="s">
        <v>5952</v>
      </c>
      <c r="B2343" t="s">
        <v>2004</v>
      </c>
      <c r="C2343" t="s">
        <v>2005</v>
      </c>
      <c r="D2343" t="s">
        <v>56</v>
      </c>
      <c r="E2343" t="s">
        <v>946</v>
      </c>
      <c r="F2343" t="s">
        <v>99</v>
      </c>
      <c r="G2343" s="202">
        <v>366.7</v>
      </c>
      <c r="H2343">
        <v>3</v>
      </c>
      <c r="I2343" t="s">
        <v>3976</v>
      </c>
      <c r="J2343" t="s">
        <v>4827</v>
      </c>
      <c r="K2343" t="s">
        <v>1283</v>
      </c>
      <c r="L2343" s="204">
        <v>0.05</v>
      </c>
      <c r="M2343" s="112">
        <v>13.5075</v>
      </c>
      <c r="N2343" s="112">
        <v>0.67537500000000006</v>
      </c>
      <c r="O2343" s="204"/>
      <c r="P2343" s="112"/>
      <c r="Q2343" s="112"/>
      <c r="R2343" s="112"/>
      <c r="S2343" s="112"/>
      <c r="T2343" s="112"/>
      <c r="U2343" t="s">
        <v>5953</v>
      </c>
      <c r="V2343" t="s">
        <v>5954</v>
      </c>
      <c r="W2343" t="s">
        <v>3958</v>
      </c>
      <c r="X2343" t="s">
        <v>4660</v>
      </c>
    </row>
    <row r="2344" spans="1:24" x14ac:dyDescent="0.2">
      <c r="A2344" t="s">
        <v>5952</v>
      </c>
      <c r="B2344" t="s">
        <v>2004</v>
      </c>
      <c r="C2344" t="s">
        <v>2005</v>
      </c>
      <c r="D2344" t="s">
        <v>56</v>
      </c>
      <c r="E2344" t="s">
        <v>946</v>
      </c>
      <c r="F2344" t="s">
        <v>99</v>
      </c>
      <c r="G2344" s="202">
        <v>366.7</v>
      </c>
      <c r="H2344">
        <v>4</v>
      </c>
      <c r="I2344" t="s">
        <v>4017</v>
      </c>
      <c r="J2344" t="s">
        <v>4809</v>
      </c>
      <c r="K2344" t="s">
        <v>1283</v>
      </c>
      <c r="L2344" s="204">
        <v>0.05</v>
      </c>
      <c r="M2344" s="112">
        <v>13.5075</v>
      </c>
      <c r="N2344" s="112">
        <v>0.67537500000000006</v>
      </c>
      <c r="O2344" s="204"/>
      <c r="P2344" s="112"/>
      <c r="Q2344" s="112"/>
      <c r="R2344" s="112"/>
      <c r="S2344" s="112"/>
      <c r="T2344" s="112"/>
      <c r="U2344" t="s">
        <v>5953</v>
      </c>
      <c r="V2344" t="s">
        <v>5954</v>
      </c>
      <c r="W2344" t="s">
        <v>3958</v>
      </c>
      <c r="X2344" t="s">
        <v>4660</v>
      </c>
    </row>
    <row r="2345" spans="1:24" x14ac:dyDescent="0.2">
      <c r="A2345" t="s">
        <v>5952</v>
      </c>
      <c r="B2345" t="s">
        <v>2004</v>
      </c>
      <c r="C2345" t="s">
        <v>2005</v>
      </c>
      <c r="D2345" t="s">
        <v>56</v>
      </c>
      <c r="E2345" t="s">
        <v>946</v>
      </c>
      <c r="F2345" t="s">
        <v>99</v>
      </c>
      <c r="G2345" s="202">
        <v>366.7</v>
      </c>
      <c r="H2345">
        <v>5</v>
      </c>
      <c r="I2345" t="s">
        <v>3968</v>
      </c>
      <c r="J2345" t="s">
        <v>3969</v>
      </c>
      <c r="K2345" t="s">
        <v>99</v>
      </c>
      <c r="L2345" s="204">
        <v>1</v>
      </c>
      <c r="M2345" s="112"/>
      <c r="N2345" s="112">
        <v>13.5075</v>
      </c>
      <c r="O2345" s="204">
        <v>0.22209878350870249</v>
      </c>
      <c r="P2345" s="112">
        <v>2.9999993182437983</v>
      </c>
      <c r="Q2345" s="112">
        <v>16.507499318243799</v>
      </c>
      <c r="R2345" s="112">
        <v>6053.3</v>
      </c>
      <c r="S2345" s="112">
        <v>6053.3</v>
      </c>
      <c r="T2345" s="112">
        <v>0</v>
      </c>
      <c r="U2345" t="s">
        <v>5953</v>
      </c>
      <c r="V2345" t="s">
        <v>5954</v>
      </c>
      <c r="W2345" t="s">
        <v>4666</v>
      </c>
      <c r="X2345" t="s">
        <v>4667</v>
      </c>
    </row>
    <row r="2346" spans="1:24" x14ac:dyDescent="0.2">
      <c r="A2346" t="s">
        <v>5955</v>
      </c>
      <c r="B2346" t="s">
        <v>2006</v>
      </c>
      <c r="C2346" t="s">
        <v>2007</v>
      </c>
      <c r="D2346" t="s">
        <v>56</v>
      </c>
      <c r="E2346" t="s">
        <v>947</v>
      </c>
      <c r="F2346" t="s">
        <v>99</v>
      </c>
      <c r="G2346" s="202">
        <v>26.7</v>
      </c>
      <c r="H2346">
        <v>1</v>
      </c>
      <c r="I2346" t="s">
        <v>3954</v>
      </c>
      <c r="J2346" t="s">
        <v>4823</v>
      </c>
      <c r="K2346" t="s">
        <v>1283</v>
      </c>
      <c r="L2346" s="204">
        <v>0.18</v>
      </c>
      <c r="M2346" s="112">
        <v>16.71</v>
      </c>
      <c r="N2346" s="112">
        <v>3.0078</v>
      </c>
      <c r="O2346" s="204"/>
      <c r="P2346" s="112"/>
      <c r="Q2346" s="112"/>
      <c r="R2346" s="112"/>
      <c r="S2346" s="112"/>
      <c r="T2346" s="112"/>
      <c r="U2346" t="s">
        <v>5956</v>
      </c>
      <c r="V2346" t="s">
        <v>5957</v>
      </c>
      <c r="W2346" t="s">
        <v>3958</v>
      </c>
      <c r="X2346" t="s">
        <v>4660</v>
      </c>
    </row>
    <row r="2347" spans="1:24" x14ac:dyDescent="0.2">
      <c r="A2347" t="s">
        <v>5955</v>
      </c>
      <c r="B2347" t="s">
        <v>2006</v>
      </c>
      <c r="C2347" t="s">
        <v>2007</v>
      </c>
      <c r="D2347" t="s">
        <v>56</v>
      </c>
      <c r="E2347" t="s">
        <v>947</v>
      </c>
      <c r="F2347" t="s">
        <v>99</v>
      </c>
      <c r="G2347" s="202">
        <v>26.7</v>
      </c>
      <c r="H2347">
        <v>2</v>
      </c>
      <c r="I2347" t="s">
        <v>3960</v>
      </c>
      <c r="J2347" t="s">
        <v>4826</v>
      </c>
      <c r="K2347" t="s">
        <v>1283</v>
      </c>
      <c r="L2347" s="204">
        <v>0.72</v>
      </c>
      <c r="M2347" s="112">
        <v>16.71</v>
      </c>
      <c r="N2347" s="112">
        <v>12.0312</v>
      </c>
      <c r="O2347" s="204"/>
      <c r="P2347" s="112"/>
      <c r="Q2347" s="112"/>
      <c r="R2347" s="112"/>
      <c r="S2347" s="112"/>
      <c r="T2347" s="112"/>
      <c r="U2347" t="s">
        <v>5956</v>
      </c>
      <c r="V2347" t="s">
        <v>5957</v>
      </c>
      <c r="W2347" t="s">
        <v>3958</v>
      </c>
      <c r="X2347" t="s">
        <v>4660</v>
      </c>
    </row>
    <row r="2348" spans="1:24" x14ac:dyDescent="0.2">
      <c r="A2348" t="s">
        <v>5955</v>
      </c>
      <c r="B2348" t="s">
        <v>2006</v>
      </c>
      <c r="C2348" t="s">
        <v>2007</v>
      </c>
      <c r="D2348" t="s">
        <v>56</v>
      </c>
      <c r="E2348" t="s">
        <v>947</v>
      </c>
      <c r="F2348" t="s">
        <v>99</v>
      </c>
      <c r="G2348" s="202">
        <v>26.7</v>
      </c>
      <c r="H2348">
        <v>3</v>
      </c>
      <c r="I2348" t="s">
        <v>3976</v>
      </c>
      <c r="J2348" t="s">
        <v>4827</v>
      </c>
      <c r="K2348" t="s">
        <v>1283</v>
      </c>
      <c r="L2348" s="204">
        <v>0.05</v>
      </c>
      <c r="M2348" s="112">
        <v>16.71</v>
      </c>
      <c r="N2348" s="112">
        <v>0.83550000000000013</v>
      </c>
      <c r="O2348" s="204"/>
      <c r="P2348" s="112"/>
      <c r="Q2348" s="112"/>
      <c r="R2348" s="112"/>
      <c r="S2348" s="112"/>
      <c r="T2348" s="112"/>
      <c r="U2348" t="s">
        <v>5956</v>
      </c>
      <c r="V2348" t="s">
        <v>5957</v>
      </c>
      <c r="W2348" t="s">
        <v>3958</v>
      </c>
      <c r="X2348" t="s">
        <v>4660</v>
      </c>
    </row>
    <row r="2349" spans="1:24" x14ac:dyDescent="0.2">
      <c r="A2349" t="s">
        <v>5955</v>
      </c>
      <c r="B2349" t="s">
        <v>2006</v>
      </c>
      <c r="C2349" t="s">
        <v>2007</v>
      </c>
      <c r="D2349" t="s">
        <v>56</v>
      </c>
      <c r="E2349" t="s">
        <v>947</v>
      </c>
      <c r="F2349" t="s">
        <v>99</v>
      </c>
      <c r="G2349" s="202">
        <v>26.7</v>
      </c>
      <c r="H2349">
        <v>4</v>
      </c>
      <c r="I2349" t="s">
        <v>4017</v>
      </c>
      <c r="J2349" t="s">
        <v>4809</v>
      </c>
      <c r="K2349" t="s">
        <v>1283</v>
      </c>
      <c r="L2349" s="204">
        <v>0.05</v>
      </c>
      <c r="M2349" s="112">
        <v>16.71</v>
      </c>
      <c r="N2349" s="112">
        <v>0.83550000000000013</v>
      </c>
      <c r="O2349" s="204"/>
      <c r="P2349" s="112"/>
      <c r="Q2349" s="112"/>
      <c r="R2349" s="112"/>
      <c r="S2349" s="112"/>
      <c r="T2349" s="112"/>
      <c r="U2349" t="s">
        <v>5956</v>
      </c>
      <c r="V2349" t="s">
        <v>5957</v>
      </c>
      <c r="W2349" t="s">
        <v>3958</v>
      </c>
      <c r="X2349" t="s">
        <v>4660</v>
      </c>
    </row>
    <row r="2350" spans="1:24" x14ac:dyDescent="0.2">
      <c r="A2350" t="s">
        <v>5955</v>
      </c>
      <c r="B2350" t="s">
        <v>2006</v>
      </c>
      <c r="C2350" t="s">
        <v>2007</v>
      </c>
      <c r="D2350" t="s">
        <v>56</v>
      </c>
      <c r="E2350" t="s">
        <v>947</v>
      </c>
      <c r="F2350" t="s">
        <v>99</v>
      </c>
      <c r="G2350" s="202">
        <v>26.7</v>
      </c>
      <c r="H2350">
        <v>5</v>
      </c>
      <c r="I2350" t="s">
        <v>3968</v>
      </c>
      <c r="J2350" t="s">
        <v>3969</v>
      </c>
      <c r="K2350" t="s">
        <v>99</v>
      </c>
      <c r="L2350" s="204">
        <v>1</v>
      </c>
      <c r="M2350" s="112"/>
      <c r="N2350" s="112">
        <v>16.71</v>
      </c>
      <c r="O2350" s="204">
        <v>0.22217067086249909</v>
      </c>
      <c r="P2350" s="112">
        <v>3.7124719101123596</v>
      </c>
      <c r="Q2350" s="112">
        <v>20.42247191011236</v>
      </c>
      <c r="R2350" s="112">
        <v>545.28</v>
      </c>
      <c r="S2350" s="112">
        <v>545.28</v>
      </c>
      <c r="T2350" s="112">
        <v>0</v>
      </c>
      <c r="U2350" t="s">
        <v>5956</v>
      </c>
      <c r="V2350" t="s">
        <v>5957</v>
      </c>
      <c r="W2350" t="s">
        <v>4666</v>
      </c>
      <c r="X2350" t="s">
        <v>4667</v>
      </c>
    </row>
    <row r="2351" spans="1:24" x14ac:dyDescent="0.2">
      <c r="A2351" t="s">
        <v>5958</v>
      </c>
      <c r="B2351" t="s">
        <v>2008</v>
      </c>
      <c r="C2351" t="s">
        <v>2009</v>
      </c>
      <c r="D2351" t="s">
        <v>56</v>
      </c>
      <c r="E2351" t="s">
        <v>948</v>
      </c>
      <c r="F2351" t="s">
        <v>99</v>
      </c>
      <c r="G2351" s="202">
        <v>15.1</v>
      </c>
      <c r="H2351">
        <v>1</v>
      </c>
      <c r="I2351" t="s">
        <v>3954</v>
      </c>
      <c r="J2351" t="s">
        <v>4823</v>
      </c>
      <c r="K2351" t="s">
        <v>1283</v>
      </c>
      <c r="L2351" s="204">
        <v>0.18</v>
      </c>
      <c r="M2351" s="112">
        <v>15.375</v>
      </c>
      <c r="N2351" s="112">
        <v>2.7675000000000001</v>
      </c>
      <c r="O2351" s="204"/>
      <c r="P2351" s="112"/>
      <c r="Q2351" s="112"/>
      <c r="R2351" s="112"/>
      <c r="S2351" s="112"/>
      <c r="T2351" s="112"/>
      <c r="U2351" t="s">
        <v>5959</v>
      </c>
      <c r="V2351" t="s">
        <v>5960</v>
      </c>
      <c r="W2351" t="s">
        <v>3958</v>
      </c>
      <c r="X2351" t="s">
        <v>4660</v>
      </c>
    </row>
    <row r="2352" spans="1:24" x14ac:dyDescent="0.2">
      <c r="A2352" t="s">
        <v>5958</v>
      </c>
      <c r="B2352" t="s">
        <v>2008</v>
      </c>
      <c r="C2352" t="s">
        <v>2009</v>
      </c>
      <c r="D2352" t="s">
        <v>56</v>
      </c>
      <c r="E2352" t="s">
        <v>948</v>
      </c>
      <c r="F2352" t="s">
        <v>99</v>
      </c>
      <c r="G2352" s="202">
        <v>15.1</v>
      </c>
      <c r="H2352">
        <v>2</v>
      </c>
      <c r="I2352" t="s">
        <v>3960</v>
      </c>
      <c r="J2352" t="s">
        <v>4826</v>
      </c>
      <c r="K2352" t="s">
        <v>1283</v>
      </c>
      <c r="L2352" s="204">
        <v>0.72</v>
      </c>
      <c r="M2352" s="112">
        <v>15.375</v>
      </c>
      <c r="N2352" s="112">
        <v>11.07</v>
      </c>
      <c r="O2352" s="204"/>
      <c r="P2352" s="112"/>
      <c r="Q2352" s="112"/>
      <c r="R2352" s="112"/>
      <c r="S2352" s="112"/>
      <c r="T2352" s="112"/>
      <c r="U2352" t="s">
        <v>5959</v>
      </c>
      <c r="V2352" t="s">
        <v>5960</v>
      </c>
      <c r="W2352" t="s">
        <v>3958</v>
      </c>
      <c r="X2352" t="s">
        <v>4660</v>
      </c>
    </row>
    <row r="2353" spans="1:24" x14ac:dyDescent="0.2">
      <c r="A2353" t="s">
        <v>5958</v>
      </c>
      <c r="B2353" t="s">
        <v>2008</v>
      </c>
      <c r="C2353" t="s">
        <v>2009</v>
      </c>
      <c r="D2353" t="s">
        <v>56</v>
      </c>
      <c r="E2353" t="s">
        <v>948</v>
      </c>
      <c r="F2353" t="s">
        <v>99</v>
      </c>
      <c r="G2353" s="202">
        <v>15.1</v>
      </c>
      <c r="H2353">
        <v>3</v>
      </c>
      <c r="I2353" t="s">
        <v>3976</v>
      </c>
      <c r="J2353" t="s">
        <v>4827</v>
      </c>
      <c r="K2353" t="s">
        <v>1283</v>
      </c>
      <c r="L2353" s="204">
        <v>0.05</v>
      </c>
      <c r="M2353" s="112">
        <v>15.375</v>
      </c>
      <c r="N2353" s="112">
        <v>0.76875000000000004</v>
      </c>
      <c r="O2353" s="204"/>
      <c r="P2353" s="112"/>
      <c r="Q2353" s="112"/>
      <c r="R2353" s="112"/>
      <c r="S2353" s="112"/>
      <c r="T2353" s="112"/>
      <c r="U2353" t="s">
        <v>5959</v>
      </c>
      <c r="V2353" t="s">
        <v>5960</v>
      </c>
      <c r="W2353" t="s">
        <v>3958</v>
      </c>
      <c r="X2353" t="s">
        <v>4660</v>
      </c>
    </row>
    <row r="2354" spans="1:24" x14ac:dyDescent="0.2">
      <c r="A2354" t="s">
        <v>5958</v>
      </c>
      <c r="B2354" t="s">
        <v>2008</v>
      </c>
      <c r="C2354" t="s">
        <v>2009</v>
      </c>
      <c r="D2354" t="s">
        <v>56</v>
      </c>
      <c r="E2354" t="s">
        <v>948</v>
      </c>
      <c r="F2354" t="s">
        <v>99</v>
      </c>
      <c r="G2354" s="202">
        <v>15.1</v>
      </c>
      <c r="H2354">
        <v>4</v>
      </c>
      <c r="I2354" t="s">
        <v>4017</v>
      </c>
      <c r="J2354" t="s">
        <v>4809</v>
      </c>
      <c r="K2354" t="s">
        <v>1283</v>
      </c>
      <c r="L2354" s="204">
        <v>0.05</v>
      </c>
      <c r="M2354" s="112">
        <v>15.375</v>
      </c>
      <c r="N2354" s="112">
        <v>0.76875000000000004</v>
      </c>
      <c r="O2354" s="204"/>
      <c r="P2354" s="112"/>
      <c r="Q2354" s="112"/>
      <c r="R2354" s="112"/>
      <c r="S2354" s="112"/>
      <c r="T2354" s="112"/>
      <c r="U2354" t="s">
        <v>5959</v>
      </c>
      <c r="V2354" t="s">
        <v>5960</v>
      </c>
      <c r="W2354" t="s">
        <v>3958</v>
      </c>
      <c r="X2354" t="s">
        <v>4660</v>
      </c>
    </row>
    <row r="2355" spans="1:24" x14ac:dyDescent="0.2">
      <c r="A2355" t="s">
        <v>5958</v>
      </c>
      <c r="B2355" t="s">
        <v>2008</v>
      </c>
      <c r="C2355" t="s">
        <v>2009</v>
      </c>
      <c r="D2355" t="s">
        <v>56</v>
      </c>
      <c r="E2355" t="s">
        <v>948</v>
      </c>
      <c r="F2355" t="s">
        <v>99</v>
      </c>
      <c r="G2355" s="202">
        <v>15.1</v>
      </c>
      <c r="H2355">
        <v>5</v>
      </c>
      <c r="I2355" t="s">
        <v>3968</v>
      </c>
      <c r="J2355" t="s">
        <v>3969</v>
      </c>
      <c r="K2355" t="s">
        <v>99</v>
      </c>
      <c r="L2355" s="204">
        <v>1</v>
      </c>
      <c r="M2355" s="112"/>
      <c r="N2355" s="112">
        <v>15.375</v>
      </c>
      <c r="O2355" s="204">
        <v>0.22194583535239332</v>
      </c>
      <c r="P2355" s="112">
        <v>3.4124172185430481</v>
      </c>
      <c r="Q2355" s="112">
        <v>18.787417218543048</v>
      </c>
      <c r="R2355" s="112">
        <v>283.69</v>
      </c>
      <c r="S2355" s="112">
        <v>283.69</v>
      </c>
      <c r="T2355" s="112">
        <v>0</v>
      </c>
      <c r="U2355" t="s">
        <v>5959</v>
      </c>
      <c r="V2355" t="s">
        <v>5960</v>
      </c>
      <c r="W2355" t="s">
        <v>4666</v>
      </c>
      <c r="X2355" t="s">
        <v>4667</v>
      </c>
    </row>
    <row r="2356" spans="1:24" x14ac:dyDescent="0.2">
      <c r="A2356" t="s">
        <v>5961</v>
      </c>
      <c r="B2356" t="s">
        <v>2010</v>
      </c>
      <c r="C2356" t="s">
        <v>2011</v>
      </c>
      <c r="D2356" t="s">
        <v>56</v>
      </c>
      <c r="E2356" t="s">
        <v>2012</v>
      </c>
      <c r="F2356" t="s">
        <v>99</v>
      </c>
      <c r="G2356" s="202">
        <v>3.6</v>
      </c>
      <c r="H2356">
        <v>1</v>
      </c>
      <c r="I2356" t="s">
        <v>3954</v>
      </c>
      <c r="J2356" t="s">
        <v>4823</v>
      </c>
      <c r="K2356" t="s">
        <v>1283</v>
      </c>
      <c r="L2356" s="204">
        <v>0.18</v>
      </c>
      <c r="M2356" s="112">
        <v>22.11</v>
      </c>
      <c r="N2356" s="112">
        <v>3.9797999999999996</v>
      </c>
      <c r="O2356" s="204"/>
      <c r="P2356" s="112"/>
      <c r="Q2356" s="112"/>
      <c r="R2356" s="112"/>
      <c r="S2356" s="112"/>
      <c r="T2356" s="112"/>
      <c r="U2356" t="s">
        <v>5962</v>
      </c>
      <c r="V2356" t="s">
        <v>5963</v>
      </c>
      <c r="W2356" t="s">
        <v>3958</v>
      </c>
      <c r="X2356" t="s">
        <v>4660</v>
      </c>
    </row>
    <row r="2357" spans="1:24" x14ac:dyDescent="0.2">
      <c r="A2357" t="s">
        <v>5961</v>
      </c>
      <c r="B2357" t="s">
        <v>2010</v>
      </c>
      <c r="C2357" t="s">
        <v>2011</v>
      </c>
      <c r="D2357" t="s">
        <v>56</v>
      </c>
      <c r="E2357" t="s">
        <v>2012</v>
      </c>
      <c r="F2357" t="s">
        <v>99</v>
      </c>
      <c r="G2357" s="202">
        <v>3.6</v>
      </c>
      <c r="H2357">
        <v>2</v>
      </c>
      <c r="I2357" t="s">
        <v>3960</v>
      </c>
      <c r="J2357" t="s">
        <v>4826</v>
      </c>
      <c r="K2357" t="s">
        <v>1283</v>
      </c>
      <c r="L2357" s="204">
        <v>0.72</v>
      </c>
      <c r="M2357" s="112">
        <v>22.11</v>
      </c>
      <c r="N2357" s="112">
        <v>15.919199999999998</v>
      </c>
      <c r="O2357" s="204"/>
      <c r="P2357" s="112"/>
      <c r="Q2357" s="112"/>
      <c r="R2357" s="112"/>
      <c r="S2357" s="112"/>
      <c r="T2357" s="112"/>
      <c r="U2357" t="s">
        <v>5962</v>
      </c>
      <c r="V2357" t="s">
        <v>5963</v>
      </c>
      <c r="W2357" t="s">
        <v>3958</v>
      </c>
      <c r="X2357" t="s">
        <v>4660</v>
      </c>
    </row>
    <row r="2358" spans="1:24" x14ac:dyDescent="0.2">
      <c r="A2358" t="s">
        <v>5961</v>
      </c>
      <c r="B2358" t="s">
        <v>2010</v>
      </c>
      <c r="C2358" t="s">
        <v>2011</v>
      </c>
      <c r="D2358" t="s">
        <v>56</v>
      </c>
      <c r="E2358" t="s">
        <v>2012</v>
      </c>
      <c r="F2358" t="s">
        <v>99</v>
      </c>
      <c r="G2358" s="202">
        <v>3.6</v>
      </c>
      <c r="H2358">
        <v>3</v>
      </c>
      <c r="I2358" t="s">
        <v>3976</v>
      </c>
      <c r="J2358" t="s">
        <v>4827</v>
      </c>
      <c r="K2358" t="s">
        <v>1283</v>
      </c>
      <c r="L2358" s="204">
        <v>0.05</v>
      </c>
      <c r="M2358" s="112">
        <v>22.11</v>
      </c>
      <c r="N2358" s="112">
        <v>1.1054999999999999</v>
      </c>
      <c r="O2358" s="204"/>
      <c r="P2358" s="112"/>
      <c r="Q2358" s="112"/>
      <c r="R2358" s="112"/>
      <c r="S2358" s="112"/>
      <c r="T2358" s="112"/>
      <c r="U2358" t="s">
        <v>5962</v>
      </c>
      <c r="V2358" t="s">
        <v>5963</v>
      </c>
      <c r="W2358" t="s">
        <v>3958</v>
      </c>
      <c r="X2358" t="s">
        <v>4660</v>
      </c>
    </row>
    <row r="2359" spans="1:24" x14ac:dyDescent="0.2">
      <c r="A2359" t="s">
        <v>5961</v>
      </c>
      <c r="B2359" t="s">
        <v>2010</v>
      </c>
      <c r="C2359" t="s">
        <v>2011</v>
      </c>
      <c r="D2359" t="s">
        <v>56</v>
      </c>
      <c r="E2359" t="s">
        <v>2012</v>
      </c>
      <c r="F2359" t="s">
        <v>99</v>
      </c>
      <c r="G2359" s="202">
        <v>3.6</v>
      </c>
      <c r="H2359">
        <v>4</v>
      </c>
      <c r="I2359" t="s">
        <v>4017</v>
      </c>
      <c r="J2359" t="s">
        <v>4809</v>
      </c>
      <c r="K2359" t="s">
        <v>1283</v>
      </c>
      <c r="L2359" s="204">
        <v>0.05</v>
      </c>
      <c r="M2359" s="112">
        <v>22.11</v>
      </c>
      <c r="N2359" s="112">
        <v>1.1054999999999999</v>
      </c>
      <c r="O2359" s="204"/>
      <c r="P2359" s="112"/>
      <c r="Q2359" s="112"/>
      <c r="R2359" s="112"/>
      <c r="S2359" s="112"/>
      <c r="T2359" s="112"/>
      <c r="U2359" t="s">
        <v>5962</v>
      </c>
      <c r="V2359" t="s">
        <v>5963</v>
      </c>
      <c r="W2359" t="s">
        <v>3958</v>
      </c>
      <c r="X2359" t="s">
        <v>4660</v>
      </c>
    </row>
    <row r="2360" spans="1:24" x14ac:dyDescent="0.2">
      <c r="A2360" t="s">
        <v>5961</v>
      </c>
      <c r="B2360" t="s">
        <v>2010</v>
      </c>
      <c r="C2360" t="s">
        <v>2011</v>
      </c>
      <c r="D2360" t="s">
        <v>56</v>
      </c>
      <c r="E2360" t="s">
        <v>2012</v>
      </c>
      <c r="F2360" t="s">
        <v>99</v>
      </c>
      <c r="G2360" s="202">
        <v>3.6</v>
      </c>
      <c r="H2360">
        <v>5</v>
      </c>
      <c r="I2360" t="s">
        <v>3968</v>
      </c>
      <c r="J2360" t="s">
        <v>3969</v>
      </c>
      <c r="K2360" t="s">
        <v>99</v>
      </c>
      <c r="L2360" s="204">
        <v>1</v>
      </c>
      <c r="M2360" s="112"/>
      <c r="N2360" s="112">
        <v>22.11</v>
      </c>
      <c r="O2360" s="204">
        <v>0.22217196844062514</v>
      </c>
      <c r="P2360" s="112">
        <v>4.9122222222222227</v>
      </c>
      <c r="Q2360" s="112">
        <v>27.022222222222222</v>
      </c>
      <c r="R2360" s="112">
        <v>97.28</v>
      </c>
      <c r="S2360" s="112">
        <v>97.28</v>
      </c>
      <c r="T2360" s="112">
        <v>0</v>
      </c>
      <c r="U2360" t="s">
        <v>5962</v>
      </c>
      <c r="V2360" t="s">
        <v>5963</v>
      </c>
      <c r="W2360" t="s">
        <v>4666</v>
      </c>
      <c r="X2360" t="s">
        <v>4667</v>
      </c>
    </row>
    <row r="2361" spans="1:24" x14ac:dyDescent="0.2">
      <c r="A2361" t="s">
        <v>5964</v>
      </c>
      <c r="B2361" t="s">
        <v>2013</v>
      </c>
      <c r="C2361" t="s">
        <v>2014</v>
      </c>
      <c r="D2361" t="s">
        <v>56</v>
      </c>
      <c r="E2361" t="s">
        <v>950</v>
      </c>
      <c r="F2361" t="s">
        <v>99</v>
      </c>
      <c r="G2361" s="202">
        <v>3.3</v>
      </c>
      <c r="H2361">
        <v>1</v>
      </c>
      <c r="I2361" t="s">
        <v>3954</v>
      </c>
      <c r="J2361" t="s">
        <v>4823</v>
      </c>
      <c r="K2361" t="s">
        <v>1283</v>
      </c>
      <c r="L2361" s="204">
        <v>0.18</v>
      </c>
      <c r="M2361" s="112">
        <v>30.375</v>
      </c>
      <c r="N2361" s="112">
        <v>5.4674999999999994</v>
      </c>
      <c r="O2361" s="204"/>
      <c r="P2361" s="112"/>
      <c r="Q2361" s="112"/>
      <c r="R2361" s="112"/>
      <c r="S2361" s="112"/>
      <c r="T2361" s="112"/>
      <c r="U2361" t="s">
        <v>5965</v>
      </c>
      <c r="V2361" t="s">
        <v>5966</v>
      </c>
      <c r="W2361" t="s">
        <v>3958</v>
      </c>
      <c r="X2361" t="s">
        <v>4660</v>
      </c>
    </row>
    <row r="2362" spans="1:24" x14ac:dyDescent="0.2">
      <c r="A2362" t="s">
        <v>5964</v>
      </c>
      <c r="B2362" t="s">
        <v>2013</v>
      </c>
      <c r="C2362" t="s">
        <v>2014</v>
      </c>
      <c r="D2362" t="s">
        <v>56</v>
      </c>
      <c r="E2362" t="s">
        <v>950</v>
      </c>
      <c r="F2362" t="s">
        <v>99</v>
      </c>
      <c r="G2362" s="202">
        <v>3.3</v>
      </c>
      <c r="H2362">
        <v>2</v>
      </c>
      <c r="I2362" t="s">
        <v>3960</v>
      </c>
      <c r="J2362" t="s">
        <v>4826</v>
      </c>
      <c r="K2362" t="s">
        <v>1283</v>
      </c>
      <c r="L2362" s="204">
        <v>0.72</v>
      </c>
      <c r="M2362" s="112">
        <v>30.375</v>
      </c>
      <c r="N2362" s="112">
        <v>21.869999999999997</v>
      </c>
      <c r="O2362" s="204"/>
      <c r="P2362" s="112"/>
      <c r="Q2362" s="112"/>
      <c r="R2362" s="112"/>
      <c r="S2362" s="112"/>
      <c r="T2362" s="112"/>
      <c r="U2362" t="s">
        <v>5965</v>
      </c>
      <c r="V2362" t="s">
        <v>5966</v>
      </c>
      <c r="W2362" t="s">
        <v>3958</v>
      </c>
      <c r="X2362" t="s">
        <v>4660</v>
      </c>
    </row>
    <row r="2363" spans="1:24" x14ac:dyDescent="0.2">
      <c r="A2363" t="s">
        <v>5964</v>
      </c>
      <c r="B2363" t="s">
        <v>2013</v>
      </c>
      <c r="C2363" t="s">
        <v>2014</v>
      </c>
      <c r="D2363" t="s">
        <v>56</v>
      </c>
      <c r="E2363" t="s">
        <v>950</v>
      </c>
      <c r="F2363" t="s">
        <v>99</v>
      </c>
      <c r="G2363" s="202">
        <v>3.3</v>
      </c>
      <c r="H2363">
        <v>3</v>
      </c>
      <c r="I2363" t="s">
        <v>3976</v>
      </c>
      <c r="J2363" t="s">
        <v>4827</v>
      </c>
      <c r="K2363" t="s">
        <v>1283</v>
      </c>
      <c r="L2363" s="204">
        <v>0.05</v>
      </c>
      <c r="M2363" s="112">
        <v>30.375</v>
      </c>
      <c r="N2363" s="112">
        <v>1.51875</v>
      </c>
      <c r="O2363" s="204"/>
      <c r="P2363" s="112"/>
      <c r="Q2363" s="112"/>
      <c r="R2363" s="112"/>
      <c r="S2363" s="112"/>
      <c r="T2363" s="112"/>
      <c r="U2363" t="s">
        <v>5965</v>
      </c>
      <c r="V2363" t="s">
        <v>5966</v>
      </c>
      <c r="W2363" t="s">
        <v>3958</v>
      </c>
      <c r="X2363" t="s">
        <v>4660</v>
      </c>
    </row>
    <row r="2364" spans="1:24" x14ac:dyDescent="0.2">
      <c r="A2364" t="s">
        <v>5964</v>
      </c>
      <c r="B2364" t="s">
        <v>2013</v>
      </c>
      <c r="C2364" t="s">
        <v>2014</v>
      </c>
      <c r="D2364" t="s">
        <v>56</v>
      </c>
      <c r="E2364" t="s">
        <v>950</v>
      </c>
      <c r="F2364" t="s">
        <v>99</v>
      </c>
      <c r="G2364" s="202">
        <v>3.3</v>
      </c>
      <c r="H2364">
        <v>4</v>
      </c>
      <c r="I2364" t="s">
        <v>4017</v>
      </c>
      <c r="J2364" t="s">
        <v>4809</v>
      </c>
      <c r="K2364" t="s">
        <v>1283</v>
      </c>
      <c r="L2364" s="204">
        <v>0.05</v>
      </c>
      <c r="M2364" s="112">
        <v>30.375</v>
      </c>
      <c r="N2364" s="112">
        <v>1.51875</v>
      </c>
      <c r="O2364" s="204"/>
      <c r="P2364" s="112"/>
      <c r="Q2364" s="112"/>
      <c r="R2364" s="112"/>
      <c r="S2364" s="112"/>
      <c r="T2364" s="112"/>
      <c r="U2364" t="s">
        <v>5965</v>
      </c>
      <c r="V2364" t="s">
        <v>5966</v>
      </c>
      <c r="W2364" t="s">
        <v>3958</v>
      </c>
      <c r="X2364" t="s">
        <v>4660</v>
      </c>
    </row>
    <row r="2365" spans="1:24" x14ac:dyDescent="0.2">
      <c r="A2365" t="s">
        <v>5964</v>
      </c>
      <c r="B2365" t="s">
        <v>2013</v>
      </c>
      <c r="C2365" t="s">
        <v>2014</v>
      </c>
      <c r="D2365" t="s">
        <v>56</v>
      </c>
      <c r="E2365" t="s">
        <v>950</v>
      </c>
      <c r="F2365" t="s">
        <v>99</v>
      </c>
      <c r="G2365" s="202">
        <v>3.3</v>
      </c>
      <c r="H2365">
        <v>5</v>
      </c>
      <c r="I2365" t="s">
        <v>3968</v>
      </c>
      <c r="J2365" t="s">
        <v>3969</v>
      </c>
      <c r="K2365" t="s">
        <v>99</v>
      </c>
      <c r="L2365" s="204">
        <v>1</v>
      </c>
      <c r="M2365" s="112"/>
      <c r="N2365" s="112">
        <v>30.375</v>
      </c>
      <c r="O2365" s="204">
        <v>0.22219728145654072</v>
      </c>
      <c r="P2365" s="112">
        <v>6.7492424242424249</v>
      </c>
      <c r="Q2365" s="112">
        <v>37.124242424242425</v>
      </c>
      <c r="R2365" s="112">
        <v>122.51</v>
      </c>
      <c r="S2365" s="112">
        <v>122.51</v>
      </c>
      <c r="T2365" s="112">
        <v>0</v>
      </c>
      <c r="U2365" t="s">
        <v>5965</v>
      </c>
      <c r="V2365" t="s">
        <v>5966</v>
      </c>
      <c r="W2365" t="s">
        <v>4666</v>
      </c>
      <c r="X2365" t="s">
        <v>4667</v>
      </c>
    </row>
    <row r="2366" spans="1:24" x14ac:dyDescent="0.2">
      <c r="A2366" t="s">
        <v>5967</v>
      </c>
      <c r="B2366" t="s">
        <v>2015</v>
      </c>
      <c r="C2366" t="s">
        <v>2016</v>
      </c>
      <c r="D2366" t="s">
        <v>56</v>
      </c>
      <c r="E2366" t="s">
        <v>951</v>
      </c>
      <c r="F2366" t="s">
        <v>99</v>
      </c>
      <c r="G2366" s="202">
        <v>12.9</v>
      </c>
      <c r="H2366">
        <v>1</v>
      </c>
      <c r="I2366" t="s">
        <v>3954</v>
      </c>
      <c r="J2366" t="s">
        <v>4823</v>
      </c>
      <c r="K2366" t="s">
        <v>1283</v>
      </c>
      <c r="L2366" s="204">
        <v>0.18</v>
      </c>
      <c r="M2366" s="112">
        <v>36.839999999999996</v>
      </c>
      <c r="N2366" s="112">
        <v>6.6311999999999989</v>
      </c>
      <c r="O2366" s="204"/>
      <c r="P2366" s="112"/>
      <c r="Q2366" s="112"/>
      <c r="R2366" s="112"/>
      <c r="S2366" s="112"/>
      <c r="T2366" s="112"/>
      <c r="U2366" t="s">
        <v>5968</v>
      </c>
      <c r="V2366" t="s">
        <v>5969</v>
      </c>
      <c r="W2366" t="s">
        <v>3958</v>
      </c>
      <c r="X2366" t="s">
        <v>4660</v>
      </c>
    </row>
    <row r="2367" spans="1:24" x14ac:dyDescent="0.2">
      <c r="A2367" t="s">
        <v>5967</v>
      </c>
      <c r="B2367" t="s">
        <v>2015</v>
      </c>
      <c r="C2367" t="s">
        <v>2016</v>
      </c>
      <c r="D2367" t="s">
        <v>56</v>
      </c>
      <c r="E2367" t="s">
        <v>951</v>
      </c>
      <c r="F2367" t="s">
        <v>99</v>
      </c>
      <c r="G2367" s="202">
        <v>12.9</v>
      </c>
      <c r="H2367">
        <v>2</v>
      </c>
      <c r="I2367" t="s">
        <v>3960</v>
      </c>
      <c r="J2367" t="s">
        <v>4826</v>
      </c>
      <c r="K2367" t="s">
        <v>1283</v>
      </c>
      <c r="L2367" s="204">
        <v>0.72</v>
      </c>
      <c r="M2367" s="112">
        <v>36.839999999999996</v>
      </c>
      <c r="N2367" s="112">
        <v>26.524799999999995</v>
      </c>
      <c r="O2367" s="204"/>
      <c r="P2367" s="112"/>
      <c r="Q2367" s="112"/>
      <c r="R2367" s="112"/>
      <c r="S2367" s="112"/>
      <c r="T2367" s="112"/>
      <c r="U2367" t="s">
        <v>5968</v>
      </c>
      <c r="V2367" t="s">
        <v>5969</v>
      </c>
      <c r="W2367" t="s">
        <v>3958</v>
      </c>
      <c r="X2367" t="s">
        <v>4660</v>
      </c>
    </row>
    <row r="2368" spans="1:24" x14ac:dyDescent="0.2">
      <c r="A2368" t="s">
        <v>5967</v>
      </c>
      <c r="B2368" t="s">
        <v>2015</v>
      </c>
      <c r="C2368" t="s">
        <v>2016</v>
      </c>
      <c r="D2368" t="s">
        <v>56</v>
      </c>
      <c r="E2368" t="s">
        <v>951</v>
      </c>
      <c r="F2368" t="s">
        <v>99</v>
      </c>
      <c r="G2368" s="202">
        <v>12.9</v>
      </c>
      <c r="H2368">
        <v>3</v>
      </c>
      <c r="I2368" t="s">
        <v>3976</v>
      </c>
      <c r="J2368" t="s">
        <v>4827</v>
      </c>
      <c r="K2368" t="s">
        <v>1283</v>
      </c>
      <c r="L2368" s="204">
        <v>0.05</v>
      </c>
      <c r="M2368" s="112">
        <v>36.839999999999996</v>
      </c>
      <c r="N2368" s="112">
        <v>1.8419999999999999</v>
      </c>
      <c r="O2368" s="204"/>
      <c r="P2368" s="112"/>
      <c r="Q2368" s="112"/>
      <c r="R2368" s="112"/>
      <c r="S2368" s="112"/>
      <c r="T2368" s="112"/>
      <c r="U2368" t="s">
        <v>5968</v>
      </c>
      <c r="V2368" t="s">
        <v>5969</v>
      </c>
      <c r="W2368" t="s">
        <v>3958</v>
      </c>
      <c r="X2368" t="s">
        <v>4660</v>
      </c>
    </row>
    <row r="2369" spans="1:24" x14ac:dyDescent="0.2">
      <c r="A2369" t="s">
        <v>5967</v>
      </c>
      <c r="B2369" t="s">
        <v>2015</v>
      </c>
      <c r="C2369" t="s">
        <v>2016</v>
      </c>
      <c r="D2369" t="s">
        <v>56</v>
      </c>
      <c r="E2369" t="s">
        <v>951</v>
      </c>
      <c r="F2369" t="s">
        <v>99</v>
      </c>
      <c r="G2369" s="202">
        <v>12.9</v>
      </c>
      <c r="H2369">
        <v>4</v>
      </c>
      <c r="I2369" t="s">
        <v>4017</v>
      </c>
      <c r="J2369" t="s">
        <v>4809</v>
      </c>
      <c r="K2369" t="s">
        <v>1283</v>
      </c>
      <c r="L2369" s="204">
        <v>0.05</v>
      </c>
      <c r="M2369" s="112">
        <v>36.839999999999996</v>
      </c>
      <c r="N2369" s="112">
        <v>1.8419999999999999</v>
      </c>
      <c r="O2369" s="204"/>
      <c r="P2369" s="112"/>
      <c r="Q2369" s="112"/>
      <c r="R2369" s="112"/>
      <c r="S2369" s="112"/>
      <c r="T2369" s="112"/>
      <c r="U2369" t="s">
        <v>5968</v>
      </c>
      <c r="V2369" t="s">
        <v>5969</v>
      </c>
      <c r="W2369" t="s">
        <v>3958</v>
      </c>
      <c r="X2369" t="s">
        <v>4660</v>
      </c>
    </row>
    <row r="2370" spans="1:24" x14ac:dyDescent="0.2">
      <c r="A2370" t="s">
        <v>5967</v>
      </c>
      <c r="B2370" t="s">
        <v>2015</v>
      </c>
      <c r="C2370" t="s">
        <v>2016</v>
      </c>
      <c r="D2370" t="s">
        <v>56</v>
      </c>
      <c r="E2370" t="s">
        <v>951</v>
      </c>
      <c r="F2370" t="s">
        <v>99</v>
      </c>
      <c r="G2370" s="202">
        <v>12.9</v>
      </c>
      <c r="H2370">
        <v>5</v>
      </c>
      <c r="I2370" t="s">
        <v>3968</v>
      </c>
      <c r="J2370" t="s">
        <v>3969</v>
      </c>
      <c r="K2370" t="s">
        <v>99</v>
      </c>
      <c r="L2370" s="204">
        <v>1</v>
      </c>
      <c r="M2370" s="112"/>
      <c r="N2370" s="112">
        <v>36.839999999999996</v>
      </c>
      <c r="O2370" s="204">
        <v>0.22210859446674913</v>
      </c>
      <c r="P2370" s="112">
        <v>8.1824806201550402</v>
      </c>
      <c r="Q2370" s="112">
        <v>45.022480620155036</v>
      </c>
      <c r="R2370" s="112">
        <v>580.79</v>
      </c>
      <c r="S2370" s="112">
        <v>580.79</v>
      </c>
      <c r="T2370" s="112">
        <v>0</v>
      </c>
      <c r="U2370" t="s">
        <v>5968</v>
      </c>
      <c r="V2370" t="s">
        <v>5969</v>
      </c>
      <c r="W2370" t="s">
        <v>4666</v>
      </c>
      <c r="X2370" t="s">
        <v>4667</v>
      </c>
    </row>
    <row r="2371" spans="1:24" x14ac:dyDescent="0.2">
      <c r="A2371" t="s">
        <v>5970</v>
      </c>
      <c r="B2371" t="s">
        <v>2017</v>
      </c>
      <c r="C2371" t="s">
        <v>2018</v>
      </c>
      <c r="D2371" t="s">
        <v>335</v>
      </c>
      <c r="E2371" t="s">
        <v>952</v>
      </c>
      <c r="F2371" t="s">
        <v>99</v>
      </c>
      <c r="G2371" s="202">
        <v>1</v>
      </c>
      <c r="H2371">
        <v>1</v>
      </c>
      <c r="I2371" t="s">
        <v>3954</v>
      </c>
      <c r="J2371" t="s">
        <v>4823</v>
      </c>
      <c r="K2371" t="s">
        <v>1283</v>
      </c>
      <c r="L2371" s="204">
        <v>0.18</v>
      </c>
      <c r="M2371" s="112">
        <v>219.375</v>
      </c>
      <c r="N2371" s="112">
        <v>39.487499999999997</v>
      </c>
      <c r="O2371" s="204"/>
      <c r="P2371" s="112"/>
      <c r="Q2371" s="112"/>
      <c r="R2371" s="112"/>
      <c r="S2371" s="112"/>
      <c r="T2371" s="112"/>
      <c r="U2371" t="s">
        <v>5971</v>
      </c>
      <c r="V2371" t="s">
        <v>5972</v>
      </c>
      <c r="W2371" t="s">
        <v>3958</v>
      </c>
      <c r="X2371" t="s">
        <v>4660</v>
      </c>
    </row>
    <row r="2372" spans="1:24" x14ac:dyDescent="0.2">
      <c r="A2372" t="s">
        <v>5970</v>
      </c>
      <c r="B2372" t="s">
        <v>2017</v>
      </c>
      <c r="C2372" t="s">
        <v>2018</v>
      </c>
      <c r="D2372" t="s">
        <v>335</v>
      </c>
      <c r="E2372" t="s">
        <v>952</v>
      </c>
      <c r="F2372" t="s">
        <v>99</v>
      </c>
      <c r="G2372" s="202">
        <v>1</v>
      </c>
      <c r="H2372">
        <v>2</v>
      </c>
      <c r="I2372" t="s">
        <v>3960</v>
      </c>
      <c r="J2372" t="s">
        <v>4826</v>
      </c>
      <c r="K2372" t="s">
        <v>1283</v>
      </c>
      <c r="L2372" s="204">
        <v>0.72</v>
      </c>
      <c r="M2372" s="112">
        <v>219.375</v>
      </c>
      <c r="N2372" s="112">
        <v>157.94999999999999</v>
      </c>
      <c r="O2372" s="204"/>
      <c r="P2372" s="112"/>
      <c r="Q2372" s="112"/>
      <c r="R2372" s="112"/>
      <c r="S2372" s="112"/>
      <c r="T2372" s="112"/>
      <c r="U2372" t="s">
        <v>5971</v>
      </c>
      <c r="V2372" t="s">
        <v>5972</v>
      </c>
      <c r="W2372" t="s">
        <v>3958</v>
      </c>
      <c r="X2372" t="s">
        <v>4660</v>
      </c>
    </row>
    <row r="2373" spans="1:24" x14ac:dyDescent="0.2">
      <c r="A2373" t="s">
        <v>5970</v>
      </c>
      <c r="B2373" t="s">
        <v>2017</v>
      </c>
      <c r="C2373" t="s">
        <v>2018</v>
      </c>
      <c r="D2373" t="s">
        <v>335</v>
      </c>
      <c r="E2373" t="s">
        <v>952</v>
      </c>
      <c r="F2373" t="s">
        <v>99</v>
      </c>
      <c r="G2373" s="202">
        <v>1</v>
      </c>
      <c r="H2373">
        <v>3</v>
      </c>
      <c r="I2373" t="s">
        <v>3976</v>
      </c>
      <c r="J2373" t="s">
        <v>4827</v>
      </c>
      <c r="K2373" t="s">
        <v>1283</v>
      </c>
      <c r="L2373" s="204">
        <v>0.05</v>
      </c>
      <c r="M2373" s="112">
        <v>219.375</v>
      </c>
      <c r="N2373" s="112">
        <v>10.96875</v>
      </c>
      <c r="O2373" s="204"/>
      <c r="P2373" s="112"/>
      <c r="Q2373" s="112"/>
      <c r="R2373" s="112"/>
      <c r="S2373" s="112"/>
      <c r="T2373" s="112"/>
      <c r="U2373" t="s">
        <v>5971</v>
      </c>
      <c r="V2373" t="s">
        <v>5972</v>
      </c>
      <c r="W2373" t="s">
        <v>3958</v>
      </c>
      <c r="X2373" t="s">
        <v>4660</v>
      </c>
    </row>
    <row r="2374" spans="1:24" x14ac:dyDescent="0.2">
      <c r="A2374" t="s">
        <v>5970</v>
      </c>
      <c r="B2374" t="s">
        <v>2017</v>
      </c>
      <c r="C2374" t="s">
        <v>2018</v>
      </c>
      <c r="D2374" t="s">
        <v>335</v>
      </c>
      <c r="E2374" t="s">
        <v>952</v>
      </c>
      <c r="F2374" t="s">
        <v>99</v>
      </c>
      <c r="G2374" s="202">
        <v>1</v>
      </c>
      <c r="H2374">
        <v>4</v>
      </c>
      <c r="I2374" t="s">
        <v>4017</v>
      </c>
      <c r="J2374" t="s">
        <v>4809</v>
      </c>
      <c r="K2374" t="s">
        <v>1283</v>
      </c>
      <c r="L2374" s="204">
        <v>0.05</v>
      </c>
      <c r="M2374" s="112">
        <v>219.375</v>
      </c>
      <c r="N2374" s="112">
        <v>10.96875</v>
      </c>
      <c r="O2374" s="204"/>
      <c r="P2374" s="112"/>
      <c r="Q2374" s="112"/>
      <c r="R2374" s="112"/>
      <c r="S2374" s="112"/>
      <c r="T2374" s="112"/>
      <c r="U2374" t="s">
        <v>5971</v>
      </c>
      <c r="V2374" t="s">
        <v>5972</v>
      </c>
      <c r="W2374" t="s">
        <v>3958</v>
      </c>
      <c r="X2374" t="s">
        <v>4660</v>
      </c>
    </row>
    <row r="2375" spans="1:24" x14ac:dyDescent="0.2">
      <c r="A2375" t="s">
        <v>5970</v>
      </c>
      <c r="B2375" t="s">
        <v>2017</v>
      </c>
      <c r="C2375" t="s">
        <v>2018</v>
      </c>
      <c r="D2375" t="s">
        <v>335</v>
      </c>
      <c r="E2375" t="s">
        <v>952</v>
      </c>
      <c r="F2375" t="s">
        <v>99</v>
      </c>
      <c r="G2375" s="202">
        <v>1</v>
      </c>
      <c r="H2375">
        <v>5</v>
      </c>
      <c r="I2375" t="s">
        <v>3968</v>
      </c>
      <c r="J2375" t="s">
        <v>3969</v>
      </c>
      <c r="K2375" t="s">
        <v>99</v>
      </c>
      <c r="L2375" s="204">
        <v>1</v>
      </c>
      <c r="M2375" s="112"/>
      <c r="N2375" s="112">
        <v>219.375</v>
      </c>
      <c r="O2375" s="204">
        <v>0.22229059829059827</v>
      </c>
      <c r="P2375" s="112">
        <v>48.764999999999986</v>
      </c>
      <c r="Q2375" s="112">
        <v>268.14</v>
      </c>
      <c r="R2375" s="112">
        <v>268.14</v>
      </c>
      <c r="S2375" s="112">
        <v>268.14</v>
      </c>
      <c r="T2375" s="112">
        <v>0</v>
      </c>
      <c r="U2375" t="s">
        <v>5971</v>
      </c>
      <c r="V2375" t="s">
        <v>5972</v>
      </c>
      <c r="W2375" t="s">
        <v>4666</v>
      </c>
      <c r="X2375" t="s">
        <v>4667</v>
      </c>
    </row>
    <row r="2376" spans="1:24" x14ac:dyDescent="0.2">
      <c r="A2376" t="s">
        <v>5973</v>
      </c>
      <c r="B2376" t="s">
        <v>2019</v>
      </c>
      <c r="C2376" t="s">
        <v>2020</v>
      </c>
      <c r="D2376" t="s">
        <v>24</v>
      </c>
      <c r="E2376" t="s">
        <v>954</v>
      </c>
      <c r="F2376" t="s">
        <v>99</v>
      </c>
      <c r="G2376" s="202">
        <v>372.5</v>
      </c>
      <c r="H2376">
        <v>1</v>
      </c>
      <c r="I2376" t="s">
        <v>3954</v>
      </c>
      <c r="J2376" t="s">
        <v>5227</v>
      </c>
      <c r="K2376" t="s">
        <v>1283</v>
      </c>
      <c r="L2376" s="204">
        <v>0.26</v>
      </c>
      <c r="M2376" s="112">
        <v>83.699999999999989</v>
      </c>
      <c r="N2376" s="112">
        <v>21.761999999999997</v>
      </c>
      <c r="O2376" s="204"/>
      <c r="P2376" s="112"/>
      <c r="Q2376" s="112"/>
      <c r="R2376" s="112"/>
      <c r="S2376" s="112"/>
      <c r="T2376" s="112"/>
      <c r="U2376" t="s">
        <v>5974</v>
      </c>
      <c r="V2376" t="s">
        <v>5975</v>
      </c>
      <c r="W2376" t="s">
        <v>3958</v>
      </c>
      <c r="X2376" t="s">
        <v>4660</v>
      </c>
    </row>
    <row r="2377" spans="1:24" x14ac:dyDescent="0.2">
      <c r="A2377" t="s">
        <v>5973</v>
      </c>
      <c r="B2377" t="s">
        <v>2019</v>
      </c>
      <c r="C2377" t="s">
        <v>2020</v>
      </c>
      <c r="D2377" t="s">
        <v>24</v>
      </c>
      <c r="E2377" t="s">
        <v>954</v>
      </c>
      <c r="F2377" t="s">
        <v>99</v>
      </c>
      <c r="G2377" s="202">
        <v>372.5</v>
      </c>
      <c r="H2377">
        <v>2</v>
      </c>
      <c r="I2377" t="s">
        <v>3960</v>
      </c>
      <c r="J2377" t="s">
        <v>5229</v>
      </c>
      <c r="K2377" t="s">
        <v>1283</v>
      </c>
      <c r="L2377" s="204">
        <v>0.64</v>
      </c>
      <c r="M2377" s="112">
        <v>83.699999999999989</v>
      </c>
      <c r="N2377" s="112">
        <v>53.567999999999991</v>
      </c>
      <c r="O2377" s="204"/>
      <c r="P2377" s="112"/>
      <c r="Q2377" s="112"/>
      <c r="R2377" s="112"/>
      <c r="S2377" s="112"/>
      <c r="T2377" s="112"/>
      <c r="U2377" t="s">
        <v>5974</v>
      </c>
      <c r="V2377" t="s">
        <v>5975</v>
      </c>
      <c r="W2377" t="s">
        <v>3958</v>
      </c>
      <c r="X2377" t="s">
        <v>4660</v>
      </c>
    </row>
    <row r="2378" spans="1:24" x14ac:dyDescent="0.2">
      <c r="A2378" t="s">
        <v>5973</v>
      </c>
      <c r="B2378" t="s">
        <v>2019</v>
      </c>
      <c r="C2378" t="s">
        <v>2020</v>
      </c>
      <c r="D2378" t="s">
        <v>24</v>
      </c>
      <c r="E2378" t="s">
        <v>954</v>
      </c>
      <c r="F2378" t="s">
        <v>99</v>
      </c>
      <c r="G2378" s="202">
        <v>372.5</v>
      </c>
      <c r="H2378">
        <v>3</v>
      </c>
      <c r="I2378" t="s">
        <v>3976</v>
      </c>
      <c r="J2378" t="s">
        <v>5230</v>
      </c>
      <c r="K2378" t="s">
        <v>1283</v>
      </c>
      <c r="L2378" s="204">
        <v>0.04</v>
      </c>
      <c r="M2378" s="112">
        <v>83.699999999999989</v>
      </c>
      <c r="N2378" s="112">
        <v>3.3479999999999994</v>
      </c>
      <c r="O2378" s="204"/>
      <c r="P2378" s="112"/>
      <c r="Q2378" s="112"/>
      <c r="R2378" s="112"/>
      <c r="S2378" s="112"/>
      <c r="T2378" s="112"/>
      <c r="U2378" t="s">
        <v>5974</v>
      </c>
      <c r="V2378" t="s">
        <v>5975</v>
      </c>
      <c r="W2378" t="s">
        <v>3958</v>
      </c>
      <c r="X2378" t="s">
        <v>4660</v>
      </c>
    </row>
    <row r="2379" spans="1:24" x14ac:dyDescent="0.2">
      <c r="A2379" t="s">
        <v>5973</v>
      </c>
      <c r="B2379" t="s">
        <v>2019</v>
      </c>
      <c r="C2379" t="s">
        <v>2020</v>
      </c>
      <c r="D2379" t="s">
        <v>24</v>
      </c>
      <c r="E2379" t="s">
        <v>954</v>
      </c>
      <c r="F2379" t="s">
        <v>99</v>
      </c>
      <c r="G2379" s="202">
        <v>372.5</v>
      </c>
      <c r="H2379">
        <v>4</v>
      </c>
      <c r="I2379" t="s">
        <v>4017</v>
      </c>
      <c r="J2379" t="s">
        <v>4851</v>
      </c>
      <c r="K2379" t="s">
        <v>1283</v>
      </c>
      <c r="L2379" s="204">
        <v>0.06</v>
      </c>
      <c r="M2379" s="112">
        <v>83.699999999999989</v>
      </c>
      <c r="N2379" s="112">
        <v>5.0219999999999994</v>
      </c>
      <c r="O2379" s="204"/>
      <c r="P2379" s="112"/>
      <c r="Q2379" s="112"/>
      <c r="R2379" s="112"/>
      <c r="S2379" s="112"/>
      <c r="T2379" s="112"/>
      <c r="U2379" t="s">
        <v>5974</v>
      </c>
      <c r="V2379" t="s">
        <v>5975</v>
      </c>
      <c r="W2379" t="s">
        <v>3958</v>
      </c>
      <c r="X2379" t="s">
        <v>4660</v>
      </c>
    </row>
    <row r="2380" spans="1:24" x14ac:dyDescent="0.2">
      <c r="A2380" t="s">
        <v>5973</v>
      </c>
      <c r="B2380" t="s">
        <v>2019</v>
      </c>
      <c r="C2380" t="s">
        <v>2020</v>
      </c>
      <c r="D2380" t="s">
        <v>24</v>
      </c>
      <c r="E2380" t="s">
        <v>954</v>
      </c>
      <c r="F2380" t="s">
        <v>99</v>
      </c>
      <c r="G2380" s="202">
        <v>372.5</v>
      </c>
      <c r="H2380">
        <v>5</v>
      </c>
      <c r="I2380" t="s">
        <v>3968</v>
      </c>
      <c r="J2380" t="s">
        <v>3969</v>
      </c>
      <c r="K2380" t="s">
        <v>99</v>
      </c>
      <c r="L2380" s="204">
        <v>1</v>
      </c>
      <c r="M2380" s="112"/>
      <c r="N2380" s="112">
        <v>83.699999999999989</v>
      </c>
      <c r="O2380" s="204">
        <v>0.22222222222222232</v>
      </c>
      <c r="P2380" s="112">
        <v>18.600000000000009</v>
      </c>
      <c r="Q2380" s="112">
        <v>102.3</v>
      </c>
      <c r="R2380" s="112">
        <v>38106.75</v>
      </c>
      <c r="S2380" s="112">
        <v>38106.75</v>
      </c>
      <c r="T2380" s="112">
        <v>0</v>
      </c>
      <c r="U2380" t="s">
        <v>5974</v>
      </c>
      <c r="V2380" t="s">
        <v>5975</v>
      </c>
      <c r="W2380" t="s">
        <v>4666</v>
      </c>
      <c r="X2380" t="s">
        <v>4667</v>
      </c>
    </row>
    <row r="2381" spans="1:24" x14ac:dyDescent="0.2">
      <c r="A2381" t="s">
        <v>5976</v>
      </c>
      <c r="B2381" t="s">
        <v>2021</v>
      </c>
      <c r="C2381" t="s">
        <v>2022</v>
      </c>
      <c r="D2381" t="s">
        <v>24</v>
      </c>
      <c r="E2381" t="s">
        <v>956</v>
      </c>
      <c r="F2381" t="s">
        <v>99</v>
      </c>
      <c r="G2381" s="202">
        <v>99.5</v>
      </c>
      <c r="H2381">
        <v>1</v>
      </c>
      <c r="I2381" t="s">
        <v>3954</v>
      </c>
      <c r="J2381" t="s">
        <v>5227</v>
      </c>
      <c r="K2381" t="s">
        <v>1283</v>
      </c>
      <c r="L2381" s="204">
        <v>0.26</v>
      </c>
      <c r="M2381" s="112">
        <v>169.5</v>
      </c>
      <c r="N2381" s="112">
        <v>44.07</v>
      </c>
      <c r="O2381" s="204"/>
      <c r="P2381" s="112"/>
      <c r="Q2381" s="112"/>
      <c r="R2381" s="112"/>
      <c r="S2381" s="112"/>
      <c r="T2381" s="112"/>
      <c r="U2381" t="s">
        <v>5977</v>
      </c>
      <c r="V2381" t="s">
        <v>5978</v>
      </c>
      <c r="W2381" t="s">
        <v>3958</v>
      </c>
      <c r="X2381" t="s">
        <v>4660</v>
      </c>
    </row>
    <row r="2382" spans="1:24" x14ac:dyDescent="0.2">
      <c r="A2382" t="s">
        <v>5976</v>
      </c>
      <c r="B2382" t="s">
        <v>2021</v>
      </c>
      <c r="C2382" t="s">
        <v>2022</v>
      </c>
      <c r="D2382" t="s">
        <v>24</v>
      </c>
      <c r="E2382" t="s">
        <v>956</v>
      </c>
      <c r="F2382" t="s">
        <v>99</v>
      </c>
      <c r="G2382" s="202">
        <v>99.5</v>
      </c>
      <c r="H2382">
        <v>2</v>
      </c>
      <c r="I2382" t="s">
        <v>3960</v>
      </c>
      <c r="J2382" t="s">
        <v>5229</v>
      </c>
      <c r="K2382" t="s">
        <v>1283</v>
      </c>
      <c r="L2382" s="204">
        <v>0.64</v>
      </c>
      <c r="M2382" s="112">
        <v>169.5</v>
      </c>
      <c r="N2382" s="112">
        <v>108.48</v>
      </c>
      <c r="O2382" s="204"/>
      <c r="P2382" s="112"/>
      <c r="Q2382" s="112"/>
      <c r="R2382" s="112"/>
      <c r="S2382" s="112"/>
      <c r="T2382" s="112"/>
      <c r="U2382" t="s">
        <v>5977</v>
      </c>
      <c r="V2382" t="s">
        <v>5978</v>
      </c>
      <c r="W2382" t="s">
        <v>3958</v>
      </c>
      <c r="X2382" t="s">
        <v>4660</v>
      </c>
    </row>
    <row r="2383" spans="1:24" x14ac:dyDescent="0.2">
      <c r="A2383" t="s">
        <v>5976</v>
      </c>
      <c r="B2383" t="s">
        <v>2021</v>
      </c>
      <c r="C2383" t="s">
        <v>2022</v>
      </c>
      <c r="D2383" t="s">
        <v>24</v>
      </c>
      <c r="E2383" t="s">
        <v>956</v>
      </c>
      <c r="F2383" t="s">
        <v>99</v>
      </c>
      <c r="G2383" s="202">
        <v>99.5</v>
      </c>
      <c r="H2383">
        <v>3</v>
      </c>
      <c r="I2383" t="s">
        <v>3976</v>
      </c>
      <c r="J2383" t="s">
        <v>5230</v>
      </c>
      <c r="K2383" t="s">
        <v>1283</v>
      </c>
      <c r="L2383" s="204">
        <v>0.04</v>
      </c>
      <c r="M2383" s="112">
        <v>169.5</v>
      </c>
      <c r="N2383" s="112">
        <v>6.78</v>
      </c>
      <c r="O2383" s="204"/>
      <c r="P2383" s="112"/>
      <c r="Q2383" s="112"/>
      <c r="R2383" s="112"/>
      <c r="S2383" s="112"/>
      <c r="T2383" s="112"/>
      <c r="U2383" t="s">
        <v>5977</v>
      </c>
      <c r="V2383" t="s">
        <v>5978</v>
      </c>
      <c r="W2383" t="s">
        <v>3958</v>
      </c>
      <c r="X2383" t="s">
        <v>4660</v>
      </c>
    </row>
    <row r="2384" spans="1:24" x14ac:dyDescent="0.2">
      <c r="A2384" t="s">
        <v>5976</v>
      </c>
      <c r="B2384" t="s">
        <v>2021</v>
      </c>
      <c r="C2384" t="s">
        <v>2022</v>
      </c>
      <c r="D2384" t="s">
        <v>24</v>
      </c>
      <c r="E2384" t="s">
        <v>956</v>
      </c>
      <c r="F2384" t="s">
        <v>99</v>
      </c>
      <c r="G2384" s="202">
        <v>99.5</v>
      </c>
      <c r="H2384">
        <v>4</v>
      </c>
      <c r="I2384" t="s">
        <v>4017</v>
      </c>
      <c r="J2384" t="s">
        <v>4851</v>
      </c>
      <c r="K2384" t="s">
        <v>1283</v>
      </c>
      <c r="L2384" s="204">
        <v>0.06</v>
      </c>
      <c r="M2384" s="112">
        <v>169.5</v>
      </c>
      <c r="N2384" s="112">
        <v>10.17</v>
      </c>
      <c r="O2384" s="204"/>
      <c r="P2384" s="112"/>
      <c r="Q2384" s="112"/>
      <c r="R2384" s="112"/>
      <c r="S2384" s="112"/>
      <c r="T2384" s="112"/>
      <c r="U2384" t="s">
        <v>5977</v>
      </c>
      <c r="V2384" t="s">
        <v>5978</v>
      </c>
      <c r="W2384" t="s">
        <v>3958</v>
      </c>
      <c r="X2384" t="s">
        <v>4660</v>
      </c>
    </row>
    <row r="2385" spans="1:24" x14ac:dyDescent="0.2">
      <c r="A2385" t="s">
        <v>5976</v>
      </c>
      <c r="B2385" t="s">
        <v>2021</v>
      </c>
      <c r="C2385" t="s">
        <v>2022</v>
      </c>
      <c r="D2385" t="s">
        <v>24</v>
      </c>
      <c r="E2385" t="s">
        <v>956</v>
      </c>
      <c r="F2385" t="s">
        <v>99</v>
      </c>
      <c r="G2385" s="202">
        <v>99.5</v>
      </c>
      <c r="H2385">
        <v>5</v>
      </c>
      <c r="I2385" t="s">
        <v>3968</v>
      </c>
      <c r="J2385" t="s">
        <v>3969</v>
      </c>
      <c r="K2385" t="s">
        <v>99</v>
      </c>
      <c r="L2385" s="204">
        <v>1</v>
      </c>
      <c r="M2385" s="112"/>
      <c r="N2385" s="112">
        <v>169.5</v>
      </c>
      <c r="O2385" s="204">
        <v>0.22225641481744995</v>
      </c>
      <c r="P2385" s="112">
        <v>37.67246231155778</v>
      </c>
      <c r="Q2385" s="112">
        <v>207.17246231155778</v>
      </c>
      <c r="R2385" s="112">
        <v>20613.66</v>
      </c>
      <c r="S2385" s="112">
        <v>20613.66</v>
      </c>
      <c r="T2385" s="112">
        <v>0</v>
      </c>
      <c r="U2385" t="s">
        <v>5977</v>
      </c>
      <c r="V2385" t="s">
        <v>5978</v>
      </c>
      <c r="W2385" t="s">
        <v>4666</v>
      </c>
      <c r="X2385" t="s">
        <v>4667</v>
      </c>
    </row>
    <row r="2386" spans="1:24" x14ac:dyDescent="0.2">
      <c r="A2386" t="s">
        <v>5979</v>
      </c>
      <c r="B2386" t="s">
        <v>2023</v>
      </c>
      <c r="C2386" t="s">
        <v>2024</v>
      </c>
      <c r="D2386" t="s">
        <v>335</v>
      </c>
      <c r="E2386" t="s">
        <v>957</v>
      </c>
      <c r="F2386" t="s">
        <v>84</v>
      </c>
      <c r="G2386" s="202">
        <v>1</v>
      </c>
      <c r="H2386">
        <v>1</v>
      </c>
      <c r="I2386" t="s">
        <v>3954</v>
      </c>
      <c r="J2386" t="s">
        <v>4823</v>
      </c>
      <c r="K2386" t="s">
        <v>1283</v>
      </c>
      <c r="L2386" s="204">
        <v>0.18</v>
      </c>
      <c r="M2386" s="112">
        <v>35.594999999999999</v>
      </c>
      <c r="N2386" s="112">
        <v>6.4070999999999998</v>
      </c>
      <c r="O2386" s="204"/>
      <c r="P2386" s="112"/>
      <c r="Q2386" s="112"/>
      <c r="R2386" s="112"/>
      <c r="S2386" s="112"/>
      <c r="T2386" s="112"/>
      <c r="U2386" t="s">
        <v>5980</v>
      </c>
      <c r="V2386" t="s">
        <v>5981</v>
      </c>
      <c r="W2386" t="s">
        <v>3958</v>
      </c>
      <c r="X2386" t="s">
        <v>4660</v>
      </c>
    </row>
    <row r="2387" spans="1:24" x14ac:dyDescent="0.2">
      <c r="A2387" t="s">
        <v>5979</v>
      </c>
      <c r="B2387" t="s">
        <v>2023</v>
      </c>
      <c r="C2387" t="s">
        <v>2024</v>
      </c>
      <c r="D2387" t="s">
        <v>335</v>
      </c>
      <c r="E2387" t="s">
        <v>957</v>
      </c>
      <c r="F2387" t="s">
        <v>84</v>
      </c>
      <c r="G2387" s="202">
        <v>1</v>
      </c>
      <c r="H2387">
        <v>2</v>
      </c>
      <c r="I2387" t="s">
        <v>3960</v>
      </c>
      <c r="J2387" t="s">
        <v>4826</v>
      </c>
      <c r="K2387" t="s">
        <v>1283</v>
      </c>
      <c r="L2387" s="204">
        <v>0.72</v>
      </c>
      <c r="M2387" s="112">
        <v>35.594999999999999</v>
      </c>
      <c r="N2387" s="112">
        <v>25.628399999999999</v>
      </c>
      <c r="O2387" s="204"/>
      <c r="P2387" s="112"/>
      <c r="Q2387" s="112"/>
      <c r="R2387" s="112"/>
      <c r="S2387" s="112"/>
      <c r="T2387" s="112"/>
      <c r="U2387" t="s">
        <v>5980</v>
      </c>
      <c r="V2387" t="s">
        <v>5981</v>
      </c>
      <c r="W2387" t="s">
        <v>3958</v>
      </c>
      <c r="X2387" t="s">
        <v>4660</v>
      </c>
    </row>
    <row r="2388" spans="1:24" x14ac:dyDescent="0.2">
      <c r="A2388" t="s">
        <v>5979</v>
      </c>
      <c r="B2388" t="s">
        <v>2023</v>
      </c>
      <c r="C2388" t="s">
        <v>2024</v>
      </c>
      <c r="D2388" t="s">
        <v>335</v>
      </c>
      <c r="E2388" t="s">
        <v>957</v>
      </c>
      <c r="F2388" t="s">
        <v>84</v>
      </c>
      <c r="G2388" s="202">
        <v>1</v>
      </c>
      <c r="H2388">
        <v>3</v>
      </c>
      <c r="I2388" t="s">
        <v>3976</v>
      </c>
      <c r="J2388" t="s">
        <v>4827</v>
      </c>
      <c r="K2388" t="s">
        <v>1283</v>
      </c>
      <c r="L2388" s="204">
        <v>0.05</v>
      </c>
      <c r="M2388" s="112">
        <v>35.594999999999999</v>
      </c>
      <c r="N2388" s="112">
        <v>1.7797499999999999</v>
      </c>
      <c r="O2388" s="204"/>
      <c r="P2388" s="112"/>
      <c r="Q2388" s="112"/>
      <c r="R2388" s="112"/>
      <c r="S2388" s="112"/>
      <c r="T2388" s="112"/>
      <c r="U2388" t="s">
        <v>5980</v>
      </c>
      <c r="V2388" t="s">
        <v>5981</v>
      </c>
      <c r="W2388" t="s">
        <v>3958</v>
      </c>
      <c r="X2388" t="s">
        <v>4660</v>
      </c>
    </row>
    <row r="2389" spans="1:24" x14ac:dyDescent="0.2">
      <c r="A2389" t="s">
        <v>5979</v>
      </c>
      <c r="B2389" t="s">
        <v>2023</v>
      </c>
      <c r="C2389" t="s">
        <v>2024</v>
      </c>
      <c r="D2389" t="s">
        <v>335</v>
      </c>
      <c r="E2389" t="s">
        <v>957</v>
      </c>
      <c r="F2389" t="s">
        <v>84</v>
      </c>
      <c r="G2389" s="202">
        <v>1</v>
      </c>
      <c r="H2389">
        <v>4</v>
      </c>
      <c r="I2389" t="s">
        <v>4017</v>
      </c>
      <c r="J2389" t="s">
        <v>4809</v>
      </c>
      <c r="K2389" t="s">
        <v>1283</v>
      </c>
      <c r="L2389" s="204">
        <v>0.05</v>
      </c>
      <c r="M2389" s="112">
        <v>35.594999999999999</v>
      </c>
      <c r="N2389" s="112">
        <v>1.7797499999999999</v>
      </c>
      <c r="O2389" s="204"/>
      <c r="P2389" s="112"/>
      <c r="Q2389" s="112"/>
      <c r="R2389" s="112"/>
      <c r="S2389" s="112"/>
      <c r="T2389" s="112"/>
      <c r="U2389" t="s">
        <v>5980</v>
      </c>
      <c r="V2389" t="s">
        <v>5981</v>
      </c>
      <c r="W2389" t="s">
        <v>3958</v>
      </c>
      <c r="X2389" t="s">
        <v>4660</v>
      </c>
    </row>
    <row r="2390" spans="1:24" x14ac:dyDescent="0.2">
      <c r="A2390" t="s">
        <v>5979</v>
      </c>
      <c r="B2390" t="s">
        <v>2023</v>
      </c>
      <c r="C2390" t="s">
        <v>2024</v>
      </c>
      <c r="D2390" t="s">
        <v>335</v>
      </c>
      <c r="E2390" t="s">
        <v>957</v>
      </c>
      <c r="F2390" t="s">
        <v>84</v>
      </c>
      <c r="G2390" s="202">
        <v>1</v>
      </c>
      <c r="H2390">
        <v>5</v>
      </c>
      <c r="I2390" t="s">
        <v>3968</v>
      </c>
      <c r="J2390" t="s">
        <v>3969</v>
      </c>
      <c r="K2390" t="s">
        <v>84</v>
      </c>
      <c r="L2390" s="204">
        <v>1</v>
      </c>
      <c r="M2390" s="112"/>
      <c r="N2390" s="112">
        <v>35.594999999999999</v>
      </c>
      <c r="O2390" s="204">
        <v>0.22208175305520439</v>
      </c>
      <c r="P2390" s="112">
        <v>7.9050000000000011</v>
      </c>
      <c r="Q2390" s="112">
        <v>43.5</v>
      </c>
      <c r="R2390" s="112">
        <v>43.5</v>
      </c>
      <c r="S2390" s="112">
        <v>43.5</v>
      </c>
      <c r="T2390" s="112">
        <v>0</v>
      </c>
      <c r="U2390" t="s">
        <v>5980</v>
      </c>
      <c r="V2390" t="s">
        <v>5981</v>
      </c>
      <c r="W2390" t="s">
        <v>4666</v>
      </c>
      <c r="X2390" t="s">
        <v>4667</v>
      </c>
    </row>
    <row r="2391" spans="1:24" x14ac:dyDescent="0.2">
      <c r="A2391" t="s">
        <v>5982</v>
      </c>
      <c r="B2391" t="s">
        <v>2025</v>
      </c>
      <c r="C2391" t="s">
        <v>2026</v>
      </c>
      <c r="D2391" t="s">
        <v>335</v>
      </c>
      <c r="E2391" t="s">
        <v>958</v>
      </c>
      <c r="F2391" t="s">
        <v>84</v>
      </c>
      <c r="G2391" s="202">
        <v>1</v>
      </c>
      <c r="H2391">
        <v>1</v>
      </c>
      <c r="I2391" t="s">
        <v>3954</v>
      </c>
      <c r="J2391" t="s">
        <v>4823</v>
      </c>
      <c r="K2391" t="s">
        <v>1283</v>
      </c>
      <c r="L2391" s="204">
        <v>0.18</v>
      </c>
      <c r="M2391" s="112">
        <v>101.89500000000001</v>
      </c>
      <c r="N2391" s="112">
        <v>18.341100000000001</v>
      </c>
      <c r="O2391" s="204"/>
      <c r="P2391" s="112"/>
      <c r="Q2391" s="112"/>
      <c r="R2391" s="112"/>
      <c r="S2391" s="112"/>
      <c r="T2391" s="112"/>
      <c r="U2391" t="s">
        <v>5983</v>
      </c>
      <c r="V2391" t="s">
        <v>5984</v>
      </c>
      <c r="W2391" t="s">
        <v>3958</v>
      </c>
      <c r="X2391" t="s">
        <v>4660</v>
      </c>
    </row>
    <row r="2392" spans="1:24" x14ac:dyDescent="0.2">
      <c r="A2392" t="s">
        <v>5982</v>
      </c>
      <c r="B2392" t="s">
        <v>2025</v>
      </c>
      <c r="C2392" t="s">
        <v>2026</v>
      </c>
      <c r="D2392" t="s">
        <v>335</v>
      </c>
      <c r="E2392" t="s">
        <v>958</v>
      </c>
      <c r="F2392" t="s">
        <v>84</v>
      </c>
      <c r="G2392" s="202">
        <v>1</v>
      </c>
      <c r="H2392">
        <v>2</v>
      </c>
      <c r="I2392" t="s">
        <v>3960</v>
      </c>
      <c r="J2392" t="s">
        <v>4826</v>
      </c>
      <c r="K2392" t="s">
        <v>1283</v>
      </c>
      <c r="L2392" s="204">
        <v>0.72</v>
      </c>
      <c r="M2392" s="112">
        <v>101.89500000000001</v>
      </c>
      <c r="N2392" s="112">
        <v>73.364400000000003</v>
      </c>
      <c r="O2392" s="204"/>
      <c r="P2392" s="112"/>
      <c r="Q2392" s="112"/>
      <c r="R2392" s="112"/>
      <c r="S2392" s="112"/>
      <c r="T2392" s="112"/>
      <c r="U2392" t="s">
        <v>5983</v>
      </c>
      <c r="V2392" t="s">
        <v>5984</v>
      </c>
      <c r="W2392" t="s">
        <v>3958</v>
      </c>
      <c r="X2392" t="s">
        <v>4660</v>
      </c>
    </row>
    <row r="2393" spans="1:24" x14ac:dyDescent="0.2">
      <c r="A2393" t="s">
        <v>5982</v>
      </c>
      <c r="B2393" t="s">
        <v>2025</v>
      </c>
      <c r="C2393" t="s">
        <v>2026</v>
      </c>
      <c r="D2393" t="s">
        <v>335</v>
      </c>
      <c r="E2393" t="s">
        <v>958</v>
      </c>
      <c r="F2393" t="s">
        <v>84</v>
      </c>
      <c r="G2393" s="202">
        <v>1</v>
      </c>
      <c r="H2393">
        <v>3</v>
      </c>
      <c r="I2393" t="s">
        <v>3976</v>
      </c>
      <c r="J2393" t="s">
        <v>4827</v>
      </c>
      <c r="K2393" t="s">
        <v>1283</v>
      </c>
      <c r="L2393" s="204">
        <v>0.05</v>
      </c>
      <c r="M2393" s="112">
        <v>101.89500000000001</v>
      </c>
      <c r="N2393" s="112">
        <v>5.0947500000000012</v>
      </c>
      <c r="O2393" s="204"/>
      <c r="P2393" s="112"/>
      <c r="Q2393" s="112"/>
      <c r="R2393" s="112"/>
      <c r="S2393" s="112"/>
      <c r="T2393" s="112"/>
      <c r="U2393" t="s">
        <v>5983</v>
      </c>
      <c r="V2393" t="s">
        <v>5984</v>
      </c>
      <c r="W2393" t="s">
        <v>3958</v>
      </c>
      <c r="X2393" t="s">
        <v>4660</v>
      </c>
    </row>
    <row r="2394" spans="1:24" x14ac:dyDescent="0.2">
      <c r="A2394" t="s">
        <v>5982</v>
      </c>
      <c r="B2394" t="s">
        <v>2025</v>
      </c>
      <c r="C2394" t="s">
        <v>2026</v>
      </c>
      <c r="D2394" t="s">
        <v>335</v>
      </c>
      <c r="E2394" t="s">
        <v>958</v>
      </c>
      <c r="F2394" t="s">
        <v>84</v>
      </c>
      <c r="G2394" s="202">
        <v>1</v>
      </c>
      <c r="H2394">
        <v>4</v>
      </c>
      <c r="I2394" t="s">
        <v>4017</v>
      </c>
      <c r="J2394" t="s">
        <v>4809</v>
      </c>
      <c r="K2394" t="s">
        <v>1283</v>
      </c>
      <c r="L2394" s="204">
        <v>0.05</v>
      </c>
      <c r="M2394" s="112">
        <v>101.89500000000001</v>
      </c>
      <c r="N2394" s="112">
        <v>5.0947500000000012</v>
      </c>
      <c r="O2394" s="204"/>
      <c r="P2394" s="112"/>
      <c r="Q2394" s="112"/>
      <c r="R2394" s="112"/>
      <c r="S2394" s="112"/>
      <c r="T2394" s="112"/>
      <c r="U2394" t="s">
        <v>5983</v>
      </c>
      <c r="V2394" t="s">
        <v>5984</v>
      </c>
      <c r="W2394" t="s">
        <v>3958</v>
      </c>
      <c r="X2394" t="s">
        <v>4660</v>
      </c>
    </row>
    <row r="2395" spans="1:24" x14ac:dyDescent="0.2">
      <c r="A2395" t="s">
        <v>5982</v>
      </c>
      <c r="B2395" t="s">
        <v>2025</v>
      </c>
      <c r="C2395" t="s">
        <v>2026</v>
      </c>
      <c r="D2395" t="s">
        <v>335</v>
      </c>
      <c r="E2395" t="s">
        <v>958</v>
      </c>
      <c r="F2395" t="s">
        <v>84</v>
      </c>
      <c r="G2395" s="202">
        <v>1</v>
      </c>
      <c r="H2395">
        <v>5</v>
      </c>
      <c r="I2395" t="s">
        <v>3968</v>
      </c>
      <c r="J2395" t="s">
        <v>3969</v>
      </c>
      <c r="K2395" t="s">
        <v>84</v>
      </c>
      <c r="L2395" s="204">
        <v>1</v>
      </c>
      <c r="M2395" s="112"/>
      <c r="N2395" s="112">
        <v>101.89500000000001</v>
      </c>
      <c r="O2395" s="204">
        <v>0.22223857892929</v>
      </c>
      <c r="P2395" s="112">
        <v>22.644999999999996</v>
      </c>
      <c r="Q2395" s="112">
        <v>124.54</v>
      </c>
      <c r="R2395" s="112">
        <v>124.54</v>
      </c>
      <c r="S2395" s="112">
        <v>124.54</v>
      </c>
      <c r="T2395" s="112">
        <v>0</v>
      </c>
      <c r="U2395" t="s">
        <v>5983</v>
      </c>
      <c r="V2395" t="s">
        <v>5984</v>
      </c>
      <c r="W2395" t="s">
        <v>4666</v>
      </c>
      <c r="X2395" t="s">
        <v>4667</v>
      </c>
    </row>
    <row r="2396" spans="1:24" x14ac:dyDescent="0.2">
      <c r="A2396" t="s">
        <v>5985</v>
      </c>
      <c r="B2396" t="s">
        <v>2027</v>
      </c>
      <c r="C2396" t="s">
        <v>2028</v>
      </c>
      <c r="D2396" t="s">
        <v>56</v>
      </c>
      <c r="E2396" t="s">
        <v>959</v>
      </c>
      <c r="F2396" t="s">
        <v>84</v>
      </c>
      <c r="G2396" s="202">
        <v>1</v>
      </c>
      <c r="H2396">
        <v>1</v>
      </c>
      <c r="I2396" t="s">
        <v>3954</v>
      </c>
      <c r="J2396" t="s">
        <v>4823</v>
      </c>
      <c r="K2396" t="s">
        <v>1283</v>
      </c>
      <c r="L2396" s="204">
        <v>0.18</v>
      </c>
      <c r="M2396" s="112">
        <v>10.5</v>
      </c>
      <c r="N2396" s="112">
        <v>1.89</v>
      </c>
      <c r="O2396" s="204"/>
      <c r="P2396" s="112"/>
      <c r="Q2396" s="112"/>
      <c r="R2396" s="112"/>
      <c r="S2396" s="112"/>
      <c r="T2396" s="112"/>
      <c r="U2396" t="s">
        <v>5986</v>
      </c>
      <c r="V2396" t="s">
        <v>5987</v>
      </c>
      <c r="W2396" t="s">
        <v>3958</v>
      </c>
      <c r="X2396" t="s">
        <v>4660</v>
      </c>
    </row>
    <row r="2397" spans="1:24" x14ac:dyDescent="0.2">
      <c r="A2397" t="s">
        <v>5985</v>
      </c>
      <c r="B2397" t="s">
        <v>2027</v>
      </c>
      <c r="C2397" t="s">
        <v>2028</v>
      </c>
      <c r="D2397" t="s">
        <v>56</v>
      </c>
      <c r="E2397" t="s">
        <v>959</v>
      </c>
      <c r="F2397" t="s">
        <v>84</v>
      </c>
      <c r="G2397" s="202">
        <v>1</v>
      </c>
      <c r="H2397">
        <v>2</v>
      </c>
      <c r="I2397" t="s">
        <v>3960</v>
      </c>
      <c r="J2397" t="s">
        <v>4826</v>
      </c>
      <c r="K2397" t="s">
        <v>1283</v>
      </c>
      <c r="L2397" s="204">
        <v>0.72</v>
      </c>
      <c r="M2397" s="112">
        <v>10.5</v>
      </c>
      <c r="N2397" s="112">
        <v>7.56</v>
      </c>
      <c r="O2397" s="204"/>
      <c r="P2397" s="112"/>
      <c r="Q2397" s="112"/>
      <c r="R2397" s="112"/>
      <c r="S2397" s="112"/>
      <c r="T2397" s="112"/>
      <c r="U2397" t="s">
        <v>5986</v>
      </c>
      <c r="V2397" t="s">
        <v>5987</v>
      </c>
      <c r="W2397" t="s">
        <v>3958</v>
      </c>
      <c r="X2397" t="s">
        <v>4660</v>
      </c>
    </row>
    <row r="2398" spans="1:24" x14ac:dyDescent="0.2">
      <c r="A2398" t="s">
        <v>5985</v>
      </c>
      <c r="B2398" t="s">
        <v>2027</v>
      </c>
      <c r="C2398" t="s">
        <v>2028</v>
      </c>
      <c r="D2398" t="s">
        <v>56</v>
      </c>
      <c r="E2398" t="s">
        <v>959</v>
      </c>
      <c r="F2398" t="s">
        <v>84</v>
      </c>
      <c r="G2398" s="202">
        <v>1</v>
      </c>
      <c r="H2398">
        <v>3</v>
      </c>
      <c r="I2398" t="s">
        <v>3976</v>
      </c>
      <c r="J2398" t="s">
        <v>4827</v>
      </c>
      <c r="K2398" t="s">
        <v>1283</v>
      </c>
      <c r="L2398" s="204">
        <v>0.05</v>
      </c>
      <c r="M2398" s="112">
        <v>10.5</v>
      </c>
      <c r="N2398" s="112">
        <v>0.52500000000000002</v>
      </c>
      <c r="O2398" s="204"/>
      <c r="P2398" s="112"/>
      <c r="Q2398" s="112"/>
      <c r="R2398" s="112"/>
      <c r="S2398" s="112"/>
      <c r="T2398" s="112"/>
      <c r="U2398" t="s">
        <v>5986</v>
      </c>
      <c r="V2398" t="s">
        <v>5987</v>
      </c>
      <c r="W2398" t="s">
        <v>3958</v>
      </c>
      <c r="X2398" t="s">
        <v>4660</v>
      </c>
    </row>
    <row r="2399" spans="1:24" x14ac:dyDescent="0.2">
      <c r="A2399" t="s">
        <v>5985</v>
      </c>
      <c r="B2399" t="s">
        <v>2027</v>
      </c>
      <c r="C2399" t="s">
        <v>2028</v>
      </c>
      <c r="D2399" t="s">
        <v>56</v>
      </c>
      <c r="E2399" t="s">
        <v>959</v>
      </c>
      <c r="F2399" t="s">
        <v>84</v>
      </c>
      <c r="G2399" s="202">
        <v>1</v>
      </c>
      <c r="H2399">
        <v>4</v>
      </c>
      <c r="I2399" t="s">
        <v>4017</v>
      </c>
      <c r="J2399" t="s">
        <v>4809</v>
      </c>
      <c r="K2399" t="s">
        <v>1283</v>
      </c>
      <c r="L2399" s="204">
        <v>0.05</v>
      </c>
      <c r="M2399" s="112">
        <v>10.5</v>
      </c>
      <c r="N2399" s="112">
        <v>0.52500000000000002</v>
      </c>
      <c r="O2399" s="204"/>
      <c r="P2399" s="112"/>
      <c r="Q2399" s="112"/>
      <c r="R2399" s="112"/>
      <c r="S2399" s="112"/>
      <c r="T2399" s="112"/>
      <c r="U2399" t="s">
        <v>5986</v>
      </c>
      <c r="V2399" t="s">
        <v>5987</v>
      </c>
      <c r="W2399" t="s">
        <v>3958</v>
      </c>
      <c r="X2399" t="s">
        <v>4660</v>
      </c>
    </row>
    <row r="2400" spans="1:24" x14ac:dyDescent="0.2">
      <c r="A2400" t="s">
        <v>5985</v>
      </c>
      <c r="B2400" t="s">
        <v>2027</v>
      </c>
      <c r="C2400" t="s">
        <v>2028</v>
      </c>
      <c r="D2400" t="s">
        <v>56</v>
      </c>
      <c r="E2400" t="s">
        <v>959</v>
      </c>
      <c r="F2400" t="s">
        <v>84</v>
      </c>
      <c r="G2400" s="202">
        <v>1</v>
      </c>
      <c r="H2400">
        <v>5</v>
      </c>
      <c r="I2400" t="s">
        <v>3968</v>
      </c>
      <c r="J2400" t="s">
        <v>3969</v>
      </c>
      <c r="K2400" t="s">
        <v>84</v>
      </c>
      <c r="L2400" s="204">
        <v>1</v>
      </c>
      <c r="M2400" s="112"/>
      <c r="N2400" s="112">
        <v>10.5</v>
      </c>
      <c r="O2400" s="204">
        <v>0.22190476190476183</v>
      </c>
      <c r="P2400" s="112">
        <v>2.33</v>
      </c>
      <c r="Q2400" s="112">
        <v>12.83</v>
      </c>
      <c r="R2400" s="112">
        <v>12.83</v>
      </c>
      <c r="S2400" s="112">
        <v>12.83</v>
      </c>
      <c r="T2400" s="112">
        <v>0</v>
      </c>
      <c r="U2400" t="s">
        <v>5986</v>
      </c>
      <c r="V2400" t="s">
        <v>5987</v>
      </c>
      <c r="W2400" t="s">
        <v>4666</v>
      </c>
      <c r="X2400" t="s">
        <v>4667</v>
      </c>
    </row>
    <row r="2401" spans="1:24" x14ac:dyDescent="0.2">
      <c r="A2401" t="s">
        <v>5988</v>
      </c>
      <c r="B2401" t="s">
        <v>2029</v>
      </c>
      <c r="C2401" t="s">
        <v>2030</v>
      </c>
      <c r="D2401" t="s">
        <v>56</v>
      </c>
      <c r="E2401" t="s">
        <v>960</v>
      </c>
      <c r="F2401" t="s">
        <v>84</v>
      </c>
      <c r="G2401" s="202">
        <v>5</v>
      </c>
      <c r="H2401">
        <v>1</v>
      </c>
      <c r="I2401" t="s">
        <v>3954</v>
      </c>
      <c r="J2401" t="s">
        <v>4823</v>
      </c>
      <c r="K2401" t="s">
        <v>1283</v>
      </c>
      <c r="L2401" s="204">
        <v>0.18</v>
      </c>
      <c r="M2401" s="112">
        <v>15.892500000000002</v>
      </c>
      <c r="N2401" s="112">
        <v>2.8606500000000001</v>
      </c>
      <c r="O2401" s="204"/>
      <c r="P2401" s="112"/>
      <c r="Q2401" s="112"/>
      <c r="R2401" s="112"/>
      <c r="S2401" s="112"/>
      <c r="T2401" s="112"/>
      <c r="U2401" t="s">
        <v>5989</v>
      </c>
      <c r="V2401" t="s">
        <v>5990</v>
      </c>
      <c r="W2401" t="s">
        <v>3958</v>
      </c>
      <c r="X2401" t="s">
        <v>4660</v>
      </c>
    </row>
    <row r="2402" spans="1:24" x14ac:dyDescent="0.2">
      <c r="A2402" t="s">
        <v>5988</v>
      </c>
      <c r="B2402" t="s">
        <v>2029</v>
      </c>
      <c r="C2402" t="s">
        <v>2030</v>
      </c>
      <c r="D2402" t="s">
        <v>56</v>
      </c>
      <c r="E2402" t="s">
        <v>960</v>
      </c>
      <c r="F2402" t="s">
        <v>84</v>
      </c>
      <c r="G2402" s="202">
        <v>5</v>
      </c>
      <c r="H2402">
        <v>2</v>
      </c>
      <c r="I2402" t="s">
        <v>3960</v>
      </c>
      <c r="J2402" t="s">
        <v>4826</v>
      </c>
      <c r="K2402" t="s">
        <v>1283</v>
      </c>
      <c r="L2402" s="204">
        <v>0.72</v>
      </c>
      <c r="M2402" s="112">
        <v>15.892500000000002</v>
      </c>
      <c r="N2402" s="112">
        <v>11.442600000000001</v>
      </c>
      <c r="O2402" s="204"/>
      <c r="P2402" s="112"/>
      <c r="Q2402" s="112"/>
      <c r="R2402" s="112"/>
      <c r="S2402" s="112"/>
      <c r="T2402" s="112"/>
      <c r="U2402" t="s">
        <v>5989</v>
      </c>
      <c r="V2402" t="s">
        <v>5990</v>
      </c>
      <c r="W2402" t="s">
        <v>3958</v>
      </c>
      <c r="X2402" t="s">
        <v>4660</v>
      </c>
    </row>
    <row r="2403" spans="1:24" x14ac:dyDescent="0.2">
      <c r="A2403" t="s">
        <v>5988</v>
      </c>
      <c r="B2403" t="s">
        <v>2029</v>
      </c>
      <c r="C2403" t="s">
        <v>2030</v>
      </c>
      <c r="D2403" t="s">
        <v>56</v>
      </c>
      <c r="E2403" t="s">
        <v>960</v>
      </c>
      <c r="F2403" t="s">
        <v>84</v>
      </c>
      <c r="G2403" s="202">
        <v>5</v>
      </c>
      <c r="H2403">
        <v>3</v>
      </c>
      <c r="I2403" t="s">
        <v>3976</v>
      </c>
      <c r="J2403" t="s">
        <v>4827</v>
      </c>
      <c r="K2403" t="s">
        <v>1283</v>
      </c>
      <c r="L2403" s="204">
        <v>0.05</v>
      </c>
      <c r="M2403" s="112">
        <v>15.892500000000002</v>
      </c>
      <c r="N2403" s="112">
        <v>0.79462500000000014</v>
      </c>
      <c r="O2403" s="204"/>
      <c r="P2403" s="112"/>
      <c r="Q2403" s="112"/>
      <c r="R2403" s="112"/>
      <c r="S2403" s="112"/>
      <c r="T2403" s="112"/>
      <c r="U2403" t="s">
        <v>5989</v>
      </c>
      <c r="V2403" t="s">
        <v>5990</v>
      </c>
      <c r="W2403" t="s">
        <v>3958</v>
      </c>
      <c r="X2403" t="s">
        <v>4660</v>
      </c>
    </row>
    <row r="2404" spans="1:24" x14ac:dyDescent="0.2">
      <c r="A2404" t="s">
        <v>5988</v>
      </c>
      <c r="B2404" t="s">
        <v>2029</v>
      </c>
      <c r="C2404" t="s">
        <v>2030</v>
      </c>
      <c r="D2404" t="s">
        <v>56</v>
      </c>
      <c r="E2404" t="s">
        <v>960</v>
      </c>
      <c r="F2404" t="s">
        <v>84</v>
      </c>
      <c r="G2404" s="202">
        <v>5</v>
      </c>
      <c r="H2404">
        <v>4</v>
      </c>
      <c r="I2404" t="s">
        <v>4017</v>
      </c>
      <c r="J2404" t="s">
        <v>4809</v>
      </c>
      <c r="K2404" t="s">
        <v>1283</v>
      </c>
      <c r="L2404" s="204">
        <v>0.05</v>
      </c>
      <c r="M2404" s="112">
        <v>15.892500000000002</v>
      </c>
      <c r="N2404" s="112">
        <v>0.79462500000000014</v>
      </c>
      <c r="O2404" s="204"/>
      <c r="P2404" s="112"/>
      <c r="Q2404" s="112"/>
      <c r="R2404" s="112"/>
      <c r="S2404" s="112"/>
      <c r="T2404" s="112"/>
      <c r="U2404" t="s">
        <v>5989</v>
      </c>
      <c r="V2404" t="s">
        <v>5990</v>
      </c>
      <c r="W2404" t="s">
        <v>3958</v>
      </c>
      <c r="X2404" t="s">
        <v>4660</v>
      </c>
    </row>
    <row r="2405" spans="1:24" x14ac:dyDescent="0.2">
      <c r="A2405" t="s">
        <v>5988</v>
      </c>
      <c r="B2405" t="s">
        <v>2029</v>
      </c>
      <c r="C2405" t="s">
        <v>2030</v>
      </c>
      <c r="D2405" t="s">
        <v>56</v>
      </c>
      <c r="E2405" t="s">
        <v>960</v>
      </c>
      <c r="F2405" t="s">
        <v>84</v>
      </c>
      <c r="G2405" s="202">
        <v>5</v>
      </c>
      <c r="H2405">
        <v>5</v>
      </c>
      <c r="I2405" t="s">
        <v>3968</v>
      </c>
      <c r="J2405" t="s">
        <v>3969</v>
      </c>
      <c r="K2405" t="s">
        <v>84</v>
      </c>
      <c r="L2405" s="204">
        <v>1</v>
      </c>
      <c r="M2405" s="112"/>
      <c r="N2405" s="112">
        <v>15.892500000000002</v>
      </c>
      <c r="O2405" s="204">
        <v>0.22221173509517045</v>
      </c>
      <c r="P2405" s="112">
        <v>3.5314999999999976</v>
      </c>
      <c r="Q2405" s="112">
        <v>19.423999999999999</v>
      </c>
      <c r="R2405" s="112">
        <v>97.12</v>
      </c>
      <c r="S2405" s="112">
        <v>97.12</v>
      </c>
      <c r="T2405" s="112">
        <v>0</v>
      </c>
      <c r="U2405" t="s">
        <v>5989</v>
      </c>
      <c r="V2405" t="s">
        <v>5990</v>
      </c>
      <c r="W2405" t="s">
        <v>4666</v>
      </c>
      <c r="X2405" t="s">
        <v>4667</v>
      </c>
    </row>
    <row r="2406" spans="1:24" x14ac:dyDescent="0.2">
      <c r="A2406" t="s">
        <v>5991</v>
      </c>
      <c r="B2406" t="s">
        <v>2031</v>
      </c>
      <c r="C2406" t="s">
        <v>2032</v>
      </c>
      <c r="D2406" t="s">
        <v>56</v>
      </c>
      <c r="E2406" t="s">
        <v>2033</v>
      </c>
      <c r="F2406" t="s">
        <v>84</v>
      </c>
      <c r="G2406" s="202">
        <v>4</v>
      </c>
      <c r="H2406">
        <v>1</v>
      </c>
      <c r="I2406" t="s">
        <v>3954</v>
      </c>
      <c r="J2406" t="s">
        <v>4823</v>
      </c>
      <c r="K2406" t="s">
        <v>1283</v>
      </c>
      <c r="L2406" s="204">
        <v>0.18</v>
      </c>
      <c r="M2406" s="112">
        <v>7.5075000000000003</v>
      </c>
      <c r="N2406" s="112">
        <v>1.3513500000000001</v>
      </c>
      <c r="O2406" s="204"/>
      <c r="P2406" s="112"/>
      <c r="Q2406" s="112"/>
      <c r="R2406" s="112"/>
      <c r="S2406" s="112"/>
      <c r="T2406" s="112"/>
      <c r="U2406" t="s">
        <v>5992</v>
      </c>
      <c r="V2406" t="s">
        <v>5993</v>
      </c>
      <c r="W2406" t="s">
        <v>3958</v>
      </c>
      <c r="X2406" t="s">
        <v>4660</v>
      </c>
    </row>
    <row r="2407" spans="1:24" x14ac:dyDescent="0.2">
      <c r="A2407" t="s">
        <v>5991</v>
      </c>
      <c r="B2407" t="s">
        <v>2031</v>
      </c>
      <c r="C2407" t="s">
        <v>2032</v>
      </c>
      <c r="D2407" t="s">
        <v>56</v>
      </c>
      <c r="E2407" t="s">
        <v>2033</v>
      </c>
      <c r="F2407" t="s">
        <v>84</v>
      </c>
      <c r="G2407" s="202">
        <v>4</v>
      </c>
      <c r="H2407">
        <v>2</v>
      </c>
      <c r="I2407" t="s">
        <v>3960</v>
      </c>
      <c r="J2407" t="s">
        <v>4826</v>
      </c>
      <c r="K2407" t="s">
        <v>1283</v>
      </c>
      <c r="L2407" s="204">
        <v>0.72</v>
      </c>
      <c r="M2407" s="112">
        <v>7.5075000000000003</v>
      </c>
      <c r="N2407" s="112">
        <v>5.4054000000000002</v>
      </c>
      <c r="O2407" s="204"/>
      <c r="P2407" s="112"/>
      <c r="Q2407" s="112"/>
      <c r="R2407" s="112"/>
      <c r="S2407" s="112"/>
      <c r="T2407" s="112"/>
      <c r="U2407" t="s">
        <v>5992</v>
      </c>
      <c r="V2407" t="s">
        <v>5993</v>
      </c>
      <c r="W2407" t="s">
        <v>3958</v>
      </c>
      <c r="X2407" t="s">
        <v>4660</v>
      </c>
    </row>
    <row r="2408" spans="1:24" x14ac:dyDescent="0.2">
      <c r="A2408" t="s">
        <v>5991</v>
      </c>
      <c r="B2408" t="s">
        <v>2031</v>
      </c>
      <c r="C2408" t="s">
        <v>2032</v>
      </c>
      <c r="D2408" t="s">
        <v>56</v>
      </c>
      <c r="E2408" t="s">
        <v>2033</v>
      </c>
      <c r="F2408" t="s">
        <v>84</v>
      </c>
      <c r="G2408" s="202">
        <v>4</v>
      </c>
      <c r="H2408">
        <v>3</v>
      </c>
      <c r="I2408" t="s">
        <v>3976</v>
      </c>
      <c r="J2408" t="s">
        <v>4827</v>
      </c>
      <c r="K2408" t="s">
        <v>1283</v>
      </c>
      <c r="L2408" s="204">
        <v>0.05</v>
      </c>
      <c r="M2408" s="112">
        <v>7.5075000000000003</v>
      </c>
      <c r="N2408" s="112">
        <v>0.37537500000000001</v>
      </c>
      <c r="O2408" s="204"/>
      <c r="P2408" s="112"/>
      <c r="Q2408" s="112"/>
      <c r="R2408" s="112"/>
      <c r="S2408" s="112"/>
      <c r="T2408" s="112"/>
      <c r="U2408" t="s">
        <v>5992</v>
      </c>
      <c r="V2408" t="s">
        <v>5993</v>
      </c>
      <c r="W2408" t="s">
        <v>3958</v>
      </c>
      <c r="X2408" t="s">
        <v>4660</v>
      </c>
    </row>
    <row r="2409" spans="1:24" x14ac:dyDescent="0.2">
      <c r="A2409" t="s">
        <v>5991</v>
      </c>
      <c r="B2409" t="s">
        <v>2031</v>
      </c>
      <c r="C2409" t="s">
        <v>2032</v>
      </c>
      <c r="D2409" t="s">
        <v>56</v>
      </c>
      <c r="E2409" t="s">
        <v>2033</v>
      </c>
      <c r="F2409" t="s">
        <v>84</v>
      </c>
      <c r="G2409" s="202">
        <v>4</v>
      </c>
      <c r="H2409">
        <v>4</v>
      </c>
      <c r="I2409" t="s">
        <v>4017</v>
      </c>
      <c r="J2409" t="s">
        <v>4809</v>
      </c>
      <c r="K2409" t="s">
        <v>1283</v>
      </c>
      <c r="L2409" s="204">
        <v>0.05</v>
      </c>
      <c r="M2409" s="112">
        <v>7.5075000000000003</v>
      </c>
      <c r="N2409" s="112">
        <v>0.37537500000000001</v>
      </c>
      <c r="O2409" s="204"/>
      <c r="P2409" s="112"/>
      <c r="Q2409" s="112"/>
      <c r="R2409" s="112"/>
      <c r="S2409" s="112"/>
      <c r="T2409" s="112"/>
      <c r="U2409" t="s">
        <v>5992</v>
      </c>
      <c r="V2409" t="s">
        <v>5993</v>
      </c>
      <c r="W2409" t="s">
        <v>3958</v>
      </c>
      <c r="X2409" t="s">
        <v>4660</v>
      </c>
    </row>
    <row r="2410" spans="1:24" x14ac:dyDescent="0.2">
      <c r="A2410" t="s">
        <v>5991</v>
      </c>
      <c r="B2410" t="s">
        <v>2031</v>
      </c>
      <c r="C2410" t="s">
        <v>2032</v>
      </c>
      <c r="D2410" t="s">
        <v>56</v>
      </c>
      <c r="E2410" t="s">
        <v>2033</v>
      </c>
      <c r="F2410" t="s">
        <v>84</v>
      </c>
      <c r="G2410" s="202">
        <v>4</v>
      </c>
      <c r="H2410">
        <v>5</v>
      </c>
      <c r="I2410" t="s">
        <v>3968</v>
      </c>
      <c r="J2410" t="s">
        <v>3969</v>
      </c>
      <c r="K2410" t="s">
        <v>84</v>
      </c>
      <c r="L2410" s="204">
        <v>1</v>
      </c>
      <c r="M2410" s="112"/>
      <c r="N2410" s="112">
        <v>7.5075000000000003</v>
      </c>
      <c r="O2410" s="204">
        <v>0.2217782217782216</v>
      </c>
      <c r="P2410" s="112">
        <v>1.6649999999999991</v>
      </c>
      <c r="Q2410" s="112">
        <v>9.1724999999999994</v>
      </c>
      <c r="R2410" s="112">
        <v>36.69</v>
      </c>
      <c r="S2410" s="112">
        <v>36.69</v>
      </c>
      <c r="T2410" s="112">
        <v>0</v>
      </c>
      <c r="U2410" t="s">
        <v>5992</v>
      </c>
      <c r="V2410" t="s">
        <v>5993</v>
      </c>
      <c r="W2410" t="s">
        <v>4666</v>
      </c>
      <c r="X2410" t="s">
        <v>4667</v>
      </c>
    </row>
    <row r="2411" spans="1:24" x14ac:dyDescent="0.2">
      <c r="A2411" t="s">
        <v>5994</v>
      </c>
      <c r="B2411" t="s">
        <v>2034</v>
      </c>
      <c r="C2411" t="s">
        <v>2035</v>
      </c>
      <c r="D2411" t="s">
        <v>335</v>
      </c>
      <c r="E2411" t="s">
        <v>962</v>
      </c>
      <c r="F2411" t="s">
        <v>84</v>
      </c>
      <c r="G2411" s="202">
        <v>2</v>
      </c>
      <c r="H2411">
        <v>1</v>
      </c>
      <c r="I2411" t="s">
        <v>3954</v>
      </c>
      <c r="J2411" t="s">
        <v>4823</v>
      </c>
      <c r="K2411" t="s">
        <v>1283</v>
      </c>
      <c r="L2411" s="204">
        <v>0.18</v>
      </c>
      <c r="M2411" s="112">
        <v>38.535000000000004</v>
      </c>
      <c r="N2411" s="112">
        <v>6.9363000000000001</v>
      </c>
      <c r="O2411" s="204"/>
      <c r="P2411" s="112"/>
      <c r="Q2411" s="112"/>
      <c r="R2411" s="112"/>
      <c r="S2411" s="112"/>
      <c r="T2411" s="112"/>
      <c r="U2411" t="s">
        <v>5995</v>
      </c>
      <c r="V2411" t="s">
        <v>5996</v>
      </c>
      <c r="W2411" t="s">
        <v>3958</v>
      </c>
      <c r="X2411" t="s">
        <v>4660</v>
      </c>
    </row>
    <row r="2412" spans="1:24" x14ac:dyDescent="0.2">
      <c r="A2412" t="s">
        <v>5994</v>
      </c>
      <c r="B2412" t="s">
        <v>2034</v>
      </c>
      <c r="C2412" t="s">
        <v>2035</v>
      </c>
      <c r="D2412" t="s">
        <v>335</v>
      </c>
      <c r="E2412" t="s">
        <v>962</v>
      </c>
      <c r="F2412" t="s">
        <v>84</v>
      </c>
      <c r="G2412" s="202">
        <v>2</v>
      </c>
      <c r="H2412">
        <v>2</v>
      </c>
      <c r="I2412" t="s">
        <v>3960</v>
      </c>
      <c r="J2412" t="s">
        <v>4826</v>
      </c>
      <c r="K2412" t="s">
        <v>1283</v>
      </c>
      <c r="L2412" s="204">
        <v>0.72</v>
      </c>
      <c r="M2412" s="112">
        <v>38.535000000000004</v>
      </c>
      <c r="N2412" s="112">
        <v>27.745200000000001</v>
      </c>
      <c r="O2412" s="204"/>
      <c r="P2412" s="112"/>
      <c r="Q2412" s="112"/>
      <c r="R2412" s="112"/>
      <c r="S2412" s="112"/>
      <c r="T2412" s="112"/>
      <c r="U2412" t="s">
        <v>5995</v>
      </c>
      <c r="V2412" t="s">
        <v>5996</v>
      </c>
      <c r="W2412" t="s">
        <v>3958</v>
      </c>
      <c r="X2412" t="s">
        <v>4660</v>
      </c>
    </row>
    <row r="2413" spans="1:24" x14ac:dyDescent="0.2">
      <c r="A2413" t="s">
        <v>5994</v>
      </c>
      <c r="B2413" t="s">
        <v>2034</v>
      </c>
      <c r="C2413" t="s">
        <v>2035</v>
      </c>
      <c r="D2413" t="s">
        <v>335</v>
      </c>
      <c r="E2413" t="s">
        <v>962</v>
      </c>
      <c r="F2413" t="s">
        <v>84</v>
      </c>
      <c r="G2413" s="202">
        <v>2</v>
      </c>
      <c r="H2413">
        <v>3</v>
      </c>
      <c r="I2413" t="s">
        <v>3976</v>
      </c>
      <c r="J2413" t="s">
        <v>4827</v>
      </c>
      <c r="K2413" t="s">
        <v>1283</v>
      </c>
      <c r="L2413" s="204">
        <v>0.05</v>
      </c>
      <c r="M2413" s="112">
        <v>38.535000000000004</v>
      </c>
      <c r="N2413" s="112">
        <v>1.9267500000000002</v>
      </c>
      <c r="O2413" s="204"/>
      <c r="P2413" s="112"/>
      <c r="Q2413" s="112"/>
      <c r="R2413" s="112"/>
      <c r="S2413" s="112"/>
      <c r="T2413" s="112"/>
      <c r="U2413" t="s">
        <v>5995</v>
      </c>
      <c r="V2413" t="s">
        <v>5996</v>
      </c>
      <c r="W2413" t="s">
        <v>3958</v>
      </c>
      <c r="X2413" t="s">
        <v>4660</v>
      </c>
    </row>
    <row r="2414" spans="1:24" x14ac:dyDescent="0.2">
      <c r="A2414" t="s">
        <v>5994</v>
      </c>
      <c r="B2414" t="s">
        <v>2034</v>
      </c>
      <c r="C2414" t="s">
        <v>2035</v>
      </c>
      <c r="D2414" t="s">
        <v>335</v>
      </c>
      <c r="E2414" t="s">
        <v>962</v>
      </c>
      <c r="F2414" t="s">
        <v>84</v>
      </c>
      <c r="G2414" s="202">
        <v>2</v>
      </c>
      <c r="H2414">
        <v>4</v>
      </c>
      <c r="I2414" t="s">
        <v>4017</v>
      </c>
      <c r="J2414" t="s">
        <v>4809</v>
      </c>
      <c r="K2414" t="s">
        <v>1283</v>
      </c>
      <c r="L2414" s="204">
        <v>0.05</v>
      </c>
      <c r="M2414" s="112">
        <v>38.535000000000004</v>
      </c>
      <c r="N2414" s="112">
        <v>1.9267500000000002</v>
      </c>
      <c r="O2414" s="204"/>
      <c r="P2414" s="112"/>
      <c r="Q2414" s="112"/>
      <c r="R2414" s="112"/>
      <c r="S2414" s="112"/>
      <c r="T2414" s="112"/>
      <c r="U2414" t="s">
        <v>5995</v>
      </c>
      <c r="V2414" t="s">
        <v>5996</v>
      </c>
      <c r="W2414" t="s">
        <v>3958</v>
      </c>
      <c r="X2414" t="s">
        <v>4660</v>
      </c>
    </row>
    <row r="2415" spans="1:24" x14ac:dyDescent="0.2">
      <c r="A2415" t="s">
        <v>5994</v>
      </c>
      <c r="B2415" t="s">
        <v>2034</v>
      </c>
      <c r="C2415" t="s">
        <v>2035</v>
      </c>
      <c r="D2415" t="s">
        <v>335</v>
      </c>
      <c r="E2415" t="s">
        <v>962</v>
      </c>
      <c r="F2415" t="s">
        <v>84</v>
      </c>
      <c r="G2415" s="202">
        <v>2</v>
      </c>
      <c r="H2415">
        <v>5</v>
      </c>
      <c r="I2415" t="s">
        <v>3968</v>
      </c>
      <c r="J2415" t="s">
        <v>3969</v>
      </c>
      <c r="K2415" t="s">
        <v>84</v>
      </c>
      <c r="L2415" s="204">
        <v>1</v>
      </c>
      <c r="M2415" s="112"/>
      <c r="N2415" s="112">
        <v>38.535000000000004</v>
      </c>
      <c r="O2415" s="204">
        <v>0.22226547294667176</v>
      </c>
      <c r="P2415" s="112">
        <v>8.5649999999999977</v>
      </c>
      <c r="Q2415" s="112">
        <v>47.1</v>
      </c>
      <c r="R2415" s="112">
        <v>94.2</v>
      </c>
      <c r="S2415" s="112">
        <v>94.2</v>
      </c>
      <c r="T2415" s="112">
        <v>0</v>
      </c>
      <c r="U2415" t="s">
        <v>5995</v>
      </c>
      <c r="V2415" t="s">
        <v>5996</v>
      </c>
      <c r="W2415" t="s">
        <v>4666</v>
      </c>
      <c r="X2415" t="s">
        <v>4667</v>
      </c>
    </row>
    <row r="2416" spans="1:24" x14ac:dyDescent="0.2">
      <c r="A2416" t="s">
        <v>5997</v>
      </c>
      <c r="B2416" t="s">
        <v>2036</v>
      </c>
      <c r="C2416" t="s">
        <v>2037</v>
      </c>
      <c r="D2416" t="s">
        <v>56</v>
      </c>
      <c r="E2416" t="s">
        <v>963</v>
      </c>
      <c r="F2416" t="s">
        <v>84</v>
      </c>
      <c r="G2416" s="202">
        <v>592</v>
      </c>
      <c r="H2416">
        <v>1</v>
      </c>
      <c r="I2416" t="s">
        <v>3954</v>
      </c>
      <c r="J2416" t="s">
        <v>4823</v>
      </c>
      <c r="K2416" t="s">
        <v>1283</v>
      </c>
      <c r="L2416" s="204">
        <v>0.18</v>
      </c>
      <c r="M2416" s="112">
        <v>8.7675000000000001</v>
      </c>
      <c r="N2416" s="112">
        <v>1.5781499999999999</v>
      </c>
      <c r="O2416" s="204"/>
      <c r="P2416" s="112"/>
      <c r="Q2416" s="112"/>
      <c r="R2416" s="112"/>
      <c r="S2416" s="112"/>
      <c r="T2416" s="112"/>
      <c r="U2416" t="s">
        <v>5998</v>
      </c>
      <c r="V2416" t="s">
        <v>5999</v>
      </c>
      <c r="W2416" t="s">
        <v>3958</v>
      </c>
      <c r="X2416" t="s">
        <v>4660</v>
      </c>
    </row>
    <row r="2417" spans="1:24" x14ac:dyDescent="0.2">
      <c r="A2417" t="s">
        <v>5997</v>
      </c>
      <c r="B2417" t="s">
        <v>2036</v>
      </c>
      <c r="C2417" t="s">
        <v>2037</v>
      </c>
      <c r="D2417" t="s">
        <v>56</v>
      </c>
      <c r="E2417" t="s">
        <v>963</v>
      </c>
      <c r="F2417" t="s">
        <v>84</v>
      </c>
      <c r="G2417" s="202">
        <v>592</v>
      </c>
      <c r="H2417">
        <v>2</v>
      </c>
      <c r="I2417" t="s">
        <v>3960</v>
      </c>
      <c r="J2417" t="s">
        <v>4826</v>
      </c>
      <c r="K2417" t="s">
        <v>1283</v>
      </c>
      <c r="L2417" s="204">
        <v>0.72</v>
      </c>
      <c r="M2417" s="112">
        <v>8.7675000000000001</v>
      </c>
      <c r="N2417" s="112">
        <v>6.3125999999999998</v>
      </c>
      <c r="O2417" s="204"/>
      <c r="P2417" s="112"/>
      <c r="Q2417" s="112"/>
      <c r="R2417" s="112"/>
      <c r="S2417" s="112"/>
      <c r="T2417" s="112"/>
      <c r="U2417" t="s">
        <v>5998</v>
      </c>
      <c r="V2417" t="s">
        <v>5999</v>
      </c>
      <c r="W2417" t="s">
        <v>3958</v>
      </c>
      <c r="X2417" t="s">
        <v>4660</v>
      </c>
    </row>
    <row r="2418" spans="1:24" x14ac:dyDescent="0.2">
      <c r="A2418" t="s">
        <v>5997</v>
      </c>
      <c r="B2418" t="s">
        <v>2036</v>
      </c>
      <c r="C2418" t="s">
        <v>2037</v>
      </c>
      <c r="D2418" t="s">
        <v>56</v>
      </c>
      <c r="E2418" t="s">
        <v>963</v>
      </c>
      <c r="F2418" t="s">
        <v>84</v>
      </c>
      <c r="G2418" s="202">
        <v>592</v>
      </c>
      <c r="H2418">
        <v>3</v>
      </c>
      <c r="I2418" t="s">
        <v>3976</v>
      </c>
      <c r="J2418" t="s">
        <v>4827</v>
      </c>
      <c r="K2418" t="s">
        <v>1283</v>
      </c>
      <c r="L2418" s="204">
        <v>0.05</v>
      </c>
      <c r="M2418" s="112">
        <v>8.7675000000000001</v>
      </c>
      <c r="N2418" s="112">
        <v>0.43837500000000001</v>
      </c>
      <c r="O2418" s="204"/>
      <c r="P2418" s="112"/>
      <c r="Q2418" s="112"/>
      <c r="R2418" s="112"/>
      <c r="S2418" s="112"/>
      <c r="T2418" s="112"/>
      <c r="U2418" t="s">
        <v>5998</v>
      </c>
      <c r="V2418" t="s">
        <v>5999</v>
      </c>
      <c r="W2418" t="s">
        <v>3958</v>
      </c>
      <c r="X2418" t="s">
        <v>4660</v>
      </c>
    </row>
    <row r="2419" spans="1:24" x14ac:dyDescent="0.2">
      <c r="A2419" t="s">
        <v>5997</v>
      </c>
      <c r="B2419" t="s">
        <v>2036</v>
      </c>
      <c r="C2419" t="s">
        <v>2037</v>
      </c>
      <c r="D2419" t="s">
        <v>56</v>
      </c>
      <c r="E2419" t="s">
        <v>963</v>
      </c>
      <c r="F2419" t="s">
        <v>84</v>
      </c>
      <c r="G2419" s="202">
        <v>592</v>
      </c>
      <c r="H2419">
        <v>4</v>
      </c>
      <c r="I2419" t="s">
        <v>4017</v>
      </c>
      <c r="J2419" t="s">
        <v>4809</v>
      </c>
      <c r="K2419" t="s">
        <v>1283</v>
      </c>
      <c r="L2419" s="204">
        <v>0.05</v>
      </c>
      <c r="M2419" s="112">
        <v>8.7675000000000001</v>
      </c>
      <c r="N2419" s="112">
        <v>0.43837500000000001</v>
      </c>
      <c r="O2419" s="204"/>
      <c r="P2419" s="112"/>
      <c r="Q2419" s="112"/>
      <c r="R2419" s="112"/>
      <c r="S2419" s="112"/>
      <c r="T2419" s="112"/>
      <c r="U2419" t="s">
        <v>5998</v>
      </c>
      <c r="V2419" t="s">
        <v>5999</v>
      </c>
      <c r="W2419" t="s">
        <v>3958</v>
      </c>
      <c r="X2419" t="s">
        <v>4660</v>
      </c>
    </row>
    <row r="2420" spans="1:24" x14ac:dyDescent="0.2">
      <c r="A2420" t="s">
        <v>5997</v>
      </c>
      <c r="B2420" t="s">
        <v>2036</v>
      </c>
      <c r="C2420" t="s">
        <v>2037</v>
      </c>
      <c r="D2420" t="s">
        <v>56</v>
      </c>
      <c r="E2420" t="s">
        <v>963</v>
      </c>
      <c r="F2420" t="s">
        <v>84</v>
      </c>
      <c r="G2420" s="202">
        <v>592</v>
      </c>
      <c r="H2420">
        <v>5</v>
      </c>
      <c r="I2420" t="s">
        <v>3968</v>
      </c>
      <c r="J2420" t="s">
        <v>3969</v>
      </c>
      <c r="K2420" t="s">
        <v>84</v>
      </c>
      <c r="L2420" s="204">
        <v>1</v>
      </c>
      <c r="M2420" s="112"/>
      <c r="N2420" s="112">
        <v>8.7675000000000001</v>
      </c>
      <c r="O2420" s="204">
        <v>0.22155688622754477</v>
      </c>
      <c r="P2420" s="112">
        <v>1.942499999999999</v>
      </c>
      <c r="Q2420" s="112">
        <v>10.709999999999999</v>
      </c>
      <c r="R2420" s="112">
        <v>6340.32</v>
      </c>
      <c r="S2420" s="112">
        <v>6340.32</v>
      </c>
      <c r="T2420" s="112">
        <v>0</v>
      </c>
      <c r="U2420" t="s">
        <v>5998</v>
      </c>
      <c r="V2420" t="s">
        <v>5999</v>
      </c>
      <c r="W2420" t="s">
        <v>4666</v>
      </c>
      <c r="X2420" t="s">
        <v>4667</v>
      </c>
    </row>
    <row r="2421" spans="1:24" x14ac:dyDescent="0.2">
      <c r="A2421" t="s">
        <v>6000</v>
      </c>
      <c r="B2421" t="s">
        <v>2038</v>
      </c>
      <c r="C2421" t="s">
        <v>2039</v>
      </c>
      <c r="D2421" t="s">
        <v>56</v>
      </c>
      <c r="E2421" t="s">
        <v>966</v>
      </c>
      <c r="F2421" t="s">
        <v>99</v>
      </c>
      <c r="G2421" s="202">
        <v>9877.1</v>
      </c>
      <c r="H2421">
        <v>1</v>
      </c>
      <c r="I2421" t="s">
        <v>3954</v>
      </c>
      <c r="J2421" t="s">
        <v>4823</v>
      </c>
      <c r="K2421" t="s">
        <v>1283</v>
      </c>
      <c r="L2421" s="204">
        <v>0.18</v>
      </c>
      <c r="M2421" s="112">
        <v>5.76</v>
      </c>
      <c r="N2421" s="112">
        <v>1.0367999999999999</v>
      </c>
      <c r="O2421" s="204"/>
      <c r="P2421" s="112"/>
      <c r="Q2421" s="112"/>
      <c r="R2421" s="112"/>
      <c r="S2421" s="112"/>
      <c r="T2421" s="112"/>
      <c r="U2421" t="s">
        <v>4166</v>
      </c>
      <c r="V2421" t="s">
        <v>6001</v>
      </c>
      <c r="W2421" t="s">
        <v>3958</v>
      </c>
      <c r="X2421" t="s">
        <v>4660</v>
      </c>
    </row>
    <row r="2422" spans="1:24" x14ac:dyDescent="0.2">
      <c r="A2422" t="s">
        <v>6000</v>
      </c>
      <c r="B2422" t="s">
        <v>2038</v>
      </c>
      <c r="C2422" t="s">
        <v>2039</v>
      </c>
      <c r="D2422" t="s">
        <v>56</v>
      </c>
      <c r="E2422" t="s">
        <v>966</v>
      </c>
      <c r="F2422" t="s">
        <v>99</v>
      </c>
      <c r="G2422" s="202">
        <v>9877.1</v>
      </c>
      <c r="H2422">
        <v>2</v>
      </c>
      <c r="I2422" t="s">
        <v>3960</v>
      </c>
      <c r="J2422" t="s">
        <v>4826</v>
      </c>
      <c r="K2422" t="s">
        <v>1283</v>
      </c>
      <c r="L2422" s="204">
        <v>0.72</v>
      </c>
      <c r="M2422" s="112">
        <v>5.76</v>
      </c>
      <c r="N2422" s="112">
        <v>4.1471999999999998</v>
      </c>
      <c r="O2422" s="204"/>
      <c r="P2422" s="112"/>
      <c r="Q2422" s="112"/>
      <c r="R2422" s="112"/>
      <c r="S2422" s="112"/>
      <c r="T2422" s="112"/>
      <c r="U2422" t="s">
        <v>4166</v>
      </c>
      <c r="V2422" t="s">
        <v>6001</v>
      </c>
      <c r="W2422" t="s">
        <v>3958</v>
      </c>
      <c r="X2422" t="s">
        <v>4660</v>
      </c>
    </row>
    <row r="2423" spans="1:24" x14ac:dyDescent="0.2">
      <c r="A2423" t="s">
        <v>6000</v>
      </c>
      <c r="B2423" t="s">
        <v>2038</v>
      </c>
      <c r="C2423" t="s">
        <v>2039</v>
      </c>
      <c r="D2423" t="s">
        <v>56</v>
      </c>
      <c r="E2423" t="s">
        <v>966</v>
      </c>
      <c r="F2423" t="s">
        <v>99</v>
      </c>
      <c r="G2423" s="202">
        <v>9877.1</v>
      </c>
      <c r="H2423">
        <v>3</v>
      </c>
      <c r="I2423" t="s">
        <v>3976</v>
      </c>
      <c r="J2423" t="s">
        <v>4827</v>
      </c>
      <c r="K2423" t="s">
        <v>1283</v>
      </c>
      <c r="L2423" s="204">
        <v>0.05</v>
      </c>
      <c r="M2423" s="112">
        <v>5.76</v>
      </c>
      <c r="N2423" s="112">
        <v>0.28799999999999998</v>
      </c>
      <c r="O2423" s="204"/>
      <c r="P2423" s="112"/>
      <c r="Q2423" s="112"/>
      <c r="R2423" s="112"/>
      <c r="S2423" s="112"/>
      <c r="T2423" s="112"/>
      <c r="U2423" t="s">
        <v>4166</v>
      </c>
      <c r="V2423" t="s">
        <v>6001</v>
      </c>
      <c r="W2423" t="s">
        <v>3958</v>
      </c>
      <c r="X2423" t="s">
        <v>4660</v>
      </c>
    </row>
    <row r="2424" spans="1:24" x14ac:dyDescent="0.2">
      <c r="A2424" t="s">
        <v>6000</v>
      </c>
      <c r="B2424" t="s">
        <v>2038</v>
      </c>
      <c r="C2424" t="s">
        <v>2039</v>
      </c>
      <c r="D2424" t="s">
        <v>56</v>
      </c>
      <c r="E2424" t="s">
        <v>966</v>
      </c>
      <c r="F2424" t="s">
        <v>99</v>
      </c>
      <c r="G2424" s="202">
        <v>9877.1</v>
      </c>
      <c r="H2424">
        <v>4</v>
      </c>
      <c r="I2424" t="s">
        <v>4017</v>
      </c>
      <c r="J2424" t="s">
        <v>4809</v>
      </c>
      <c r="K2424" t="s">
        <v>1283</v>
      </c>
      <c r="L2424" s="204">
        <v>0.05</v>
      </c>
      <c r="M2424" s="112">
        <v>5.76</v>
      </c>
      <c r="N2424" s="112">
        <v>0.28799999999999998</v>
      </c>
      <c r="O2424" s="204"/>
      <c r="P2424" s="112"/>
      <c r="Q2424" s="112"/>
      <c r="R2424" s="112"/>
      <c r="S2424" s="112"/>
      <c r="T2424" s="112"/>
      <c r="U2424" t="s">
        <v>4166</v>
      </c>
      <c r="V2424" t="s">
        <v>6001</v>
      </c>
      <c r="W2424" t="s">
        <v>3958</v>
      </c>
      <c r="X2424" t="s">
        <v>4660</v>
      </c>
    </row>
    <row r="2425" spans="1:24" x14ac:dyDescent="0.2">
      <c r="A2425" t="s">
        <v>6000</v>
      </c>
      <c r="B2425" t="s">
        <v>2038</v>
      </c>
      <c r="C2425" t="s">
        <v>2039</v>
      </c>
      <c r="D2425" t="s">
        <v>56</v>
      </c>
      <c r="E2425" t="s">
        <v>966</v>
      </c>
      <c r="F2425" t="s">
        <v>99</v>
      </c>
      <c r="G2425" s="202">
        <v>9877.1</v>
      </c>
      <c r="H2425">
        <v>5</v>
      </c>
      <c r="I2425" t="s">
        <v>3968</v>
      </c>
      <c r="J2425" t="s">
        <v>3969</v>
      </c>
      <c r="K2425" t="s">
        <v>99</v>
      </c>
      <c r="L2425" s="204">
        <v>1</v>
      </c>
      <c r="M2425" s="112"/>
      <c r="N2425" s="112">
        <v>5.76</v>
      </c>
      <c r="O2425" s="204">
        <v>0.22135401726102688</v>
      </c>
      <c r="P2425" s="112">
        <v>1.2749991394235147</v>
      </c>
      <c r="Q2425" s="112">
        <v>7.0349991394235145</v>
      </c>
      <c r="R2425" s="112">
        <v>69485.39</v>
      </c>
      <c r="S2425" s="112">
        <v>69485.39</v>
      </c>
      <c r="T2425" s="112">
        <v>0</v>
      </c>
      <c r="U2425" t="s">
        <v>4166</v>
      </c>
      <c r="V2425" t="s">
        <v>6001</v>
      </c>
      <c r="W2425" t="s">
        <v>4666</v>
      </c>
      <c r="X2425" t="s">
        <v>4667</v>
      </c>
    </row>
    <row r="2426" spans="1:24" x14ac:dyDescent="0.2">
      <c r="A2426" t="s">
        <v>6002</v>
      </c>
      <c r="B2426" t="s">
        <v>2040</v>
      </c>
      <c r="C2426" t="s">
        <v>2041</v>
      </c>
      <c r="D2426" t="s">
        <v>56</v>
      </c>
      <c r="E2426" t="s">
        <v>967</v>
      </c>
      <c r="F2426" t="s">
        <v>99</v>
      </c>
      <c r="G2426" s="202">
        <v>266.3</v>
      </c>
      <c r="H2426">
        <v>1</v>
      </c>
      <c r="I2426" t="s">
        <v>3954</v>
      </c>
      <c r="J2426" t="s">
        <v>4823</v>
      </c>
      <c r="K2426" t="s">
        <v>1283</v>
      </c>
      <c r="L2426" s="204">
        <v>0.18</v>
      </c>
      <c r="M2426" s="112">
        <v>6.1050000000000004</v>
      </c>
      <c r="N2426" s="112">
        <v>1.0989</v>
      </c>
      <c r="O2426" s="204"/>
      <c r="P2426" s="112"/>
      <c r="Q2426" s="112"/>
      <c r="R2426" s="112"/>
      <c r="S2426" s="112"/>
      <c r="T2426" s="112"/>
      <c r="U2426" t="s">
        <v>6003</v>
      </c>
      <c r="V2426" t="s">
        <v>6004</v>
      </c>
      <c r="W2426" t="s">
        <v>3958</v>
      </c>
      <c r="X2426" t="s">
        <v>4660</v>
      </c>
    </row>
    <row r="2427" spans="1:24" x14ac:dyDescent="0.2">
      <c r="A2427" t="s">
        <v>6002</v>
      </c>
      <c r="B2427" t="s">
        <v>2040</v>
      </c>
      <c r="C2427" t="s">
        <v>2041</v>
      </c>
      <c r="D2427" t="s">
        <v>56</v>
      </c>
      <c r="E2427" t="s">
        <v>967</v>
      </c>
      <c r="F2427" t="s">
        <v>99</v>
      </c>
      <c r="G2427" s="202">
        <v>266.3</v>
      </c>
      <c r="H2427">
        <v>2</v>
      </c>
      <c r="I2427" t="s">
        <v>3960</v>
      </c>
      <c r="J2427" t="s">
        <v>4826</v>
      </c>
      <c r="K2427" t="s">
        <v>1283</v>
      </c>
      <c r="L2427" s="204">
        <v>0.72</v>
      </c>
      <c r="M2427" s="112">
        <v>6.1050000000000004</v>
      </c>
      <c r="N2427" s="112">
        <v>4.3956</v>
      </c>
      <c r="O2427" s="204"/>
      <c r="P2427" s="112"/>
      <c r="Q2427" s="112"/>
      <c r="R2427" s="112"/>
      <c r="S2427" s="112"/>
      <c r="T2427" s="112"/>
      <c r="U2427" t="s">
        <v>6003</v>
      </c>
      <c r="V2427" t="s">
        <v>6004</v>
      </c>
      <c r="W2427" t="s">
        <v>3958</v>
      </c>
      <c r="X2427" t="s">
        <v>4660</v>
      </c>
    </row>
    <row r="2428" spans="1:24" x14ac:dyDescent="0.2">
      <c r="A2428" t="s">
        <v>6002</v>
      </c>
      <c r="B2428" t="s">
        <v>2040</v>
      </c>
      <c r="C2428" t="s">
        <v>2041</v>
      </c>
      <c r="D2428" t="s">
        <v>56</v>
      </c>
      <c r="E2428" t="s">
        <v>967</v>
      </c>
      <c r="F2428" t="s">
        <v>99</v>
      </c>
      <c r="G2428" s="202">
        <v>266.3</v>
      </c>
      <c r="H2428">
        <v>3</v>
      </c>
      <c r="I2428" t="s">
        <v>3976</v>
      </c>
      <c r="J2428" t="s">
        <v>4827</v>
      </c>
      <c r="K2428" t="s">
        <v>1283</v>
      </c>
      <c r="L2428" s="204">
        <v>0.05</v>
      </c>
      <c r="M2428" s="112">
        <v>6.1050000000000004</v>
      </c>
      <c r="N2428" s="112">
        <v>0.30525000000000002</v>
      </c>
      <c r="O2428" s="204"/>
      <c r="P2428" s="112"/>
      <c r="Q2428" s="112"/>
      <c r="R2428" s="112"/>
      <c r="S2428" s="112"/>
      <c r="T2428" s="112"/>
      <c r="U2428" t="s">
        <v>6003</v>
      </c>
      <c r="V2428" t="s">
        <v>6004</v>
      </c>
      <c r="W2428" t="s">
        <v>3958</v>
      </c>
      <c r="X2428" t="s">
        <v>4660</v>
      </c>
    </row>
    <row r="2429" spans="1:24" x14ac:dyDescent="0.2">
      <c r="A2429" t="s">
        <v>6002</v>
      </c>
      <c r="B2429" t="s">
        <v>2040</v>
      </c>
      <c r="C2429" t="s">
        <v>2041</v>
      </c>
      <c r="D2429" t="s">
        <v>56</v>
      </c>
      <c r="E2429" t="s">
        <v>967</v>
      </c>
      <c r="F2429" t="s">
        <v>99</v>
      </c>
      <c r="G2429" s="202">
        <v>266.3</v>
      </c>
      <c r="H2429">
        <v>4</v>
      </c>
      <c r="I2429" t="s">
        <v>4017</v>
      </c>
      <c r="J2429" t="s">
        <v>4809</v>
      </c>
      <c r="K2429" t="s">
        <v>1283</v>
      </c>
      <c r="L2429" s="204">
        <v>0.05</v>
      </c>
      <c r="M2429" s="112">
        <v>6.1050000000000004</v>
      </c>
      <c r="N2429" s="112">
        <v>0.30525000000000002</v>
      </c>
      <c r="O2429" s="204"/>
      <c r="P2429" s="112"/>
      <c r="Q2429" s="112"/>
      <c r="R2429" s="112"/>
      <c r="S2429" s="112"/>
      <c r="T2429" s="112"/>
      <c r="U2429" t="s">
        <v>6003</v>
      </c>
      <c r="V2429" t="s">
        <v>6004</v>
      </c>
      <c r="W2429" t="s">
        <v>3958</v>
      </c>
      <c r="X2429" t="s">
        <v>4660</v>
      </c>
    </row>
    <row r="2430" spans="1:24" x14ac:dyDescent="0.2">
      <c r="A2430" t="s">
        <v>6002</v>
      </c>
      <c r="B2430" t="s">
        <v>2040</v>
      </c>
      <c r="C2430" t="s">
        <v>2041</v>
      </c>
      <c r="D2430" t="s">
        <v>56</v>
      </c>
      <c r="E2430" t="s">
        <v>967</v>
      </c>
      <c r="F2430" t="s">
        <v>99</v>
      </c>
      <c r="G2430" s="202">
        <v>266.3</v>
      </c>
      <c r="H2430">
        <v>5</v>
      </c>
      <c r="I2430" t="s">
        <v>3968</v>
      </c>
      <c r="J2430" t="s">
        <v>3969</v>
      </c>
      <c r="K2430" t="s">
        <v>99</v>
      </c>
      <c r="L2430" s="204">
        <v>1</v>
      </c>
      <c r="M2430" s="112"/>
      <c r="N2430" s="112">
        <v>6.1050000000000004</v>
      </c>
      <c r="O2430" s="204">
        <v>0.22112622300380447</v>
      </c>
      <c r="P2430" s="112">
        <v>1.349975591438227</v>
      </c>
      <c r="Q2430" s="112">
        <v>7.4549755914382274</v>
      </c>
      <c r="R2430" s="112">
        <v>1985.26</v>
      </c>
      <c r="S2430" s="112">
        <v>1985.26</v>
      </c>
      <c r="T2430" s="112">
        <v>0</v>
      </c>
      <c r="U2430" t="s">
        <v>6003</v>
      </c>
      <c r="V2430" t="s">
        <v>6004</v>
      </c>
      <c r="W2430" t="s">
        <v>4666</v>
      </c>
      <c r="X2430" t="s">
        <v>4667</v>
      </c>
    </row>
    <row r="2431" spans="1:24" x14ac:dyDescent="0.2">
      <c r="A2431" t="s">
        <v>6005</v>
      </c>
      <c r="B2431" t="s">
        <v>2042</v>
      </c>
      <c r="C2431" t="s">
        <v>2043</v>
      </c>
      <c r="D2431" t="s">
        <v>56</v>
      </c>
      <c r="E2431" t="s">
        <v>968</v>
      </c>
      <c r="F2431" t="s">
        <v>99</v>
      </c>
      <c r="G2431" s="202">
        <v>515.20000000000005</v>
      </c>
      <c r="H2431">
        <v>1</v>
      </c>
      <c r="I2431" t="s">
        <v>3954</v>
      </c>
      <c r="J2431" t="s">
        <v>4823</v>
      </c>
      <c r="K2431" t="s">
        <v>1283</v>
      </c>
      <c r="L2431" s="204">
        <v>0.18</v>
      </c>
      <c r="M2431" s="112">
        <v>7.98</v>
      </c>
      <c r="N2431" s="112">
        <v>1.4364000000000001</v>
      </c>
      <c r="O2431" s="204"/>
      <c r="P2431" s="112"/>
      <c r="Q2431" s="112"/>
      <c r="R2431" s="112"/>
      <c r="S2431" s="112"/>
      <c r="T2431" s="112"/>
      <c r="U2431" t="s">
        <v>6006</v>
      </c>
      <c r="V2431" t="s">
        <v>6007</v>
      </c>
      <c r="W2431" t="s">
        <v>3958</v>
      </c>
      <c r="X2431" t="s">
        <v>4660</v>
      </c>
    </row>
    <row r="2432" spans="1:24" x14ac:dyDescent="0.2">
      <c r="A2432" t="s">
        <v>6005</v>
      </c>
      <c r="B2432" t="s">
        <v>2042</v>
      </c>
      <c r="C2432" t="s">
        <v>2043</v>
      </c>
      <c r="D2432" t="s">
        <v>56</v>
      </c>
      <c r="E2432" t="s">
        <v>968</v>
      </c>
      <c r="F2432" t="s">
        <v>99</v>
      </c>
      <c r="G2432" s="202">
        <v>515.20000000000005</v>
      </c>
      <c r="H2432">
        <v>2</v>
      </c>
      <c r="I2432" t="s">
        <v>3960</v>
      </c>
      <c r="J2432" t="s">
        <v>4826</v>
      </c>
      <c r="K2432" t="s">
        <v>1283</v>
      </c>
      <c r="L2432" s="204">
        <v>0.72</v>
      </c>
      <c r="M2432" s="112">
        <v>7.98</v>
      </c>
      <c r="N2432" s="112">
        <v>5.7456000000000005</v>
      </c>
      <c r="O2432" s="204"/>
      <c r="P2432" s="112"/>
      <c r="Q2432" s="112"/>
      <c r="R2432" s="112"/>
      <c r="S2432" s="112"/>
      <c r="T2432" s="112"/>
      <c r="U2432" t="s">
        <v>6006</v>
      </c>
      <c r="V2432" t="s">
        <v>6007</v>
      </c>
      <c r="W2432" t="s">
        <v>3958</v>
      </c>
      <c r="X2432" t="s">
        <v>4660</v>
      </c>
    </row>
    <row r="2433" spans="1:24" x14ac:dyDescent="0.2">
      <c r="A2433" t="s">
        <v>6005</v>
      </c>
      <c r="B2433" t="s">
        <v>2042</v>
      </c>
      <c r="C2433" t="s">
        <v>2043</v>
      </c>
      <c r="D2433" t="s">
        <v>56</v>
      </c>
      <c r="E2433" t="s">
        <v>968</v>
      </c>
      <c r="F2433" t="s">
        <v>99</v>
      </c>
      <c r="G2433" s="202">
        <v>515.20000000000005</v>
      </c>
      <c r="H2433">
        <v>3</v>
      </c>
      <c r="I2433" t="s">
        <v>3976</v>
      </c>
      <c r="J2433" t="s">
        <v>4827</v>
      </c>
      <c r="K2433" t="s">
        <v>1283</v>
      </c>
      <c r="L2433" s="204">
        <v>0.05</v>
      </c>
      <c r="M2433" s="112">
        <v>7.98</v>
      </c>
      <c r="N2433" s="112">
        <v>0.39900000000000002</v>
      </c>
      <c r="O2433" s="204"/>
      <c r="P2433" s="112"/>
      <c r="Q2433" s="112"/>
      <c r="R2433" s="112"/>
      <c r="S2433" s="112"/>
      <c r="T2433" s="112"/>
      <c r="U2433" t="s">
        <v>6006</v>
      </c>
      <c r="V2433" t="s">
        <v>6007</v>
      </c>
      <c r="W2433" t="s">
        <v>3958</v>
      </c>
      <c r="X2433" t="s">
        <v>4660</v>
      </c>
    </row>
    <row r="2434" spans="1:24" x14ac:dyDescent="0.2">
      <c r="A2434" t="s">
        <v>6005</v>
      </c>
      <c r="B2434" t="s">
        <v>2042</v>
      </c>
      <c r="C2434" t="s">
        <v>2043</v>
      </c>
      <c r="D2434" t="s">
        <v>56</v>
      </c>
      <c r="E2434" t="s">
        <v>968</v>
      </c>
      <c r="F2434" t="s">
        <v>99</v>
      </c>
      <c r="G2434" s="202">
        <v>515.20000000000005</v>
      </c>
      <c r="H2434">
        <v>4</v>
      </c>
      <c r="I2434" t="s">
        <v>4017</v>
      </c>
      <c r="J2434" t="s">
        <v>4809</v>
      </c>
      <c r="K2434" t="s">
        <v>1283</v>
      </c>
      <c r="L2434" s="204">
        <v>0.05</v>
      </c>
      <c r="M2434" s="112">
        <v>7.98</v>
      </c>
      <c r="N2434" s="112">
        <v>0.39900000000000002</v>
      </c>
      <c r="O2434" s="204"/>
      <c r="P2434" s="112"/>
      <c r="Q2434" s="112"/>
      <c r="R2434" s="112"/>
      <c r="S2434" s="112"/>
      <c r="T2434" s="112"/>
      <c r="U2434" t="s">
        <v>6006</v>
      </c>
      <c r="V2434" t="s">
        <v>6007</v>
      </c>
      <c r="W2434" t="s">
        <v>3958</v>
      </c>
      <c r="X2434" t="s">
        <v>4660</v>
      </c>
    </row>
    <row r="2435" spans="1:24" x14ac:dyDescent="0.2">
      <c r="A2435" t="s">
        <v>6005</v>
      </c>
      <c r="B2435" t="s">
        <v>2042</v>
      </c>
      <c r="C2435" t="s">
        <v>2043</v>
      </c>
      <c r="D2435" t="s">
        <v>56</v>
      </c>
      <c r="E2435" t="s">
        <v>968</v>
      </c>
      <c r="F2435" t="s">
        <v>99</v>
      </c>
      <c r="G2435" s="202">
        <v>515.20000000000005</v>
      </c>
      <c r="H2435">
        <v>5</v>
      </c>
      <c r="I2435" t="s">
        <v>3968</v>
      </c>
      <c r="J2435" t="s">
        <v>3969</v>
      </c>
      <c r="K2435" t="s">
        <v>99</v>
      </c>
      <c r="L2435" s="204">
        <v>1</v>
      </c>
      <c r="M2435" s="112"/>
      <c r="N2435" s="112">
        <v>7.98</v>
      </c>
      <c r="O2435" s="204">
        <v>0.22180451127819523</v>
      </c>
      <c r="P2435" s="112">
        <v>1.7699999999999978</v>
      </c>
      <c r="Q2435" s="112">
        <v>9.7499999999999982</v>
      </c>
      <c r="R2435" s="112">
        <v>5023.2</v>
      </c>
      <c r="S2435" s="112">
        <v>5023.2</v>
      </c>
      <c r="T2435" s="112">
        <v>0</v>
      </c>
      <c r="U2435" t="s">
        <v>6006</v>
      </c>
      <c r="V2435" t="s">
        <v>6007</v>
      </c>
      <c r="W2435" t="s">
        <v>4666</v>
      </c>
      <c r="X2435" t="s">
        <v>4667</v>
      </c>
    </row>
    <row r="2436" spans="1:24" x14ac:dyDescent="0.2">
      <c r="A2436" t="s">
        <v>6008</v>
      </c>
      <c r="B2436" t="s">
        <v>2044</v>
      </c>
      <c r="C2436" t="s">
        <v>2045</v>
      </c>
      <c r="D2436" t="s">
        <v>56</v>
      </c>
      <c r="E2436" t="s">
        <v>2046</v>
      </c>
      <c r="F2436" t="s">
        <v>99</v>
      </c>
      <c r="G2436" s="202">
        <v>2322.1999999999998</v>
      </c>
      <c r="H2436">
        <v>1</v>
      </c>
      <c r="I2436" t="s">
        <v>3954</v>
      </c>
      <c r="J2436" t="s">
        <v>4823</v>
      </c>
      <c r="K2436" t="s">
        <v>1283</v>
      </c>
      <c r="L2436" s="204">
        <v>0.18</v>
      </c>
      <c r="M2436" s="112">
        <v>13.995000000000001</v>
      </c>
      <c r="N2436" s="112">
        <v>2.5190999999999999</v>
      </c>
      <c r="O2436" s="204"/>
      <c r="P2436" s="112"/>
      <c r="Q2436" s="112"/>
      <c r="R2436" s="112"/>
      <c r="S2436" s="112"/>
      <c r="T2436" s="112"/>
      <c r="U2436" t="s">
        <v>4260</v>
      </c>
      <c r="V2436" t="s">
        <v>6009</v>
      </c>
      <c r="W2436" t="s">
        <v>3958</v>
      </c>
      <c r="X2436" t="s">
        <v>4660</v>
      </c>
    </row>
    <row r="2437" spans="1:24" x14ac:dyDescent="0.2">
      <c r="A2437" t="s">
        <v>6008</v>
      </c>
      <c r="B2437" t="s">
        <v>2044</v>
      </c>
      <c r="C2437" t="s">
        <v>2045</v>
      </c>
      <c r="D2437" t="s">
        <v>56</v>
      </c>
      <c r="E2437" t="s">
        <v>2046</v>
      </c>
      <c r="F2437" t="s">
        <v>99</v>
      </c>
      <c r="G2437" s="202">
        <v>2322.1999999999998</v>
      </c>
      <c r="H2437">
        <v>2</v>
      </c>
      <c r="I2437" t="s">
        <v>3960</v>
      </c>
      <c r="J2437" t="s">
        <v>4826</v>
      </c>
      <c r="K2437" t="s">
        <v>1283</v>
      </c>
      <c r="L2437" s="204">
        <v>0.72</v>
      </c>
      <c r="M2437" s="112">
        <v>13.995000000000001</v>
      </c>
      <c r="N2437" s="112">
        <v>10.0764</v>
      </c>
      <c r="O2437" s="204"/>
      <c r="P2437" s="112"/>
      <c r="Q2437" s="112"/>
      <c r="R2437" s="112"/>
      <c r="S2437" s="112"/>
      <c r="T2437" s="112"/>
      <c r="U2437" t="s">
        <v>4260</v>
      </c>
      <c r="V2437" t="s">
        <v>6009</v>
      </c>
      <c r="W2437" t="s">
        <v>3958</v>
      </c>
      <c r="X2437" t="s">
        <v>4660</v>
      </c>
    </row>
    <row r="2438" spans="1:24" x14ac:dyDescent="0.2">
      <c r="A2438" t="s">
        <v>6008</v>
      </c>
      <c r="B2438" t="s">
        <v>2044</v>
      </c>
      <c r="C2438" t="s">
        <v>2045</v>
      </c>
      <c r="D2438" t="s">
        <v>56</v>
      </c>
      <c r="E2438" t="s">
        <v>2046</v>
      </c>
      <c r="F2438" t="s">
        <v>99</v>
      </c>
      <c r="G2438" s="202">
        <v>2322.1999999999998</v>
      </c>
      <c r="H2438">
        <v>3</v>
      </c>
      <c r="I2438" t="s">
        <v>3976</v>
      </c>
      <c r="J2438" t="s">
        <v>4827</v>
      </c>
      <c r="K2438" t="s">
        <v>1283</v>
      </c>
      <c r="L2438" s="204">
        <v>0.05</v>
      </c>
      <c r="M2438" s="112">
        <v>13.995000000000001</v>
      </c>
      <c r="N2438" s="112">
        <v>0.69975000000000009</v>
      </c>
      <c r="O2438" s="204"/>
      <c r="P2438" s="112"/>
      <c r="Q2438" s="112"/>
      <c r="R2438" s="112"/>
      <c r="S2438" s="112"/>
      <c r="T2438" s="112"/>
      <c r="U2438" t="s">
        <v>4260</v>
      </c>
      <c r="V2438" t="s">
        <v>6009</v>
      </c>
      <c r="W2438" t="s">
        <v>3958</v>
      </c>
      <c r="X2438" t="s">
        <v>4660</v>
      </c>
    </row>
    <row r="2439" spans="1:24" x14ac:dyDescent="0.2">
      <c r="A2439" t="s">
        <v>6008</v>
      </c>
      <c r="B2439" t="s">
        <v>2044</v>
      </c>
      <c r="C2439" t="s">
        <v>2045</v>
      </c>
      <c r="D2439" t="s">
        <v>56</v>
      </c>
      <c r="E2439" t="s">
        <v>2046</v>
      </c>
      <c r="F2439" t="s">
        <v>99</v>
      </c>
      <c r="G2439" s="202">
        <v>2322.1999999999998</v>
      </c>
      <c r="H2439">
        <v>4</v>
      </c>
      <c r="I2439" t="s">
        <v>4017</v>
      </c>
      <c r="J2439" t="s">
        <v>4809</v>
      </c>
      <c r="K2439" t="s">
        <v>1283</v>
      </c>
      <c r="L2439" s="204">
        <v>0.05</v>
      </c>
      <c r="M2439" s="112">
        <v>13.995000000000001</v>
      </c>
      <c r="N2439" s="112">
        <v>0.69975000000000009</v>
      </c>
      <c r="O2439" s="204"/>
      <c r="P2439" s="112"/>
      <c r="Q2439" s="112"/>
      <c r="R2439" s="112"/>
      <c r="S2439" s="112"/>
      <c r="T2439" s="112"/>
      <c r="U2439" t="s">
        <v>4260</v>
      </c>
      <c r="V2439" t="s">
        <v>6009</v>
      </c>
      <c r="W2439" t="s">
        <v>3958</v>
      </c>
      <c r="X2439" t="s">
        <v>4660</v>
      </c>
    </row>
    <row r="2440" spans="1:24" x14ac:dyDescent="0.2">
      <c r="A2440" t="s">
        <v>6008</v>
      </c>
      <c r="B2440" t="s">
        <v>2044</v>
      </c>
      <c r="C2440" t="s">
        <v>2045</v>
      </c>
      <c r="D2440" t="s">
        <v>56</v>
      </c>
      <c r="E2440" t="s">
        <v>2046</v>
      </c>
      <c r="F2440" t="s">
        <v>99</v>
      </c>
      <c r="G2440" s="202">
        <v>2322.1999999999998</v>
      </c>
      <c r="H2440">
        <v>5</v>
      </c>
      <c r="I2440" t="s">
        <v>3968</v>
      </c>
      <c r="J2440" t="s">
        <v>3969</v>
      </c>
      <c r="K2440" t="s">
        <v>99</v>
      </c>
      <c r="L2440" s="204">
        <v>1</v>
      </c>
      <c r="M2440" s="112"/>
      <c r="N2440" s="112">
        <v>13.995000000000001</v>
      </c>
      <c r="O2440" s="204">
        <v>0.22186495176848875</v>
      </c>
      <c r="P2440" s="112">
        <v>3.1050000000000004</v>
      </c>
      <c r="Q2440" s="112">
        <v>17.100000000000001</v>
      </c>
      <c r="R2440" s="112">
        <v>39709.620000000003</v>
      </c>
      <c r="S2440" s="112">
        <v>39709.620000000003</v>
      </c>
      <c r="T2440" s="112">
        <v>0</v>
      </c>
      <c r="U2440" t="s">
        <v>4260</v>
      </c>
      <c r="V2440" t="s">
        <v>6009</v>
      </c>
      <c r="W2440" t="s">
        <v>4666</v>
      </c>
      <c r="X2440" t="s">
        <v>4667</v>
      </c>
    </row>
    <row r="2441" spans="1:24" x14ac:dyDescent="0.2">
      <c r="A2441" t="s">
        <v>6010</v>
      </c>
      <c r="B2441" t="s">
        <v>2047</v>
      </c>
      <c r="C2441" t="s">
        <v>2048</v>
      </c>
      <c r="D2441" t="s">
        <v>56</v>
      </c>
      <c r="E2441" t="s">
        <v>2049</v>
      </c>
      <c r="F2441" t="s">
        <v>99</v>
      </c>
      <c r="G2441" s="202">
        <v>604.4</v>
      </c>
      <c r="H2441">
        <v>1</v>
      </c>
      <c r="I2441" t="s">
        <v>3954</v>
      </c>
      <c r="J2441" t="s">
        <v>4823</v>
      </c>
      <c r="K2441" t="s">
        <v>1283</v>
      </c>
      <c r="L2441" s="204">
        <v>0.18</v>
      </c>
      <c r="M2441" s="112">
        <v>13.544999999999998</v>
      </c>
      <c r="N2441" s="112">
        <v>2.4380999999999995</v>
      </c>
      <c r="O2441" s="204"/>
      <c r="P2441" s="112"/>
      <c r="Q2441" s="112"/>
      <c r="R2441" s="112"/>
      <c r="S2441" s="112"/>
      <c r="T2441" s="112"/>
      <c r="U2441" t="s">
        <v>6011</v>
      </c>
      <c r="V2441" t="s">
        <v>6012</v>
      </c>
      <c r="W2441" t="s">
        <v>3958</v>
      </c>
      <c r="X2441" t="s">
        <v>4660</v>
      </c>
    </row>
    <row r="2442" spans="1:24" x14ac:dyDescent="0.2">
      <c r="A2442" t="s">
        <v>6010</v>
      </c>
      <c r="B2442" t="s">
        <v>2047</v>
      </c>
      <c r="C2442" t="s">
        <v>2048</v>
      </c>
      <c r="D2442" t="s">
        <v>56</v>
      </c>
      <c r="E2442" t="s">
        <v>2049</v>
      </c>
      <c r="F2442" t="s">
        <v>99</v>
      </c>
      <c r="G2442" s="202">
        <v>604.4</v>
      </c>
      <c r="H2442">
        <v>2</v>
      </c>
      <c r="I2442" t="s">
        <v>3960</v>
      </c>
      <c r="J2442" t="s">
        <v>4826</v>
      </c>
      <c r="K2442" t="s">
        <v>1283</v>
      </c>
      <c r="L2442" s="204">
        <v>0.72</v>
      </c>
      <c r="M2442" s="112">
        <v>13.544999999999998</v>
      </c>
      <c r="N2442" s="112">
        <v>9.752399999999998</v>
      </c>
      <c r="O2442" s="204"/>
      <c r="P2442" s="112"/>
      <c r="Q2442" s="112"/>
      <c r="R2442" s="112"/>
      <c r="S2442" s="112"/>
      <c r="T2442" s="112"/>
      <c r="U2442" t="s">
        <v>6011</v>
      </c>
      <c r="V2442" t="s">
        <v>6012</v>
      </c>
      <c r="W2442" t="s">
        <v>3958</v>
      </c>
      <c r="X2442" t="s">
        <v>4660</v>
      </c>
    </row>
    <row r="2443" spans="1:24" x14ac:dyDescent="0.2">
      <c r="A2443" t="s">
        <v>6010</v>
      </c>
      <c r="B2443" t="s">
        <v>2047</v>
      </c>
      <c r="C2443" t="s">
        <v>2048</v>
      </c>
      <c r="D2443" t="s">
        <v>56</v>
      </c>
      <c r="E2443" t="s">
        <v>2049</v>
      </c>
      <c r="F2443" t="s">
        <v>99</v>
      </c>
      <c r="G2443" s="202">
        <v>604.4</v>
      </c>
      <c r="H2443">
        <v>3</v>
      </c>
      <c r="I2443" t="s">
        <v>3976</v>
      </c>
      <c r="J2443" t="s">
        <v>4827</v>
      </c>
      <c r="K2443" t="s">
        <v>1283</v>
      </c>
      <c r="L2443" s="204">
        <v>0.05</v>
      </c>
      <c r="M2443" s="112">
        <v>13.544999999999998</v>
      </c>
      <c r="N2443" s="112">
        <v>0.67724999999999991</v>
      </c>
      <c r="O2443" s="204"/>
      <c r="P2443" s="112"/>
      <c r="Q2443" s="112"/>
      <c r="R2443" s="112"/>
      <c r="S2443" s="112"/>
      <c r="T2443" s="112"/>
      <c r="U2443" t="s">
        <v>6011</v>
      </c>
      <c r="V2443" t="s">
        <v>6012</v>
      </c>
      <c r="W2443" t="s">
        <v>3958</v>
      </c>
      <c r="X2443" t="s">
        <v>4660</v>
      </c>
    </row>
    <row r="2444" spans="1:24" x14ac:dyDescent="0.2">
      <c r="A2444" t="s">
        <v>6010</v>
      </c>
      <c r="B2444" t="s">
        <v>2047</v>
      </c>
      <c r="C2444" t="s">
        <v>2048</v>
      </c>
      <c r="D2444" t="s">
        <v>56</v>
      </c>
      <c r="E2444" t="s">
        <v>2049</v>
      </c>
      <c r="F2444" t="s">
        <v>99</v>
      </c>
      <c r="G2444" s="202">
        <v>604.4</v>
      </c>
      <c r="H2444">
        <v>4</v>
      </c>
      <c r="I2444" t="s">
        <v>4017</v>
      </c>
      <c r="J2444" t="s">
        <v>4809</v>
      </c>
      <c r="K2444" t="s">
        <v>1283</v>
      </c>
      <c r="L2444" s="204">
        <v>0.05</v>
      </c>
      <c r="M2444" s="112">
        <v>13.544999999999998</v>
      </c>
      <c r="N2444" s="112">
        <v>0.67724999999999991</v>
      </c>
      <c r="O2444" s="204"/>
      <c r="P2444" s="112"/>
      <c r="Q2444" s="112"/>
      <c r="R2444" s="112"/>
      <c r="S2444" s="112"/>
      <c r="T2444" s="112"/>
      <c r="U2444" t="s">
        <v>6011</v>
      </c>
      <c r="V2444" t="s">
        <v>6012</v>
      </c>
      <c r="W2444" t="s">
        <v>3958</v>
      </c>
      <c r="X2444" t="s">
        <v>4660</v>
      </c>
    </row>
    <row r="2445" spans="1:24" x14ac:dyDescent="0.2">
      <c r="A2445" t="s">
        <v>6010</v>
      </c>
      <c r="B2445" t="s">
        <v>2047</v>
      </c>
      <c r="C2445" t="s">
        <v>2048</v>
      </c>
      <c r="D2445" t="s">
        <v>56</v>
      </c>
      <c r="E2445" t="s">
        <v>2049</v>
      </c>
      <c r="F2445" t="s">
        <v>99</v>
      </c>
      <c r="G2445" s="202">
        <v>604.4</v>
      </c>
      <c r="H2445">
        <v>5</v>
      </c>
      <c r="I2445" t="s">
        <v>3968</v>
      </c>
      <c r="J2445" t="s">
        <v>3969</v>
      </c>
      <c r="K2445" t="s">
        <v>99</v>
      </c>
      <c r="L2445" s="204">
        <v>1</v>
      </c>
      <c r="M2445" s="112"/>
      <c r="N2445" s="112">
        <v>13.544999999999998</v>
      </c>
      <c r="O2445" s="204">
        <v>0.2220375301193489</v>
      </c>
      <c r="P2445" s="112">
        <v>3.0074983454665798</v>
      </c>
      <c r="Q2445" s="112">
        <v>16.552498345466578</v>
      </c>
      <c r="R2445" s="112">
        <v>10004.33</v>
      </c>
      <c r="S2445" s="112">
        <v>10004.33</v>
      </c>
      <c r="T2445" s="112">
        <v>0</v>
      </c>
      <c r="U2445" t="s">
        <v>6011</v>
      </c>
      <c r="V2445" t="s">
        <v>6012</v>
      </c>
      <c r="W2445" t="s">
        <v>4666</v>
      </c>
      <c r="X2445" t="s">
        <v>4667</v>
      </c>
    </row>
    <row r="2446" spans="1:24" x14ac:dyDescent="0.2">
      <c r="A2446" t="s">
        <v>6013</v>
      </c>
      <c r="B2446" t="s">
        <v>1480</v>
      </c>
      <c r="C2446" t="s">
        <v>2050</v>
      </c>
      <c r="D2446" t="s">
        <v>56</v>
      </c>
      <c r="E2446" t="s">
        <v>2051</v>
      </c>
      <c r="F2446" t="s">
        <v>99</v>
      </c>
      <c r="G2446" s="202">
        <v>564</v>
      </c>
      <c r="H2446">
        <v>1</v>
      </c>
      <c r="I2446" t="s">
        <v>3954</v>
      </c>
      <c r="J2446" t="s">
        <v>4823</v>
      </c>
      <c r="K2446" t="s">
        <v>1283</v>
      </c>
      <c r="L2446" s="204">
        <v>0.18</v>
      </c>
      <c r="M2446" s="112">
        <v>20.287500000000001</v>
      </c>
      <c r="N2446" s="112">
        <v>3.6517500000000003</v>
      </c>
      <c r="O2446" s="204"/>
      <c r="P2446" s="112"/>
      <c r="Q2446" s="112"/>
      <c r="R2446" s="112"/>
      <c r="S2446" s="112"/>
      <c r="T2446" s="112"/>
      <c r="U2446" t="s">
        <v>6014</v>
      </c>
      <c r="V2446" t="s">
        <v>6015</v>
      </c>
      <c r="W2446" t="s">
        <v>3958</v>
      </c>
      <c r="X2446" t="s">
        <v>4660</v>
      </c>
    </row>
    <row r="2447" spans="1:24" x14ac:dyDescent="0.2">
      <c r="A2447" t="s">
        <v>6013</v>
      </c>
      <c r="B2447" t="s">
        <v>1480</v>
      </c>
      <c r="C2447" t="s">
        <v>2050</v>
      </c>
      <c r="D2447" t="s">
        <v>56</v>
      </c>
      <c r="E2447" t="s">
        <v>2051</v>
      </c>
      <c r="F2447" t="s">
        <v>99</v>
      </c>
      <c r="G2447" s="202">
        <v>564</v>
      </c>
      <c r="H2447">
        <v>2</v>
      </c>
      <c r="I2447" t="s">
        <v>3960</v>
      </c>
      <c r="J2447" t="s">
        <v>4826</v>
      </c>
      <c r="K2447" t="s">
        <v>1283</v>
      </c>
      <c r="L2447" s="204">
        <v>0.72</v>
      </c>
      <c r="M2447" s="112">
        <v>20.287500000000001</v>
      </c>
      <c r="N2447" s="112">
        <v>14.607000000000001</v>
      </c>
      <c r="O2447" s="204"/>
      <c r="P2447" s="112"/>
      <c r="Q2447" s="112"/>
      <c r="R2447" s="112"/>
      <c r="S2447" s="112"/>
      <c r="T2447" s="112"/>
      <c r="U2447" t="s">
        <v>6014</v>
      </c>
      <c r="V2447" t="s">
        <v>6015</v>
      </c>
      <c r="W2447" t="s">
        <v>3958</v>
      </c>
      <c r="X2447" t="s">
        <v>4660</v>
      </c>
    </row>
    <row r="2448" spans="1:24" x14ac:dyDescent="0.2">
      <c r="A2448" t="s">
        <v>6013</v>
      </c>
      <c r="B2448" t="s">
        <v>1480</v>
      </c>
      <c r="C2448" t="s">
        <v>2050</v>
      </c>
      <c r="D2448" t="s">
        <v>56</v>
      </c>
      <c r="E2448" t="s">
        <v>2051</v>
      </c>
      <c r="F2448" t="s">
        <v>99</v>
      </c>
      <c r="G2448" s="202">
        <v>564</v>
      </c>
      <c r="H2448">
        <v>3</v>
      </c>
      <c r="I2448" t="s">
        <v>3976</v>
      </c>
      <c r="J2448" t="s">
        <v>4827</v>
      </c>
      <c r="K2448" t="s">
        <v>1283</v>
      </c>
      <c r="L2448" s="204">
        <v>0.05</v>
      </c>
      <c r="M2448" s="112">
        <v>20.287500000000001</v>
      </c>
      <c r="N2448" s="112">
        <v>1.014375</v>
      </c>
      <c r="O2448" s="204"/>
      <c r="P2448" s="112"/>
      <c r="Q2448" s="112"/>
      <c r="R2448" s="112"/>
      <c r="S2448" s="112"/>
      <c r="T2448" s="112"/>
      <c r="U2448" t="s">
        <v>6014</v>
      </c>
      <c r="V2448" t="s">
        <v>6015</v>
      </c>
      <c r="W2448" t="s">
        <v>3958</v>
      </c>
      <c r="X2448" t="s">
        <v>4660</v>
      </c>
    </row>
    <row r="2449" spans="1:24" x14ac:dyDescent="0.2">
      <c r="A2449" t="s">
        <v>6013</v>
      </c>
      <c r="B2449" t="s">
        <v>1480</v>
      </c>
      <c r="C2449" t="s">
        <v>2050</v>
      </c>
      <c r="D2449" t="s">
        <v>56</v>
      </c>
      <c r="E2449" t="s">
        <v>2051</v>
      </c>
      <c r="F2449" t="s">
        <v>99</v>
      </c>
      <c r="G2449" s="202">
        <v>564</v>
      </c>
      <c r="H2449">
        <v>4</v>
      </c>
      <c r="I2449" t="s">
        <v>4017</v>
      </c>
      <c r="J2449" t="s">
        <v>4809</v>
      </c>
      <c r="K2449" t="s">
        <v>1283</v>
      </c>
      <c r="L2449" s="204">
        <v>0.05</v>
      </c>
      <c r="M2449" s="112">
        <v>20.287500000000001</v>
      </c>
      <c r="N2449" s="112">
        <v>1.014375</v>
      </c>
      <c r="O2449" s="204"/>
      <c r="P2449" s="112"/>
      <c r="Q2449" s="112"/>
      <c r="R2449" s="112"/>
      <c r="S2449" s="112"/>
      <c r="T2449" s="112"/>
      <c r="U2449" t="s">
        <v>6014</v>
      </c>
      <c r="V2449" t="s">
        <v>6015</v>
      </c>
      <c r="W2449" t="s">
        <v>3958</v>
      </c>
      <c r="X2449" t="s">
        <v>4660</v>
      </c>
    </row>
    <row r="2450" spans="1:24" x14ac:dyDescent="0.2">
      <c r="A2450" t="s">
        <v>6013</v>
      </c>
      <c r="B2450" t="s">
        <v>1480</v>
      </c>
      <c r="C2450" t="s">
        <v>2050</v>
      </c>
      <c r="D2450" t="s">
        <v>56</v>
      </c>
      <c r="E2450" t="s">
        <v>2051</v>
      </c>
      <c r="F2450" t="s">
        <v>99</v>
      </c>
      <c r="G2450" s="202">
        <v>564</v>
      </c>
      <c r="H2450">
        <v>5</v>
      </c>
      <c r="I2450" t="s">
        <v>3968</v>
      </c>
      <c r="J2450" t="s">
        <v>3969</v>
      </c>
      <c r="K2450" t="s">
        <v>99</v>
      </c>
      <c r="L2450" s="204">
        <v>1</v>
      </c>
      <c r="M2450" s="112"/>
      <c r="N2450" s="112">
        <v>20.287500000000001</v>
      </c>
      <c r="O2450" s="204">
        <v>0.2221811460258778</v>
      </c>
      <c r="P2450" s="112">
        <v>4.5074999999999967</v>
      </c>
      <c r="Q2450" s="112">
        <v>24.794999999999998</v>
      </c>
      <c r="R2450" s="112">
        <v>13984.38</v>
      </c>
      <c r="S2450" s="112">
        <v>13984.38</v>
      </c>
      <c r="T2450" s="112">
        <v>0</v>
      </c>
      <c r="U2450" t="s">
        <v>6014</v>
      </c>
      <c r="V2450" t="s">
        <v>6015</v>
      </c>
      <c r="W2450" t="s">
        <v>4666</v>
      </c>
      <c r="X2450" t="s">
        <v>4667</v>
      </c>
    </row>
    <row r="2451" spans="1:24" x14ac:dyDescent="0.2">
      <c r="A2451" t="s">
        <v>6016</v>
      </c>
      <c r="B2451" t="s">
        <v>2052</v>
      </c>
      <c r="C2451" t="s">
        <v>2053</v>
      </c>
      <c r="D2451" t="s">
        <v>56</v>
      </c>
      <c r="E2451" t="s">
        <v>2054</v>
      </c>
      <c r="F2451" t="s">
        <v>99</v>
      </c>
      <c r="G2451" s="202">
        <v>222.5</v>
      </c>
      <c r="H2451">
        <v>1</v>
      </c>
      <c r="I2451" t="s">
        <v>3954</v>
      </c>
      <c r="J2451" t="s">
        <v>4823</v>
      </c>
      <c r="K2451" t="s">
        <v>1283</v>
      </c>
      <c r="L2451" s="204">
        <v>0.18</v>
      </c>
      <c r="M2451" s="112">
        <v>21.15</v>
      </c>
      <c r="N2451" s="112">
        <v>3.8069999999999995</v>
      </c>
      <c r="O2451" s="204"/>
      <c r="P2451" s="112"/>
      <c r="Q2451" s="112"/>
      <c r="R2451" s="112"/>
      <c r="S2451" s="112"/>
      <c r="T2451" s="112"/>
      <c r="U2451" t="s">
        <v>6017</v>
      </c>
      <c r="V2451" t="s">
        <v>6018</v>
      </c>
      <c r="W2451" t="s">
        <v>3958</v>
      </c>
      <c r="X2451" t="s">
        <v>4660</v>
      </c>
    </row>
    <row r="2452" spans="1:24" x14ac:dyDescent="0.2">
      <c r="A2452" t="s">
        <v>6016</v>
      </c>
      <c r="B2452" t="s">
        <v>2052</v>
      </c>
      <c r="C2452" t="s">
        <v>2053</v>
      </c>
      <c r="D2452" t="s">
        <v>56</v>
      </c>
      <c r="E2452" t="s">
        <v>2054</v>
      </c>
      <c r="F2452" t="s">
        <v>99</v>
      </c>
      <c r="G2452" s="202">
        <v>222.5</v>
      </c>
      <c r="H2452">
        <v>2</v>
      </c>
      <c r="I2452" t="s">
        <v>3960</v>
      </c>
      <c r="J2452" t="s">
        <v>4826</v>
      </c>
      <c r="K2452" t="s">
        <v>1283</v>
      </c>
      <c r="L2452" s="204">
        <v>0.72</v>
      </c>
      <c r="M2452" s="112">
        <v>21.15</v>
      </c>
      <c r="N2452" s="112">
        <v>15.227999999999998</v>
      </c>
      <c r="O2452" s="204"/>
      <c r="P2452" s="112"/>
      <c r="Q2452" s="112"/>
      <c r="R2452" s="112"/>
      <c r="S2452" s="112"/>
      <c r="T2452" s="112"/>
      <c r="U2452" t="s">
        <v>6017</v>
      </c>
      <c r="V2452" t="s">
        <v>6018</v>
      </c>
      <c r="W2452" t="s">
        <v>3958</v>
      </c>
      <c r="X2452" t="s">
        <v>4660</v>
      </c>
    </row>
    <row r="2453" spans="1:24" x14ac:dyDescent="0.2">
      <c r="A2453" t="s">
        <v>6016</v>
      </c>
      <c r="B2453" t="s">
        <v>2052</v>
      </c>
      <c r="C2453" t="s">
        <v>2053</v>
      </c>
      <c r="D2453" t="s">
        <v>56</v>
      </c>
      <c r="E2453" t="s">
        <v>2054</v>
      </c>
      <c r="F2453" t="s">
        <v>99</v>
      </c>
      <c r="G2453" s="202">
        <v>222.5</v>
      </c>
      <c r="H2453">
        <v>3</v>
      </c>
      <c r="I2453" t="s">
        <v>3976</v>
      </c>
      <c r="J2453" t="s">
        <v>4827</v>
      </c>
      <c r="K2453" t="s">
        <v>1283</v>
      </c>
      <c r="L2453" s="204">
        <v>0.05</v>
      </c>
      <c r="M2453" s="112">
        <v>21.15</v>
      </c>
      <c r="N2453" s="112">
        <v>1.0574999999999999</v>
      </c>
      <c r="O2453" s="204"/>
      <c r="P2453" s="112"/>
      <c r="Q2453" s="112"/>
      <c r="R2453" s="112"/>
      <c r="S2453" s="112"/>
      <c r="T2453" s="112"/>
      <c r="U2453" t="s">
        <v>6017</v>
      </c>
      <c r="V2453" t="s">
        <v>6018</v>
      </c>
      <c r="W2453" t="s">
        <v>3958</v>
      </c>
      <c r="X2453" t="s">
        <v>4660</v>
      </c>
    </row>
    <row r="2454" spans="1:24" x14ac:dyDescent="0.2">
      <c r="A2454" t="s">
        <v>6016</v>
      </c>
      <c r="B2454" t="s">
        <v>2052</v>
      </c>
      <c r="C2454" t="s">
        <v>2053</v>
      </c>
      <c r="D2454" t="s">
        <v>56</v>
      </c>
      <c r="E2454" t="s">
        <v>2054</v>
      </c>
      <c r="F2454" t="s">
        <v>99</v>
      </c>
      <c r="G2454" s="202">
        <v>222.5</v>
      </c>
      <c r="H2454">
        <v>4</v>
      </c>
      <c r="I2454" t="s">
        <v>4017</v>
      </c>
      <c r="J2454" t="s">
        <v>4809</v>
      </c>
      <c r="K2454" t="s">
        <v>1283</v>
      </c>
      <c r="L2454" s="204">
        <v>0.05</v>
      </c>
      <c r="M2454" s="112">
        <v>21.15</v>
      </c>
      <c r="N2454" s="112">
        <v>1.0574999999999999</v>
      </c>
      <c r="O2454" s="204"/>
      <c r="P2454" s="112"/>
      <c r="Q2454" s="112"/>
      <c r="R2454" s="112"/>
      <c r="S2454" s="112"/>
      <c r="T2454" s="112"/>
      <c r="U2454" t="s">
        <v>6017</v>
      </c>
      <c r="V2454" t="s">
        <v>6018</v>
      </c>
      <c r="W2454" t="s">
        <v>3958</v>
      </c>
      <c r="X2454" t="s">
        <v>4660</v>
      </c>
    </row>
    <row r="2455" spans="1:24" x14ac:dyDescent="0.2">
      <c r="A2455" t="s">
        <v>6016</v>
      </c>
      <c r="B2455" t="s">
        <v>2052</v>
      </c>
      <c r="C2455" t="s">
        <v>2053</v>
      </c>
      <c r="D2455" t="s">
        <v>56</v>
      </c>
      <c r="E2455" t="s">
        <v>2054</v>
      </c>
      <c r="F2455" t="s">
        <v>99</v>
      </c>
      <c r="G2455" s="202">
        <v>222.5</v>
      </c>
      <c r="H2455">
        <v>5</v>
      </c>
      <c r="I2455" t="s">
        <v>3968</v>
      </c>
      <c r="J2455" t="s">
        <v>3969</v>
      </c>
      <c r="K2455" t="s">
        <v>99</v>
      </c>
      <c r="L2455" s="204">
        <v>1</v>
      </c>
      <c r="M2455" s="112"/>
      <c r="N2455" s="112">
        <v>21.15</v>
      </c>
      <c r="O2455" s="204">
        <v>0.22198528435200693</v>
      </c>
      <c r="P2455" s="112">
        <v>4.6949887640449468</v>
      </c>
      <c r="Q2455" s="112">
        <v>25.844988764044945</v>
      </c>
      <c r="R2455" s="112">
        <v>5750.51</v>
      </c>
      <c r="S2455" s="112">
        <v>5750.51</v>
      </c>
      <c r="T2455" s="112">
        <v>0</v>
      </c>
      <c r="U2455" t="s">
        <v>6017</v>
      </c>
      <c r="V2455" t="s">
        <v>6018</v>
      </c>
      <c r="W2455" t="s">
        <v>4666</v>
      </c>
      <c r="X2455" t="s">
        <v>4667</v>
      </c>
    </row>
    <row r="2456" spans="1:24" x14ac:dyDescent="0.2">
      <c r="A2456" t="s">
        <v>6019</v>
      </c>
      <c r="B2456" t="s">
        <v>2055</v>
      </c>
      <c r="C2456" t="s">
        <v>2056</v>
      </c>
      <c r="D2456" t="s">
        <v>56</v>
      </c>
      <c r="E2456" t="s">
        <v>973</v>
      </c>
      <c r="F2456" t="s">
        <v>99</v>
      </c>
      <c r="G2456" s="202">
        <v>16.2</v>
      </c>
      <c r="H2456">
        <v>1</v>
      </c>
      <c r="I2456" t="s">
        <v>3954</v>
      </c>
      <c r="J2456" t="s">
        <v>4823</v>
      </c>
      <c r="K2456" t="s">
        <v>1283</v>
      </c>
      <c r="L2456" s="204">
        <v>0.18</v>
      </c>
      <c r="M2456" s="112">
        <v>27.105</v>
      </c>
      <c r="N2456" s="112">
        <v>4.8788999999999998</v>
      </c>
      <c r="O2456" s="204"/>
      <c r="P2456" s="112"/>
      <c r="Q2456" s="112"/>
      <c r="R2456" s="112"/>
      <c r="S2456" s="112"/>
      <c r="T2456" s="112"/>
      <c r="U2456" t="s">
        <v>6020</v>
      </c>
      <c r="V2456" t="s">
        <v>6021</v>
      </c>
      <c r="W2456" t="s">
        <v>3958</v>
      </c>
      <c r="X2456" t="s">
        <v>4660</v>
      </c>
    </row>
    <row r="2457" spans="1:24" x14ac:dyDescent="0.2">
      <c r="A2457" t="s">
        <v>6019</v>
      </c>
      <c r="B2457" t="s">
        <v>2055</v>
      </c>
      <c r="C2457" t="s">
        <v>2056</v>
      </c>
      <c r="D2457" t="s">
        <v>56</v>
      </c>
      <c r="E2457" t="s">
        <v>973</v>
      </c>
      <c r="F2457" t="s">
        <v>99</v>
      </c>
      <c r="G2457" s="202">
        <v>16.2</v>
      </c>
      <c r="H2457">
        <v>2</v>
      </c>
      <c r="I2457" t="s">
        <v>3960</v>
      </c>
      <c r="J2457" t="s">
        <v>4826</v>
      </c>
      <c r="K2457" t="s">
        <v>1283</v>
      </c>
      <c r="L2457" s="204">
        <v>0.72</v>
      </c>
      <c r="M2457" s="112">
        <v>27.105</v>
      </c>
      <c r="N2457" s="112">
        <v>19.515599999999999</v>
      </c>
      <c r="O2457" s="204"/>
      <c r="P2457" s="112"/>
      <c r="Q2457" s="112"/>
      <c r="R2457" s="112"/>
      <c r="S2457" s="112"/>
      <c r="T2457" s="112"/>
      <c r="U2457" t="s">
        <v>6020</v>
      </c>
      <c r="V2457" t="s">
        <v>6021</v>
      </c>
      <c r="W2457" t="s">
        <v>3958</v>
      </c>
      <c r="X2457" t="s">
        <v>4660</v>
      </c>
    </row>
    <row r="2458" spans="1:24" x14ac:dyDescent="0.2">
      <c r="A2458" t="s">
        <v>6019</v>
      </c>
      <c r="B2458" t="s">
        <v>2055</v>
      </c>
      <c r="C2458" t="s">
        <v>2056</v>
      </c>
      <c r="D2458" t="s">
        <v>56</v>
      </c>
      <c r="E2458" t="s">
        <v>973</v>
      </c>
      <c r="F2458" t="s">
        <v>99</v>
      </c>
      <c r="G2458" s="202">
        <v>16.2</v>
      </c>
      <c r="H2458">
        <v>3</v>
      </c>
      <c r="I2458" t="s">
        <v>3976</v>
      </c>
      <c r="J2458" t="s">
        <v>4827</v>
      </c>
      <c r="K2458" t="s">
        <v>1283</v>
      </c>
      <c r="L2458" s="204">
        <v>0.05</v>
      </c>
      <c r="M2458" s="112">
        <v>27.105</v>
      </c>
      <c r="N2458" s="112">
        <v>1.3552500000000001</v>
      </c>
      <c r="O2458" s="204"/>
      <c r="P2458" s="112"/>
      <c r="Q2458" s="112"/>
      <c r="R2458" s="112"/>
      <c r="S2458" s="112"/>
      <c r="T2458" s="112"/>
      <c r="U2458" t="s">
        <v>6020</v>
      </c>
      <c r="V2458" t="s">
        <v>6021</v>
      </c>
      <c r="W2458" t="s">
        <v>3958</v>
      </c>
      <c r="X2458" t="s">
        <v>4660</v>
      </c>
    </row>
    <row r="2459" spans="1:24" x14ac:dyDescent="0.2">
      <c r="A2459" t="s">
        <v>6019</v>
      </c>
      <c r="B2459" t="s">
        <v>2055</v>
      </c>
      <c r="C2459" t="s">
        <v>2056</v>
      </c>
      <c r="D2459" t="s">
        <v>56</v>
      </c>
      <c r="E2459" t="s">
        <v>973</v>
      </c>
      <c r="F2459" t="s">
        <v>99</v>
      </c>
      <c r="G2459" s="202">
        <v>16.2</v>
      </c>
      <c r="H2459">
        <v>4</v>
      </c>
      <c r="I2459" t="s">
        <v>4017</v>
      </c>
      <c r="J2459" t="s">
        <v>4809</v>
      </c>
      <c r="K2459" t="s">
        <v>1283</v>
      </c>
      <c r="L2459" s="204">
        <v>0.05</v>
      </c>
      <c r="M2459" s="112">
        <v>27.105</v>
      </c>
      <c r="N2459" s="112">
        <v>1.3552500000000001</v>
      </c>
      <c r="O2459" s="204"/>
      <c r="P2459" s="112"/>
      <c r="Q2459" s="112"/>
      <c r="R2459" s="112"/>
      <c r="S2459" s="112"/>
      <c r="T2459" s="112"/>
      <c r="U2459" t="s">
        <v>6020</v>
      </c>
      <c r="V2459" t="s">
        <v>6021</v>
      </c>
      <c r="W2459" t="s">
        <v>3958</v>
      </c>
      <c r="X2459" t="s">
        <v>4660</v>
      </c>
    </row>
    <row r="2460" spans="1:24" x14ac:dyDescent="0.2">
      <c r="A2460" t="s">
        <v>6019</v>
      </c>
      <c r="B2460" t="s">
        <v>2055</v>
      </c>
      <c r="C2460" t="s">
        <v>2056</v>
      </c>
      <c r="D2460" t="s">
        <v>56</v>
      </c>
      <c r="E2460" t="s">
        <v>973</v>
      </c>
      <c r="F2460" t="s">
        <v>99</v>
      </c>
      <c r="G2460" s="202">
        <v>16.2</v>
      </c>
      <c r="H2460">
        <v>5</v>
      </c>
      <c r="I2460" t="s">
        <v>3968</v>
      </c>
      <c r="J2460" t="s">
        <v>3969</v>
      </c>
      <c r="K2460" t="s">
        <v>99</v>
      </c>
      <c r="L2460" s="204">
        <v>1</v>
      </c>
      <c r="M2460" s="112"/>
      <c r="N2460" s="112">
        <v>27.105</v>
      </c>
      <c r="O2460" s="204">
        <v>0.22217895199509918</v>
      </c>
      <c r="P2460" s="112">
        <v>6.0221604938271618</v>
      </c>
      <c r="Q2460" s="112">
        <v>33.127160493827162</v>
      </c>
      <c r="R2460" s="112">
        <v>536.66</v>
      </c>
      <c r="S2460" s="112">
        <v>536.66</v>
      </c>
      <c r="T2460" s="112">
        <v>0</v>
      </c>
      <c r="U2460" t="s">
        <v>6020</v>
      </c>
      <c r="V2460" t="s">
        <v>6021</v>
      </c>
      <c r="W2460" t="s">
        <v>4666</v>
      </c>
      <c r="X2460" t="s">
        <v>4667</v>
      </c>
    </row>
    <row r="2461" spans="1:24" x14ac:dyDescent="0.2">
      <c r="A2461" t="s">
        <v>6022</v>
      </c>
      <c r="B2461" t="s">
        <v>2057</v>
      </c>
      <c r="C2461" t="s">
        <v>2058</v>
      </c>
      <c r="D2461" t="s">
        <v>56</v>
      </c>
      <c r="E2461" t="s">
        <v>974</v>
      </c>
      <c r="F2461" t="s">
        <v>99</v>
      </c>
      <c r="G2461" s="202">
        <v>155</v>
      </c>
      <c r="H2461">
        <v>1</v>
      </c>
      <c r="I2461" t="s">
        <v>3954</v>
      </c>
      <c r="J2461" t="s">
        <v>4823</v>
      </c>
      <c r="K2461" t="s">
        <v>1283</v>
      </c>
      <c r="L2461" s="204">
        <v>0.18</v>
      </c>
      <c r="M2461" s="112">
        <v>55.987500000000004</v>
      </c>
      <c r="N2461" s="112">
        <v>10.07775</v>
      </c>
      <c r="O2461" s="204"/>
      <c r="P2461" s="112"/>
      <c r="Q2461" s="112"/>
      <c r="R2461" s="112"/>
      <c r="S2461" s="112"/>
      <c r="T2461" s="112"/>
      <c r="U2461" t="s">
        <v>6023</v>
      </c>
      <c r="V2461" t="s">
        <v>6024</v>
      </c>
      <c r="W2461" t="s">
        <v>3958</v>
      </c>
      <c r="X2461" t="s">
        <v>4660</v>
      </c>
    </row>
    <row r="2462" spans="1:24" x14ac:dyDescent="0.2">
      <c r="A2462" t="s">
        <v>6022</v>
      </c>
      <c r="B2462" t="s">
        <v>2057</v>
      </c>
      <c r="C2462" t="s">
        <v>2058</v>
      </c>
      <c r="D2462" t="s">
        <v>56</v>
      </c>
      <c r="E2462" t="s">
        <v>974</v>
      </c>
      <c r="F2462" t="s">
        <v>99</v>
      </c>
      <c r="G2462" s="202">
        <v>155</v>
      </c>
      <c r="H2462">
        <v>2</v>
      </c>
      <c r="I2462" t="s">
        <v>3960</v>
      </c>
      <c r="J2462" t="s">
        <v>4826</v>
      </c>
      <c r="K2462" t="s">
        <v>1283</v>
      </c>
      <c r="L2462" s="204">
        <v>0.72</v>
      </c>
      <c r="M2462" s="112">
        <v>55.987500000000004</v>
      </c>
      <c r="N2462" s="112">
        <v>40.311</v>
      </c>
      <c r="O2462" s="204"/>
      <c r="P2462" s="112"/>
      <c r="Q2462" s="112"/>
      <c r="R2462" s="112"/>
      <c r="S2462" s="112"/>
      <c r="T2462" s="112"/>
      <c r="U2462" t="s">
        <v>6023</v>
      </c>
      <c r="V2462" t="s">
        <v>6024</v>
      </c>
      <c r="W2462" t="s">
        <v>3958</v>
      </c>
      <c r="X2462" t="s">
        <v>4660</v>
      </c>
    </row>
    <row r="2463" spans="1:24" x14ac:dyDescent="0.2">
      <c r="A2463" t="s">
        <v>6022</v>
      </c>
      <c r="B2463" t="s">
        <v>2057</v>
      </c>
      <c r="C2463" t="s">
        <v>2058</v>
      </c>
      <c r="D2463" t="s">
        <v>56</v>
      </c>
      <c r="E2463" t="s">
        <v>974</v>
      </c>
      <c r="F2463" t="s">
        <v>99</v>
      </c>
      <c r="G2463" s="202">
        <v>155</v>
      </c>
      <c r="H2463">
        <v>3</v>
      </c>
      <c r="I2463" t="s">
        <v>3976</v>
      </c>
      <c r="J2463" t="s">
        <v>4827</v>
      </c>
      <c r="K2463" t="s">
        <v>1283</v>
      </c>
      <c r="L2463" s="204">
        <v>0.05</v>
      </c>
      <c r="M2463" s="112">
        <v>55.987500000000004</v>
      </c>
      <c r="N2463" s="112">
        <v>2.7993750000000004</v>
      </c>
      <c r="O2463" s="204"/>
      <c r="P2463" s="112"/>
      <c r="Q2463" s="112"/>
      <c r="R2463" s="112"/>
      <c r="S2463" s="112"/>
      <c r="T2463" s="112"/>
      <c r="U2463" t="s">
        <v>6023</v>
      </c>
      <c r="V2463" t="s">
        <v>6024</v>
      </c>
      <c r="W2463" t="s">
        <v>3958</v>
      </c>
      <c r="X2463" t="s">
        <v>4660</v>
      </c>
    </row>
    <row r="2464" spans="1:24" x14ac:dyDescent="0.2">
      <c r="A2464" t="s">
        <v>6022</v>
      </c>
      <c r="B2464" t="s">
        <v>2057</v>
      </c>
      <c r="C2464" t="s">
        <v>2058</v>
      </c>
      <c r="D2464" t="s">
        <v>56</v>
      </c>
      <c r="E2464" t="s">
        <v>974</v>
      </c>
      <c r="F2464" t="s">
        <v>99</v>
      </c>
      <c r="G2464" s="202">
        <v>155</v>
      </c>
      <c r="H2464">
        <v>4</v>
      </c>
      <c r="I2464" t="s">
        <v>4017</v>
      </c>
      <c r="J2464" t="s">
        <v>4809</v>
      </c>
      <c r="K2464" t="s">
        <v>1283</v>
      </c>
      <c r="L2464" s="204">
        <v>0.05</v>
      </c>
      <c r="M2464" s="112">
        <v>55.987500000000004</v>
      </c>
      <c r="N2464" s="112">
        <v>2.7993750000000004</v>
      </c>
      <c r="O2464" s="204"/>
      <c r="P2464" s="112"/>
      <c r="Q2464" s="112"/>
      <c r="R2464" s="112"/>
      <c r="S2464" s="112"/>
      <c r="T2464" s="112"/>
      <c r="U2464" t="s">
        <v>6023</v>
      </c>
      <c r="V2464" t="s">
        <v>6024</v>
      </c>
      <c r="W2464" t="s">
        <v>3958</v>
      </c>
      <c r="X2464" t="s">
        <v>4660</v>
      </c>
    </row>
    <row r="2465" spans="1:24" x14ac:dyDescent="0.2">
      <c r="A2465" t="s">
        <v>6022</v>
      </c>
      <c r="B2465" t="s">
        <v>2057</v>
      </c>
      <c r="C2465" t="s">
        <v>2058</v>
      </c>
      <c r="D2465" t="s">
        <v>56</v>
      </c>
      <c r="E2465" t="s">
        <v>974</v>
      </c>
      <c r="F2465" t="s">
        <v>99</v>
      </c>
      <c r="G2465" s="202">
        <v>155</v>
      </c>
      <c r="H2465">
        <v>5</v>
      </c>
      <c r="I2465" t="s">
        <v>3968</v>
      </c>
      <c r="J2465" t="s">
        <v>3969</v>
      </c>
      <c r="K2465" t="s">
        <v>99</v>
      </c>
      <c r="L2465" s="204">
        <v>1</v>
      </c>
      <c r="M2465" s="112"/>
      <c r="N2465" s="112">
        <v>55.987500000000004</v>
      </c>
      <c r="O2465" s="204">
        <v>0.22223710649698569</v>
      </c>
      <c r="P2465" s="112">
        <v>12.442499999999988</v>
      </c>
      <c r="Q2465" s="112">
        <v>68.429999999999993</v>
      </c>
      <c r="R2465" s="112">
        <v>10606.65</v>
      </c>
      <c r="S2465" s="112">
        <v>10606.65</v>
      </c>
      <c r="T2465" s="112">
        <v>0</v>
      </c>
      <c r="U2465" t="s">
        <v>6023</v>
      </c>
      <c r="V2465" t="s">
        <v>6024</v>
      </c>
      <c r="W2465" t="s">
        <v>4666</v>
      </c>
      <c r="X2465" t="s">
        <v>4667</v>
      </c>
    </row>
    <row r="2466" spans="1:24" x14ac:dyDescent="0.2">
      <c r="A2466" t="s">
        <v>6025</v>
      </c>
      <c r="B2466" t="s">
        <v>2059</v>
      </c>
      <c r="C2466" t="s">
        <v>2060</v>
      </c>
      <c r="D2466" t="s">
        <v>56</v>
      </c>
      <c r="E2466" t="s">
        <v>975</v>
      </c>
      <c r="F2466" t="s">
        <v>99</v>
      </c>
      <c r="G2466" s="202">
        <v>21.7</v>
      </c>
      <c r="H2466">
        <v>1</v>
      </c>
      <c r="I2466" t="s">
        <v>3954</v>
      </c>
      <c r="J2466" t="s">
        <v>4823</v>
      </c>
      <c r="K2466" t="s">
        <v>1283</v>
      </c>
      <c r="L2466" s="204">
        <v>0.18</v>
      </c>
      <c r="M2466" s="112">
        <v>72.667500000000004</v>
      </c>
      <c r="N2466" s="112">
        <v>13.08015</v>
      </c>
      <c r="O2466" s="204"/>
      <c r="P2466" s="112"/>
      <c r="Q2466" s="112"/>
      <c r="R2466" s="112"/>
      <c r="S2466" s="112"/>
      <c r="T2466" s="112"/>
      <c r="U2466" t="s">
        <v>6026</v>
      </c>
      <c r="V2466" t="s">
        <v>6027</v>
      </c>
      <c r="W2466" t="s">
        <v>3958</v>
      </c>
      <c r="X2466" t="s">
        <v>4660</v>
      </c>
    </row>
    <row r="2467" spans="1:24" x14ac:dyDescent="0.2">
      <c r="A2467" t="s">
        <v>6025</v>
      </c>
      <c r="B2467" t="s">
        <v>2059</v>
      </c>
      <c r="C2467" t="s">
        <v>2060</v>
      </c>
      <c r="D2467" t="s">
        <v>56</v>
      </c>
      <c r="E2467" t="s">
        <v>975</v>
      </c>
      <c r="F2467" t="s">
        <v>99</v>
      </c>
      <c r="G2467" s="202">
        <v>21.7</v>
      </c>
      <c r="H2467">
        <v>2</v>
      </c>
      <c r="I2467" t="s">
        <v>3960</v>
      </c>
      <c r="J2467" t="s">
        <v>4826</v>
      </c>
      <c r="K2467" t="s">
        <v>1283</v>
      </c>
      <c r="L2467" s="204">
        <v>0.72</v>
      </c>
      <c r="M2467" s="112">
        <v>72.667500000000004</v>
      </c>
      <c r="N2467" s="112">
        <v>52.320599999999999</v>
      </c>
      <c r="O2467" s="204"/>
      <c r="P2467" s="112"/>
      <c r="Q2467" s="112"/>
      <c r="R2467" s="112"/>
      <c r="S2467" s="112"/>
      <c r="T2467" s="112"/>
      <c r="U2467" t="s">
        <v>6026</v>
      </c>
      <c r="V2467" t="s">
        <v>6027</v>
      </c>
      <c r="W2467" t="s">
        <v>3958</v>
      </c>
      <c r="X2467" t="s">
        <v>4660</v>
      </c>
    </row>
    <row r="2468" spans="1:24" x14ac:dyDescent="0.2">
      <c r="A2468" t="s">
        <v>6025</v>
      </c>
      <c r="B2468" t="s">
        <v>2059</v>
      </c>
      <c r="C2468" t="s">
        <v>2060</v>
      </c>
      <c r="D2468" t="s">
        <v>56</v>
      </c>
      <c r="E2468" t="s">
        <v>975</v>
      </c>
      <c r="F2468" t="s">
        <v>99</v>
      </c>
      <c r="G2468" s="202">
        <v>21.7</v>
      </c>
      <c r="H2468">
        <v>3</v>
      </c>
      <c r="I2468" t="s">
        <v>3976</v>
      </c>
      <c r="J2468" t="s">
        <v>4827</v>
      </c>
      <c r="K2468" t="s">
        <v>1283</v>
      </c>
      <c r="L2468" s="204">
        <v>0.05</v>
      </c>
      <c r="M2468" s="112">
        <v>72.667500000000004</v>
      </c>
      <c r="N2468" s="112">
        <v>3.6333750000000005</v>
      </c>
      <c r="O2468" s="204"/>
      <c r="P2468" s="112"/>
      <c r="Q2468" s="112"/>
      <c r="R2468" s="112"/>
      <c r="S2468" s="112"/>
      <c r="T2468" s="112"/>
      <c r="U2468" t="s">
        <v>6026</v>
      </c>
      <c r="V2468" t="s">
        <v>6027</v>
      </c>
      <c r="W2468" t="s">
        <v>3958</v>
      </c>
      <c r="X2468" t="s">
        <v>4660</v>
      </c>
    </row>
    <row r="2469" spans="1:24" x14ac:dyDescent="0.2">
      <c r="A2469" t="s">
        <v>6025</v>
      </c>
      <c r="B2469" t="s">
        <v>2059</v>
      </c>
      <c r="C2469" t="s">
        <v>2060</v>
      </c>
      <c r="D2469" t="s">
        <v>56</v>
      </c>
      <c r="E2469" t="s">
        <v>975</v>
      </c>
      <c r="F2469" t="s">
        <v>99</v>
      </c>
      <c r="G2469" s="202">
        <v>21.7</v>
      </c>
      <c r="H2469">
        <v>4</v>
      </c>
      <c r="I2469" t="s">
        <v>4017</v>
      </c>
      <c r="J2469" t="s">
        <v>4809</v>
      </c>
      <c r="K2469" t="s">
        <v>1283</v>
      </c>
      <c r="L2469" s="204">
        <v>0.05</v>
      </c>
      <c r="M2469" s="112">
        <v>72.667500000000004</v>
      </c>
      <c r="N2469" s="112">
        <v>3.6333750000000005</v>
      </c>
      <c r="O2469" s="204"/>
      <c r="P2469" s="112"/>
      <c r="Q2469" s="112"/>
      <c r="R2469" s="112"/>
      <c r="S2469" s="112"/>
      <c r="T2469" s="112"/>
      <c r="U2469" t="s">
        <v>6026</v>
      </c>
      <c r="V2469" t="s">
        <v>6027</v>
      </c>
      <c r="W2469" t="s">
        <v>3958</v>
      </c>
      <c r="X2469" t="s">
        <v>4660</v>
      </c>
    </row>
    <row r="2470" spans="1:24" x14ac:dyDescent="0.2">
      <c r="A2470" t="s">
        <v>6025</v>
      </c>
      <c r="B2470" t="s">
        <v>2059</v>
      </c>
      <c r="C2470" t="s">
        <v>2060</v>
      </c>
      <c r="D2470" t="s">
        <v>56</v>
      </c>
      <c r="E2470" t="s">
        <v>975</v>
      </c>
      <c r="F2470" t="s">
        <v>99</v>
      </c>
      <c r="G2470" s="202">
        <v>21.7</v>
      </c>
      <c r="H2470">
        <v>5</v>
      </c>
      <c r="I2470" t="s">
        <v>3968</v>
      </c>
      <c r="J2470" t="s">
        <v>3969</v>
      </c>
      <c r="K2470" t="s">
        <v>99</v>
      </c>
      <c r="L2470" s="204">
        <v>1</v>
      </c>
      <c r="M2470" s="112"/>
      <c r="N2470" s="112">
        <v>72.667500000000004</v>
      </c>
      <c r="O2470" s="204">
        <v>0.22220726657417411</v>
      </c>
      <c r="P2470" s="112">
        <v>16.147246543778806</v>
      </c>
      <c r="Q2470" s="112">
        <v>88.81474654377881</v>
      </c>
      <c r="R2470" s="112">
        <v>1927.28</v>
      </c>
      <c r="S2470" s="112">
        <v>1927.28</v>
      </c>
      <c r="T2470" s="112">
        <v>0</v>
      </c>
      <c r="U2470" t="s">
        <v>6026</v>
      </c>
      <c r="V2470" t="s">
        <v>6027</v>
      </c>
      <c r="W2470" t="s">
        <v>4666</v>
      </c>
      <c r="X2470" t="s">
        <v>4667</v>
      </c>
    </row>
    <row r="2471" spans="1:24" x14ac:dyDescent="0.2">
      <c r="A2471" t="s">
        <v>6028</v>
      </c>
      <c r="B2471" t="s">
        <v>2061</v>
      </c>
      <c r="C2471" t="s">
        <v>2062</v>
      </c>
      <c r="D2471" t="s">
        <v>56</v>
      </c>
      <c r="E2471" t="s">
        <v>976</v>
      </c>
      <c r="F2471" t="s">
        <v>99</v>
      </c>
      <c r="G2471" s="202">
        <v>143.80000000000001</v>
      </c>
      <c r="H2471">
        <v>1</v>
      </c>
      <c r="I2471" t="s">
        <v>3954</v>
      </c>
      <c r="J2471" t="s">
        <v>4823</v>
      </c>
      <c r="K2471" t="s">
        <v>1283</v>
      </c>
      <c r="L2471" s="204">
        <v>0.18</v>
      </c>
      <c r="M2471" s="112">
        <v>95.01</v>
      </c>
      <c r="N2471" s="112">
        <v>17.101800000000001</v>
      </c>
      <c r="O2471" s="204"/>
      <c r="P2471" s="112"/>
      <c r="Q2471" s="112"/>
      <c r="R2471" s="112"/>
      <c r="S2471" s="112"/>
      <c r="T2471" s="112"/>
      <c r="U2471" t="s">
        <v>6029</v>
      </c>
      <c r="V2471" t="s">
        <v>6030</v>
      </c>
      <c r="W2471" t="s">
        <v>3958</v>
      </c>
      <c r="X2471" t="s">
        <v>4660</v>
      </c>
    </row>
    <row r="2472" spans="1:24" x14ac:dyDescent="0.2">
      <c r="A2472" t="s">
        <v>6028</v>
      </c>
      <c r="B2472" t="s">
        <v>2061</v>
      </c>
      <c r="C2472" t="s">
        <v>2062</v>
      </c>
      <c r="D2472" t="s">
        <v>56</v>
      </c>
      <c r="E2472" t="s">
        <v>976</v>
      </c>
      <c r="F2472" t="s">
        <v>99</v>
      </c>
      <c r="G2472" s="202">
        <v>143.80000000000001</v>
      </c>
      <c r="H2472">
        <v>2</v>
      </c>
      <c r="I2472" t="s">
        <v>3960</v>
      </c>
      <c r="J2472" t="s">
        <v>4826</v>
      </c>
      <c r="K2472" t="s">
        <v>1283</v>
      </c>
      <c r="L2472" s="204">
        <v>0.72</v>
      </c>
      <c r="M2472" s="112">
        <v>95.01</v>
      </c>
      <c r="N2472" s="112">
        <v>68.407200000000003</v>
      </c>
      <c r="O2472" s="204"/>
      <c r="P2472" s="112"/>
      <c r="Q2472" s="112"/>
      <c r="R2472" s="112"/>
      <c r="S2472" s="112"/>
      <c r="T2472" s="112"/>
      <c r="U2472" t="s">
        <v>6029</v>
      </c>
      <c r="V2472" t="s">
        <v>6030</v>
      </c>
      <c r="W2472" t="s">
        <v>3958</v>
      </c>
      <c r="X2472" t="s">
        <v>4660</v>
      </c>
    </row>
    <row r="2473" spans="1:24" x14ac:dyDescent="0.2">
      <c r="A2473" t="s">
        <v>6028</v>
      </c>
      <c r="B2473" t="s">
        <v>2061</v>
      </c>
      <c r="C2473" t="s">
        <v>2062</v>
      </c>
      <c r="D2473" t="s">
        <v>56</v>
      </c>
      <c r="E2473" t="s">
        <v>976</v>
      </c>
      <c r="F2473" t="s">
        <v>99</v>
      </c>
      <c r="G2473" s="202">
        <v>143.80000000000001</v>
      </c>
      <c r="H2473">
        <v>3</v>
      </c>
      <c r="I2473" t="s">
        <v>3976</v>
      </c>
      <c r="J2473" t="s">
        <v>4827</v>
      </c>
      <c r="K2473" t="s">
        <v>1283</v>
      </c>
      <c r="L2473" s="204">
        <v>0.05</v>
      </c>
      <c r="M2473" s="112">
        <v>95.01</v>
      </c>
      <c r="N2473" s="112">
        <v>4.7505000000000006</v>
      </c>
      <c r="O2473" s="204"/>
      <c r="P2473" s="112"/>
      <c r="Q2473" s="112"/>
      <c r="R2473" s="112"/>
      <c r="S2473" s="112"/>
      <c r="T2473" s="112"/>
      <c r="U2473" t="s">
        <v>6029</v>
      </c>
      <c r="V2473" t="s">
        <v>6030</v>
      </c>
      <c r="W2473" t="s">
        <v>3958</v>
      </c>
      <c r="X2473" t="s">
        <v>4660</v>
      </c>
    </row>
    <row r="2474" spans="1:24" x14ac:dyDescent="0.2">
      <c r="A2474" t="s">
        <v>6028</v>
      </c>
      <c r="B2474" t="s">
        <v>2061</v>
      </c>
      <c r="C2474" t="s">
        <v>2062</v>
      </c>
      <c r="D2474" t="s">
        <v>56</v>
      </c>
      <c r="E2474" t="s">
        <v>976</v>
      </c>
      <c r="F2474" t="s">
        <v>99</v>
      </c>
      <c r="G2474" s="202">
        <v>143.80000000000001</v>
      </c>
      <c r="H2474">
        <v>4</v>
      </c>
      <c r="I2474" t="s">
        <v>4017</v>
      </c>
      <c r="J2474" t="s">
        <v>4809</v>
      </c>
      <c r="K2474" t="s">
        <v>1283</v>
      </c>
      <c r="L2474" s="204">
        <v>0.05</v>
      </c>
      <c r="M2474" s="112">
        <v>95.01</v>
      </c>
      <c r="N2474" s="112">
        <v>4.7505000000000006</v>
      </c>
      <c r="O2474" s="204"/>
      <c r="P2474" s="112"/>
      <c r="Q2474" s="112"/>
      <c r="R2474" s="112"/>
      <c r="S2474" s="112"/>
      <c r="T2474" s="112"/>
      <c r="U2474" t="s">
        <v>6029</v>
      </c>
      <c r="V2474" t="s">
        <v>6030</v>
      </c>
      <c r="W2474" t="s">
        <v>3958</v>
      </c>
      <c r="X2474" t="s">
        <v>4660</v>
      </c>
    </row>
    <row r="2475" spans="1:24" x14ac:dyDescent="0.2">
      <c r="A2475" t="s">
        <v>6028</v>
      </c>
      <c r="B2475" t="s">
        <v>2061</v>
      </c>
      <c r="C2475" t="s">
        <v>2062</v>
      </c>
      <c r="D2475" t="s">
        <v>56</v>
      </c>
      <c r="E2475" t="s">
        <v>976</v>
      </c>
      <c r="F2475" t="s">
        <v>99</v>
      </c>
      <c r="G2475" s="202">
        <v>143.80000000000001</v>
      </c>
      <c r="H2475">
        <v>5</v>
      </c>
      <c r="I2475" t="s">
        <v>3968</v>
      </c>
      <c r="J2475" t="s">
        <v>3969</v>
      </c>
      <c r="K2475" t="s">
        <v>99</v>
      </c>
      <c r="L2475" s="204">
        <v>1</v>
      </c>
      <c r="M2475" s="112"/>
      <c r="N2475" s="112">
        <v>95.01</v>
      </c>
      <c r="O2475" s="204">
        <v>0.22229209750119261</v>
      </c>
      <c r="P2475" s="112">
        <v>21.119972183588317</v>
      </c>
      <c r="Q2475" s="112">
        <v>116.12997218358832</v>
      </c>
      <c r="R2475" s="112">
        <v>16699.490000000002</v>
      </c>
      <c r="S2475" s="112">
        <v>16699.490000000002</v>
      </c>
      <c r="T2475" s="112">
        <v>0</v>
      </c>
      <c r="U2475" t="s">
        <v>6029</v>
      </c>
      <c r="V2475" t="s">
        <v>6030</v>
      </c>
      <c r="W2475" t="s">
        <v>4666</v>
      </c>
      <c r="X2475" t="s">
        <v>4667</v>
      </c>
    </row>
    <row r="2476" spans="1:24" x14ac:dyDescent="0.2">
      <c r="A2476" t="s">
        <v>6031</v>
      </c>
      <c r="B2476" t="s">
        <v>2063</v>
      </c>
      <c r="C2476" t="s">
        <v>2064</v>
      </c>
      <c r="D2476" t="s">
        <v>56</v>
      </c>
      <c r="E2476" t="s">
        <v>977</v>
      </c>
      <c r="F2476" t="s">
        <v>99</v>
      </c>
      <c r="G2476" s="202">
        <v>243.8</v>
      </c>
      <c r="H2476">
        <v>1</v>
      </c>
      <c r="I2476" t="s">
        <v>3954</v>
      </c>
      <c r="J2476" t="s">
        <v>4823</v>
      </c>
      <c r="K2476" t="s">
        <v>1283</v>
      </c>
      <c r="L2476" s="204">
        <v>0.18</v>
      </c>
      <c r="M2476" s="112">
        <v>149.16749999999999</v>
      </c>
      <c r="N2476" s="112">
        <v>26.850149999999996</v>
      </c>
      <c r="O2476" s="204"/>
      <c r="P2476" s="112"/>
      <c r="Q2476" s="112"/>
      <c r="R2476" s="112"/>
      <c r="S2476" s="112"/>
      <c r="T2476" s="112"/>
      <c r="U2476" t="s">
        <v>4240</v>
      </c>
      <c r="V2476" t="s">
        <v>6032</v>
      </c>
      <c r="W2476" t="s">
        <v>3958</v>
      </c>
      <c r="X2476" t="s">
        <v>4660</v>
      </c>
    </row>
    <row r="2477" spans="1:24" x14ac:dyDescent="0.2">
      <c r="A2477" t="s">
        <v>6031</v>
      </c>
      <c r="B2477" t="s">
        <v>2063</v>
      </c>
      <c r="C2477" t="s">
        <v>2064</v>
      </c>
      <c r="D2477" t="s">
        <v>56</v>
      </c>
      <c r="E2477" t="s">
        <v>977</v>
      </c>
      <c r="F2477" t="s">
        <v>99</v>
      </c>
      <c r="G2477" s="202">
        <v>243.8</v>
      </c>
      <c r="H2477">
        <v>2</v>
      </c>
      <c r="I2477" t="s">
        <v>3960</v>
      </c>
      <c r="J2477" t="s">
        <v>4826</v>
      </c>
      <c r="K2477" t="s">
        <v>1283</v>
      </c>
      <c r="L2477" s="204">
        <v>0.72</v>
      </c>
      <c r="M2477" s="112">
        <v>149.16749999999999</v>
      </c>
      <c r="N2477" s="112">
        <v>107.40059999999998</v>
      </c>
      <c r="O2477" s="204"/>
      <c r="P2477" s="112"/>
      <c r="Q2477" s="112"/>
      <c r="R2477" s="112"/>
      <c r="S2477" s="112"/>
      <c r="T2477" s="112"/>
      <c r="U2477" t="s">
        <v>4240</v>
      </c>
      <c r="V2477" t="s">
        <v>6032</v>
      </c>
      <c r="W2477" t="s">
        <v>3958</v>
      </c>
      <c r="X2477" t="s">
        <v>4660</v>
      </c>
    </row>
    <row r="2478" spans="1:24" x14ac:dyDescent="0.2">
      <c r="A2478" t="s">
        <v>6031</v>
      </c>
      <c r="B2478" t="s">
        <v>2063</v>
      </c>
      <c r="C2478" t="s">
        <v>2064</v>
      </c>
      <c r="D2478" t="s">
        <v>56</v>
      </c>
      <c r="E2478" t="s">
        <v>977</v>
      </c>
      <c r="F2478" t="s">
        <v>99</v>
      </c>
      <c r="G2478" s="202">
        <v>243.8</v>
      </c>
      <c r="H2478">
        <v>3</v>
      </c>
      <c r="I2478" t="s">
        <v>3976</v>
      </c>
      <c r="J2478" t="s">
        <v>4827</v>
      </c>
      <c r="K2478" t="s">
        <v>1283</v>
      </c>
      <c r="L2478" s="204">
        <v>0.05</v>
      </c>
      <c r="M2478" s="112">
        <v>149.16749999999999</v>
      </c>
      <c r="N2478" s="112">
        <v>7.4583750000000002</v>
      </c>
      <c r="O2478" s="204"/>
      <c r="P2478" s="112"/>
      <c r="Q2478" s="112"/>
      <c r="R2478" s="112"/>
      <c r="S2478" s="112"/>
      <c r="T2478" s="112"/>
      <c r="U2478" t="s">
        <v>4240</v>
      </c>
      <c r="V2478" t="s">
        <v>6032</v>
      </c>
      <c r="W2478" t="s">
        <v>3958</v>
      </c>
      <c r="X2478" t="s">
        <v>4660</v>
      </c>
    </row>
    <row r="2479" spans="1:24" x14ac:dyDescent="0.2">
      <c r="A2479" t="s">
        <v>6031</v>
      </c>
      <c r="B2479" t="s">
        <v>2063</v>
      </c>
      <c r="C2479" t="s">
        <v>2064</v>
      </c>
      <c r="D2479" t="s">
        <v>56</v>
      </c>
      <c r="E2479" t="s">
        <v>977</v>
      </c>
      <c r="F2479" t="s">
        <v>99</v>
      </c>
      <c r="G2479" s="202">
        <v>243.8</v>
      </c>
      <c r="H2479">
        <v>4</v>
      </c>
      <c r="I2479" t="s">
        <v>4017</v>
      </c>
      <c r="J2479" t="s">
        <v>4809</v>
      </c>
      <c r="K2479" t="s">
        <v>1283</v>
      </c>
      <c r="L2479" s="204">
        <v>0.05</v>
      </c>
      <c r="M2479" s="112">
        <v>149.16749999999999</v>
      </c>
      <c r="N2479" s="112">
        <v>7.4583750000000002</v>
      </c>
      <c r="O2479" s="204"/>
      <c r="P2479" s="112"/>
      <c r="Q2479" s="112"/>
      <c r="R2479" s="112"/>
      <c r="S2479" s="112"/>
      <c r="T2479" s="112"/>
      <c r="U2479" t="s">
        <v>4240</v>
      </c>
      <c r="V2479" t="s">
        <v>6032</v>
      </c>
      <c r="W2479" t="s">
        <v>3958</v>
      </c>
      <c r="X2479" t="s">
        <v>4660</v>
      </c>
    </row>
    <row r="2480" spans="1:24" x14ac:dyDescent="0.2">
      <c r="A2480" t="s">
        <v>6031</v>
      </c>
      <c r="B2480" t="s">
        <v>2063</v>
      </c>
      <c r="C2480" t="s">
        <v>2064</v>
      </c>
      <c r="D2480" t="s">
        <v>56</v>
      </c>
      <c r="E2480" t="s">
        <v>977</v>
      </c>
      <c r="F2480" t="s">
        <v>99</v>
      </c>
      <c r="G2480" s="202">
        <v>243.8</v>
      </c>
      <c r="H2480">
        <v>5</v>
      </c>
      <c r="I2480" t="s">
        <v>3968</v>
      </c>
      <c r="J2480" t="s">
        <v>3969</v>
      </c>
      <c r="K2480" t="s">
        <v>99</v>
      </c>
      <c r="L2480" s="204">
        <v>1</v>
      </c>
      <c r="M2480" s="112"/>
      <c r="N2480" s="112">
        <v>149.16749999999999</v>
      </c>
      <c r="O2480" s="204">
        <v>0.2222835369057361</v>
      </c>
      <c r="P2480" s="112">
        <v>33.157479491386397</v>
      </c>
      <c r="Q2480" s="112">
        <v>182.32497949138639</v>
      </c>
      <c r="R2480" s="112">
        <v>44450.83</v>
      </c>
      <c r="S2480" s="112">
        <v>44450.83</v>
      </c>
      <c r="T2480" s="112">
        <v>0</v>
      </c>
      <c r="U2480" t="s">
        <v>4240</v>
      </c>
      <c r="V2480" t="s">
        <v>6032</v>
      </c>
      <c r="W2480" t="s">
        <v>4666</v>
      </c>
      <c r="X2480" t="s">
        <v>4667</v>
      </c>
    </row>
    <row r="2481" spans="1:24" x14ac:dyDescent="0.2">
      <c r="A2481" t="s">
        <v>6033</v>
      </c>
      <c r="B2481" t="s">
        <v>2065</v>
      </c>
      <c r="C2481" t="s">
        <v>2066</v>
      </c>
      <c r="D2481" t="s">
        <v>56</v>
      </c>
      <c r="E2481" t="s">
        <v>978</v>
      </c>
      <c r="F2481" t="s">
        <v>99</v>
      </c>
      <c r="G2481" s="202">
        <v>178.4</v>
      </c>
      <c r="H2481">
        <v>1</v>
      </c>
      <c r="I2481" t="s">
        <v>3954</v>
      </c>
      <c r="J2481" t="s">
        <v>4823</v>
      </c>
      <c r="K2481" t="s">
        <v>1283</v>
      </c>
      <c r="L2481" s="204">
        <v>0.18</v>
      </c>
      <c r="M2481" s="112">
        <v>197.21249999999998</v>
      </c>
      <c r="N2481" s="112">
        <v>35.498249999999992</v>
      </c>
      <c r="O2481" s="204"/>
      <c r="P2481" s="112"/>
      <c r="Q2481" s="112"/>
      <c r="R2481" s="112"/>
      <c r="S2481" s="112"/>
      <c r="T2481" s="112"/>
      <c r="U2481" t="s">
        <v>4244</v>
      </c>
      <c r="V2481" t="s">
        <v>6034</v>
      </c>
      <c r="W2481" t="s">
        <v>3958</v>
      </c>
      <c r="X2481" t="s">
        <v>4660</v>
      </c>
    </row>
    <row r="2482" spans="1:24" x14ac:dyDescent="0.2">
      <c r="A2482" t="s">
        <v>6033</v>
      </c>
      <c r="B2482" t="s">
        <v>2065</v>
      </c>
      <c r="C2482" t="s">
        <v>2066</v>
      </c>
      <c r="D2482" t="s">
        <v>56</v>
      </c>
      <c r="E2482" t="s">
        <v>978</v>
      </c>
      <c r="F2482" t="s">
        <v>99</v>
      </c>
      <c r="G2482" s="202">
        <v>178.4</v>
      </c>
      <c r="H2482">
        <v>2</v>
      </c>
      <c r="I2482" t="s">
        <v>3960</v>
      </c>
      <c r="J2482" t="s">
        <v>4826</v>
      </c>
      <c r="K2482" t="s">
        <v>1283</v>
      </c>
      <c r="L2482" s="204">
        <v>0.72</v>
      </c>
      <c r="M2482" s="112">
        <v>197.21249999999998</v>
      </c>
      <c r="N2482" s="112">
        <v>141.99299999999997</v>
      </c>
      <c r="O2482" s="204"/>
      <c r="P2482" s="112"/>
      <c r="Q2482" s="112"/>
      <c r="R2482" s="112"/>
      <c r="S2482" s="112"/>
      <c r="T2482" s="112"/>
      <c r="U2482" t="s">
        <v>4244</v>
      </c>
      <c r="V2482" t="s">
        <v>6034</v>
      </c>
      <c r="W2482" t="s">
        <v>3958</v>
      </c>
      <c r="X2482" t="s">
        <v>4660</v>
      </c>
    </row>
    <row r="2483" spans="1:24" x14ac:dyDescent="0.2">
      <c r="A2483" t="s">
        <v>6033</v>
      </c>
      <c r="B2483" t="s">
        <v>2065</v>
      </c>
      <c r="C2483" t="s">
        <v>2066</v>
      </c>
      <c r="D2483" t="s">
        <v>56</v>
      </c>
      <c r="E2483" t="s">
        <v>978</v>
      </c>
      <c r="F2483" t="s">
        <v>99</v>
      </c>
      <c r="G2483" s="202">
        <v>178.4</v>
      </c>
      <c r="H2483">
        <v>3</v>
      </c>
      <c r="I2483" t="s">
        <v>3976</v>
      </c>
      <c r="J2483" t="s">
        <v>4827</v>
      </c>
      <c r="K2483" t="s">
        <v>1283</v>
      </c>
      <c r="L2483" s="204">
        <v>0.05</v>
      </c>
      <c r="M2483" s="112">
        <v>197.21249999999998</v>
      </c>
      <c r="N2483" s="112">
        <v>9.8606249999999989</v>
      </c>
      <c r="O2483" s="204"/>
      <c r="P2483" s="112"/>
      <c r="Q2483" s="112"/>
      <c r="R2483" s="112"/>
      <c r="S2483" s="112"/>
      <c r="T2483" s="112"/>
      <c r="U2483" t="s">
        <v>4244</v>
      </c>
      <c r="V2483" t="s">
        <v>6034</v>
      </c>
      <c r="W2483" t="s">
        <v>3958</v>
      </c>
      <c r="X2483" t="s">
        <v>4660</v>
      </c>
    </row>
    <row r="2484" spans="1:24" x14ac:dyDescent="0.2">
      <c r="A2484" t="s">
        <v>6033</v>
      </c>
      <c r="B2484" t="s">
        <v>2065</v>
      </c>
      <c r="C2484" t="s">
        <v>2066</v>
      </c>
      <c r="D2484" t="s">
        <v>56</v>
      </c>
      <c r="E2484" t="s">
        <v>978</v>
      </c>
      <c r="F2484" t="s">
        <v>99</v>
      </c>
      <c r="G2484" s="202">
        <v>178.4</v>
      </c>
      <c r="H2484">
        <v>4</v>
      </c>
      <c r="I2484" t="s">
        <v>4017</v>
      </c>
      <c r="J2484" t="s">
        <v>4809</v>
      </c>
      <c r="K2484" t="s">
        <v>1283</v>
      </c>
      <c r="L2484" s="204">
        <v>0.05</v>
      </c>
      <c r="M2484" s="112">
        <v>197.21249999999998</v>
      </c>
      <c r="N2484" s="112">
        <v>9.8606249999999989</v>
      </c>
      <c r="O2484" s="204"/>
      <c r="P2484" s="112"/>
      <c r="Q2484" s="112"/>
      <c r="R2484" s="112"/>
      <c r="S2484" s="112"/>
      <c r="T2484" s="112"/>
      <c r="U2484" t="s">
        <v>4244</v>
      </c>
      <c r="V2484" t="s">
        <v>6034</v>
      </c>
      <c r="W2484" t="s">
        <v>3958</v>
      </c>
      <c r="X2484" t="s">
        <v>4660</v>
      </c>
    </row>
    <row r="2485" spans="1:24" x14ac:dyDescent="0.2">
      <c r="A2485" t="s">
        <v>6033</v>
      </c>
      <c r="B2485" t="s">
        <v>2065</v>
      </c>
      <c r="C2485" t="s">
        <v>2066</v>
      </c>
      <c r="D2485" t="s">
        <v>56</v>
      </c>
      <c r="E2485" t="s">
        <v>978</v>
      </c>
      <c r="F2485" t="s">
        <v>99</v>
      </c>
      <c r="G2485" s="202">
        <v>178.4</v>
      </c>
      <c r="H2485">
        <v>5</v>
      </c>
      <c r="I2485" t="s">
        <v>3968</v>
      </c>
      <c r="J2485" t="s">
        <v>3969</v>
      </c>
      <c r="K2485" t="s">
        <v>99</v>
      </c>
      <c r="L2485" s="204">
        <v>1</v>
      </c>
      <c r="M2485" s="112"/>
      <c r="N2485" s="112">
        <v>197.21249999999998</v>
      </c>
      <c r="O2485" s="204">
        <v>0.22228560562844657</v>
      </c>
      <c r="P2485" s="112">
        <v>43.837500000000006</v>
      </c>
      <c r="Q2485" s="112">
        <v>241.04999999999998</v>
      </c>
      <c r="R2485" s="112">
        <v>43003.32</v>
      </c>
      <c r="S2485" s="112">
        <v>43003.32</v>
      </c>
      <c r="T2485" s="112">
        <v>0</v>
      </c>
      <c r="U2485" t="s">
        <v>4244</v>
      </c>
      <c r="V2485" t="s">
        <v>6034</v>
      </c>
      <c r="W2485" t="s">
        <v>4666</v>
      </c>
      <c r="X2485" t="s">
        <v>4667</v>
      </c>
    </row>
    <row r="2486" spans="1:24" x14ac:dyDescent="0.2">
      <c r="A2486" t="s">
        <v>6035</v>
      </c>
      <c r="B2486" t="s">
        <v>2067</v>
      </c>
      <c r="C2486" t="s">
        <v>979</v>
      </c>
      <c r="D2486" t="s">
        <v>209</v>
      </c>
      <c r="E2486" t="s">
        <v>2068</v>
      </c>
      <c r="F2486" t="s">
        <v>99</v>
      </c>
      <c r="G2486" s="202">
        <v>631.20000000000005</v>
      </c>
      <c r="H2486">
        <v>1</v>
      </c>
      <c r="I2486" t="s">
        <v>3954</v>
      </c>
      <c r="J2486" t="s">
        <v>4823</v>
      </c>
      <c r="K2486" t="s">
        <v>1283</v>
      </c>
      <c r="L2486" s="204">
        <v>0.18</v>
      </c>
      <c r="M2486" s="112">
        <v>339.13499999999999</v>
      </c>
      <c r="N2486" s="112">
        <v>61.044299999999993</v>
      </c>
      <c r="O2486" s="204"/>
      <c r="P2486" s="112"/>
      <c r="Q2486" s="112"/>
      <c r="R2486" s="112"/>
      <c r="S2486" s="112"/>
      <c r="T2486" s="112"/>
      <c r="U2486" t="s">
        <v>3973</v>
      </c>
      <c r="V2486" t="s">
        <v>6036</v>
      </c>
      <c r="W2486" t="s">
        <v>3958</v>
      </c>
      <c r="X2486" t="s">
        <v>4660</v>
      </c>
    </row>
    <row r="2487" spans="1:24" x14ac:dyDescent="0.2">
      <c r="A2487" t="s">
        <v>6035</v>
      </c>
      <c r="B2487" t="s">
        <v>2067</v>
      </c>
      <c r="C2487" t="s">
        <v>979</v>
      </c>
      <c r="D2487" t="s">
        <v>209</v>
      </c>
      <c r="E2487" t="s">
        <v>2068</v>
      </c>
      <c r="F2487" t="s">
        <v>99</v>
      </c>
      <c r="G2487" s="202">
        <v>631.20000000000005</v>
      </c>
      <c r="H2487">
        <v>2</v>
      </c>
      <c r="I2487" t="s">
        <v>3960</v>
      </c>
      <c r="J2487" t="s">
        <v>4826</v>
      </c>
      <c r="K2487" t="s">
        <v>1283</v>
      </c>
      <c r="L2487" s="204">
        <v>0.72</v>
      </c>
      <c r="M2487" s="112">
        <v>339.13499999999999</v>
      </c>
      <c r="N2487" s="112">
        <v>244.17719999999997</v>
      </c>
      <c r="O2487" s="204"/>
      <c r="P2487" s="112"/>
      <c r="Q2487" s="112"/>
      <c r="R2487" s="112"/>
      <c r="S2487" s="112"/>
      <c r="T2487" s="112"/>
      <c r="U2487" t="s">
        <v>3973</v>
      </c>
      <c r="V2487" t="s">
        <v>6036</v>
      </c>
      <c r="W2487" t="s">
        <v>3958</v>
      </c>
      <c r="X2487" t="s">
        <v>4660</v>
      </c>
    </row>
    <row r="2488" spans="1:24" x14ac:dyDescent="0.2">
      <c r="A2488" t="s">
        <v>6035</v>
      </c>
      <c r="B2488" t="s">
        <v>2067</v>
      </c>
      <c r="C2488" t="s">
        <v>979</v>
      </c>
      <c r="D2488" t="s">
        <v>209</v>
      </c>
      <c r="E2488" t="s">
        <v>2068</v>
      </c>
      <c r="F2488" t="s">
        <v>99</v>
      </c>
      <c r="G2488" s="202">
        <v>631.20000000000005</v>
      </c>
      <c r="H2488">
        <v>3</v>
      </c>
      <c r="I2488" t="s">
        <v>3976</v>
      </c>
      <c r="J2488" t="s">
        <v>4827</v>
      </c>
      <c r="K2488" t="s">
        <v>1283</v>
      </c>
      <c r="L2488" s="204">
        <v>0.05</v>
      </c>
      <c r="M2488" s="112">
        <v>339.13499999999999</v>
      </c>
      <c r="N2488" s="112">
        <v>16.95675</v>
      </c>
      <c r="O2488" s="204"/>
      <c r="P2488" s="112"/>
      <c r="Q2488" s="112"/>
      <c r="R2488" s="112"/>
      <c r="S2488" s="112"/>
      <c r="T2488" s="112"/>
      <c r="U2488" t="s">
        <v>3973</v>
      </c>
      <c r="V2488" t="s">
        <v>6036</v>
      </c>
      <c r="W2488" t="s">
        <v>3958</v>
      </c>
      <c r="X2488" t="s">
        <v>4660</v>
      </c>
    </row>
    <row r="2489" spans="1:24" x14ac:dyDescent="0.2">
      <c r="A2489" t="s">
        <v>6035</v>
      </c>
      <c r="B2489" t="s">
        <v>2067</v>
      </c>
      <c r="C2489" t="s">
        <v>979</v>
      </c>
      <c r="D2489" t="s">
        <v>209</v>
      </c>
      <c r="E2489" t="s">
        <v>2068</v>
      </c>
      <c r="F2489" t="s">
        <v>99</v>
      </c>
      <c r="G2489" s="202">
        <v>631.20000000000005</v>
      </c>
      <c r="H2489">
        <v>4</v>
      </c>
      <c r="I2489" t="s">
        <v>4017</v>
      </c>
      <c r="J2489" t="s">
        <v>4809</v>
      </c>
      <c r="K2489" t="s">
        <v>1283</v>
      </c>
      <c r="L2489" s="204">
        <v>0.05</v>
      </c>
      <c r="M2489" s="112">
        <v>339.13499999999999</v>
      </c>
      <c r="N2489" s="112">
        <v>16.95675</v>
      </c>
      <c r="O2489" s="204"/>
      <c r="P2489" s="112"/>
      <c r="Q2489" s="112"/>
      <c r="R2489" s="112"/>
      <c r="S2489" s="112"/>
      <c r="T2489" s="112"/>
      <c r="U2489" t="s">
        <v>3973</v>
      </c>
      <c r="V2489" t="s">
        <v>6036</v>
      </c>
      <c r="W2489" t="s">
        <v>3958</v>
      </c>
      <c r="X2489" t="s">
        <v>4660</v>
      </c>
    </row>
    <row r="2490" spans="1:24" x14ac:dyDescent="0.2">
      <c r="A2490" t="s">
        <v>6035</v>
      </c>
      <c r="B2490" t="s">
        <v>2067</v>
      </c>
      <c r="C2490" t="s">
        <v>979</v>
      </c>
      <c r="D2490" t="s">
        <v>209</v>
      </c>
      <c r="E2490" t="s">
        <v>2068</v>
      </c>
      <c r="F2490" t="s">
        <v>99</v>
      </c>
      <c r="G2490" s="202">
        <v>631.20000000000005</v>
      </c>
      <c r="H2490">
        <v>5</v>
      </c>
      <c r="I2490" t="s">
        <v>3968</v>
      </c>
      <c r="J2490" t="s">
        <v>3969</v>
      </c>
      <c r="K2490" t="s">
        <v>99</v>
      </c>
      <c r="L2490" s="204">
        <v>1</v>
      </c>
      <c r="M2490" s="112"/>
      <c r="N2490" s="112">
        <v>339.13499999999999</v>
      </c>
      <c r="O2490" s="204">
        <v>0.22227871052618164</v>
      </c>
      <c r="P2490" s="112">
        <v>75.382490494296576</v>
      </c>
      <c r="Q2490" s="112">
        <v>414.51749049429657</v>
      </c>
      <c r="R2490" s="112">
        <v>261643.44</v>
      </c>
      <c r="S2490" s="112">
        <v>261643.44</v>
      </c>
      <c r="T2490" s="112">
        <v>0</v>
      </c>
      <c r="U2490" t="s">
        <v>3973</v>
      </c>
      <c r="V2490" t="s">
        <v>6036</v>
      </c>
      <c r="W2490" t="s">
        <v>4666</v>
      </c>
      <c r="X2490" t="s">
        <v>4667</v>
      </c>
    </row>
    <row r="2491" spans="1:24" x14ac:dyDescent="0.2">
      <c r="A2491" t="s">
        <v>6037</v>
      </c>
      <c r="B2491" t="s">
        <v>2069</v>
      </c>
      <c r="C2491" t="s">
        <v>2070</v>
      </c>
      <c r="D2491" t="s">
        <v>56</v>
      </c>
      <c r="E2491" t="s">
        <v>983</v>
      </c>
      <c r="F2491" t="s">
        <v>84</v>
      </c>
      <c r="G2491" s="202">
        <v>2</v>
      </c>
      <c r="H2491">
        <v>1</v>
      </c>
      <c r="I2491" t="s">
        <v>3954</v>
      </c>
      <c r="J2491" t="s">
        <v>4823</v>
      </c>
      <c r="K2491" t="s">
        <v>1283</v>
      </c>
      <c r="L2491" s="204">
        <v>0.18</v>
      </c>
      <c r="M2491" s="112">
        <v>502.07249999999999</v>
      </c>
      <c r="N2491" s="112">
        <v>90.373049999999992</v>
      </c>
      <c r="O2491" s="204"/>
      <c r="P2491" s="112"/>
      <c r="Q2491" s="112"/>
      <c r="R2491" s="112"/>
      <c r="S2491" s="112"/>
      <c r="T2491" s="112"/>
      <c r="U2491" t="s">
        <v>6038</v>
      </c>
      <c r="V2491" t="s">
        <v>6039</v>
      </c>
      <c r="W2491" t="s">
        <v>3958</v>
      </c>
      <c r="X2491" t="s">
        <v>4660</v>
      </c>
    </row>
    <row r="2492" spans="1:24" x14ac:dyDescent="0.2">
      <c r="A2492" t="s">
        <v>6037</v>
      </c>
      <c r="B2492" t="s">
        <v>2069</v>
      </c>
      <c r="C2492" t="s">
        <v>2070</v>
      </c>
      <c r="D2492" t="s">
        <v>56</v>
      </c>
      <c r="E2492" t="s">
        <v>983</v>
      </c>
      <c r="F2492" t="s">
        <v>84</v>
      </c>
      <c r="G2492" s="202">
        <v>2</v>
      </c>
      <c r="H2492">
        <v>2</v>
      </c>
      <c r="I2492" t="s">
        <v>3960</v>
      </c>
      <c r="J2492" t="s">
        <v>4826</v>
      </c>
      <c r="K2492" t="s">
        <v>1283</v>
      </c>
      <c r="L2492" s="204">
        <v>0.72</v>
      </c>
      <c r="M2492" s="112">
        <v>502.07249999999999</v>
      </c>
      <c r="N2492" s="112">
        <v>361.49219999999997</v>
      </c>
      <c r="O2492" s="204"/>
      <c r="P2492" s="112"/>
      <c r="Q2492" s="112"/>
      <c r="R2492" s="112"/>
      <c r="S2492" s="112"/>
      <c r="T2492" s="112"/>
      <c r="U2492" t="s">
        <v>6038</v>
      </c>
      <c r="V2492" t="s">
        <v>6039</v>
      </c>
      <c r="W2492" t="s">
        <v>3958</v>
      </c>
      <c r="X2492" t="s">
        <v>4660</v>
      </c>
    </row>
    <row r="2493" spans="1:24" x14ac:dyDescent="0.2">
      <c r="A2493" t="s">
        <v>6037</v>
      </c>
      <c r="B2493" t="s">
        <v>2069</v>
      </c>
      <c r="C2493" t="s">
        <v>2070</v>
      </c>
      <c r="D2493" t="s">
        <v>56</v>
      </c>
      <c r="E2493" t="s">
        <v>983</v>
      </c>
      <c r="F2493" t="s">
        <v>84</v>
      </c>
      <c r="G2493" s="202">
        <v>2</v>
      </c>
      <c r="H2493">
        <v>3</v>
      </c>
      <c r="I2493" t="s">
        <v>3976</v>
      </c>
      <c r="J2493" t="s">
        <v>4827</v>
      </c>
      <c r="K2493" t="s">
        <v>1283</v>
      </c>
      <c r="L2493" s="204">
        <v>0.05</v>
      </c>
      <c r="M2493" s="112">
        <v>502.07249999999999</v>
      </c>
      <c r="N2493" s="112">
        <v>25.103625000000001</v>
      </c>
      <c r="O2493" s="204"/>
      <c r="P2493" s="112"/>
      <c r="Q2493" s="112"/>
      <c r="R2493" s="112"/>
      <c r="S2493" s="112"/>
      <c r="T2493" s="112"/>
      <c r="U2493" t="s">
        <v>6038</v>
      </c>
      <c r="V2493" t="s">
        <v>6039</v>
      </c>
      <c r="W2493" t="s">
        <v>3958</v>
      </c>
      <c r="X2493" t="s">
        <v>4660</v>
      </c>
    </row>
    <row r="2494" spans="1:24" x14ac:dyDescent="0.2">
      <c r="A2494" t="s">
        <v>6037</v>
      </c>
      <c r="B2494" t="s">
        <v>2069</v>
      </c>
      <c r="C2494" t="s">
        <v>2070</v>
      </c>
      <c r="D2494" t="s">
        <v>56</v>
      </c>
      <c r="E2494" t="s">
        <v>983</v>
      </c>
      <c r="F2494" t="s">
        <v>84</v>
      </c>
      <c r="G2494" s="202">
        <v>2</v>
      </c>
      <c r="H2494">
        <v>4</v>
      </c>
      <c r="I2494" t="s">
        <v>4017</v>
      </c>
      <c r="J2494" t="s">
        <v>4809</v>
      </c>
      <c r="K2494" t="s">
        <v>1283</v>
      </c>
      <c r="L2494" s="204">
        <v>0.05</v>
      </c>
      <c r="M2494" s="112">
        <v>502.07249999999999</v>
      </c>
      <c r="N2494" s="112">
        <v>25.103625000000001</v>
      </c>
      <c r="O2494" s="204"/>
      <c r="P2494" s="112"/>
      <c r="Q2494" s="112"/>
      <c r="R2494" s="112"/>
      <c r="S2494" s="112"/>
      <c r="T2494" s="112"/>
      <c r="U2494" t="s">
        <v>6038</v>
      </c>
      <c r="V2494" t="s">
        <v>6039</v>
      </c>
      <c r="W2494" t="s">
        <v>3958</v>
      </c>
      <c r="X2494" t="s">
        <v>4660</v>
      </c>
    </row>
    <row r="2495" spans="1:24" x14ac:dyDescent="0.2">
      <c r="A2495" t="s">
        <v>6037</v>
      </c>
      <c r="B2495" t="s">
        <v>2069</v>
      </c>
      <c r="C2495" t="s">
        <v>2070</v>
      </c>
      <c r="D2495" t="s">
        <v>56</v>
      </c>
      <c r="E2495" t="s">
        <v>983</v>
      </c>
      <c r="F2495" t="s">
        <v>84</v>
      </c>
      <c r="G2495" s="202">
        <v>2</v>
      </c>
      <c r="H2495">
        <v>5</v>
      </c>
      <c r="I2495" t="s">
        <v>3968</v>
      </c>
      <c r="J2495" t="s">
        <v>3969</v>
      </c>
      <c r="K2495" t="s">
        <v>84</v>
      </c>
      <c r="L2495" s="204">
        <v>1</v>
      </c>
      <c r="M2495" s="112"/>
      <c r="N2495" s="112">
        <v>502.07249999999999</v>
      </c>
      <c r="O2495" s="204">
        <v>0.22229359305677954</v>
      </c>
      <c r="P2495" s="112">
        <v>111.60749999999996</v>
      </c>
      <c r="Q2495" s="112">
        <v>613.67999999999995</v>
      </c>
      <c r="R2495" s="112">
        <v>1227.3599999999999</v>
      </c>
      <c r="S2495" s="112">
        <v>1227.3599999999999</v>
      </c>
      <c r="T2495" s="112">
        <v>0</v>
      </c>
      <c r="U2495" t="s">
        <v>6038</v>
      </c>
      <c r="V2495" t="s">
        <v>6039</v>
      </c>
      <c r="W2495" t="s">
        <v>4666</v>
      </c>
      <c r="X2495" t="s">
        <v>4667</v>
      </c>
    </row>
    <row r="2496" spans="1:24" x14ac:dyDescent="0.2">
      <c r="A2496" t="s">
        <v>6040</v>
      </c>
      <c r="B2496" t="s">
        <v>2071</v>
      </c>
      <c r="C2496" t="s">
        <v>984</v>
      </c>
      <c r="D2496" t="s">
        <v>209</v>
      </c>
      <c r="E2496" t="s">
        <v>985</v>
      </c>
      <c r="F2496" t="s">
        <v>84</v>
      </c>
      <c r="G2496" s="202">
        <v>2</v>
      </c>
      <c r="H2496">
        <v>1</v>
      </c>
      <c r="I2496" t="s">
        <v>3954</v>
      </c>
      <c r="J2496" t="s">
        <v>4823</v>
      </c>
      <c r="K2496" t="s">
        <v>1283</v>
      </c>
      <c r="L2496" s="204">
        <v>0.18</v>
      </c>
      <c r="M2496" s="112">
        <v>1013.3925</v>
      </c>
      <c r="N2496" s="112">
        <v>182.41065</v>
      </c>
      <c r="O2496" s="204"/>
      <c r="P2496" s="112"/>
      <c r="Q2496" s="112"/>
      <c r="R2496" s="112"/>
      <c r="S2496" s="112"/>
      <c r="T2496" s="112"/>
      <c r="U2496" t="s">
        <v>4508</v>
      </c>
      <c r="V2496" t="s">
        <v>6041</v>
      </c>
      <c r="W2496" t="s">
        <v>3958</v>
      </c>
      <c r="X2496" t="s">
        <v>4660</v>
      </c>
    </row>
    <row r="2497" spans="1:24" x14ac:dyDescent="0.2">
      <c r="A2497" t="s">
        <v>6040</v>
      </c>
      <c r="B2497" t="s">
        <v>2071</v>
      </c>
      <c r="C2497" t="s">
        <v>984</v>
      </c>
      <c r="D2497" t="s">
        <v>209</v>
      </c>
      <c r="E2497" t="s">
        <v>985</v>
      </c>
      <c r="F2497" t="s">
        <v>84</v>
      </c>
      <c r="G2497" s="202">
        <v>2</v>
      </c>
      <c r="H2497">
        <v>2</v>
      </c>
      <c r="I2497" t="s">
        <v>3960</v>
      </c>
      <c r="J2497" t="s">
        <v>4826</v>
      </c>
      <c r="K2497" t="s">
        <v>1283</v>
      </c>
      <c r="L2497" s="204">
        <v>0.72</v>
      </c>
      <c r="M2497" s="112">
        <v>1013.3925</v>
      </c>
      <c r="N2497" s="112">
        <v>729.64260000000002</v>
      </c>
      <c r="O2497" s="204"/>
      <c r="P2497" s="112"/>
      <c r="Q2497" s="112"/>
      <c r="R2497" s="112"/>
      <c r="S2497" s="112"/>
      <c r="T2497" s="112"/>
      <c r="U2497" t="s">
        <v>4508</v>
      </c>
      <c r="V2497" t="s">
        <v>6041</v>
      </c>
      <c r="W2497" t="s">
        <v>3958</v>
      </c>
      <c r="X2497" t="s">
        <v>4660</v>
      </c>
    </row>
    <row r="2498" spans="1:24" x14ac:dyDescent="0.2">
      <c r="A2498" t="s">
        <v>6040</v>
      </c>
      <c r="B2498" t="s">
        <v>2071</v>
      </c>
      <c r="C2498" t="s">
        <v>984</v>
      </c>
      <c r="D2498" t="s">
        <v>209</v>
      </c>
      <c r="E2498" t="s">
        <v>985</v>
      </c>
      <c r="F2498" t="s">
        <v>84</v>
      </c>
      <c r="G2498" s="202">
        <v>2</v>
      </c>
      <c r="H2498">
        <v>3</v>
      </c>
      <c r="I2498" t="s">
        <v>3976</v>
      </c>
      <c r="J2498" t="s">
        <v>4827</v>
      </c>
      <c r="K2498" t="s">
        <v>1283</v>
      </c>
      <c r="L2498" s="204">
        <v>0.05</v>
      </c>
      <c r="M2498" s="112">
        <v>1013.3925</v>
      </c>
      <c r="N2498" s="112">
        <v>50.669625000000003</v>
      </c>
      <c r="O2498" s="204"/>
      <c r="P2498" s="112"/>
      <c r="Q2498" s="112"/>
      <c r="R2498" s="112"/>
      <c r="S2498" s="112"/>
      <c r="T2498" s="112"/>
      <c r="U2498" t="s">
        <v>4508</v>
      </c>
      <c r="V2498" t="s">
        <v>6041</v>
      </c>
      <c r="W2498" t="s">
        <v>3958</v>
      </c>
      <c r="X2498" t="s">
        <v>4660</v>
      </c>
    </row>
    <row r="2499" spans="1:24" x14ac:dyDescent="0.2">
      <c r="A2499" t="s">
        <v>6040</v>
      </c>
      <c r="B2499" t="s">
        <v>2071</v>
      </c>
      <c r="C2499" t="s">
        <v>984</v>
      </c>
      <c r="D2499" t="s">
        <v>209</v>
      </c>
      <c r="E2499" t="s">
        <v>985</v>
      </c>
      <c r="F2499" t="s">
        <v>84</v>
      </c>
      <c r="G2499" s="202">
        <v>2</v>
      </c>
      <c r="H2499">
        <v>4</v>
      </c>
      <c r="I2499" t="s">
        <v>4017</v>
      </c>
      <c r="J2499" t="s">
        <v>4809</v>
      </c>
      <c r="K2499" t="s">
        <v>1283</v>
      </c>
      <c r="L2499" s="204">
        <v>0.05</v>
      </c>
      <c r="M2499" s="112">
        <v>1013.3925</v>
      </c>
      <c r="N2499" s="112">
        <v>50.669625000000003</v>
      </c>
      <c r="O2499" s="204"/>
      <c r="P2499" s="112"/>
      <c r="Q2499" s="112"/>
      <c r="R2499" s="112"/>
      <c r="S2499" s="112"/>
      <c r="T2499" s="112"/>
      <c r="U2499" t="s">
        <v>4508</v>
      </c>
      <c r="V2499" t="s">
        <v>6041</v>
      </c>
      <c r="W2499" t="s">
        <v>3958</v>
      </c>
      <c r="X2499" t="s">
        <v>4660</v>
      </c>
    </row>
    <row r="2500" spans="1:24" x14ac:dyDescent="0.2">
      <c r="A2500" t="s">
        <v>6040</v>
      </c>
      <c r="B2500" t="s">
        <v>2071</v>
      </c>
      <c r="C2500" t="s">
        <v>984</v>
      </c>
      <c r="D2500" t="s">
        <v>209</v>
      </c>
      <c r="E2500" t="s">
        <v>985</v>
      </c>
      <c r="F2500" t="s">
        <v>84</v>
      </c>
      <c r="G2500" s="202">
        <v>2</v>
      </c>
      <c r="H2500">
        <v>5</v>
      </c>
      <c r="I2500" t="s">
        <v>3968</v>
      </c>
      <c r="J2500" t="s">
        <v>3969</v>
      </c>
      <c r="K2500" t="s">
        <v>84</v>
      </c>
      <c r="L2500" s="204">
        <v>1</v>
      </c>
      <c r="M2500" s="112"/>
      <c r="N2500" s="112">
        <v>1013.3925</v>
      </c>
      <c r="O2500" s="204">
        <v>0.22229047481602637</v>
      </c>
      <c r="P2500" s="112">
        <v>225.26750000000004</v>
      </c>
      <c r="Q2500" s="112">
        <v>1238.6600000000001</v>
      </c>
      <c r="R2500" s="112">
        <v>2477.3200000000002</v>
      </c>
      <c r="S2500" s="112">
        <v>2477.3200000000002</v>
      </c>
      <c r="T2500" s="112">
        <v>0</v>
      </c>
      <c r="U2500" t="s">
        <v>4508</v>
      </c>
      <c r="V2500" t="s">
        <v>6041</v>
      </c>
      <c r="W2500" t="s">
        <v>4666</v>
      </c>
      <c r="X2500" t="s">
        <v>4667</v>
      </c>
    </row>
    <row r="2501" spans="1:24" x14ac:dyDescent="0.2">
      <c r="A2501" t="s">
        <v>6042</v>
      </c>
      <c r="B2501" t="s">
        <v>2072</v>
      </c>
      <c r="C2501" t="s">
        <v>2073</v>
      </c>
      <c r="D2501" t="s">
        <v>335</v>
      </c>
      <c r="E2501" t="s">
        <v>986</v>
      </c>
      <c r="F2501" t="s">
        <v>84</v>
      </c>
      <c r="G2501" s="202">
        <v>2</v>
      </c>
      <c r="H2501">
        <v>1</v>
      </c>
      <c r="I2501" t="s">
        <v>3954</v>
      </c>
      <c r="J2501" t="s">
        <v>4823</v>
      </c>
      <c r="K2501" t="s">
        <v>1283</v>
      </c>
      <c r="L2501" s="204">
        <v>0.18</v>
      </c>
      <c r="M2501" s="112">
        <v>2186.34</v>
      </c>
      <c r="N2501" s="112">
        <v>393.5412</v>
      </c>
      <c r="O2501" s="204"/>
      <c r="P2501" s="112"/>
      <c r="Q2501" s="112"/>
      <c r="R2501" s="112"/>
      <c r="S2501" s="112"/>
      <c r="T2501" s="112"/>
      <c r="U2501" t="s">
        <v>6043</v>
      </c>
      <c r="V2501" t="s">
        <v>6044</v>
      </c>
      <c r="W2501" t="s">
        <v>3958</v>
      </c>
      <c r="X2501" t="s">
        <v>4660</v>
      </c>
    </row>
    <row r="2502" spans="1:24" x14ac:dyDescent="0.2">
      <c r="A2502" t="s">
        <v>6042</v>
      </c>
      <c r="B2502" t="s">
        <v>2072</v>
      </c>
      <c r="C2502" t="s">
        <v>2073</v>
      </c>
      <c r="D2502" t="s">
        <v>335</v>
      </c>
      <c r="E2502" t="s">
        <v>986</v>
      </c>
      <c r="F2502" t="s">
        <v>84</v>
      </c>
      <c r="G2502" s="202">
        <v>2</v>
      </c>
      <c r="H2502">
        <v>2</v>
      </c>
      <c r="I2502" t="s">
        <v>3960</v>
      </c>
      <c r="J2502" t="s">
        <v>4826</v>
      </c>
      <c r="K2502" t="s">
        <v>1283</v>
      </c>
      <c r="L2502" s="204">
        <v>0.72</v>
      </c>
      <c r="M2502" s="112">
        <v>2186.34</v>
      </c>
      <c r="N2502" s="112">
        <v>1574.1648</v>
      </c>
      <c r="O2502" s="204"/>
      <c r="P2502" s="112"/>
      <c r="Q2502" s="112"/>
      <c r="R2502" s="112"/>
      <c r="S2502" s="112"/>
      <c r="T2502" s="112"/>
      <c r="U2502" t="s">
        <v>6043</v>
      </c>
      <c r="V2502" t="s">
        <v>6044</v>
      </c>
      <c r="W2502" t="s">
        <v>3958</v>
      </c>
      <c r="X2502" t="s">
        <v>4660</v>
      </c>
    </row>
    <row r="2503" spans="1:24" x14ac:dyDescent="0.2">
      <c r="A2503" t="s">
        <v>6042</v>
      </c>
      <c r="B2503" t="s">
        <v>2072</v>
      </c>
      <c r="C2503" t="s">
        <v>2073</v>
      </c>
      <c r="D2503" t="s">
        <v>335</v>
      </c>
      <c r="E2503" t="s">
        <v>986</v>
      </c>
      <c r="F2503" t="s">
        <v>84</v>
      </c>
      <c r="G2503" s="202">
        <v>2</v>
      </c>
      <c r="H2503">
        <v>3</v>
      </c>
      <c r="I2503" t="s">
        <v>3976</v>
      </c>
      <c r="J2503" t="s">
        <v>4827</v>
      </c>
      <c r="K2503" t="s">
        <v>1283</v>
      </c>
      <c r="L2503" s="204">
        <v>0.05</v>
      </c>
      <c r="M2503" s="112">
        <v>2186.34</v>
      </c>
      <c r="N2503" s="112">
        <v>109.31700000000001</v>
      </c>
      <c r="O2503" s="204"/>
      <c r="P2503" s="112"/>
      <c r="Q2503" s="112"/>
      <c r="R2503" s="112"/>
      <c r="S2503" s="112"/>
      <c r="T2503" s="112"/>
      <c r="U2503" t="s">
        <v>6043</v>
      </c>
      <c r="V2503" t="s">
        <v>6044</v>
      </c>
      <c r="W2503" t="s">
        <v>3958</v>
      </c>
      <c r="X2503" t="s">
        <v>4660</v>
      </c>
    </row>
    <row r="2504" spans="1:24" x14ac:dyDescent="0.2">
      <c r="A2504" t="s">
        <v>6042</v>
      </c>
      <c r="B2504" t="s">
        <v>2072</v>
      </c>
      <c r="C2504" t="s">
        <v>2073</v>
      </c>
      <c r="D2504" t="s">
        <v>335</v>
      </c>
      <c r="E2504" t="s">
        <v>986</v>
      </c>
      <c r="F2504" t="s">
        <v>84</v>
      </c>
      <c r="G2504" s="202">
        <v>2</v>
      </c>
      <c r="H2504">
        <v>4</v>
      </c>
      <c r="I2504" t="s">
        <v>4017</v>
      </c>
      <c r="J2504" t="s">
        <v>4809</v>
      </c>
      <c r="K2504" t="s">
        <v>1283</v>
      </c>
      <c r="L2504" s="204">
        <v>0.05</v>
      </c>
      <c r="M2504" s="112">
        <v>2186.34</v>
      </c>
      <c r="N2504" s="112">
        <v>109.31700000000001</v>
      </c>
      <c r="O2504" s="204"/>
      <c r="P2504" s="112"/>
      <c r="Q2504" s="112"/>
      <c r="R2504" s="112"/>
      <c r="S2504" s="112"/>
      <c r="T2504" s="112"/>
      <c r="U2504" t="s">
        <v>6043</v>
      </c>
      <c r="V2504" t="s">
        <v>6044</v>
      </c>
      <c r="W2504" t="s">
        <v>3958</v>
      </c>
      <c r="X2504" t="s">
        <v>4660</v>
      </c>
    </row>
    <row r="2505" spans="1:24" x14ac:dyDescent="0.2">
      <c r="A2505" t="s">
        <v>6042</v>
      </c>
      <c r="B2505" t="s">
        <v>2072</v>
      </c>
      <c r="C2505" t="s">
        <v>2073</v>
      </c>
      <c r="D2505" t="s">
        <v>335</v>
      </c>
      <c r="E2505" t="s">
        <v>986</v>
      </c>
      <c r="F2505" t="s">
        <v>84</v>
      </c>
      <c r="G2505" s="202">
        <v>2</v>
      </c>
      <c r="H2505">
        <v>5</v>
      </c>
      <c r="I2505" t="s">
        <v>3968</v>
      </c>
      <c r="J2505" t="s">
        <v>3969</v>
      </c>
      <c r="K2505" t="s">
        <v>84</v>
      </c>
      <c r="L2505" s="204">
        <v>1</v>
      </c>
      <c r="M2505" s="112"/>
      <c r="N2505" s="112">
        <v>2186.34</v>
      </c>
      <c r="O2505" s="204">
        <v>0.22229845312257002</v>
      </c>
      <c r="P2505" s="112">
        <v>486.02</v>
      </c>
      <c r="Q2505" s="112">
        <v>2672.36</v>
      </c>
      <c r="R2505" s="112">
        <v>5344.72</v>
      </c>
      <c r="S2505" s="112">
        <v>5344.72</v>
      </c>
      <c r="T2505" s="112">
        <v>0</v>
      </c>
      <c r="U2505" t="s">
        <v>6043</v>
      </c>
      <c r="V2505" t="s">
        <v>6044</v>
      </c>
      <c r="W2505" t="s">
        <v>4666</v>
      </c>
      <c r="X2505" t="s">
        <v>4667</v>
      </c>
    </row>
    <row r="2506" spans="1:24" x14ac:dyDescent="0.2">
      <c r="A2506" t="s">
        <v>6045</v>
      </c>
      <c r="B2506" t="s">
        <v>2074</v>
      </c>
      <c r="C2506" t="s">
        <v>987</v>
      </c>
      <c r="D2506" t="s">
        <v>209</v>
      </c>
      <c r="E2506" t="s">
        <v>2075</v>
      </c>
      <c r="F2506" t="s">
        <v>84</v>
      </c>
      <c r="G2506" s="202">
        <v>1</v>
      </c>
      <c r="H2506">
        <v>1</v>
      </c>
      <c r="I2506" t="s">
        <v>3954</v>
      </c>
      <c r="J2506" t="s">
        <v>4823</v>
      </c>
      <c r="K2506" t="s">
        <v>1283</v>
      </c>
      <c r="L2506" s="204">
        <v>0.18</v>
      </c>
      <c r="M2506" s="112">
        <v>4900.83</v>
      </c>
      <c r="N2506" s="112">
        <v>882.1493999999999</v>
      </c>
      <c r="O2506" s="204"/>
      <c r="P2506" s="112"/>
      <c r="Q2506" s="112"/>
      <c r="R2506" s="112"/>
      <c r="S2506" s="112"/>
      <c r="T2506" s="112"/>
      <c r="U2506" t="s">
        <v>4462</v>
      </c>
      <c r="V2506" t="s">
        <v>6046</v>
      </c>
      <c r="W2506" t="s">
        <v>3958</v>
      </c>
      <c r="X2506" t="s">
        <v>4660</v>
      </c>
    </row>
    <row r="2507" spans="1:24" x14ac:dyDescent="0.2">
      <c r="A2507" t="s">
        <v>6045</v>
      </c>
      <c r="B2507" t="s">
        <v>2074</v>
      </c>
      <c r="C2507" t="s">
        <v>987</v>
      </c>
      <c r="D2507" t="s">
        <v>209</v>
      </c>
      <c r="E2507" t="s">
        <v>2075</v>
      </c>
      <c r="F2507" t="s">
        <v>84</v>
      </c>
      <c r="G2507" s="202">
        <v>1</v>
      </c>
      <c r="H2507">
        <v>2</v>
      </c>
      <c r="I2507" t="s">
        <v>3960</v>
      </c>
      <c r="J2507" t="s">
        <v>4826</v>
      </c>
      <c r="K2507" t="s">
        <v>1283</v>
      </c>
      <c r="L2507" s="204">
        <v>0.72</v>
      </c>
      <c r="M2507" s="112">
        <v>4900.83</v>
      </c>
      <c r="N2507" s="112">
        <v>3528.5975999999996</v>
      </c>
      <c r="O2507" s="204"/>
      <c r="P2507" s="112"/>
      <c r="Q2507" s="112"/>
      <c r="R2507" s="112"/>
      <c r="S2507" s="112"/>
      <c r="T2507" s="112"/>
      <c r="U2507" t="s">
        <v>4462</v>
      </c>
      <c r="V2507" t="s">
        <v>6046</v>
      </c>
      <c r="W2507" t="s">
        <v>3958</v>
      </c>
      <c r="X2507" t="s">
        <v>4660</v>
      </c>
    </row>
    <row r="2508" spans="1:24" x14ac:dyDescent="0.2">
      <c r="A2508" t="s">
        <v>6045</v>
      </c>
      <c r="B2508" t="s">
        <v>2074</v>
      </c>
      <c r="C2508" t="s">
        <v>987</v>
      </c>
      <c r="D2508" t="s">
        <v>209</v>
      </c>
      <c r="E2508" t="s">
        <v>2075</v>
      </c>
      <c r="F2508" t="s">
        <v>84</v>
      </c>
      <c r="G2508" s="202">
        <v>1</v>
      </c>
      <c r="H2508">
        <v>3</v>
      </c>
      <c r="I2508" t="s">
        <v>3976</v>
      </c>
      <c r="J2508" t="s">
        <v>4827</v>
      </c>
      <c r="K2508" t="s">
        <v>1283</v>
      </c>
      <c r="L2508" s="204">
        <v>0.05</v>
      </c>
      <c r="M2508" s="112">
        <v>4900.83</v>
      </c>
      <c r="N2508" s="112">
        <v>245.04150000000001</v>
      </c>
      <c r="O2508" s="204"/>
      <c r="P2508" s="112"/>
      <c r="Q2508" s="112"/>
      <c r="R2508" s="112"/>
      <c r="S2508" s="112"/>
      <c r="T2508" s="112"/>
      <c r="U2508" t="s">
        <v>4462</v>
      </c>
      <c r="V2508" t="s">
        <v>6046</v>
      </c>
      <c r="W2508" t="s">
        <v>3958</v>
      </c>
      <c r="X2508" t="s">
        <v>4660</v>
      </c>
    </row>
    <row r="2509" spans="1:24" x14ac:dyDescent="0.2">
      <c r="A2509" t="s">
        <v>6045</v>
      </c>
      <c r="B2509" t="s">
        <v>2074</v>
      </c>
      <c r="C2509" t="s">
        <v>987</v>
      </c>
      <c r="D2509" t="s">
        <v>209</v>
      </c>
      <c r="E2509" t="s">
        <v>2075</v>
      </c>
      <c r="F2509" t="s">
        <v>84</v>
      </c>
      <c r="G2509" s="202">
        <v>1</v>
      </c>
      <c r="H2509">
        <v>4</v>
      </c>
      <c r="I2509" t="s">
        <v>4017</v>
      </c>
      <c r="J2509" t="s">
        <v>4809</v>
      </c>
      <c r="K2509" t="s">
        <v>1283</v>
      </c>
      <c r="L2509" s="204">
        <v>0.05</v>
      </c>
      <c r="M2509" s="112">
        <v>4900.83</v>
      </c>
      <c r="N2509" s="112">
        <v>245.04150000000001</v>
      </c>
      <c r="O2509" s="204"/>
      <c r="P2509" s="112"/>
      <c r="Q2509" s="112"/>
      <c r="R2509" s="112"/>
      <c r="S2509" s="112"/>
      <c r="T2509" s="112"/>
      <c r="U2509" t="s">
        <v>4462</v>
      </c>
      <c r="V2509" t="s">
        <v>6046</v>
      </c>
      <c r="W2509" t="s">
        <v>3958</v>
      </c>
      <c r="X2509" t="s">
        <v>4660</v>
      </c>
    </row>
    <row r="2510" spans="1:24" x14ac:dyDescent="0.2">
      <c r="A2510" t="s">
        <v>6045</v>
      </c>
      <c r="B2510" t="s">
        <v>2074</v>
      </c>
      <c r="C2510" t="s">
        <v>987</v>
      </c>
      <c r="D2510" t="s">
        <v>209</v>
      </c>
      <c r="E2510" t="s">
        <v>2075</v>
      </c>
      <c r="F2510" t="s">
        <v>84</v>
      </c>
      <c r="G2510" s="202">
        <v>1</v>
      </c>
      <c r="H2510">
        <v>5</v>
      </c>
      <c r="I2510" t="s">
        <v>3968</v>
      </c>
      <c r="J2510" t="s">
        <v>3969</v>
      </c>
      <c r="K2510" t="s">
        <v>84</v>
      </c>
      <c r="L2510" s="204">
        <v>1</v>
      </c>
      <c r="M2510" s="112"/>
      <c r="N2510" s="112">
        <v>4900.83</v>
      </c>
      <c r="O2510" s="204">
        <v>0.22229907995176323</v>
      </c>
      <c r="P2510" s="112">
        <v>1089.4499999999998</v>
      </c>
      <c r="Q2510" s="112">
        <v>5990.28</v>
      </c>
      <c r="R2510" s="112">
        <v>5990.28</v>
      </c>
      <c r="S2510" s="112">
        <v>5990.28</v>
      </c>
      <c r="T2510" s="112">
        <v>0</v>
      </c>
      <c r="U2510" t="s">
        <v>4462</v>
      </c>
      <c r="V2510" t="s">
        <v>6046</v>
      </c>
      <c r="W2510" t="s">
        <v>4666</v>
      </c>
      <c r="X2510" t="s">
        <v>4667</v>
      </c>
    </row>
    <row r="2511" spans="1:24" x14ac:dyDescent="0.2">
      <c r="A2511" t="s">
        <v>6047</v>
      </c>
      <c r="B2511" t="s">
        <v>2076</v>
      </c>
      <c r="C2511" t="s">
        <v>989</v>
      </c>
      <c r="D2511" t="s">
        <v>209</v>
      </c>
      <c r="E2511" t="s">
        <v>990</v>
      </c>
      <c r="F2511" t="s">
        <v>84</v>
      </c>
      <c r="G2511" s="202">
        <v>2</v>
      </c>
      <c r="H2511">
        <v>1</v>
      </c>
      <c r="I2511" t="s">
        <v>3954</v>
      </c>
      <c r="J2511" t="s">
        <v>4823</v>
      </c>
      <c r="K2511" t="s">
        <v>1283</v>
      </c>
      <c r="L2511" s="204">
        <v>0.18</v>
      </c>
      <c r="M2511" s="112">
        <v>2546.3175000000001</v>
      </c>
      <c r="N2511" s="112">
        <v>458.33715000000001</v>
      </c>
      <c r="O2511" s="204"/>
      <c r="P2511" s="112"/>
      <c r="Q2511" s="112"/>
      <c r="R2511" s="112"/>
      <c r="S2511" s="112"/>
      <c r="T2511" s="112"/>
      <c r="U2511" t="s">
        <v>4458</v>
      </c>
      <c r="V2511" t="s">
        <v>6048</v>
      </c>
      <c r="W2511" t="s">
        <v>3958</v>
      </c>
      <c r="X2511" t="s">
        <v>4660</v>
      </c>
    </row>
    <row r="2512" spans="1:24" x14ac:dyDescent="0.2">
      <c r="A2512" t="s">
        <v>6047</v>
      </c>
      <c r="B2512" t="s">
        <v>2076</v>
      </c>
      <c r="C2512" t="s">
        <v>989</v>
      </c>
      <c r="D2512" t="s">
        <v>209</v>
      </c>
      <c r="E2512" t="s">
        <v>990</v>
      </c>
      <c r="F2512" t="s">
        <v>84</v>
      </c>
      <c r="G2512" s="202">
        <v>2</v>
      </c>
      <c r="H2512">
        <v>2</v>
      </c>
      <c r="I2512" t="s">
        <v>3960</v>
      </c>
      <c r="J2512" t="s">
        <v>4826</v>
      </c>
      <c r="K2512" t="s">
        <v>1283</v>
      </c>
      <c r="L2512" s="204">
        <v>0.72</v>
      </c>
      <c r="M2512" s="112">
        <v>2546.3175000000001</v>
      </c>
      <c r="N2512" s="112">
        <v>1833.3486</v>
      </c>
      <c r="O2512" s="204"/>
      <c r="P2512" s="112"/>
      <c r="Q2512" s="112"/>
      <c r="R2512" s="112"/>
      <c r="S2512" s="112"/>
      <c r="T2512" s="112"/>
      <c r="U2512" t="s">
        <v>4458</v>
      </c>
      <c r="V2512" t="s">
        <v>6048</v>
      </c>
      <c r="W2512" t="s">
        <v>3958</v>
      </c>
      <c r="X2512" t="s">
        <v>4660</v>
      </c>
    </row>
    <row r="2513" spans="1:24" x14ac:dyDescent="0.2">
      <c r="A2513" t="s">
        <v>6047</v>
      </c>
      <c r="B2513" t="s">
        <v>2076</v>
      </c>
      <c r="C2513" t="s">
        <v>989</v>
      </c>
      <c r="D2513" t="s">
        <v>209</v>
      </c>
      <c r="E2513" t="s">
        <v>990</v>
      </c>
      <c r="F2513" t="s">
        <v>84</v>
      </c>
      <c r="G2513" s="202">
        <v>2</v>
      </c>
      <c r="H2513">
        <v>3</v>
      </c>
      <c r="I2513" t="s">
        <v>3976</v>
      </c>
      <c r="J2513" t="s">
        <v>4827</v>
      </c>
      <c r="K2513" t="s">
        <v>1283</v>
      </c>
      <c r="L2513" s="204">
        <v>0.05</v>
      </c>
      <c r="M2513" s="112">
        <v>2546.3175000000001</v>
      </c>
      <c r="N2513" s="112">
        <v>127.31587500000001</v>
      </c>
      <c r="O2513" s="204"/>
      <c r="P2513" s="112"/>
      <c r="Q2513" s="112"/>
      <c r="R2513" s="112"/>
      <c r="S2513" s="112"/>
      <c r="T2513" s="112"/>
      <c r="U2513" t="s">
        <v>4458</v>
      </c>
      <c r="V2513" t="s">
        <v>6048</v>
      </c>
      <c r="W2513" t="s">
        <v>3958</v>
      </c>
      <c r="X2513" t="s">
        <v>4660</v>
      </c>
    </row>
    <row r="2514" spans="1:24" x14ac:dyDescent="0.2">
      <c r="A2514" t="s">
        <v>6047</v>
      </c>
      <c r="B2514" t="s">
        <v>2076</v>
      </c>
      <c r="C2514" t="s">
        <v>989</v>
      </c>
      <c r="D2514" t="s">
        <v>209</v>
      </c>
      <c r="E2514" t="s">
        <v>990</v>
      </c>
      <c r="F2514" t="s">
        <v>84</v>
      </c>
      <c r="G2514" s="202">
        <v>2</v>
      </c>
      <c r="H2514">
        <v>4</v>
      </c>
      <c r="I2514" t="s">
        <v>4017</v>
      </c>
      <c r="J2514" t="s">
        <v>4809</v>
      </c>
      <c r="K2514" t="s">
        <v>1283</v>
      </c>
      <c r="L2514" s="204">
        <v>0.05</v>
      </c>
      <c r="M2514" s="112">
        <v>2546.3175000000001</v>
      </c>
      <c r="N2514" s="112">
        <v>127.31587500000001</v>
      </c>
      <c r="O2514" s="204"/>
      <c r="P2514" s="112"/>
      <c r="Q2514" s="112"/>
      <c r="R2514" s="112"/>
      <c r="S2514" s="112"/>
      <c r="T2514" s="112"/>
      <c r="U2514" t="s">
        <v>4458</v>
      </c>
      <c r="V2514" t="s">
        <v>6048</v>
      </c>
      <c r="W2514" t="s">
        <v>3958</v>
      </c>
      <c r="X2514" t="s">
        <v>4660</v>
      </c>
    </row>
    <row r="2515" spans="1:24" x14ac:dyDescent="0.2">
      <c r="A2515" t="s">
        <v>6047</v>
      </c>
      <c r="B2515" t="s">
        <v>2076</v>
      </c>
      <c r="C2515" t="s">
        <v>989</v>
      </c>
      <c r="D2515" t="s">
        <v>209</v>
      </c>
      <c r="E2515" t="s">
        <v>990</v>
      </c>
      <c r="F2515" t="s">
        <v>84</v>
      </c>
      <c r="G2515" s="202">
        <v>2</v>
      </c>
      <c r="H2515">
        <v>5</v>
      </c>
      <c r="I2515" t="s">
        <v>3968</v>
      </c>
      <c r="J2515" t="s">
        <v>3969</v>
      </c>
      <c r="K2515" t="s">
        <v>84</v>
      </c>
      <c r="L2515" s="204">
        <v>1</v>
      </c>
      <c r="M2515" s="112"/>
      <c r="N2515" s="112">
        <v>2546.3175000000001</v>
      </c>
      <c r="O2515" s="204">
        <v>0.22229651251267768</v>
      </c>
      <c r="P2515" s="112">
        <v>566.03749999999991</v>
      </c>
      <c r="Q2515" s="112">
        <v>3112.355</v>
      </c>
      <c r="R2515" s="112">
        <v>6224.71</v>
      </c>
      <c r="S2515" s="112">
        <v>6224.71</v>
      </c>
      <c r="T2515" s="112">
        <v>0</v>
      </c>
      <c r="U2515" t="s">
        <v>4458</v>
      </c>
      <c r="V2515" t="s">
        <v>6048</v>
      </c>
      <c r="W2515" t="s">
        <v>4666</v>
      </c>
      <c r="X2515" t="s">
        <v>4667</v>
      </c>
    </row>
    <row r="2516" spans="1:24" x14ac:dyDescent="0.2">
      <c r="A2516" t="s">
        <v>6049</v>
      </c>
      <c r="B2516" t="s">
        <v>2077</v>
      </c>
      <c r="C2516" t="s">
        <v>2078</v>
      </c>
      <c r="D2516" t="s">
        <v>56</v>
      </c>
      <c r="E2516" t="s">
        <v>991</v>
      </c>
      <c r="F2516" t="s">
        <v>84</v>
      </c>
      <c r="G2516" s="202">
        <v>85</v>
      </c>
      <c r="H2516">
        <v>1</v>
      </c>
      <c r="I2516" t="s">
        <v>3954</v>
      </c>
      <c r="J2516" t="s">
        <v>4823</v>
      </c>
      <c r="K2516" t="s">
        <v>1283</v>
      </c>
      <c r="L2516" s="204">
        <v>0.18</v>
      </c>
      <c r="M2516" s="112">
        <v>8.5274999999999999</v>
      </c>
      <c r="N2516" s="112">
        <v>1.5349499999999998</v>
      </c>
      <c r="O2516" s="204"/>
      <c r="P2516" s="112"/>
      <c r="Q2516" s="112"/>
      <c r="R2516" s="112"/>
      <c r="S2516" s="112"/>
      <c r="T2516" s="112"/>
      <c r="U2516" t="s">
        <v>6050</v>
      </c>
      <c r="V2516" t="s">
        <v>6051</v>
      </c>
      <c r="W2516" t="s">
        <v>3958</v>
      </c>
      <c r="X2516" t="s">
        <v>4660</v>
      </c>
    </row>
    <row r="2517" spans="1:24" x14ac:dyDescent="0.2">
      <c r="A2517" t="s">
        <v>6049</v>
      </c>
      <c r="B2517" t="s">
        <v>2077</v>
      </c>
      <c r="C2517" t="s">
        <v>2078</v>
      </c>
      <c r="D2517" t="s">
        <v>56</v>
      </c>
      <c r="E2517" t="s">
        <v>991</v>
      </c>
      <c r="F2517" t="s">
        <v>84</v>
      </c>
      <c r="G2517" s="202">
        <v>85</v>
      </c>
      <c r="H2517">
        <v>2</v>
      </c>
      <c r="I2517" t="s">
        <v>3960</v>
      </c>
      <c r="J2517" t="s">
        <v>4826</v>
      </c>
      <c r="K2517" t="s">
        <v>1283</v>
      </c>
      <c r="L2517" s="204">
        <v>0.72</v>
      </c>
      <c r="M2517" s="112">
        <v>8.5274999999999999</v>
      </c>
      <c r="N2517" s="112">
        <v>6.1397999999999993</v>
      </c>
      <c r="O2517" s="204"/>
      <c r="P2517" s="112"/>
      <c r="Q2517" s="112"/>
      <c r="R2517" s="112"/>
      <c r="S2517" s="112"/>
      <c r="T2517" s="112"/>
      <c r="U2517" t="s">
        <v>6050</v>
      </c>
      <c r="V2517" t="s">
        <v>6051</v>
      </c>
      <c r="W2517" t="s">
        <v>3958</v>
      </c>
      <c r="X2517" t="s">
        <v>4660</v>
      </c>
    </row>
    <row r="2518" spans="1:24" x14ac:dyDescent="0.2">
      <c r="A2518" t="s">
        <v>6049</v>
      </c>
      <c r="B2518" t="s">
        <v>2077</v>
      </c>
      <c r="C2518" t="s">
        <v>2078</v>
      </c>
      <c r="D2518" t="s">
        <v>56</v>
      </c>
      <c r="E2518" t="s">
        <v>991</v>
      </c>
      <c r="F2518" t="s">
        <v>84</v>
      </c>
      <c r="G2518" s="202">
        <v>85</v>
      </c>
      <c r="H2518">
        <v>3</v>
      </c>
      <c r="I2518" t="s">
        <v>3976</v>
      </c>
      <c r="J2518" t="s">
        <v>4827</v>
      </c>
      <c r="K2518" t="s">
        <v>1283</v>
      </c>
      <c r="L2518" s="204">
        <v>0.05</v>
      </c>
      <c r="M2518" s="112">
        <v>8.5274999999999999</v>
      </c>
      <c r="N2518" s="112">
        <v>0.426375</v>
      </c>
      <c r="O2518" s="204"/>
      <c r="P2518" s="112"/>
      <c r="Q2518" s="112"/>
      <c r="R2518" s="112"/>
      <c r="S2518" s="112"/>
      <c r="T2518" s="112"/>
      <c r="U2518" t="s">
        <v>6050</v>
      </c>
      <c r="V2518" t="s">
        <v>6051</v>
      </c>
      <c r="W2518" t="s">
        <v>3958</v>
      </c>
      <c r="X2518" t="s">
        <v>4660</v>
      </c>
    </row>
    <row r="2519" spans="1:24" x14ac:dyDescent="0.2">
      <c r="A2519" t="s">
        <v>6049</v>
      </c>
      <c r="B2519" t="s">
        <v>2077</v>
      </c>
      <c r="C2519" t="s">
        <v>2078</v>
      </c>
      <c r="D2519" t="s">
        <v>56</v>
      </c>
      <c r="E2519" t="s">
        <v>991</v>
      </c>
      <c r="F2519" t="s">
        <v>84</v>
      </c>
      <c r="G2519" s="202">
        <v>85</v>
      </c>
      <c r="H2519">
        <v>4</v>
      </c>
      <c r="I2519" t="s">
        <v>4017</v>
      </c>
      <c r="J2519" t="s">
        <v>4809</v>
      </c>
      <c r="K2519" t="s">
        <v>1283</v>
      </c>
      <c r="L2519" s="204">
        <v>0.05</v>
      </c>
      <c r="M2519" s="112">
        <v>8.5274999999999999</v>
      </c>
      <c r="N2519" s="112">
        <v>0.426375</v>
      </c>
      <c r="O2519" s="204"/>
      <c r="P2519" s="112"/>
      <c r="Q2519" s="112"/>
      <c r="R2519" s="112"/>
      <c r="S2519" s="112"/>
      <c r="T2519" s="112"/>
      <c r="U2519" t="s">
        <v>6050</v>
      </c>
      <c r="V2519" t="s">
        <v>6051</v>
      </c>
      <c r="W2519" t="s">
        <v>3958</v>
      </c>
      <c r="X2519" t="s">
        <v>4660</v>
      </c>
    </row>
    <row r="2520" spans="1:24" x14ac:dyDescent="0.2">
      <c r="A2520" t="s">
        <v>6049</v>
      </c>
      <c r="B2520" t="s">
        <v>2077</v>
      </c>
      <c r="C2520" t="s">
        <v>2078</v>
      </c>
      <c r="D2520" t="s">
        <v>56</v>
      </c>
      <c r="E2520" t="s">
        <v>991</v>
      </c>
      <c r="F2520" t="s">
        <v>84</v>
      </c>
      <c r="G2520" s="202">
        <v>85</v>
      </c>
      <c r="H2520">
        <v>5</v>
      </c>
      <c r="I2520" t="s">
        <v>3968</v>
      </c>
      <c r="J2520" t="s">
        <v>3969</v>
      </c>
      <c r="K2520" t="s">
        <v>84</v>
      </c>
      <c r="L2520" s="204">
        <v>1</v>
      </c>
      <c r="M2520" s="112"/>
      <c r="N2520" s="112">
        <v>8.5274999999999999</v>
      </c>
      <c r="O2520" s="204">
        <v>0.22162553675823893</v>
      </c>
      <c r="P2520" s="112">
        <v>1.8899117647058823</v>
      </c>
      <c r="Q2520" s="112">
        <v>10.417411764705882</v>
      </c>
      <c r="R2520" s="112">
        <v>885.48</v>
      </c>
      <c r="S2520" s="112">
        <v>885.48</v>
      </c>
      <c r="T2520" s="112">
        <v>0</v>
      </c>
      <c r="U2520" t="s">
        <v>6050</v>
      </c>
      <c r="V2520" t="s">
        <v>6051</v>
      </c>
      <c r="W2520" t="s">
        <v>4666</v>
      </c>
      <c r="X2520" t="s">
        <v>4667</v>
      </c>
    </row>
    <row r="2521" spans="1:24" x14ac:dyDescent="0.2">
      <c r="A2521" t="s">
        <v>6052</v>
      </c>
      <c r="B2521" t="s">
        <v>2079</v>
      </c>
      <c r="C2521" t="s">
        <v>2080</v>
      </c>
      <c r="D2521" t="s">
        <v>56</v>
      </c>
      <c r="E2521" t="s">
        <v>992</v>
      </c>
      <c r="F2521" t="s">
        <v>84</v>
      </c>
      <c r="G2521" s="202">
        <v>21</v>
      </c>
      <c r="H2521">
        <v>1</v>
      </c>
      <c r="I2521" t="s">
        <v>3954</v>
      </c>
      <c r="J2521" t="s">
        <v>4823</v>
      </c>
      <c r="K2521" t="s">
        <v>1283</v>
      </c>
      <c r="L2521" s="204">
        <v>0.18</v>
      </c>
      <c r="M2521" s="112">
        <v>8.5274999999999999</v>
      </c>
      <c r="N2521" s="112">
        <v>1.5349499999999998</v>
      </c>
      <c r="O2521" s="204"/>
      <c r="P2521" s="112"/>
      <c r="Q2521" s="112"/>
      <c r="R2521" s="112"/>
      <c r="S2521" s="112"/>
      <c r="T2521" s="112"/>
      <c r="U2521" t="s">
        <v>6053</v>
      </c>
      <c r="V2521" t="s">
        <v>6054</v>
      </c>
      <c r="W2521" t="s">
        <v>3958</v>
      </c>
      <c r="X2521" t="s">
        <v>4660</v>
      </c>
    </row>
    <row r="2522" spans="1:24" x14ac:dyDescent="0.2">
      <c r="A2522" t="s">
        <v>6052</v>
      </c>
      <c r="B2522" t="s">
        <v>2079</v>
      </c>
      <c r="C2522" t="s">
        <v>2080</v>
      </c>
      <c r="D2522" t="s">
        <v>56</v>
      </c>
      <c r="E2522" t="s">
        <v>992</v>
      </c>
      <c r="F2522" t="s">
        <v>84</v>
      </c>
      <c r="G2522" s="202">
        <v>21</v>
      </c>
      <c r="H2522">
        <v>2</v>
      </c>
      <c r="I2522" t="s">
        <v>3960</v>
      </c>
      <c r="J2522" t="s">
        <v>4826</v>
      </c>
      <c r="K2522" t="s">
        <v>1283</v>
      </c>
      <c r="L2522" s="204">
        <v>0.72</v>
      </c>
      <c r="M2522" s="112">
        <v>8.5274999999999999</v>
      </c>
      <c r="N2522" s="112">
        <v>6.1397999999999993</v>
      </c>
      <c r="O2522" s="204"/>
      <c r="P2522" s="112"/>
      <c r="Q2522" s="112"/>
      <c r="R2522" s="112"/>
      <c r="S2522" s="112"/>
      <c r="T2522" s="112"/>
      <c r="U2522" t="s">
        <v>6053</v>
      </c>
      <c r="V2522" t="s">
        <v>6054</v>
      </c>
      <c r="W2522" t="s">
        <v>3958</v>
      </c>
      <c r="X2522" t="s">
        <v>4660</v>
      </c>
    </row>
    <row r="2523" spans="1:24" x14ac:dyDescent="0.2">
      <c r="A2523" t="s">
        <v>6052</v>
      </c>
      <c r="B2523" t="s">
        <v>2079</v>
      </c>
      <c r="C2523" t="s">
        <v>2080</v>
      </c>
      <c r="D2523" t="s">
        <v>56</v>
      </c>
      <c r="E2523" t="s">
        <v>992</v>
      </c>
      <c r="F2523" t="s">
        <v>84</v>
      </c>
      <c r="G2523" s="202">
        <v>21</v>
      </c>
      <c r="H2523">
        <v>3</v>
      </c>
      <c r="I2523" t="s">
        <v>3976</v>
      </c>
      <c r="J2523" t="s">
        <v>4827</v>
      </c>
      <c r="K2523" t="s">
        <v>1283</v>
      </c>
      <c r="L2523" s="204">
        <v>0.05</v>
      </c>
      <c r="M2523" s="112">
        <v>8.5274999999999999</v>
      </c>
      <c r="N2523" s="112">
        <v>0.426375</v>
      </c>
      <c r="O2523" s="204"/>
      <c r="P2523" s="112"/>
      <c r="Q2523" s="112"/>
      <c r="R2523" s="112"/>
      <c r="S2523" s="112"/>
      <c r="T2523" s="112"/>
      <c r="U2523" t="s">
        <v>6053</v>
      </c>
      <c r="V2523" t="s">
        <v>6054</v>
      </c>
      <c r="W2523" t="s">
        <v>3958</v>
      </c>
      <c r="X2523" t="s">
        <v>4660</v>
      </c>
    </row>
    <row r="2524" spans="1:24" x14ac:dyDescent="0.2">
      <c r="A2524" t="s">
        <v>6052</v>
      </c>
      <c r="B2524" t="s">
        <v>2079</v>
      </c>
      <c r="C2524" t="s">
        <v>2080</v>
      </c>
      <c r="D2524" t="s">
        <v>56</v>
      </c>
      <c r="E2524" t="s">
        <v>992</v>
      </c>
      <c r="F2524" t="s">
        <v>84</v>
      </c>
      <c r="G2524" s="202">
        <v>21</v>
      </c>
      <c r="H2524">
        <v>4</v>
      </c>
      <c r="I2524" t="s">
        <v>4017</v>
      </c>
      <c r="J2524" t="s">
        <v>4809</v>
      </c>
      <c r="K2524" t="s">
        <v>1283</v>
      </c>
      <c r="L2524" s="204">
        <v>0.05</v>
      </c>
      <c r="M2524" s="112">
        <v>8.5274999999999999</v>
      </c>
      <c r="N2524" s="112">
        <v>0.426375</v>
      </c>
      <c r="O2524" s="204"/>
      <c r="P2524" s="112"/>
      <c r="Q2524" s="112"/>
      <c r="R2524" s="112"/>
      <c r="S2524" s="112"/>
      <c r="T2524" s="112"/>
      <c r="U2524" t="s">
        <v>6053</v>
      </c>
      <c r="V2524" t="s">
        <v>6054</v>
      </c>
      <c r="W2524" t="s">
        <v>3958</v>
      </c>
      <c r="X2524" t="s">
        <v>4660</v>
      </c>
    </row>
    <row r="2525" spans="1:24" x14ac:dyDescent="0.2">
      <c r="A2525" t="s">
        <v>6052</v>
      </c>
      <c r="B2525" t="s">
        <v>2079</v>
      </c>
      <c r="C2525" t="s">
        <v>2080</v>
      </c>
      <c r="D2525" t="s">
        <v>56</v>
      </c>
      <c r="E2525" t="s">
        <v>992</v>
      </c>
      <c r="F2525" t="s">
        <v>84</v>
      </c>
      <c r="G2525" s="202">
        <v>21</v>
      </c>
      <c r="H2525">
        <v>5</v>
      </c>
      <c r="I2525" t="s">
        <v>3968</v>
      </c>
      <c r="J2525" t="s">
        <v>3969</v>
      </c>
      <c r="K2525" t="s">
        <v>84</v>
      </c>
      <c r="L2525" s="204">
        <v>1</v>
      </c>
      <c r="M2525" s="112"/>
      <c r="N2525" s="112">
        <v>8.5274999999999999</v>
      </c>
      <c r="O2525" s="204">
        <v>0.22159400259664097</v>
      </c>
      <c r="P2525" s="112">
        <v>1.8896428571428565</v>
      </c>
      <c r="Q2525" s="112">
        <v>10.417142857142856</v>
      </c>
      <c r="R2525" s="112">
        <v>218.76</v>
      </c>
      <c r="S2525" s="112">
        <v>218.76</v>
      </c>
      <c r="T2525" s="112">
        <v>0</v>
      </c>
      <c r="U2525" t="s">
        <v>6053</v>
      </c>
      <c r="V2525" t="s">
        <v>6054</v>
      </c>
      <c r="W2525" t="s">
        <v>4666</v>
      </c>
      <c r="X2525" t="s">
        <v>4667</v>
      </c>
    </row>
    <row r="2526" spans="1:24" x14ac:dyDescent="0.2">
      <c r="A2526" t="s">
        <v>6055</v>
      </c>
      <c r="B2526" t="s">
        <v>2081</v>
      </c>
      <c r="C2526" t="s">
        <v>2082</v>
      </c>
      <c r="D2526" t="s">
        <v>56</v>
      </c>
      <c r="E2526" t="s">
        <v>2083</v>
      </c>
      <c r="F2526" t="s">
        <v>84</v>
      </c>
      <c r="G2526" s="202">
        <v>2</v>
      </c>
      <c r="H2526">
        <v>1</v>
      </c>
      <c r="I2526" t="s">
        <v>3954</v>
      </c>
      <c r="J2526" t="s">
        <v>4823</v>
      </c>
      <c r="K2526" t="s">
        <v>1283</v>
      </c>
      <c r="L2526" s="204">
        <v>0.18</v>
      </c>
      <c r="M2526" s="112">
        <v>10.3725</v>
      </c>
      <c r="N2526" s="112">
        <v>1.8670500000000001</v>
      </c>
      <c r="O2526" s="204"/>
      <c r="P2526" s="112"/>
      <c r="Q2526" s="112"/>
      <c r="R2526" s="112"/>
      <c r="S2526" s="112"/>
      <c r="T2526" s="112"/>
      <c r="U2526" t="s">
        <v>6056</v>
      </c>
      <c r="V2526" t="s">
        <v>6057</v>
      </c>
      <c r="W2526" t="s">
        <v>3958</v>
      </c>
      <c r="X2526" t="s">
        <v>4660</v>
      </c>
    </row>
    <row r="2527" spans="1:24" x14ac:dyDescent="0.2">
      <c r="A2527" t="s">
        <v>6055</v>
      </c>
      <c r="B2527" t="s">
        <v>2081</v>
      </c>
      <c r="C2527" t="s">
        <v>2082</v>
      </c>
      <c r="D2527" t="s">
        <v>56</v>
      </c>
      <c r="E2527" t="s">
        <v>2083</v>
      </c>
      <c r="F2527" t="s">
        <v>84</v>
      </c>
      <c r="G2527" s="202">
        <v>2</v>
      </c>
      <c r="H2527">
        <v>2</v>
      </c>
      <c r="I2527" t="s">
        <v>3960</v>
      </c>
      <c r="J2527" t="s">
        <v>4826</v>
      </c>
      <c r="K2527" t="s">
        <v>1283</v>
      </c>
      <c r="L2527" s="204">
        <v>0.72</v>
      </c>
      <c r="M2527" s="112">
        <v>10.3725</v>
      </c>
      <c r="N2527" s="112">
        <v>7.4682000000000004</v>
      </c>
      <c r="O2527" s="204"/>
      <c r="P2527" s="112"/>
      <c r="Q2527" s="112"/>
      <c r="R2527" s="112"/>
      <c r="S2527" s="112"/>
      <c r="T2527" s="112"/>
      <c r="U2527" t="s">
        <v>6056</v>
      </c>
      <c r="V2527" t="s">
        <v>6057</v>
      </c>
      <c r="W2527" t="s">
        <v>3958</v>
      </c>
      <c r="X2527" t="s">
        <v>4660</v>
      </c>
    </row>
    <row r="2528" spans="1:24" x14ac:dyDescent="0.2">
      <c r="A2528" t="s">
        <v>6055</v>
      </c>
      <c r="B2528" t="s">
        <v>2081</v>
      </c>
      <c r="C2528" t="s">
        <v>2082</v>
      </c>
      <c r="D2528" t="s">
        <v>56</v>
      </c>
      <c r="E2528" t="s">
        <v>2083</v>
      </c>
      <c r="F2528" t="s">
        <v>84</v>
      </c>
      <c r="G2528" s="202">
        <v>2</v>
      </c>
      <c r="H2528">
        <v>3</v>
      </c>
      <c r="I2528" t="s">
        <v>3976</v>
      </c>
      <c r="J2528" t="s">
        <v>4827</v>
      </c>
      <c r="K2528" t="s">
        <v>1283</v>
      </c>
      <c r="L2528" s="204">
        <v>0.05</v>
      </c>
      <c r="M2528" s="112">
        <v>10.3725</v>
      </c>
      <c r="N2528" s="112">
        <v>0.518625</v>
      </c>
      <c r="O2528" s="204"/>
      <c r="P2528" s="112"/>
      <c r="Q2528" s="112"/>
      <c r="R2528" s="112"/>
      <c r="S2528" s="112"/>
      <c r="T2528" s="112"/>
      <c r="U2528" t="s">
        <v>6056</v>
      </c>
      <c r="V2528" t="s">
        <v>6057</v>
      </c>
      <c r="W2528" t="s">
        <v>3958</v>
      </c>
      <c r="X2528" t="s">
        <v>4660</v>
      </c>
    </row>
    <row r="2529" spans="1:24" x14ac:dyDescent="0.2">
      <c r="A2529" t="s">
        <v>6055</v>
      </c>
      <c r="B2529" t="s">
        <v>2081</v>
      </c>
      <c r="C2529" t="s">
        <v>2082</v>
      </c>
      <c r="D2529" t="s">
        <v>56</v>
      </c>
      <c r="E2529" t="s">
        <v>2083</v>
      </c>
      <c r="F2529" t="s">
        <v>84</v>
      </c>
      <c r="G2529" s="202">
        <v>2</v>
      </c>
      <c r="H2529">
        <v>4</v>
      </c>
      <c r="I2529" t="s">
        <v>4017</v>
      </c>
      <c r="J2529" t="s">
        <v>4809</v>
      </c>
      <c r="K2529" t="s">
        <v>1283</v>
      </c>
      <c r="L2529" s="204">
        <v>0.05</v>
      </c>
      <c r="M2529" s="112">
        <v>10.3725</v>
      </c>
      <c r="N2529" s="112">
        <v>0.518625</v>
      </c>
      <c r="O2529" s="204"/>
      <c r="P2529" s="112"/>
      <c r="Q2529" s="112"/>
      <c r="R2529" s="112"/>
      <c r="S2529" s="112"/>
      <c r="T2529" s="112"/>
      <c r="U2529" t="s">
        <v>6056</v>
      </c>
      <c r="V2529" t="s">
        <v>6057</v>
      </c>
      <c r="W2529" t="s">
        <v>3958</v>
      </c>
      <c r="X2529" t="s">
        <v>4660</v>
      </c>
    </row>
    <row r="2530" spans="1:24" x14ac:dyDescent="0.2">
      <c r="A2530" t="s">
        <v>6055</v>
      </c>
      <c r="B2530" t="s">
        <v>2081</v>
      </c>
      <c r="C2530" t="s">
        <v>2082</v>
      </c>
      <c r="D2530" t="s">
        <v>56</v>
      </c>
      <c r="E2530" t="s">
        <v>2083</v>
      </c>
      <c r="F2530" t="s">
        <v>84</v>
      </c>
      <c r="G2530" s="202">
        <v>2</v>
      </c>
      <c r="H2530">
        <v>5</v>
      </c>
      <c r="I2530" t="s">
        <v>3968</v>
      </c>
      <c r="J2530" t="s">
        <v>3969</v>
      </c>
      <c r="K2530" t="s">
        <v>84</v>
      </c>
      <c r="L2530" s="204">
        <v>1</v>
      </c>
      <c r="M2530" s="112"/>
      <c r="N2530" s="112">
        <v>10.3725</v>
      </c>
      <c r="O2530" s="204">
        <v>0.2219812002892263</v>
      </c>
      <c r="P2530" s="112">
        <v>2.3025000000000002</v>
      </c>
      <c r="Q2530" s="112">
        <v>12.675000000000001</v>
      </c>
      <c r="R2530" s="112">
        <v>25.35</v>
      </c>
      <c r="S2530" s="112">
        <v>25.35</v>
      </c>
      <c r="T2530" s="112">
        <v>0</v>
      </c>
      <c r="U2530" t="s">
        <v>6056</v>
      </c>
      <c r="V2530" t="s">
        <v>6057</v>
      </c>
      <c r="W2530" t="s">
        <v>4666</v>
      </c>
      <c r="X2530" t="s">
        <v>4667</v>
      </c>
    </row>
    <row r="2531" spans="1:24" x14ac:dyDescent="0.2">
      <c r="A2531" t="s">
        <v>6058</v>
      </c>
      <c r="B2531" t="s">
        <v>2084</v>
      </c>
      <c r="C2531" t="s">
        <v>2085</v>
      </c>
      <c r="D2531" t="s">
        <v>56</v>
      </c>
      <c r="E2531" t="s">
        <v>2086</v>
      </c>
      <c r="F2531" t="s">
        <v>84</v>
      </c>
      <c r="G2531" s="202">
        <v>1</v>
      </c>
      <c r="H2531">
        <v>1</v>
      </c>
      <c r="I2531" t="s">
        <v>3954</v>
      </c>
      <c r="J2531" t="s">
        <v>4823</v>
      </c>
      <c r="K2531" t="s">
        <v>1283</v>
      </c>
      <c r="L2531" s="204">
        <v>0.18</v>
      </c>
      <c r="M2531" s="112">
        <v>38.46</v>
      </c>
      <c r="N2531" s="112">
        <v>6.9227999999999996</v>
      </c>
      <c r="O2531" s="204"/>
      <c r="P2531" s="112"/>
      <c r="Q2531" s="112"/>
      <c r="R2531" s="112"/>
      <c r="S2531" s="112"/>
      <c r="T2531" s="112"/>
      <c r="U2531" t="s">
        <v>6059</v>
      </c>
      <c r="V2531" t="s">
        <v>6060</v>
      </c>
      <c r="W2531" t="s">
        <v>3958</v>
      </c>
      <c r="X2531" t="s">
        <v>4660</v>
      </c>
    </row>
    <row r="2532" spans="1:24" x14ac:dyDescent="0.2">
      <c r="A2532" t="s">
        <v>6058</v>
      </c>
      <c r="B2532" t="s">
        <v>2084</v>
      </c>
      <c r="C2532" t="s">
        <v>2085</v>
      </c>
      <c r="D2532" t="s">
        <v>56</v>
      </c>
      <c r="E2532" t="s">
        <v>2086</v>
      </c>
      <c r="F2532" t="s">
        <v>84</v>
      </c>
      <c r="G2532" s="202">
        <v>1</v>
      </c>
      <c r="H2532">
        <v>2</v>
      </c>
      <c r="I2532" t="s">
        <v>3960</v>
      </c>
      <c r="J2532" t="s">
        <v>4826</v>
      </c>
      <c r="K2532" t="s">
        <v>1283</v>
      </c>
      <c r="L2532" s="204">
        <v>0.72</v>
      </c>
      <c r="M2532" s="112">
        <v>38.46</v>
      </c>
      <c r="N2532" s="112">
        <v>27.691199999999998</v>
      </c>
      <c r="O2532" s="204"/>
      <c r="P2532" s="112"/>
      <c r="Q2532" s="112"/>
      <c r="R2532" s="112"/>
      <c r="S2532" s="112"/>
      <c r="T2532" s="112"/>
      <c r="U2532" t="s">
        <v>6059</v>
      </c>
      <c r="V2532" t="s">
        <v>6060</v>
      </c>
      <c r="W2532" t="s">
        <v>3958</v>
      </c>
      <c r="X2532" t="s">
        <v>4660</v>
      </c>
    </row>
    <row r="2533" spans="1:24" x14ac:dyDescent="0.2">
      <c r="A2533" t="s">
        <v>6058</v>
      </c>
      <c r="B2533" t="s">
        <v>2084</v>
      </c>
      <c r="C2533" t="s">
        <v>2085</v>
      </c>
      <c r="D2533" t="s">
        <v>56</v>
      </c>
      <c r="E2533" t="s">
        <v>2086</v>
      </c>
      <c r="F2533" t="s">
        <v>84</v>
      </c>
      <c r="G2533" s="202">
        <v>1</v>
      </c>
      <c r="H2533">
        <v>3</v>
      </c>
      <c r="I2533" t="s">
        <v>3976</v>
      </c>
      <c r="J2533" t="s">
        <v>4827</v>
      </c>
      <c r="K2533" t="s">
        <v>1283</v>
      </c>
      <c r="L2533" s="204">
        <v>0.05</v>
      </c>
      <c r="M2533" s="112">
        <v>38.46</v>
      </c>
      <c r="N2533" s="112">
        <v>1.923</v>
      </c>
      <c r="O2533" s="204"/>
      <c r="P2533" s="112"/>
      <c r="Q2533" s="112"/>
      <c r="R2533" s="112"/>
      <c r="S2533" s="112"/>
      <c r="T2533" s="112"/>
      <c r="U2533" t="s">
        <v>6059</v>
      </c>
      <c r="V2533" t="s">
        <v>6060</v>
      </c>
      <c r="W2533" t="s">
        <v>3958</v>
      </c>
      <c r="X2533" t="s">
        <v>4660</v>
      </c>
    </row>
    <row r="2534" spans="1:24" x14ac:dyDescent="0.2">
      <c r="A2534" t="s">
        <v>6058</v>
      </c>
      <c r="B2534" t="s">
        <v>2084</v>
      </c>
      <c r="C2534" t="s">
        <v>2085</v>
      </c>
      <c r="D2534" t="s">
        <v>56</v>
      </c>
      <c r="E2534" t="s">
        <v>2086</v>
      </c>
      <c r="F2534" t="s">
        <v>84</v>
      </c>
      <c r="G2534" s="202">
        <v>1</v>
      </c>
      <c r="H2534">
        <v>4</v>
      </c>
      <c r="I2534" t="s">
        <v>4017</v>
      </c>
      <c r="J2534" t="s">
        <v>4809</v>
      </c>
      <c r="K2534" t="s">
        <v>1283</v>
      </c>
      <c r="L2534" s="204">
        <v>0.05</v>
      </c>
      <c r="M2534" s="112">
        <v>38.46</v>
      </c>
      <c r="N2534" s="112">
        <v>1.923</v>
      </c>
      <c r="O2534" s="204"/>
      <c r="P2534" s="112"/>
      <c r="Q2534" s="112"/>
      <c r="R2534" s="112"/>
      <c r="S2534" s="112"/>
      <c r="T2534" s="112"/>
      <c r="U2534" t="s">
        <v>6059</v>
      </c>
      <c r="V2534" t="s">
        <v>6060</v>
      </c>
      <c r="W2534" t="s">
        <v>3958</v>
      </c>
      <c r="X2534" t="s">
        <v>4660</v>
      </c>
    </row>
    <row r="2535" spans="1:24" x14ac:dyDescent="0.2">
      <c r="A2535" t="s">
        <v>6058</v>
      </c>
      <c r="B2535" t="s">
        <v>2084</v>
      </c>
      <c r="C2535" t="s">
        <v>2085</v>
      </c>
      <c r="D2535" t="s">
        <v>56</v>
      </c>
      <c r="E2535" t="s">
        <v>2086</v>
      </c>
      <c r="F2535" t="s">
        <v>84</v>
      </c>
      <c r="G2535" s="202">
        <v>1</v>
      </c>
      <c r="H2535">
        <v>5</v>
      </c>
      <c r="I2535" t="s">
        <v>3968</v>
      </c>
      <c r="J2535" t="s">
        <v>3969</v>
      </c>
      <c r="K2535" t="s">
        <v>84</v>
      </c>
      <c r="L2535" s="204">
        <v>1</v>
      </c>
      <c r="M2535" s="112"/>
      <c r="N2535" s="112">
        <v>38.46</v>
      </c>
      <c r="O2535" s="204">
        <v>0.22204888195527817</v>
      </c>
      <c r="P2535" s="112">
        <v>8.5399999999999991</v>
      </c>
      <c r="Q2535" s="112">
        <v>47</v>
      </c>
      <c r="R2535" s="112">
        <v>47</v>
      </c>
      <c r="S2535" s="112">
        <v>47</v>
      </c>
      <c r="T2535" s="112">
        <v>0</v>
      </c>
      <c r="U2535" t="s">
        <v>6059</v>
      </c>
      <c r="V2535" t="s">
        <v>6060</v>
      </c>
      <c r="W2535" t="s">
        <v>4666</v>
      </c>
      <c r="X2535" t="s">
        <v>4667</v>
      </c>
    </row>
    <row r="2536" spans="1:24" x14ac:dyDescent="0.2">
      <c r="A2536" t="s">
        <v>6061</v>
      </c>
      <c r="B2536" t="s">
        <v>2087</v>
      </c>
      <c r="C2536" t="s">
        <v>2088</v>
      </c>
      <c r="D2536" t="s">
        <v>56</v>
      </c>
      <c r="E2536" t="s">
        <v>995</v>
      </c>
      <c r="F2536" t="s">
        <v>84</v>
      </c>
      <c r="G2536" s="202">
        <v>4</v>
      </c>
      <c r="H2536">
        <v>1</v>
      </c>
      <c r="I2536" t="s">
        <v>3954</v>
      </c>
      <c r="J2536" t="s">
        <v>4823</v>
      </c>
      <c r="K2536" t="s">
        <v>1283</v>
      </c>
      <c r="L2536" s="204">
        <v>0.18</v>
      </c>
      <c r="M2536" s="112">
        <v>42.150000000000006</v>
      </c>
      <c r="N2536" s="112">
        <v>7.5870000000000006</v>
      </c>
      <c r="O2536" s="204"/>
      <c r="P2536" s="112"/>
      <c r="Q2536" s="112"/>
      <c r="R2536" s="112"/>
      <c r="S2536" s="112"/>
      <c r="T2536" s="112"/>
      <c r="U2536" t="s">
        <v>6062</v>
      </c>
      <c r="V2536" t="s">
        <v>6063</v>
      </c>
      <c r="W2536" t="s">
        <v>3958</v>
      </c>
      <c r="X2536" t="s">
        <v>4660</v>
      </c>
    </row>
    <row r="2537" spans="1:24" x14ac:dyDescent="0.2">
      <c r="A2537" t="s">
        <v>6061</v>
      </c>
      <c r="B2537" t="s">
        <v>2087</v>
      </c>
      <c r="C2537" t="s">
        <v>2088</v>
      </c>
      <c r="D2537" t="s">
        <v>56</v>
      </c>
      <c r="E2537" t="s">
        <v>995</v>
      </c>
      <c r="F2537" t="s">
        <v>84</v>
      </c>
      <c r="G2537" s="202">
        <v>4</v>
      </c>
      <c r="H2537">
        <v>2</v>
      </c>
      <c r="I2537" t="s">
        <v>3960</v>
      </c>
      <c r="J2537" t="s">
        <v>4826</v>
      </c>
      <c r="K2537" t="s">
        <v>1283</v>
      </c>
      <c r="L2537" s="204">
        <v>0.72</v>
      </c>
      <c r="M2537" s="112">
        <v>42.150000000000006</v>
      </c>
      <c r="N2537" s="112">
        <v>30.348000000000003</v>
      </c>
      <c r="O2537" s="204"/>
      <c r="P2537" s="112"/>
      <c r="Q2537" s="112"/>
      <c r="R2537" s="112"/>
      <c r="S2537" s="112"/>
      <c r="T2537" s="112"/>
      <c r="U2537" t="s">
        <v>6062</v>
      </c>
      <c r="V2537" t="s">
        <v>6063</v>
      </c>
      <c r="W2537" t="s">
        <v>3958</v>
      </c>
      <c r="X2537" t="s">
        <v>4660</v>
      </c>
    </row>
    <row r="2538" spans="1:24" x14ac:dyDescent="0.2">
      <c r="A2538" t="s">
        <v>6061</v>
      </c>
      <c r="B2538" t="s">
        <v>2087</v>
      </c>
      <c r="C2538" t="s">
        <v>2088</v>
      </c>
      <c r="D2538" t="s">
        <v>56</v>
      </c>
      <c r="E2538" t="s">
        <v>995</v>
      </c>
      <c r="F2538" t="s">
        <v>84</v>
      </c>
      <c r="G2538" s="202">
        <v>4</v>
      </c>
      <c r="H2538">
        <v>3</v>
      </c>
      <c r="I2538" t="s">
        <v>3976</v>
      </c>
      <c r="J2538" t="s">
        <v>4827</v>
      </c>
      <c r="K2538" t="s">
        <v>1283</v>
      </c>
      <c r="L2538" s="204">
        <v>0.05</v>
      </c>
      <c r="M2538" s="112">
        <v>42.150000000000006</v>
      </c>
      <c r="N2538" s="112">
        <v>2.1075000000000004</v>
      </c>
      <c r="O2538" s="204"/>
      <c r="P2538" s="112"/>
      <c r="Q2538" s="112"/>
      <c r="R2538" s="112"/>
      <c r="S2538" s="112"/>
      <c r="T2538" s="112"/>
      <c r="U2538" t="s">
        <v>6062</v>
      </c>
      <c r="V2538" t="s">
        <v>6063</v>
      </c>
      <c r="W2538" t="s">
        <v>3958</v>
      </c>
      <c r="X2538" t="s">
        <v>4660</v>
      </c>
    </row>
    <row r="2539" spans="1:24" x14ac:dyDescent="0.2">
      <c r="A2539" t="s">
        <v>6061</v>
      </c>
      <c r="B2539" t="s">
        <v>2087</v>
      </c>
      <c r="C2539" t="s">
        <v>2088</v>
      </c>
      <c r="D2539" t="s">
        <v>56</v>
      </c>
      <c r="E2539" t="s">
        <v>995</v>
      </c>
      <c r="F2539" t="s">
        <v>84</v>
      </c>
      <c r="G2539" s="202">
        <v>4</v>
      </c>
      <c r="H2539">
        <v>4</v>
      </c>
      <c r="I2539" t="s">
        <v>4017</v>
      </c>
      <c r="J2539" t="s">
        <v>4809</v>
      </c>
      <c r="K2539" t="s">
        <v>1283</v>
      </c>
      <c r="L2539" s="204">
        <v>0.05</v>
      </c>
      <c r="M2539" s="112">
        <v>42.150000000000006</v>
      </c>
      <c r="N2539" s="112">
        <v>2.1075000000000004</v>
      </c>
      <c r="O2539" s="204"/>
      <c r="P2539" s="112"/>
      <c r="Q2539" s="112"/>
      <c r="R2539" s="112"/>
      <c r="S2539" s="112"/>
      <c r="T2539" s="112"/>
      <c r="U2539" t="s">
        <v>6062</v>
      </c>
      <c r="V2539" t="s">
        <v>6063</v>
      </c>
      <c r="W2539" t="s">
        <v>3958</v>
      </c>
      <c r="X2539" t="s">
        <v>4660</v>
      </c>
    </row>
    <row r="2540" spans="1:24" x14ac:dyDescent="0.2">
      <c r="A2540" t="s">
        <v>6061</v>
      </c>
      <c r="B2540" t="s">
        <v>2087</v>
      </c>
      <c r="C2540" t="s">
        <v>2088</v>
      </c>
      <c r="D2540" t="s">
        <v>56</v>
      </c>
      <c r="E2540" t="s">
        <v>995</v>
      </c>
      <c r="F2540" t="s">
        <v>84</v>
      </c>
      <c r="G2540" s="202">
        <v>4</v>
      </c>
      <c r="H2540">
        <v>5</v>
      </c>
      <c r="I2540" t="s">
        <v>3968</v>
      </c>
      <c r="J2540" t="s">
        <v>3969</v>
      </c>
      <c r="K2540" t="s">
        <v>84</v>
      </c>
      <c r="L2540" s="204">
        <v>1</v>
      </c>
      <c r="M2540" s="112"/>
      <c r="N2540" s="112">
        <v>42.150000000000006</v>
      </c>
      <c r="O2540" s="204">
        <v>0.22224199288256208</v>
      </c>
      <c r="P2540" s="112">
        <v>9.3674999999999926</v>
      </c>
      <c r="Q2540" s="112">
        <v>51.517499999999998</v>
      </c>
      <c r="R2540" s="112">
        <v>206.07</v>
      </c>
      <c r="S2540" s="112">
        <v>206.07</v>
      </c>
      <c r="T2540" s="112">
        <v>0</v>
      </c>
      <c r="U2540" t="s">
        <v>6062</v>
      </c>
      <c r="V2540" t="s">
        <v>6063</v>
      </c>
      <c r="W2540" t="s">
        <v>4666</v>
      </c>
      <c r="X2540" t="s">
        <v>4667</v>
      </c>
    </row>
    <row r="2541" spans="1:24" x14ac:dyDescent="0.2">
      <c r="A2541" t="s">
        <v>6064</v>
      </c>
      <c r="B2541" t="s">
        <v>2089</v>
      </c>
      <c r="C2541" t="s">
        <v>2090</v>
      </c>
      <c r="D2541" t="s">
        <v>56</v>
      </c>
      <c r="E2541" t="s">
        <v>2091</v>
      </c>
      <c r="F2541" t="s">
        <v>84</v>
      </c>
      <c r="G2541" s="202">
        <v>8</v>
      </c>
      <c r="H2541">
        <v>1</v>
      </c>
      <c r="I2541" t="s">
        <v>3954</v>
      </c>
      <c r="J2541" t="s">
        <v>4823</v>
      </c>
      <c r="K2541" t="s">
        <v>1283</v>
      </c>
      <c r="L2541" s="204">
        <v>0.18</v>
      </c>
      <c r="M2541" s="112">
        <v>48.675000000000004</v>
      </c>
      <c r="N2541" s="112">
        <v>8.7614999999999998</v>
      </c>
      <c r="O2541" s="204"/>
      <c r="P2541" s="112"/>
      <c r="Q2541" s="112"/>
      <c r="R2541" s="112"/>
      <c r="S2541" s="112"/>
      <c r="T2541" s="112"/>
      <c r="U2541" t="s">
        <v>6065</v>
      </c>
      <c r="V2541" t="s">
        <v>6066</v>
      </c>
      <c r="W2541" t="s">
        <v>3958</v>
      </c>
      <c r="X2541" t="s">
        <v>4660</v>
      </c>
    </row>
    <row r="2542" spans="1:24" x14ac:dyDescent="0.2">
      <c r="A2542" t="s">
        <v>6064</v>
      </c>
      <c r="B2542" t="s">
        <v>2089</v>
      </c>
      <c r="C2542" t="s">
        <v>2090</v>
      </c>
      <c r="D2542" t="s">
        <v>56</v>
      </c>
      <c r="E2542" t="s">
        <v>2091</v>
      </c>
      <c r="F2542" t="s">
        <v>84</v>
      </c>
      <c r="G2542" s="202">
        <v>8</v>
      </c>
      <c r="H2542">
        <v>2</v>
      </c>
      <c r="I2542" t="s">
        <v>3960</v>
      </c>
      <c r="J2542" t="s">
        <v>4826</v>
      </c>
      <c r="K2542" t="s">
        <v>1283</v>
      </c>
      <c r="L2542" s="204">
        <v>0.72</v>
      </c>
      <c r="M2542" s="112">
        <v>48.675000000000004</v>
      </c>
      <c r="N2542" s="112">
        <v>35.045999999999999</v>
      </c>
      <c r="O2542" s="204"/>
      <c r="P2542" s="112"/>
      <c r="Q2542" s="112"/>
      <c r="R2542" s="112"/>
      <c r="S2542" s="112"/>
      <c r="T2542" s="112"/>
      <c r="U2542" t="s">
        <v>6065</v>
      </c>
      <c r="V2542" t="s">
        <v>6066</v>
      </c>
      <c r="W2542" t="s">
        <v>3958</v>
      </c>
      <c r="X2542" t="s">
        <v>4660</v>
      </c>
    </row>
    <row r="2543" spans="1:24" x14ac:dyDescent="0.2">
      <c r="A2543" t="s">
        <v>6064</v>
      </c>
      <c r="B2543" t="s">
        <v>2089</v>
      </c>
      <c r="C2543" t="s">
        <v>2090</v>
      </c>
      <c r="D2543" t="s">
        <v>56</v>
      </c>
      <c r="E2543" t="s">
        <v>2091</v>
      </c>
      <c r="F2543" t="s">
        <v>84</v>
      </c>
      <c r="G2543" s="202">
        <v>8</v>
      </c>
      <c r="H2543">
        <v>3</v>
      </c>
      <c r="I2543" t="s">
        <v>3976</v>
      </c>
      <c r="J2543" t="s">
        <v>4827</v>
      </c>
      <c r="K2543" t="s">
        <v>1283</v>
      </c>
      <c r="L2543" s="204">
        <v>0.05</v>
      </c>
      <c r="M2543" s="112">
        <v>48.675000000000004</v>
      </c>
      <c r="N2543" s="112">
        <v>2.4337500000000003</v>
      </c>
      <c r="O2543" s="204"/>
      <c r="P2543" s="112"/>
      <c r="Q2543" s="112"/>
      <c r="R2543" s="112"/>
      <c r="S2543" s="112"/>
      <c r="T2543" s="112"/>
      <c r="U2543" t="s">
        <v>6065</v>
      </c>
      <c r="V2543" t="s">
        <v>6066</v>
      </c>
      <c r="W2543" t="s">
        <v>3958</v>
      </c>
      <c r="X2543" t="s">
        <v>4660</v>
      </c>
    </row>
    <row r="2544" spans="1:24" x14ac:dyDescent="0.2">
      <c r="A2544" t="s">
        <v>6064</v>
      </c>
      <c r="B2544" t="s">
        <v>2089</v>
      </c>
      <c r="C2544" t="s">
        <v>2090</v>
      </c>
      <c r="D2544" t="s">
        <v>56</v>
      </c>
      <c r="E2544" t="s">
        <v>2091</v>
      </c>
      <c r="F2544" t="s">
        <v>84</v>
      </c>
      <c r="G2544" s="202">
        <v>8</v>
      </c>
      <c r="H2544">
        <v>4</v>
      </c>
      <c r="I2544" t="s">
        <v>4017</v>
      </c>
      <c r="J2544" t="s">
        <v>4809</v>
      </c>
      <c r="K2544" t="s">
        <v>1283</v>
      </c>
      <c r="L2544" s="204">
        <v>0.05</v>
      </c>
      <c r="M2544" s="112">
        <v>48.675000000000004</v>
      </c>
      <c r="N2544" s="112">
        <v>2.4337500000000003</v>
      </c>
      <c r="O2544" s="204"/>
      <c r="P2544" s="112"/>
      <c r="Q2544" s="112"/>
      <c r="R2544" s="112"/>
      <c r="S2544" s="112"/>
      <c r="T2544" s="112"/>
      <c r="U2544" t="s">
        <v>6065</v>
      </c>
      <c r="V2544" t="s">
        <v>6066</v>
      </c>
      <c r="W2544" t="s">
        <v>3958</v>
      </c>
      <c r="X2544" t="s">
        <v>4660</v>
      </c>
    </row>
    <row r="2545" spans="1:24" x14ac:dyDescent="0.2">
      <c r="A2545" t="s">
        <v>6064</v>
      </c>
      <c r="B2545" t="s">
        <v>2089</v>
      </c>
      <c r="C2545" t="s">
        <v>2090</v>
      </c>
      <c r="D2545" t="s">
        <v>56</v>
      </c>
      <c r="E2545" t="s">
        <v>2091</v>
      </c>
      <c r="F2545" t="s">
        <v>84</v>
      </c>
      <c r="G2545" s="202">
        <v>8</v>
      </c>
      <c r="H2545">
        <v>5</v>
      </c>
      <c r="I2545" t="s">
        <v>3968</v>
      </c>
      <c r="J2545" t="s">
        <v>3969</v>
      </c>
      <c r="K2545" t="s">
        <v>84</v>
      </c>
      <c r="L2545" s="204">
        <v>1</v>
      </c>
      <c r="M2545" s="112"/>
      <c r="N2545" s="112">
        <v>48.675000000000004</v>
      </c>
      <c r="O2545" s="204">
        <v>0.2221879815100154</v>
      </c>
      <c r="P2545" s="112">
        <v>10.814999999999998</v>
      </c>
      <c r="Q2545" s="112">
        <v>59.49</v>
      </c>
      <c r="R2545" s="112">
        <v>475.92</v>
      </c>
      <c r="S2545" s="112">
        <v>475.92</v>
      </c>
      <c r="T2545" s="112">
        <v>0</v>
      </c>
      <c r="U2545" t="s">
        <v>6065</v>
      </c>
      <c r="V2545" t="s">
        <v>6066</v>
      </c>
      <c r="W2545" t="s">
        <v>4666</v>
      </c>
      <c r="X2545" t="s">
        <v>4667</v>
      </c>
    </row>
    <row r="2546" spans="1:24" x14ac:dyDescent="0.2">
      <c r="A2546" t="s">
        <v>6067</v>
      </c>
      <c r="B2546" t="s">
        <v>2092</v>
      </c>
      <c r="C2546" t="s">
        <v>2093</v>
      </c>
      <c r="D2546" t="s">
        <v>56</v>
      </c>
      <c r="E2546" t="s">
        <v>2094</v>
      </c>
      <c r="F2546" t="s">
        <v>84</v>
      </c>
      <c r="G2546" s="202">
        <v>1</v>
      </c>
      <c r="H2546">
        <v>1</v>
      </c>
      <c r="I2546" t="s">
        <v>3954</v>
      </c>
      <c r="J2546" t="s">
        <v>4823</v>
      </c>
      <c r="K2546" t="s">
        <v>1283</v>
      </c>
      <c r="L2546" s="204">
        <v>0.18</v>
      </c>
      <c r="M2546" s="112">
        <v>48.675000000000004</v>
      </c>
      <c r="N2546" s="112">
        <v>8.7614999999999998</v>
      </c>
      <c r="O2546" s="204"/>
      <c r="P2546" s="112"/>
      <c r="Q2546" s="112"/>
      <c r="R2546" s="112"/>
      <c r="S2546" s="112"/>
      <c r="T2546" s="112"/>
      <c r="U2546" t="s">
        <v>6068</v>
      </c>
      <c r="V2546" t="s">
        <v>6069</v>
      </c>
      <c r="W2546" t="s">
        <v>3958</v>
      </c>
      <c r="X2546" t="s">
        <v>4660</v>
      </c>
    </row>
    <row r="2547" spans="1:24" x14ac:dyDescent="0.2">
      <c r="A2547" t="s">
        <v>6067</v>
      </c>
      <c r="B2547" t="s">
        <v>2092</v>
      </c>
      <c r="C2547" t="s">
        <v>2093</v>
      </c>
      <c r="D2547" t="s">
        <v>56</v>
      </c>
      <c r="E2547" t="s">
        <v>2094</v>
      </c>
      <c r="F2547" t="s">
        <v>84</v>
      </c>
      <c r="G2547" s="202">
        <v>1</v>
      </c>
      <c r="H2547">
        <v>2</v>
      </c>
      <c r="I2547" t="s">
        <v>3960</v>
      </c>
      <c r="J2547" t="s">
        <v>4826</v>
      </c>
      <c r="K2547" t="s">
        <v>1283</v>
      </c>
      <c r="L2547" s="204">
        <v>0.72</v>
      </c>
      <c r="M2547" s="112">
        <v>48.675000000000004</v>
      </c>
      <c r="N2547" s="112">
        <v>35.045999999999999</v>
      </c>
      <c r="O2547" s="204"/>
      <c r="P2547" s="112"/>
      <c r="Q2547" s="112"/>
      <c r="R2547" s="112"/>
      <c r="S2547" s="112"/>
      <c r="T2547" s="112"/>
      <c r="U2547" t="s">
        <v>6068</v>
      </c>
      <c r="V2547" t="s">
        <v>6069</v>
      </c>
      <c r="W2547" t="s">
        <v>3958</v>
      </c>
      <c r="X2547" t="s">
        <v>4660</v>
      </c>
    </row>
    <row r="2548" spans="1:24" x14ac:dyDescent="0.2">
      <c r="A2548" t="s">
        <v>6067</v>
      </c>
      <c r="B2548" t="s">
        <v>2092</v>
      </c>
      <c r="C2548" t="s">
        <v>2093</v>
      </c>
      <c r="D2548" t="s">
        <v>56</v>
      </c>
      <c r="E2548" t="s">
        <v>2094</v>
      </c>
      <c r="F2548" t="s">
        <v>84</v>
      </c>
      <c r="G2548" s="202">
        <v>1</v>
      </c>
      <c r="H2548">
        <v>3</v>
      </c>
      <c r="I2548" t="s">
        <v>3976</v>
      </c>
      <c r="J2548" t="s">
        <v>4827</v>
      </c>
      <c r="K2548" t="s">
        <v>1283</v>
      </c>
      <c r="L2548" s="204">
        <v>0.05</v>
      </c>
      <c r="M2548" s="112">
        <v>48.675000000000004</v>
      </c>
      <c r="N2548" s="112">
        <v>2.4337500000000003</v>
      </c>
      <c r="O2548" s="204"/>
      <c r="P2548" s="112"/>
      <c r="Q2548" s="112"/>
      <c r="R2548" s="112"/>
      <c r="S2548" s="112"/>
      <c r="T2548" s="112"/>
      <c r="U2548" t="s">
        <v>6068</v>
      </c>
      <c r="V2548" t="s">
        <v>6069</v>
      </c>
      <c r="W2548" t="s">
        <v>3958</v>
      </c>
      <c r="X2548" t="s">
        <v>4660</v>
      </c>
    </row>
    <row r="2549" spans="1:24" x14ac:dyDescent="0.2">
      <c r="A2549" t="s">
        <v>6067</v>
      </c>
      <c r="B2549" t="s">
        <v>2092</v>
      </c>
      <c r="C2549" t="s">
        <v>2093</v>
      </c>
      <c r="D2549" t="s">
        <v>56</v>
      </c>
      <c r="E2549" t="s">
        <v>2094</v>
      </c>
      <c r="F2549" t="s">
        <v>84</v>
      </c>
      <c r="G2549" s="202">
        <v>1</v>
      </c>
      <c r="H2549">
        <v>4</v>
      </c>
      <c r="I2549" t="s">
        <v>4017</v>
      </c>
      <c r="J2549" t="s">
        <v>4809</v>
      </c>
      <c r="K2549" t="s">
        <v>1283</v>
      </c>
      <c r="L2549" s="204">
        <v>0.05</v>
      </c>
      <c r="M2549" s="112">
        <v>48.675000000000004</v>
      </c>
      <c r="N2549" s="112">
        <v>2.4337500000000003</v>
      </c>
      <c r="O2549" s="204"/>
      <c r="P2549" s="112"/>
      <c r="Q2549" s="112"/>
      <c r="R2549" s="112"/>
      <c r="S2549" s="112"/>
      <c r="T2549" s="112"/>
      <c r="U2549" t="s">
        <v>6068</v>
      </c>
      <c r="V2549" t="s">
        <v>6069</v>
      </c>
      <c r="W2549" t="s">
        <v>3958</v>
      </c>
      <c r="X2549" t="s">
        <v>4660</v>
      </c>
    </row>
    <row r="2550" spans="1:24" x14ac:dyDescent="0.2">
      <c r="A2550" t="s">
        <v>6067</v>
      </c>
      <c r="B2550" t="s">
        <v>2092</v>
      </c>
      <c r="C2550" t="s">
        <v>2093</v>
      </c>
      <c r="D2550" t="s">
        <v>56</v>
      </c>
      <c r="E2550" t="s">
        <v>2094</v>
      </c>
      <c r="F2550" t="s">
        <v>84</v>
      </c>
      <c r="G2550" s="202">
        <v>1</v>
      </c>
      <c r="H2550">
        <v>5</v>
      </c>
      <c r="I2550" t="s">
        <v>3968</v>
      </c>
      <c r="J2550" t="s">
        <v>3969</v>
      </c>
      <c r="K2550" t="s">
        <v>84</v>
      </c>
      <c r="L2550" s="204">
        <v>1</v>
      </c>
      <c r="M2550" s="112"/>
      <c r="N2550" s="112">
        <v>48.675000000000004</v>
      </c>
      <c r="O2550" s="204">
        <v>0.2221879815100154</v>
      </c>
      <c r="P2550" s="112">
        <v>10.814999999999998</v>
      </c>
      <c r="Q2550" s="112">
        <v>59.49</v>
      </c>
      <c r="R2550" s="112">
        <v>59.49</v>
      </c>
      <c r="S2550" s="112">
        <v>59.49</v>
      </c>
      <c r="T2550" s="112">
        <v>0</v>
      </c>
      <c r="U2550" t="s">
        <v>6068</v>
      </c>
      <c r="V2550" t="s">
        <v>6069</v>
      </c>
      <c r="W2550" t="s">
        <v>4666</v>
      </c>
      <c r="X2550" t="s">
        <v>4667</v>
      </c>
    </row>
    <row r="2551" spans="1:24" x14ac:dyDescent="0.2">
      <c r="A2551" t="s">
        <v>6070</v>
      </c>
      <c r="B2551" t="s">
        <v>2095</v>
      </c>
      <c r="C2551" t="s">
        <v>2096</v>
      </c>
      <c r="D2551" t="s">
        <v>24</v>
      </c>
      <c r="E2551" t="s">
        <v>2097</v>
      </c>
      <c r="F2551" t="s">
        <v>84</v>
      </c>
      <c r="G2551" s="202">
        <v>1</v>
      </c>
      <c r="H2551">
        <v>1</v>
      </c>
      <c r="I2551" t="s">
        <v>3954</v>
      </c>
      <c r="J2551" t="s">
        <v>4823</v>
      </c>
      <c r="K2551" t="s">
        <v>1283</v>
      </c>
      <c r="L2551" s="204">
        <v>0.18</v>
      </c>
      <c r="M2551" s="112">
        <v>34.522500000000001</v>
      </c>
      <c r="N2551" s="112">
        <v>6.2140500000000003</v>
      </c>
      <c r="O2551" s="204"/>
      <c r="P2551" s="112"/>
      <c r="Q2551" s="112"/>
      <c r="R2551" s="112"/>
      <c r="S2551" s="112"/>
      <c r="T2551" s="112"/>
      <c r="U2551" t="s">
        <v>6071</v>
      </c>
      <c r="V2551" t="s">
        <v>6072</v>
      </c>
      <c r="W2551" t="s">
        <v>3958</v>
      </c>
      <c r="X2551" t="s">
        <v>4660</v>
      </c>
    </row>
    <row r="2552" spans="1:24" x14ac:dyDescent="0.2">
      <c r="A2552" t="s">
        <v>6070</v>
      </c>
      <c r="B2552" t="s">
        <v>2095</v>
      </c>
      <c r="C2552" t="s">
        <v>2096</v>
      </c>
      <c r="D2552" t="s">
        <v>24</v>
      </c>
      <c r="E2552" t="s">
        <v>2097</v>
      </c>
      <c r="F2552" t="s">
        <v>84</v>
      </c>
      <c r="G2552" s="202">
        <v>1</v>
      </c>
      <c r="H2552">
        <v>2</v>
      </c>
      <c r="I2552" t="s">
        <v>3960</v>
      </c>
      <c r="J2552" t="s">
        <v>4826</v>
      </c>
      <c r="K2552" t="s">
        <v>1283</v>
      </c>
      <c r="L2552" s="204">
        <v>0.72</v>
      </c>
      <c r="M2552" s="112">
        <v>34.522500000000001</v>
      </c>
      <c r="N2552" s="112">
        <v>24.856200000000001</v>
      </c>
      <c r="O2552" s="204"/>
      <c r="P2552" s="112"/>
      <c r="Q2552" s="112"/>
      <c r="R2552" s="112"/>
      <c r="S2552" s="112"/>
      <c r="T2552" s="112"/>
      <c r="U2552" t="s">
        <v>6071</v>
      </c>
      <c r="V2552" t="s">
        <v>6072</v>
      </c>
      <c r="W2552" t="s">
        <v>3958</v>
      </c>
      <c r="X2552" t="s">
        <v>4660</v>
      </c>
    </row>
    <row r="2553" spans="1:24" x14ac:dyDescent="0.2">
      <c r="A2553" t="s">
        <v>6070</v>
      </c>
      <c r="B2553" t="s">
        <v>2095</v>
      </c>
      <c r="C2553" t="s">
        <v>2096</v>
      </c>
      <c r="D2553" t="s">
        <v>24</v>
      </c>
      <c r="E2553" t="s">
        <v>2097</v>
      </c>
      <c r="F2553" t="s">
        <v>84</v>
      </c>
      <c r="G2553" s="202">
        <v>1</v>
      </c>
      <c r="H2553">
        <v>3</v>
      </c>
      <c r="I2553" t="s">
        <v>3976</v>
      </c>
      <c r="J2553" t="s">
        <v>4827</v>
      </c>
      <c r="K2553" t="s">
        <v>1283</v>
      </c>
      <c r="L2553" s="204">
        <v>0.05</v>
      </c>
      <c r="M2553" s="112">
        <v>34.522500000000001</v>
      </c>
      <c r="N2553" s="112">
        <v>1.7261250000000001</v>
      </c>
      <c r="O2553" s="204"/>
      <c r="P2553" s="112"/>
      <c r="Q2553" s="112"/>
      <c r="R2553" s="112"/>
      <c r="S2553" s="112"/>
      <c r="T2553" s="112"/>
      <c r="U2553" t="s">
        <v>6071</v>
      </c>
      <c r="V2553" t="s">
        <v>6072</v>
      </c>
      <c r="W2553" t="s">
        <v>3958</v>
      </c>
      <c r="X2553" t="s">
        <v>4660</v>
      </c>
    </row>
    <row r="2554" spans="1:24" x14ac:dyDescent="0.2">
      <c r="A2554" t="s">
        <v>6070</v>
      </c>
      <c r="B2554" t="s">
        <v>2095</v>
      </c>
      <c r="C2554" t="s">
        <v>2096</v>
      </c>
      <c r="D2554" t="s">
        <v>24</v>
      </c>
      <c r="E2554" t="s">
        <v>2097</v>
      </c>
      <c r="F2554" t="s">
        <v>84</v>
      </c>
      <c r="G2554" s="202">
        <v>1</v>
      </c>
      <c r="H2554">
        <v>4</v>
      </c>
      <c r="I2554" t="s">
        <v>4017</v>
      </c>
      <c r="J2554" t="s">
        <v>4809</v>
      </c>
      <c r="K2554" t="s">
        <v>1283</v>
      </c>
      <c r="L2554" s="204">
        <v>0.05</v>
      </c>
      <c r="M2554" s="112">
        <v>34.522500000000001</v>
      </c>
      <c r="N2554" s="112">
        <v>1.7261250000000001</v>
      </c>
      <c r="O2554" s="204"/>
      <c r="P2554" s="112"/>
      <c r="Q2554" s="112"/>
      <c r="R2554" s="112"/>
      <c r="S2554" s="112"/>
      <c r="T2554" s="112"/>
      <c r="U2554" t="s">
        <v>6071</v>
      </c>
      <c r="V2554" t="s">
        <v>6072</v>
      </c>
      <c r="W2554" t="s">
        <v>3958</v>
      </c>
      <c r="X2554" t="s">
        <v>4660</v>
      </c>
    </row>
    <row r="2555" spans="1:24" x14ac:dyDescent="0.2">
      <c r="A2555" t="s">
        <v>6070</v>
      </c>
      <c r="B2555" t="s">
        <v>2095</v>
      </c>
      <c r="C2555" t="s">
        <v>2096</v>
      </c>
      <c r="D2555" t="s">
        <v>24</v>
      </c>
      <c r="E2555" t="s">
        <v>2097</v>
      </c>
      <c r="F2555" t="s">
        <v>84</v>
      </c>
      <c r="G2555" s="202">
        <v>1</v>
      </c>
      <c r="H2555">
        <v>5</v>
      </c>
      <c r="I2555" t="s">
        <v>3968</v>
      </c>
      <c r="J2555" t="s">
        <v>3969</v>
      </c>
      <c r="K2555" t="s">
        <v>84</v>
      </c>
      <c r="L2555" s="204">
        <v>1</v>
      </c>
      <c r="M2555" s="112"/>
      <c r="N2555" s="112">
        <v>34.522500000000001</v>
      </c>
      <c r="O2555" s="204">
        <v>0.22210152798899263</v>
      </c>
      <c r="P2555" s="112">
        <v>7.6674999999999969</v>
      </c>
      <c r="Q2555" s="112">
        <v>42.19</v>
      </c>
      <c r="R2555" s="112">
        <v>42.19</v>
      </c>
      <c r="S2555" s="112">
        <v>42.19</v>
      </c>
      <c r="T2555" s="112">
        <v>0</v>
      </c>
      <c r="U2555" t="s">
        <v>6071</v>
      </c>
      <c r="V2555" t="s">
        <v>6072</v>
      </c>
      <c r="W2555" t="s">
        <v>4666</v>
      </c>
      <c r="X2555" t="s">
        <v>4667</v>
      </c>
    </row>
    <row r="2556" spans="1:24" x14ac:dyDescent="0.2">
      <c r="A2556" t="s">
        <v>6073</v>
      </c>
      <c r="B2556" t="s">
        <v>2098</v>
      </c>
      <c r="C2556" t="s">
        <v>2099</v>
      </c>
      <c r="D2556" t="s">
        <v>56</v>
      </c>
      <c r="E2556" t="s">
        <v>2100</v>
      </c>
      <c r="F2556" t="s">
        <v>84</v>
      </c>
      <c r="G2556" s="202">
        <v>4</v>
      </c>
      <c r="H2556">
        <v>1</v>
      </c>
      <c r="I2556" t="s">
        <v>3954</v>
      </c>
      <c r="J2556" t="s">
        <v>4823</v>
      </c>
      <c r="K2556" t="s">
        <v>1283</v>
      </c>
      <c r="L2556" s="204">
        <v>0.18</v>
      </c>
      <c r="M2556" s="112">
        <v>301.1925</v>
      </c>
      <c r="N2556" s="112">
        <v>54.214649999999999</v>
      </c>
      <c r="O2556" s="204"/>
      <c r="P2556" s="112"/>
      <c r="Q2556" s="112"/>
      <c r="R2556" s="112"/>
      <c r="S2556" s="112"/>
      <c r="T2556" s="112"/>
      <c r="U2556" t="s">
        <v>6074</v>
      </c>
      <c r="V2556" t="s">
        <v>6075</v>
      </c>
      <c r="W2556" t="s">
        <v>3958</v>
      </c>
      <c r="X2556" t="s">
        <v>4660</v>
      </c>
    </row>
    <row r="2557" spans="1:24" x14ac:dyDescent="0.2">
      <c r="A2557" t="s">
        <v>6073</v>
      </c>
      <c r="B2557" t="s">
        <v>2098</v>
      </c>
      <c r="C2557" t="s">
        <v>2099</v>
      </c>
      <c r="D2557" t="s">
        <v>56</v>
      </c>
      <c r="E2557" t="s">
        <v>2100</v>
      </c>
      <c r="F2557" t="s">
        <v>84</v>
      </c>
      <c r="G2557" s="202">
        <v>4</v>
      </c>
      <c r="H2557">
        <v>2</v>
      </c>
      <c r="I2557" t="s">
        <v>3960</v>
      </c>
      <c r="J2557" t="s">
        <v>4826</v>
      </c>
      <c r="K2557" t="s">
        <v>1283</v>
      </c>
      <c r="L2557" s="204">
        <v>0.72</v>
      </c>
      <c r="M2557" s="112">
        <v>301.1925</v>
      </c>
      <c r="N2557" s="112">
        <v>216.8586</v>
      </c>
      <c r="O2557" s="204"/>
      <c r="P2557" s="112"/>
      <c r="Q2557" s="112"/>
      <c r="R2557" s="112"/>
      <c r="S2557" s="112"/>
      <c r="T2557" s="112"/>
      <c r="U2557" t="s">
        <v>6074</v>
      </c>
      <c r="V2557" t="s">
        <v>6075</v>
      </c>
      <c r="W2557" t="s">
        <v>3958</v>
      </c>
      <c r="X2557" t="s">
        <v>4660</v>
      </c>
    </row>
    <row r="2558" spans="1:24" x14ac:dyDescent="0.2">
      <c r="A2558" t="s">
        <v>6073</v>
      </c>
      <c r="B2558" t="s">
        <v>2098</v>
      </c>
      <c r="C2558" t="s">
        <v>2099</v>
      </c>
      <c r="D2558" t="s">
        <v>56</v>
      </c>
      <c r="E2558" t="s">
        <v>2100</v>
      </c>
      <c r="F2558" t="s">
        <v>84</v>
      </c>
      <c r="G2558" s="202">
        <v>4</v>
      </c>
      <c r="H2558">
        <v>3</v>
      </c>
      <c r="I2558" t="s">
        <v>3976</v>
      </c>
      <c r="J2558" t="s">
        <v>4827</v>
      </c>
      <c r="K2558" t="s">
        <v>1283</v>
      </c>
      <c r="L2558" s="204">
        <v>0.05</v>
      </c>
      <c r="M2558" s="112">
        <v>301.1925</v>
      </c>
      <c r="N2558" s="112">
        <v>15.059625</v>
      </c>
      <c r="O2558" s="204"/>
      <c r="P2558" s="112"/>
      <c r="Q2558" s="112"/>
      <c r="R2558" s="112"/>
      <c r="S2558" s="112"/>
      <c r="T2558" s="112"/>
      <c r="U2558" t="s">
        <v>6074</v>
      </c>
      <c r="V2558" t="s">
        <v>6075</v>
      </c>
      <c r="W2558" t="s">
        <v>3958</v>
      </c>
      <c r="X2558" t="s">
        <v>4660</v>
      </c>
    </row>
    <row r="2559" spans="1:24" x14ac:dyDescent="0.2">
      <c r="A2559" t="s">
        <v>6073</v>
      </c>
      <c r="B2559" t="s">
        <v>2098</v>
      </c>
      <c r="C2559" t="s">
        <v>2099</v>
      </c>
      <c r="D2559" t="s">
        <v>56</v>
      </c>
      <c r="E2559" t="s">
        <v>2100</v>
      </c>
      <c r="F2559" t="s">
        <v>84</v>
      </c>
      <c r="G2559" s="202">
        <v>4</v>
      </c>
      <c r="H2559">
        <v>4</v>
      </c>
      <c r="I2559" t="s">
        <v>4017</v>
      </c>
      <c r="J2559" t="s">
        <v>4809</v>
      </c>
      <c r="K2559" t="s">
        <v>1283</v>
      </c>
      <c r="L2559" s="204">
        <v>0.05</v>
      </c>
      <c r="M2559" s="112">
        <v>301.1925</v>
      </c>
      <c r="N2559" s="112">
        <v>15.059625</v>
      </c>
      <c r="O2559" s="204"/>
      <c r="P2559" s="112"/>
      <c r="Q2559" s="112"/>
      <c r="R2559" s="112"/>
      <c r="S2559" s="112"/>
      <c r="T2559" s="112"/>
      <c r="U2559" t="s">
        <v>6074</v>
      </c>
      <c r="V2559" t="s">
        <v>6075</v>
      </c>
      <c r="W2559" t="s">
        <v>3958</v>
      </c>
      <c r="X2559" t="s">
        <v>4660</v>
      </c>
    </row>
    <row r="2560" spans="1:24" x14ac:dyDescent="0.2">
      <c r="A2560" t="s">
        <v>6073</v>
      </c>
      <c r="B2560" t="s">
        <v>2098</v>
      </c>
      <c r="C2560" t="s">
        <v>2099</v>
      </c>
      <c r="D2560" t="s">
        <v>56</v>
      </c>
      <c r="E2560" t="s">
        <v>2100</v>
      </c>
      <c r="F2560" t="s">
        <v>84</v>
      </c>
      <c r="G2560" s="202">
        <v>4</v>
      </c>
      <c r="H2560">
        <v>5</v>
      </c>
      <c r="I2560" t="s">
        <v>3968</v>
      </c>
      <c r="J2560" t="s">
        <v>3969</v>
      </c>
      <c r="K2560" t="s">
        <v>84</v>
      </c>
      <c r="L2560" s="204">
        <v>1</v>
      </c>
      <c r="M2560" s="112"/>
      <c r="N2560" s="112">
        <v>301.1925</v>
      </c>
      <c r="O2560" s="204">
        <v>0.22229139171792123</v>
      </c>
      <c r="P2560" s="112">
        <v>66.952499999999986</v>
      </c>
      <c r="Q2560" s="112">
        <v>368.14499999999998</v>
      </c>
      <c r="R2560" s="112">
        <v>1472.58</v>
      </c>
      <c r="S2560" s="112">
        <v>1472.58</v>
      </c>
      <c r="T2560" s="112">
        <v>0</v>
      </c>
      <c r="U2560" t="s">
        <v>6074</v>
      </c>
      <c r="V2560" t="s">
        <v>6075</v>
      </c>
      <c r="W2560" t="s">
        <v>4666</v>
      </c>
      <c r="X2560" t="s">
        <v>4667</v>
      </c>
    </row>
    <row r="2561" spans="1:24" x14ac:dyDescent="0.2">
      <c r="A2561" t="s">
        <v>6076</v>
      </c>
      <c r="B2561" t="s">
        <v>2101</v>
      </c>
      <c r="C2561" t="s">
        <v>2102</v>
      </c>
      <c r="D2561" t="s">
        <v>24</v>
      </c>
      <c r="E2561" t="s">
        <v>1002</v>
      </c>
      <c r="F2561" t="s">
        <v>84</v>
      </c>
      <c r="G2561" s="202">
        <v>1</v>
      </c>
      <c r="H2561">
        <v>1</v>
      </c>
      <c r="I2561" t="s">
        <v>3954</v>
      </c>
      <c r="J2561" t="s">
        <v>4823</v>
      </c>
      <c r="K2561" t="s">
        <v>1283</v>
      </c>
      <c r="L2561" s="204">
        <v>0.18</v>
      </c>
      <c r="M2561" s="112">
        <v>293.22750000000002</v>
      </c>
      <c r="N2561" s="112">
        <v>52.780950000000004</v>
      </c>
      <c r="O2561" s="204"/>
      <c r="P2561" s="112"/>
      <c r="Q2561" s="112"/>
      <c r="R2561" s="112"/>
      <c r="S2561" s="112"/>
      <c r="T2561" s="112"/>
      <c r="U2561" t="s">
        <v>6077</v>
      </c>
      <c r="V2561" t="s">
        <v>6078</v>
      </c>
      <c r="W2561" t="s">
        <v>3958</v>
      </c>
      <c r="X2561" t="s">
        <v>4660</v>
      </c>
    </row>
    <row r="2562" spans="1:24" x14ac:dyDescent="0.2">
      <c r="A2562" t="s">
        <v>6076</v>
      </c>
      <c r="B2562" t="s">
        <v>2101</v>
      </c>
      <c r="C2562" t="s">
        <v>2102</v>
      </c>
      <c r="D2562" t="s">
        <v>24</v>
      </c>
      <c r="E2562" t="s">
        <v>1002</v>
      </c>
      <c r="F2562" t="s">
        <v>84</v>
      </c>
      <c r="G2562" s="202">
        <v>1</v>
      </c>
      <c r="H2562">
        <v>2</v>
      </c>
      <c r="I2562" t="s">
        <v>3960</v>
      </c>
      <c r="J2562" t="s">
        <v>4826</v>
      </c>
      <c r="K2562" t="s">
        <v>1283</v>
      </c>
      <c r="L2562" s="204">
        <v>0.72</v>
      </c>
      <c r="M2562" s="112">
        <v>293.22750000000002</v>
      </c>
      <c r="N2562" s="112">
        <v>211.12380000000002</v>
      </c>
      <c r="O2562" s="204"/>
      <c r="P2562" s="112"/>
      <c r="Q2562" s="112"/>
      <c r="R2562" s="112"/>
      <c r="S2562" s="112"/>
      <c r="T2562" s="112"/>
      <c r="U2562" t="s">
        <v>6077</v>
      </c>
      <c r="V2562" t="s">
        <v>6078</v>
      </c>
      <c r="W2562" t="s">
        <v>3958</v>
      </c>
      <c r="X2562" t="s">
        <v>4660</v>
      </c>
    </row>
    <row r="2563" spans="1:24" x14ac:dyDescent="0.2">
      <c r="A2563" t="s">
        <v>6076</v>
      </c>
      <c r="B2563" t="s">
        <v>2101</v>
      </c>
      <c r="C2563" t="s">
        <v>2102</v>
      </c>
      <c r="D2563" t="s">
        <v>24</v>
      </c>
      <c r="E2563" t="s">
        <v>1002</v>
      </c>
      <c r="F2563" t="s">
        <v>84</v>
      </c>
      <c r="G2563" s="202">
        <v>1</v>
      </c>
      <c r="H2563">
        <v>3</v>
      </c>
      <c r="I2563" t="s">
        <v>3976</v>
      </c>
      <c r="J2563" t="s">
        <v>4827</v>
      </c>
      <c r="K2563" t="s">
        <v>1283</v>
      </c>
      <c r="L2563" s="204">
        <v>0.05</v>
      </c>
      <c r="M2563" s="112">
        <v>293.22750000000002</v>
      </c>
      <c r="N2563" s="112">
        <v>14.661375000000001</v>
      </c>
      <c r="O2563" s="204"/>
      <c r="P2563" s="112"/>
      <c r="Q2563" s="112"/>
      <c r="R2563" s="112"/>
      <c r="S2563" s="112"/>
      <c r="T2563" s="112"/>
      <c r="U2563" t="s">
        <v>6077</v>
      </c>
      <c r="V2563" t="s">
        <v>6078</v>
      </c>
      <c r="W2563" t="s">
        <v>3958</v>
      </c>
      <c r="X2563" t="s">
        <v>4660</v>
      </c>
    </row>
    <row r="2564" spans="1:24" x14ac:dyDescent="0.2">
      <c r="A2564" t="s">
        <v>6076</v>
      </c>
      <c r="B2564" t="s">
        <v>2101</v>
      </c>
      <c r="C2564" t="s">
        <v>2102</v>
      </c>
      <c r="D2564" t="s">
        <v>24</v>
      </c>
      <c r="E2564" t="s">
        <v>1002</v>
      </c>
      <c r="F2564" t="s">
        <v>84</v>
      </c>
      <c r="G2564" s="202">
        <v>1</v>
      </c>
      <c r="H2564">
        <v>4</v>
      </c>
      <c r="I2564" t="s">
        <v>4017</v>
      </c>
      <c r="J2564" t="s">
        <v>4809</v>
      </c>
      <c r="K2564" t="s">
        <v>1283</v>
      </c>
      <c r="L2564" s="204">
        <v>0.05</v>
      </c>
      <c r="M2564" s="112">
        <v>293.22750000000002</v>
      </c>
      <c r="N2564" s="112">
        <v>14.661375000000001</v>
      </c>
      <c r="O2564" s="204"/>
      <c r="P2564" s="112"/>
      <c r="Q2564" s="112"/>
      <c r="R2564" s="112"/>
      <c r="S2564" s="112"/>
      <c r="T2564" s="112"/>
      <c r="U2564" t="s">
        <v>6077</v>
      </c>
      <c r="V2564" t="s">
        <v>6078</v>
      </c>
      <c r="W2564" t="s">
        <v>3958</v>
      </c>
      <c r="X2564" t="s">
        <v>4660</v>
      </c>
    </row>
    <row r="2565" spans="1:24" x14ac:dyDescent="0.2">
      <c r="A2565" t="s">
        <v>6076</v>
      </c>
      <c r="B2565" t="s">
        <v>2101</v>
      </c>
      <c r="C2565" t="s">
        <v>2102</v>
      </c>
      <c r="D2565" t="s">
        <v>24</v>
      </c>
      <c r="E2565" t="s">
        <v>1002</v>
      </c>
      <c r="F2565" t="s">
        <v>84</v>
      </c>
      <c r="G2565" s="202">
        <v>1</v>
      </c>
      <c r="H2565">
        <v>5</v>
      </c>
      <c r="I2565" t="s">
        <v>3968</v>
      </c>
      <c r="J2565" t="s">
        <v>3969</v>
      </c>
      <c r="K2565" t="s">
        <v>84</v>
      </c>
      <c r="L2565" s="204">
        <v>1</v>
      </c>
      <c r="M2565" s="112"/>
      <c r="N2565" s="112">
        <v>293.22750000000002</v>
      </c>
      <c r="O2565" s="204">
        <v>0.22229327058342063</v>
      </c>
      <c r="P2565" s="112">
        <v>65.182500000000005</v>
      </c>
      <c r="Q2565" s="112">
        <v>358.41</v>
      </c>
      <c r="R2565" s="112">
        <v>358.41</v>
      </c>
      <c r="S2565" s="112">
        <v>358.41</v>
      </c>
      <c r="T2565" s="112">
        <v>0</v>
      </c>
      <c r="U2565" t="s">
        <v>6077</v>
      </c>
      <c r="V2565" t="s">
        <v>6078</v>
      </c>
      <c r="W2565" t="s">
        <v>4666</v>
      </c>
      <c r="X2565" t="s">
        <v>4667</v>
      </c>
    </row>
    <row r="2566" spans="1:24" x14ac:dyDescent="0.2">
      <c r="A2566" t="s">
        <v>6079</v>
      </c>
      <c r="B2566" t="s">
        <v>2103</v>
      </c>
      <c r="C2566" t="s">
        <v>2104</v>
      </c>
      <c r="D2566" t="s">
        <v>56</v>
      </c>
      <c r="E2566" t="s">
        <v>1003</v>
      </c>
      <c r="F2566" t="s">
        <v>84</v>
      </c>
      <c r="G2566" s="202">
        <v>1</v>
      </c>
      <c r="H2566">
        <v>1</v>
      </c>
      <c r="I2566" t="s">
        <v>3954</v>
      </c>
      <c r="J2566" t="s">
        <v>4823</v>
      </c>
      <c r="K2566" t="s">
        <v>1283</v>
      </c>
      <c r="L2566" s="204">
        <v>0.18</v>
      </c>
      <c r="M2566" s="112">
        <v>901.52250000000004</v>
      </c>
      <c r="N2566" s="112">
        <v>162.27404999999999</v>
      </c>
      <c r="O2566" s="204"/>
      <c r="P2566" s="112"/>
      <c r="Q2566" s="112"/>
      <c r="R2566" s="112"/>
      <c r="S2566" s="112"/>
      <c r="T2566" s="112"/>
      <c r="U2566" t="s">
        <v>6080</v>
      </c>
      <c r="V2566" t="s">
        <v>6081</v>
      </c>
      <c r="W2566" t="s">
        <v>3958</v>
      </c>
      <c r="X2566" t="s">
        <v>4660</v>
      </c>
    </row>
    <row r="2567" spans="1:24" x14ac:dyDescent="0.2">
      <c r="A2567" t="s">
        <v>6079</v>
      </c>
      <c r="B2567" t="s">
        <v>2103</v>
      </c>
      <c r="C2567" t="s">
        <v>2104</v>
      </c>
      <c r="D2567" t="s">
        <v>56</v>
      </c>
      <c r="E2567" t="s">
        <v>1003</v>
      </c>
      <c r="F2567" t="s">
        <v>84</v>
      </c>
      <c r="G2567" s="202">
        <v>1</v>
      </c>
      <c r="H2567">
        <v>2</v>
      </c>
      <c r="I2567" t="s">
        <v>3960</v>
      </c>
      <c r="J2567" t="s">
        <v>4826</v>
      </c>
      <c r="K2567" t="s">
        <v>1283</v>
      </c>
      <c r="L2567" s="204">
        <v>0.72</v>
      </c>
      <c r="M2567" s="112">
        <v>901.52250000000004</v>
      </c>
      <c r="N2567" s="112">
        <v>649.09619999999995</v>
      </c>
      <c r="O2567" s="204"/>
      <c r="P2567" s="112"/>
      <c r="Q2567" s="112"/>
      <c r="R2567" s="112"/>
      <c r="S2567" s="112"/>
      <c r="T2567" s="112"/>
      <c r="U2567" t="s">
        <v>6080</v>
      </c>
      <c r="V2567" t="s">
        <v>6081</v>
      </c>
      <c r="W2567" t="s">
        <v>3958</v>
      </c>
      <c r="X2567" t="s">
        <v>4660</v>
      </c>
    </row>
    <row r="2568" spans="1:24" x14ac:dyDescent="0.2">
      <c r="A2568" t="s">
        <v>6079</v>
      </c>
      <c r="B2568" t="s">
        <v>2103</v>
      </c>
      <c r="C2568" t="s">
        <v>2104</v>
      </c>
      <c r="D2568" t="s">
        <v>56</v>
      </c>
      <c r="E2568" t="s">
        <v>1003</v>
      </c>
      <c r="F2568" t="s">
        <v>84</v>
      </c>
      <c r="G2568" s="202">
        <v>1</v>
      </c>
      <c r="H2568">
        <v>3</v>
      </c>
      <c r="I2568" t="s">
        <v>3976</v>
      </c>
      <c r="J2568" t="s">
        <v>4827</v>
      </c>
      <c r="K2568" t="s">
        <v>1283</v>
      </c>
      <c r="L2568" s="204">
        <v>0.05</v>
      </c>
      <c r="M2568" s="112">
        <v>901.52250000000004</v>
      </c>
      <c r="N2568" s="112">
        <v>45.076125000000005</v>
      </c>
      <c r="O2568" s="204"/>
      <c r="P2568" s="112"/>
      <c r="Q2568" s="112"/>
      <c r="R2568" s="112"/>
      <c r="S2568" s="112"/>
      <c r="T2568" s="112"/>
      <c r="U2568" t="s">
        <v>6080</v>
      </c>
      <c r="V2568" t="s">
        <v>6081</v>
      </c>
      <c r="W2568" t="s">
        <v>3958</v>
      </c>
      <c r="X2568" t="s">
        <v>4660</v>
      </c>
    </row>
    <row r="2569" spans="1:24" x14ac:dyDescent="0.2">
      <c r="A2569" t="s">
        <v>6079</v>
      </c>
      <c r="B2569" t="s">
        <v>2103</v>
      </c>
      <c r="C2569" t="s">
        <v>2104</v>
      </c>
      <c r="D2569" t="s">
        <v>56</v>
      </c>
      <c r="E2569" t="s">
        <v>1003</v>
      </c>
      <c r="F2569" t="s">
        <v>84</v>
      </c>
      <c r="G2569" s="202">
        <v>1</v>
      </c>
      <c r="H2569">
        <v>4</v>
      </c>
      <c r="I2569" t="s">
        <v>4017</v>
      </c>
      <c r="J2569" t="s">
        <v>4809</v>
      </c>
      <c r="K2569" t="s">
        <v>1283</v>
      </c>
      <c r="L2569" s="204">
        <v>0.05</v>
      </c>
      <c r="M2569" s="112">
        <v>901.52250000000004</v>
      </c>
      <c r="N2569" s="112">
        <v>45.076125000000005</v>
      </c>
      <c r="O2569" s="204"/>
      <c r="P2569" s="112"/>
      <c r="Q2569" s="112"/>
      <c r="R2569" s="112"/>
      <c r="S2569" s="112"/>
      <c r="T2569" s="112"/>
      <c r="U2569" t="s">
        <v>6080</v>
      </c>
      <c r="V2569" t="s">
        <v>6081</v>
      </c>
      <c r="W2569" t="s">
        <v>3958</v>
      </c>
      <c r="X2569" t="s">
        <v>4660</v>
      </c>
    </row>
    <row r="2570" spans="1:24" x14ac:dyDescent="0.2">
      <c r="A2570" t="s">
        <v>6079</v>
      </c>
      <c r="B2570" t="s">
        <v>2103</v>
      </c>
      <c r="C2570" t="s">
        <v>2104</v>
      </c>
      <c r="D2570" t="s">
        <v>56</v>
      </c>
      <c r="E2570" t="s">
        <v>1003</v>
      </c>
      <c r="F2570" t="s">
        <v>84</v>
      </c>
      <c r="G2570" s="202">
        <v>1</v>
      </c>
      <c r="H2570">
        <v>5</v>
      </c>
      <c r="I2570" t="s">
        <v>3968</v>
      </c>
      <c r="J2570" t="s">
        <v>3969</v>
      </c>
      <c r="K2570" t="s">
        <v>84</v>
      </c>
      <c r="L2570" s="204">
        <v>1</v>
      </c>
      <c r="M2570" s="112"/>
      <c r="N2570" s="112">
        <v>901.52250000000004</v>
      </c>
      <c r="O2570" s="204">
        <v>0.22229894428591646</v>
      </c>
      <c r="P2570" s="112">
        <v>200.40750000000003</v>
      </c>
      <c r="Q2570" s="112">
        <v>1101.93</v>
      </c>
      <c r="R2570" s="112">
        <v>1101.93</v>
      </c>
      <c r="S2570" s="112">
        <v>1101.93</v>
      </c>
      <c r="T2570" s="112">
        <v>0</v>
      </c>
      <c r="U2570" t="s">
        <v>6080</v>
      </c>
      <c r="V2570" t="s">
        <v>6081</v>
      </c>
      <c r="W2570" t="s">
        <v>4666</v>
      </c>
      <c r="X2570" t="s">
        <v>4667</v>
      </c>
    </row>
    <row r="2571" spans="1:24" x14ac:dyDescent="0.2">
      <c r="A2571" t="s">
        <v>6082</v>
      </c>
      <c r="B2571" t="s">
        <v>2105</v>
      </c>
      <c r="C2571" t="s">
        <v>2106</v>
      </c>
      <c r="D2571" t="s">
        <v>56</v>
      </c>
      <c r="E2571" t="s">
        <v>2107</v>
      </c>
      <c r="F2571" t="s">
        <v>84</v>
      </c>
      <c r="G2571" s="202">
        <v>1</v>
      </c>
      <c r="H2571">
        <v>1</v>
      </c>
      <c r="I2571" t="s">
        <v>3954</v>
      </c>
      <c r="J2571" t="s">
        <v>4823</v>
      </c>
      <c r="K2571" t="s">
        <v>1283</v>
      </c>
      <c r="L2571" s="204">
        <v>0.18</v>
      </c>
      <c r="M2571" s="112">
        <v>1421.91</v>
      </c>
      <c r="N2571" s="112">
        <v>255.94380000000001</v>
      </c>
      <c r="O2571" s="204"/>
      <c r="P2571" s="112"/>
      <c r="Q2571" s="112"/>
      <c r="R2571" s="112"/>
      <c r="S2571" s="112"/>
      <c r="T2571" s="112"/>
      <c r="U2571" t="s">
        <v>6083</v>
      </c>
      <c r="V2571" t="s">
        <v>6084</v>
      </c>
      <c r="W2571" t="s">
        <v>3958</v>
      </c>
      <c r="X2571" t="s">
        <v>4660</v>
      </c>
    </row>
    <row r="2572" spans="1:24" x14ac:dyDescent="0.2">
      <c r="A2572" t="s">
        <v>6082</v>
      </c>
      <c r="B2572" t="s">
        <v>2105</v>
      </c>
      <c r="C2572" t="s">
        <v>2106</v>
      </c>
      <c r="D2572" t="s">
        <v>56</v>
      </c>
      <c r="E2572" t="s">
        <v>2107</v>
      </c>
      <c r="F2572" t="s">
        <v>84</v>
      </c>
      <c r="G2572" s="202">
        <v>1</v>
      </c>
      <c r="H2572">
        <v>2</v>
      </c>
      <c r="I2572" t="s">
        <v>3960</v>
      </c>
      <c r="J2572" t="s">
        <v>4826</v>
      </c>
      <c r="K2572" t="s">
        <v>1283</v>
      </c>
      <c r="L2572" s="204">
        <v>0.72</v>
      </c>
      <c r="M2572" s="112">
        <v>1421.91</v>
      </c>
      <c r="N2572" s="112">
        <v>1023.7752</v>
      </c>
      <c r="O2572" s="204"/>
      <c r="P2572" s="112"/>
      <c r="Q2572" s="112"/>
      <c r="R2572" s="112"/>
      <c r="S2572" s="112"/>
      <c r="T2572" s="112"/>
      <c r="U2572" t="s">
        <v>6083</v>
      </c>
      <c r="V2572" t="s">
        <v>6084</v>
      </c>
      <c r="W2572" t="s">
        <v>3958</v>
      </c>
      <c r="X2572" t="s">
        <v>4660</v>
      </c>
    </row>
    <row r="2573" spans="1:24" x14ac:dyDescent="0.2">
      <c r="A2573" t="s">
        <v>6082</v>
      </c>
      <c r="B2573" t="s">
        <v>2105</v>
      </c>
      <c r="C2573" t="s">
        <v>2106</v>
      </c>
      <c r="D2573" t="s">
        <v>56</v>
      </c>
      <c r="E2573" t="s">
        <v>2107</v>
      </c>
      <c r="F2573" t="s">
        <v>84</v>
      </c>
      <c r="G2573" s="202">
        <v>1</v>
      </c>
      <c r="H2573">
        <v>3</v>
      </c>
      <c r="I2573" t="s">
        <v>3976</v>
      </c>
      <c r="J2573" t="s">
        <v>4827</v>
      </c>
      <c r="K2573" t="s">
        <v>1283</v>
      </c>
      <c r="L2573" s="204">
        <v>0.05</v>
      </c>
      <c r="M2573" s="112">
        <v>1421.91</v>
      </c>
      <c r="N2573" s="112">
        <v>71.095500000000001</v>
      </c>
      <c r="O2573" s="204"/>
      <c r="P2573" s="112"/>
      <c r="Q2573" s="112"/>
      <c r="R2573" s="112"/>
      <c r="S2573" s="112"/>
      <c r="T2573" s="112"/>
      <c r="U2573" t="s">
        <v>6083</v>
      </c>
      <c r="V2573" t="s">
        <v>6084</v>
      </c>
      <c r="W2573" t="s">
        <v>3958</v>
      </c>
      <c r="X2573" t="s">
        <v>4660</v>
      </c>
    </row>
    <row r="2574" spans="1:24" x14ac:dyDescent="0.2">
      <c r="A2574" t="s">
        <v>6082</v>
      </c>
      <c r="B2574" t="s">
        <v>2105</v>
      </c>
      <c r="C2574" t="s">
        <v>2106</v>
      </c>
      <c r="D2574" t="s">
        <v>56</v>
      </c>
      <c r="E2574" t="s">
        <v>2107</v>
      </c>
      <c r="F2574" t="s">
        <v>84</v>
      </c>
      <c r="G2574" s="202">
        <v>1</v>
      </c>
      <c r="H2574">
        <v>4</v>
      </c>
      <c r="I2574" t="s">
        <v>4017</v>
      </c>
      <c r="J2574" t="s">
        <v>4809</v>
      </c>
      <c r="K2574" t="s">
        <v>1283</v>
      </c>
      <c r="L2574" s="204">
        <v>0.05</v>
      </c>
      <c r="M2574" s="112">
        <v>1421.91</v>
      </c>
      <c r="N2574" s="112">
        <v>71.095500000000001</v>
      </c>
      <c r="O2574" s="204"/>
      <c r="P2574" s="112"/>
      <c r="Q2574" s="112"/>
      <c r="R2574" s="112"/>
      <c r="S2574" s="112"/>
      <c r="T2574" s="112"/>
      <c r="U2574" t="s">
        <v>6083</v>
      </c>
      <c r="V2574" t="s">
        <v>6084</v>
      </c>
      <c r="W2574" t="s">
        <v>3958</v>
      </c>
      <c r="X2574" t="s">
        <v>4660</v>
      </c>
    </row>
    <row r="2575" spans="1:24" x14ac:dyDescent="0.2">
      <c r="A2575" t="s">
        <v>6082</v>
      </c>
      <c r="B2575" t="s">
        <v>2105</v>
      </c>
      <c r="C2575" t="s">
        <v>2106</v>
      </c>
      <c r="D2575" t="s">
        <v>56</v>
      </c>
      <c r="E2575" t="s">
        <v>2107</v>
      </c>
      <c r="F2575" t="s">
        <v>84</v>
      </c>
      <c r="G2575" s="202">
        <v>1</v>
      </c>
      <c r="H2575">
        <v>5</v>
      </c>
      <c r="I2575" t="s">
        <v>3968</v>
      </c>
      <c r="J2575" t="s">
        <v>3969</v>
      </c>
      <c r="K2575" t="s">
        <v>84</v>
      </c>
      <c r="L2575" s="204">
        <v>1</v>
      </c>
      <c r="M2575" s="112"/>
      <c r="N2575" s="112">
        <v>1421.91</v>
      </c>
      <c r="O2575" s="204">
        <v>0.22229255016140259</v>
      </c>
      <c r="P2575" s="112">
        <v>316.07999999999993</v>
      </c>
      <c r="Q2575" s="112">
        <v>1737.99</v>
      </c>
      <c r="R2575" s="112">
        <v>1737.99</v>
      </c>
      <c r="S2575" s="112">
        <v>1737.99</v>
      </c>
      <c r="T2575" s="112">
        <v>0</v>
      </c>
      <c r="U2575" t="s">
        <v>6083</v>
      </c>
      <c r="V2575" t="s">
        <v>6084</v>
      </c>
      <c r="W2575" t="s">
        <v>4666</v>
      </c>
      <c r="X2575" t="s">
        <v>4667</v>
      </c>
    </row>
    <row r="2576" spans="1:24" x14ac:dyDescent="0.2">
      <c r="A2576" t="s">
        <v>6085</v>
      </c>
      <c r="B2576" t="s">
        <v>2108</v>
      </c>
      <c r="C2576" t="s">
        <v>2109</v>
      </c>
      <c r="D2576" t="s">
        <v>56</v>
      </c>
      <c r="E2576" t="s">
        <v>2110</v>
      </c>
      <c r="F2576" t="s">
        <v>84</v>
      </c>
      <c r="G2576" s="202">
        <v>7</v>
      </c>
      <c r="H2576">
        <v>1</v>
      </c>
      <c r="I2576" t="s">
        <v>3954</v>
      </c>
      <c r="J2576" t="s">
        <v>4110</v>
      </c>
      <c r="K2576" t="s">
        <v>1283</v>
      </c>
      <c r="L2576" s="204">
        <v>0.3</v>
      </c>
      <c r="M2576" s="112">
        <v>88.275000000000006</v>
      </c>
      <c r="N2576" s="112">
        <v>26.482500000000002</v>
      </c>
      <c r="O2576" s="204"/>
      <c r="P2576" s="112"/>
      <c r="Q2576" s="112"/>
      <c r="R2576" s="112"/>
      <c r="S2576" s="112"/>
      <c r="T2576" s="112"/>
      <c r="U2576" t="s">
        <v>6086</v>
      </c>
      <c r="V2576" t="s">
        <v>6087</v>
      </c>
      <c r="W2576" t="s">
        <v>3958</v>
      </c>
      <c r="X2576" t="s">
        <v>4660</v>
      </c>
    </row>
    <row r="2577" spans="1:24" x14ac:dyDescent="0.2">
      <c r="A2577" t="s">
        <v>6085</v>
      </c>
      <c r="B2577" t="s">
        <v>2108</v>
      </c>
      <c r="C2577" t="s">
        <v>2109</v>
      </c>
      <c r="D2577" t="s">
        <v>56</v>
      </c>
      <c r="E2577" t="s">
        <v>2110</v>
      </c>
      <c r="F2577" t="s">
        <v>84</v>
      </c>
      <c r="G2577" s="202">
        <v>7</v>
      </c>
      <c r="H2577">
        <v>2</v>
      </c>
      <c r="I2577" t="s">
        <v>3960</v>
      </c>
      <c r="J2577" t="s">
        <v>4113</v>
      </c>
      <c r="K2577" t="s">
        <v>1283</v>
      </c>
      <c r="L2577" s="204">
        <v>0.55000000000000004</v>
      </c>
      <c r="M2577" s="112">
        <v>88.275000000000006</v>
      </c>
      <c r="N2577" s="112">
        <v>48.55125000000001</v>
      </c>
      <c r="O2577" s="204"/>
      <c r="P2577" s="112"/>
      <c r="Q2577" s="112"/>
      <c r="R2577" s="112"/>
      <c r="S2577" s="112"/>
      <c r="T2577" s="112"/>
      <c r="U2577" t="s">
        <v>6086</v>
      </c>
      <c r="V2577" t="s">
        <v>6087</v>
      </c>
      <c r="W2577" t="s">
        <v>3958</v>
      </c>
      <c r="X2577" t="s">
        <v>4660</v>
      </c>
    </row>
    <row r="2578" spans="1:24" x14ac:dyDescent="0.2">
      <c r="A2578" t="s">
        <v>6085</v>
      </c>
      <c r="B2578" t="s">
        <v>2108</v>
      </c>
      <c r="C2578" t="s">
        <v>2109</v>
      </c>
      <c r="D2578" t="s">
        <v>56</v>
      </c>
      <c r="E2578" t="s">
        <v>2110</v>
      </c>
      <c r="F2578" t="s">
        <v>84</v>
      </c>
      <c r="G2578" s="202">
        <v>7</v>
      </c>
      <c r="H2578">
        <v>3</v>
      </c>
      <c r="I2578" t="s">
        <v>3976</v>
      </c>
      <c r="J2578" t="s">
        <v>4114</v>
      </c>
      <c r="K2578" t="s">
        <v>1283</v>
      </c>
      <c r="L2578" s="204">
        <v>0.1</v>
      </c>
      <c r="M2578" s="112">
        <v>88.275000000000006</v>
      </c>
      <c r="N2578" s="112">
        <v>8.8275000000000006</v>
      </c>
      <c r="O2578" s="204"/>
      <c r="P2578" s="112"/>
      <c r="Q2578" s="112"/>
      <c r="R2578" s="112"/>
      <c r="S2578" s="112"/>
      <c r="T2578" s="112"/>
      <c r="U2578" t="s">
        <v>6086</v>
      </c>
      <c r="V2578" t="s">
        <v>6087</v>
      </c>
      <c r="W2578" t="s">
        <v>3958</v>
      </c>
      <c r="X2578" t="s">
        <v>4660</v>
      </c>
    </row>
    <row r="2579" spans="1:24" x14ac:dyDescent="0.2">
      <c r="A2579" t="s">
        <v>6085</v>
      </c>
      <c r="B2579" t="s">
        <v>2108</v>
      </c>
      <c r="C2579" t="s">
        <v>2109</v>
      </c>
      <c r="D2579" t="s">
        <v>56</v>
      </c>
      <c r="E2579" t="s">
        <v>2110</v>
      </c>
      <c r="F2579" t="s">
        <v>84</v>
      </c>
      <c r="G2579" s="202">
        <v>7</v>
      </c>
      <c r="H2579">
        <v>4</v>
      </c>
      <c r="I2579" t="s">
        <v>4017</v>
      </c>
      <c r="J2579" t="s">
        <v>4115</v>
      </c>
      <c r="K2579" t="s">
        <v>1283</v>
      </c>
      <c r="L2579" s="204">
        <v>0.05</v>
      </c>
      <c r="M2579" s="112">
        <v>88.275000000000006</v>
      </c>
      <c r="N2579" s="112">
        <v>4.4137500000000003</v>
      </c>
      <c r="O2579" s="204"/>
      <c r="P2579" s="112"/>
      <c r="Q2579" s="112"/>
      <c r="R2579" s="112"/>
      <c r="S2579" s="112"/>
      <c r="T2579" s="112"/>
      <c r="U2579" t="s">
        <v>6086</v>
      </c>
      <c r="V2579" t="s">
        <v>6087</v>
      </c>
      <c r="W2579" t="s">
        <v>3958</v>
      </c>
      <c r="X2579" t="s">
        <v>4660</v>
      </c>
    </row>
    <row r="2580" spans="1:24" x14ac:dyDescent="0.2">
      <c r="A2580" t="s">
        <v>6085</v>
      </c>
      <c r="B2580" t="s">
        <v>2108</v>
      </c>
      <c r="C2580" t="s">
        <v>2109</v>
      </c>
      <c r="D2580" t="s">
        <v>56</v>
      </c>
      <c r="E2580" t="s">
        <v>2110</v>
      </c>
      <c r="F2580" t="s">
        <v>84</v>
      </c>
      <c r="G2580" s="202">
        <v>7</v>
      </c>
      <c r="H2580">
        <v>5</v>
      </c>
      <c r="I2580" t="s">
        <v>3968</v>
      </c>
      <c r="J2580" t="s">
        <v>3969</v>
      </c>
      <c r="K2580" t="s">
        <v>84</v>
      </c>
      <c r="L2580" s="204">
        <v>1</v>
      </c>
      <c r="M2580" s="112"/>
      <c r="N2580" s="112">
        <v>88.275000000000006</v>
      </c>
      <c r="O2580" s="204">
        <v>0.22225189141076984</v>
      </c>
      <c r="P2580" s="112">
        <v>19.619285714285709</v>
      </c>
      <c r="Q2580" s="112">
        <v>107.89428571428572</v>
      </c>
      <c r="R2580" s="112">
        <v>755.26</v>
      </c>
      <c r="S2580" s="112">
        <v>755.26</v>
      </c>
      <c r="T2580" s="112">
        <v>0</v>
      </c>
      <c r="U2580" t="s">
        <v>6086</v>
      </c>
      <c r="V2580" t="s">
        <v>6087</v>
      </c>
      <c r="W2580" t="s">
        <v>4666</v>
      </c>
      <c r="X2580" t="s">
        <v>4667</v>
      </c>
    </row>
    <row r="2581" spans="1:24" x14ac:dyDescent="0.2">
      <c r="A2581" t="s">
        <v>6088</v>
      </c>
      <c r="B2581" t="s">
        <v>2111</v>
      </c>
      <c r="C2581" t="s">
        <v>2112</v>
      </c>
      <c r="D2581" t="s">
        <v>56</v>
      </c>
      <c r="E2581" t="s">
        <v>1006</v>
      </c>
      <c r="F2581" t="s">
        <v>84</v>
      </c>
      <c r="G2581" s="202">
        <v>27</v>
      </c>
      <c r="H2581">
        <v>1</v>
      </c>
      <c r="I2581" t="s">
        <v>3954</v>
      </c>
      <c r="J2581" t="s">
        <v>4110</v>
      </c>
      <c r="K2581" t="s">
        <v>1283</v>
      </c>
      <c r="L2581" s="204">
        <v>0.3</v>
      </c>
      <c r="M2581" s="112">
        <v>42.900000000000006</v>
      </c>
      <c r="N2581" s="112">
        <v>12.870000000000001</v>
      </c>
      <c r="O2581" s="204"/>
      <c r="P2581" s="112"/>
      <c r="Q2581" s="112"/>
      <c r="R2581" s="112"/>
      <c r="S2581" s="112"/>
      <c r="T2581" s="112"/>
      <c r="U2581" t="s">
        <v>6089</v>
      </c>
      <c r="V2581" t="s">
        <v>6090</v>
      </c>
      <c r="W2581" t="s">
        <v>3958</v>
      </c>
      <c r="X2581" t="s">
        <v>4660</v>
      </c>
    </row>
    <row r="2582" spans="1:24" x14ac:dyDescent="0.2">
      <c r="A2582" t="s">
        <v>6088</v>
      </c>
      <c r="B2582" t="s">
        <v>2111</v>
      </c>
      <c r="C2582" t="s">
        <v>2112</v>
      </c>
      <c r="D2582" t="s">
        <v>56</v>
      </c>
      <c r="E2582" t="s">
        <v>1006</v>
      </c>
      <c r="F2582" t="s">
        <v>84</v>
      </c>
      <c r="G2582" s="202">
        <v>27</v>
      </c>
      <c r="H2582">
        <v>2</v>
      </c>
      <c r="I2582" t="s">
        <v>3960</v>
      </c>
      <c r="J2582" t="s">
        <v>4113</v>
      </c>
      <c r="K2582" t="s">
        <v>1283</v>
      </c>
      <c r="L2582" s="204">
        <v>0.55000000000000004</v>
      </c>
      <c r="M2582" s="112">
        <v>42.900000000000006</v>
      </c>
      <c r="N2582" s="112">
        <v>23.595000000000006</v>
      </c>
      <c r="O2582" s="204"/>
      <c r="P2582" s="112"/>
      <c r="Q2582" s="112"/>
      <c r="R2582" s="112"/>
      <c r="S2582" s="112"/>
      <c r="T2582" s="112"/>
      <c r="U2582" t="s">
        <v>6089</v>
      </c>
      <c r="V2582" t="s">
        <v>6090</v>
      </c>
      <c r="W2582" t="s">
        <v>3958</v>
      </c>
      <c r="X2582" t="s">
        <v>4660</v>
      </c>
    </row>
    <row r="2583" spans="1:24" x14ac:dyDescent="0.2">
      <c r="A2583" t="s">
        <v>6088</v>
      </c>
      <c r="B2583" t="s">
        <v>2111</v>
      </c>
      <c r="C2583" t="s">
        <v>2112</v>
      </c>
      <c r="D2583" t="s">
        <v>56</v>
      </c>
      <c r="E2583" t="s">
        <v>1006</v>
      </c>
      <c r="F2583" t="s">
        <v>84</v>
      </c>
      <c r="G2583" s="202">
        <v>27</v>
      </c>
      <c r="H2583">
        <v>3</v>
      </c>
      <c r="I2583" t="s">
        <v>3976</v>
      </c>
      <c r="J2583" t="s">
        <v>4114</v>
      </c>
      <c r="K2583" t="s">
        <v>1283</v>
      </c>
      <c r="L2583" s="204">
        <v>0.1</v>
      </c>
      <c r="M2583" s="112">
        <v>42.900000000000006</v>
      </c>
      <c r="N2583" s="112">
        <v>4.2900000000000009</v>
      </c>
      <c r="O2583" s="204"/>
      <c r="P2583" s="112"/>
      <c r="Q2583" s="112"/>
      <c r="R2583" s="112"/>
      <c r="S2583" s="112"/>
      <c r="T2583" s="112"/>
      <c r="U2583" t="s">
        <v>6089</v>
      </c>
      <c r="V2583" t="s">
        <v>6090</v>
      </c>
      <c r="W2583" t="s">
        <v>3958</v>
      </c>
      <c r="X2583" t="s">
        <v>4660</v>
      </c>
    </row>
    <row r="2584" spans="1:24" x14ac:dyDescent="0.2">
      <c r="A2584" t="s">
        <v>6088</v>
      </c>
      <c r="B2584" t="s">
        <v>2111</v>
      </c>
      <c r="C2584" t="s">
        <v>2112</v>
      </c>
      <c r="D2584" t="s">
        <v>56</v>
      </c>
      <c r="E2584" t="s">
        <v>1006</v>
      </c>
      <c r="F2584" t="s">
        <v>84</v>
      </c>
      <c r="G2584" s="202">
        <v>27</v>
      </c>
      <c r="H2584">
        <v>4</v>
      </c>
      <c r="I2584" t="s">
        <v>4017</v>
      </c>
      <c r="J2584" t="s">
        <v>4115</v>
      </c>
      <c r="K2584" t="s">
        <v>1283</v>
      </c>
      <c r="L2584" s="204">
        <v>0.05</v>
      </c>
      <c r="M2584" s="112">
        <v>42.900000000000006</v>
      </c>
      <c r="N2584" s="112">
        <v>2.1450000000000005</v>
      </c>
      <c r="O2584" s="204"/>
      <c r="P2584" s="112"/>
      <c r="Q2584" s="112"/>
      <c r="R2584" s="112"/>
      <c r="S2584" s="112"/>
      <c r="T2584" s="112"/>
      <c r="U2584" t="s">
        <v>6089</v>
      </c>
      <c r="V2584" t="s">
        <v>6090</v>
      </c>
      <c r="W2584" t="s">
        <v>3958</v>
      </c>
      <c r="X2584" t="s">
        <v>4660</v>
      </c>
    </row>
    <row r="2585" spans="1:24" x14ac:dyDescent="0.2">
      <c r="A2585" t="s">
        <v>6088</v>
      </c>
      <c r="B2585" t="s">
        <v>2111</v>
      </c>
      <c r="C2585" t="s">
        <v>2112</v>
      </c>
      <c r="D2585" t="s">
        <v>56</v>
      </c>
      <c r="E2585" t="s">
        <v>1006</v>
      </c>
      <c r="F2585" t="s">
        <v>84</v>
      </c>
      <c r="G2585" s="202">
        <v>27</v>
      </c>
      <c r="H2585">
        <v>5</v>
      </c>
      <c r="I2585" t="s">
        <v>3968</v>
      </c>
      <c r="J2585" t="s">
        <v>3969</v>
      </c>
      <c r="K2585" t="s">
        <v>84</v>
      </c>
      <c r="L2585" s="204">
        <v>1</v>
      </c>
      <c r="M2585" s="112"/>
      <c r="N2585" s="112">
        <v>42.900000000000006</v>
      </c>
      <c r="O2585" s="204">
        <v>0.22219632219632213</v>
      </c>
      <c r="P2585" s="112">
        <v>9.5322222222222166</v>
      </c>
      <c r="Q2585" s="112">
        <v>52.432222222222222</v>
      </c>
      <c r="R2585" s="112">
        <v>1415.67</v>
      </c>
      <c r="S2585" s="112">
        <v>1415.67</v>
      </c>
      <c r="T2585" s="112">
        <v>0</v>
      </c>
      <c r="U2585" t="s">
        <v>6089</v>
      </c>
      <c r="V2585" t="s">
        <v>6090</v>
      </c>
      <c r="W2585" t="s">
        <v>4666</v>
      </c>
      <c r="X2585" t="s">
        <v>4667</v>
      </c>
    </row>
    <row r="2586" spans="1:24" x14ac:dyDescent="0.2">
      <c r="A2586" t="s">
        <v>6091</v>
      </c>
      <c r="B2586" t="s">
        <v>1523</v>
      </c>
      <c r="C2586" t="s">
        <v>2113</v>
      </c>
      <c r="D2586" t="s">
        <v>56</v>
      </c>
      <c r="E2586" t="s">
        <v>1009</v>
      </c>
      <c r="F2586" t="s">
        <v>84</v>
      </c>
      <c r="G2586" s="202">
        <v>54</v>
      </c>
      <c r="H2586">
        <v>1</v>
      </c>
      <c r="I2586" t="s">
        <v>3954</v>
      </c>
      <c r="J2586" t="s">
        <v>4110</v>
      </c>
      <c r="K2586" t="s">
        <v>1283</v>
      </c>
      <c r="L2586" s="204">
        <v>0.3</v>
      </c>
      <c r="M2586" s="112">
        <v>27.022500000000001</v>
      </c>
      <c r="N2586" s="112">
        <v>8.1067499999999999</v>
      </c>
      <c r="O2586" s="204"/>
      <c r="P2586" s="112"/>
      <c r="Q2586" s="112"/>
      <c r="R2586" s="112"/>
      <c r="S2586" s="112"/>
      <c r="T2586" s="112"/>
      <c r="U2586" t="s">
        <v>6092</v>
      </c>
      <c r="V2586" t="s">
        <v>6093</v>
      </c>
      <c r="W2586" t="s">
        <v>3958</v>
      </c>
      <c r="X2586" t="s">
        <v>4660</v>
      </c>
    </row>
    <row r="2587" spans="1:24" x14ac:dyDescent="0.2">
      <c r="A2587" t="s">
        <v>6091</v>
      </c>
      <c r="B2587" t="s">
        <v>1523</v>
      </c>
      <c r="C2587" t="s">
        <v>2113</v>
      </c>
      <c r="D2587" t="s">
        <v>56</v>
      </c>
      <c r="E2587" t="s">
        <v>1009</v>
      </c>
      <c r="F2587" t="s">
        <v>84</v>
      </c>
      <c r="G2587" s="202">
        <v>54</v>
      </c>
      <c r="H2587">
        <v>2</v>
      </c>
      <c r="I2587" t="s">
        <v>3960</v>
      </c>
      <c r="J2587" t="s">
        <v>4113</v>
      </c>
      <c r="K2587" t="s">
        <v>1283</v>
      </c>
      <c r="L2587" s="204">
        <v>0.55000000000000004</v>
      </c>
      <c r="M2587" s="112">
        <v>27.022500000000001</v>
      </c>
      <c r="N2587" s="112">
        <v>14.862375000000002</v>
      </c>
      <c r="O2587" s="204"/>
      <c r="P2587" s="112"/>
      <c r="Q2587" s="112"/>
      <c r="R2587" s="112"/>
      <c r="S2587" s="112"/>
      <c r="T2587" s="112"/>
      <c r="U2587" t="s">
        <v>6092</v>
      </c>
      <c r="V2587" t="s">
        <v>6093</v>
      </c>
      <c r="W2587" t="s">
        <v>3958</v>
      </c>
      <c r="X2587" t="s">
        <v>4660</v>
      </c>
    </row>
    <row r="2588" spans="1:24" x14ac:dyDescent="0.2">
      <c r="A2588" t="s">
        <v>6091</v>
      </c>
      <c r="B2588" t="s">
        <v>1523</v>
      </c>
      <c r="C2588" t="s">
        <v>2113</v>
      </c>
      <c r="D2588" t="s">
        <v>56</v>
      </c>
      <c r="E2588" t="s">
        <v>1009</v>
      </c>
      <c r="F2588" t="s">
        <v>84</v>
      </c>
      <c r="G2588" s="202">
        <v>54</v>
      </c>
      <c r="H2588">
        <v>3</v>
      </c>
      <c r="I2588" t="s">
        <v>3976</v>
      </c>
      <c r="J2588" t="s">
        <v>4114</v>
      </c>
      <c r="K2588" t="s">
        <v>1283</v>
      </c>
      <c r="L2588" s="204">
        <v>0.1</v>
      </c>
      <c r="M2588" s="112">
        <v>27.022500000000001</v>
      </c>
      <c r="N2588" s="112">
        <v>2.7022500000000003</v>
      </c>
      <c r="O2588" s="204"/>
      <c r="P2588" s="112"/>
      <c r="Q2588" s="112"/>
      <c r="R2588" s="112"/>
      <c r="S2588" s="112"/>
      <c r="T2588" s="112"/>
      <c r="U2588" t="s">
        <v>6092</v>
      </c>
      <c r="V2588" t="s">
        <v>6093</v>
      </c>
      <c r="W2588" t="s">
        <v>3958</v>
      </c>
      <c r="X2588" t="s">
        <v>4660</v>
      </c>
    </row>
    <row r="2589" spans="1:24" x14ac:dyDescent="0.2">
      <c r="A2589" t="s">
        <v>6091</v>
      </c>
      <c r="B2589" t="s">
        <v>1523</v>
      </c>
      <c r="C2589" t="s">
        <v>2113</v>
      </c>
      <c r="D2589" t="s">
        <v>56</v>
      </c>
      <c r="E2589" t="s">
        <v>1009</v>
      </c>
      <c r="F2589" t="s">
        <v>84</v>
      </c>
      <c r="G2589" s="202">
        <v>54</v>
      </c>
      <c r="H2589">
        <v>4</v>
      </c>
      <c r="I2589" t="s">
        <v>4017</v>
      </c>
      <c r="J2589" t="s">
        <v>4115</v>
      </c>
      <c r="K2589" t="s">
        <v>1283</v>
      </c>
      <c r="L2589" s="204">
        <v>0.05</v>
      </c>
      <c r="M2589" s="112">
        <v>27.022500000000001</v>
      </c>
      <c r="N2589" s="112">
        <v>1.3511250000000001</v>
      </c>
      <c r="O2589" s="204"/>
      <c r="P2589" s="112"/>
      <c r="Q2589" s="112"/>
      <c r="R2589" s="112"/>
      <c r="S2589" s="112"/>
      <c r="T2589" s="112"/>
      <c r="U2589" t="s">
        <v>6092</v>
      </c>
      <c r="V2589" t="s">
        <v>6093</v>
      </c>
      <c r="W2589" t="s">
        <v>3958</v>
      </c>
      <c r="X2589" t="s">
        <v>4660</v>
      </c>
    </row>
    <row r="2590" spans="1:24" x14ac:dyDescent="0.2">
      <c r="A2590" t="s">
        <v>6091</v>
      </c>
      <c r="B2590" t="s">
        <v>1523</v>
      </c>
      <c r="C2590" t="s">
        <v>2113</v>
      </c>
      <c r="D2590" t="s">
        <v>56</v>
      </c>
      <c r="E2590" t="s">
        <v>1009</v>
      </c>
      <c r="F2590" t="s">
        <v>84</v>
      </c>
      <c r="G2590" s="202">
        <v>54</v>
      </c>
      <c r="H2590">
        <v>5</v>
      </c>
      <c r="I2590" t="s">
        <v>3968</v>
      </c>
      <c r="J2590" t="s">
        <v>3969</v>
      </c>
      <c r="K2590" t="s">
        <v>84</v>
      </c>
      <c r="L2590" s="204">
        <v>1</v>
      </c>
      <c r="M2590" s="112"/>
      <c r="N2590" s="112">
        <v>27.022500000000001</v>
      </c>
      <c r="O2590" s="204">
        <v>0.22203376472966618</v>
      </c>
      <c r="P2590" s="112">
        <v>5.9999074074074059</v>
      </c>
      <c r="Q2590" s="112">
        <v>33.022407407407407</v>
      </c>
      <c r="R2590" s="112">
        <v>1783.21</v>
      </c>
      <c r="S2590" s="112">
        <v>1783.21</v>
      </c>
      <c r="T2590" s="112">
        <v>0</v>
      </c>
      <c r="U2590" t="s">
        <v>6092</v>
      </c>
      <c r="V2590" t="s">
        <v>6093</v>
      </c>
      <c r="W2590" t="s">
        <v>4666</v>
      </c>
      <c r="X2590" t="s">
        <v>4667</v>
      </c>
    </row>
    <row r="2591" spans="1:24" x14ac:dyDescent="0.2">
      <c r="A2591" t="s">
        <v>6094</v>
      </c>
      <c r="B2591" t="s">
        <v>1540</v>
      </c>
      <c r="C2591" t="s">
        <v>2114</v>
      </c>
      <c r="D2591" t="s">
        <v>56</v>
      </c>
      <c r="E2591" t="s">
        <v>1010</v>
      </c>
      <c r="F2591" t="s">
        <v>84</v>
      </c>
      <c r="G2591" s="202">
        <v>1</v>
      </c>
      <c r="H2591">
        <v>1</v>
      </c>
      <c r="I2591" t="s">
        <v>3954</v>
      </c>
      <c r="J2591" t="s">
        <v>4110</v>
      </c>
      <c r="K2591" t="s">
        <v>1283</v>
      </c>
      <c r="L2591" s="204">
        <v>0.3</v>
      </c>
      <c r="M2591" s="112">
        <v>40.747500000000002</v>
      </c>
      <c r="N2591" s="112">
        <v>12.22425</v>
      </c>
      <c r="O2591" s="204"/>
      <c r="P2591" s="112"/>
      <c r="Q2591" s="112"/>
      <c r="R2591" s="112"/>
      <c r="S2591" s="112"/>
      <c r="T2591" s="112"/>
      <c r="U2591" t="s">
        <v>6095</v>
      </c>
      <c r="V2591" t="s">
        <v>6096</v>
      </c>
      <c r="W2591" t="s">
        <v>3958</v>
      </c>
      <c r="X2591" t="s">
        <v>4660</v>
      </c>
    </row>
    <row r="2592" spans="1:24" x14ac:dyDescent="0.2">
      <c r="A2592" t="s">
        <v>6094</v>
      </c>
      <c r="B2592" t="s">
        <v>1540</v>
      </c>
      <c r="C2592" t="s">
        <v>2114</v>
      </c>
      <c r="D2592" t="s">
        <v>56</v>
      </c>
      <c r="E2592" t="s">
        <v>1010</v>
      </c>
      <c r="F2592" t="s">
        <v>84</v>
      </c>
      <c r="G2592" s="202">
        <v>1</v>
      </c>
      <c r="H2592">
        <v>2</v>
      </c>
      <c r="I2592" t="s">
        <v>3960</v>
      </c>
      <c r="J2592" t="s">
        <v>4113</v>
      </c>
      <c r="K2592" t="s">
        <v>1283</v>
      </c>
      <c r="L2592" s="204">
        <v>0.55000000000000004</v>
      </c>
      <c r="M2592" s="112">
        <v>40.747500000000002</v>
      </c>
      <c r="N2592" s="112">
        <v>22.411125000000002</v>
      </c>
      <c r="O2592" s="204"/>
      <c r="P2592" s="112"/>
      <c r="Q2592" s="112"/>
      <c r="R2592" s="112"/>
      <c r="S2592" s="112"/>
      <c r="T2592" s="112"/>
      <c r="U2592" t="s">
        <v>6095</v>
      </c>
      <c r="V2592" t="s">
        <v>6096</v>
      </c>
      <c r="W2592" t="s">
        <v>3958</v>
      </c>
      <c r="X2592" t="s">
        <v>4660</v>
      </c>
    </row>
    <row r="2593" spans="1:24" x14ac:dyDescent="0.2">
      <c r="A2593" t="s">
        <v>6094</v>
      </c>
      <c r="B2593" t="s">
        <v>1540</v>
      </c>
      <c r="C2593" t="s">
        <v>2114</v>
      </c>
      <c r="D2593" t="s">
        <v>56</v>
      </c>
      <c r="E2593" t="s">
        <v>1010</v>
      </c>
      <c r="F2593" t="s">
        <v>84</v>
      </c>
      <c r="G2593" s="202">
        <v>1</v>
      </c>
      <c r="H2593">
        <v>3</v>
      </c>
      <c r="I2593" t="s">
        <v>3976</v>
      </c>
      <c r="J2593" t="s">
        <v>4114</v>
      </c>
      <c r="K2593" t="s">
        <v>1283</v>
      </c>
      <c r="L2593" s="204">
        <v>0.1</v>
      </c>
      <c r="M2593" s="112">
        <v>40.747500000000002</v>
      </c>
      <c r="N2593" s="112">
        <v>4.0747500000000008</v>
      </c>
      <c r="O2593" s="204"/>
      <c r="P2593" s="112"/>
      <c r="Q2593" s="112"/>
      <c r="R2593" s="112"/>
      <c r="S2593" s="112"/>
      <c r="T2593" s="112"/>
      <c r="U2593" t="s">
        <v>6095</v>
      </c>
      <c r="V2593" t="s">
        <v>6096</v>
      </c>
      <c r="W2593" t="s">
        <v>3958</v>
      </c>
      <c r="X2593" t="s">
        <v>4660</v>
      </c>
    </row>
    <row r="2594" spans="1:24" x14ac:dyDescent="0.2">
      <c r="A2594" t="s">
        <v>6094</v>
      </c>
      <c r="B2594" t="s">
        <v>1540</v>
      </c>
      <c r="C2594" t="s">
        <v>2114</v>
      </c>
      <c r="D2594" t="s">
        <v>56</v>
      </c>
      <c r="E2594" t="s">
        <v>1010</v>
      </c>
      <c r="F2594" t="s">
        <v>84</v>
      </c>
      <c r="G2594" s="202">
        <v>1</v>
      </c>
      <c r="H2594">
        <v>4</v>
      </c>
      <c r="I2594" t="s">
        <v>4017</v>
      </c>
      <c r="J2594" t="s">
        <v>4115</v>
      </c>
      <c r="K2594" t="s">
        <v>1283</v>
      </c>
      <c r="L2594" s="204">
        <v>0.05</v>
      </c>
      <c r="M2594" s="112">
        <v>40.747500000000002</v>
      </c>
      <c r="N2594" s="112">
        <v>2.0373750000000004</v>
      </c>
      <c r="O2594" s="204"/>
      <c r="P2594" s="112"/>
      <c r="Q2594" s="112"/>
      <c r="R2594" s="112"/>
      <c r="S2594" s="112"/>
      <c r="T2594" s="112"/>
      <c r="U2594" t="s">
        <v>6095</v>
      </c>
      <c r="V2594" t="s">
        <v>6096</v>
      </c>
      <c r="W2594" t="s">
        <v>3958</v>
      </c>
      <c r="X2594" t="s">
        <v>4660</v>
      </c>
    </row>
    <row r="2595" spans="1:24" x14ac:dyDescent="0.2">
      <c r="A2595" t="s">
        <v>6094</v>
      </c>
      <c r="B2595" t="s">
        <v>1540</v>
      </c>
      <c r="C2595" t="s">
        <v>2114</v>
      </c>
      <c r="D2595" t="s">
        <v>56</v>
      </c>
      <c r="E2595" t="s">
        <v>1010</v>
      </c>
      <c r="F2595" t="s">
        <v>84</v>
      </c>
      <c r="G2595" s="202">
        <v>1</v>
      </c>
      <c r="H2595">
        <v>5</v>
      </c>
      <c r="I2595" t="s">
        <v>3968</v>
      </c>
      <c r="J2595" t="s">
        <v>3969</v>
      </c>
      <c r="K2595" t="s">
        <v>84</v>
      </c>
      <c r="L2595" s="204">
        <v>1</v>
      </c>
      <c r="M2595" s="112"/>
      <c r="N2595" s="112">
        <v>40.747500000000002</v>
      </c>
      <c r="O2595" s="204">
        <v>0.22216086876495478</v>
      </c>
      <c r="P2595" s="112">
        <v>9.0524999999999949</v>
      </c>
      <c r="Q2595" s="112">
        <v>49.8</v>
      </c>
      <c r="R2595" s="112">
        <v>49.8</v>
      </c>
      <c r="S2595" s="112">
        <v>49.8</v>
      </c>
      <c r="T2595" s="112">
        <v>0</v>
      </c>
      <c r="U2595" t="s">
        <v>6095</v>
      </c>
      <c r="V2595" t="s">
        <v>6096</v>
      </c>
      <c r="W2595" t="s">
        <v>4666</v>
      </c>
      <c r="X2595" t="s">
        <v>4667</v>
      </c>
    </row>
    <row r="2596" spans="1:24" x14ac:dyDescent="0.2">
      <c r="A2596" t="s">
        <v>6097</v>
      </c>
      <c r="B2596" t="s">
        <v>1550</v>
      </c>
      <c r="C2596" t="s">
        <v>2115</v>
      </c>
      <c r="D2596" t="s">
        <v>56</v>
      </c>
      <c r="E2596" t="s">
        <v>1011</v>
      </c>
      <c r="F2596" t="s">
        <v>84</v>
      </c>
      <c r="G2596" s="202">
        <v>1</v>
      </c>
      <c r="H2596">
        <v>1</v>
      </c>
      <c r="I2596" t="s">
        <v>3954</v>
      </c>
      <c r="J2596" t="s">
        <v>4110</v>
      </c>
      <c r="K2596" t="s">
        <v>1283</v>
      </c>
      <c r="L2596" s="204">
        <v>0.3</v>
      </c>
      <c r="M2596" s="112">
        <v>54.472499999999997</v>
      </c>
      <c r="N2596" s="112">
        <v>16.341749999999998</v>
      </c>
      <c r="O2596" s="204"/>
      <c r="P2596" s="112"/>
      <c r="Q2596" s="112"/>
      <c r="R2596" s="112"/>
      <c r="S2596" s="112"/>
      <c r="T2596" s="112"/>
      <c r="U2596" t="s">
        <v>6098</v>
      </c>
      <c r="V2596" t="s">
        <v>6099</v>
      </c>
      <c r="W2596" t="s">
        <v>3958</v>
      </c>
      <c r="X2596" t="s">
        <v>4660</v>
      </c>
    </row>
    <row r="2597" spans="1:24" x14ac:dyDescent="0.2">
      <c r="A2597" t="s">
        <v>6097</v>
      </c>
      <c r="B2597" t="s">
        <v>1550</v>
      </c>
      <c r="C2597" t="s">
        <v>2115</v>
      </c>
      <c r="D2597" t="s">
        <v>56</v>
      </c>
      <c r="E2597" t="s">
        <v>1011</v>
      </c>
      <c r="F2597" t="s">
        <v>84</v>
      </c>
      <c r="G2597" s="202">
        <v>1</v>
      </c>
      <c r="H2597">
        <v>2</v>
      </c>
      <c r="I2597" t="s">
        <v>3960</v>
      </c>
      <c r="J2597" t="s">
        <v>4113</v>
      </c>
      <c r="K2597" t="s">
        <v>1283</v>
      </c>
      <c r="L2597" s="204">
        <v>0.55000000000000004</v>
      </c>
      <c r="M2597" s="112">
        <v>54.472499999999997</v>
      </c>
      <c r="N2597" s="112">
        <v>29.959875</v>
      </c>
      <c r="O2597" s="204"/>
      <c r="P2597" s="112"/>
      <c r="Q2597" s="112"/>
      <c r="R2597" s="112"/>
      <c r="S2597" s="112"/>
      <c r="T2597" s="112"/>
      <c r="U2597" t="s">
        <v>6098</v>
      </c>
      <c r="V2597" t="s">
        <v>6099</v>
      </c>
      <c r="W2597" t="s">
        <v>3958</v>
      </c>
      <c r="X2597" t="s">
        <v>4660</v>
      </c>
    </row>
    <row r="2598" spans="1:24" x14ac:dyDescent="0.2">
      <c r="A2598" t="s">
        <v>6097</v>
      </c>
      <c r="B2598" t="s">
        <v>1550</v>
      </c>
      <c r="C2598" t="s">
        <v>2115</v>
      </c>
      <c r="D2598" t="s">
        <v>56</v>
      </c>
      <c r="E2598" t="s">
        <v>1011</v>
      </c>
      <c r="F2598" t="s">
        <v>84</v>
      </c>
      <c r="G2598" s="202">
        <v>1</v>
      </c>
      <c r="H2598">
        <v>3</v>
      </c>
      <c r="I2598" t="s">
        <v>3976</v>
      </c>
      <c r="J2598" t="s">
        <v>4114</v>
      </c>
      <c r="K2598" t="s">
        <v>1283</v>
      </c>
      <c r="L2598" s="204">
        <v>0.1</v>
      </c>
      <c r="M2598" s="112">
        <v>54.472499999999997</v>
      </c>
      <c r="N2598" s="112">
        <v>5.4472500000000004</v>
      </c>
      <c r="O2598" s="204"/>
      <c r="P2598" s="112"/>
      <c r="Q2598" s="112"/>
      <c r="R2598" s="112"/>
      <c r="S2598" s="112"/>
      <c r="T2598" s="112"/>
      <c r="U2598" t="s">
        <v>6098</v>
      </c>
      <c r="V2598" t="s">
        <v>6099</v>
      </c>
      <c r="W2598" t="s">
        <v>3958</v>
      </c>
      <c r="X2598" t="s">
        <v>4660</v>
      </c>
    </row>
    <row r="2599" spans="1:24" x14ac:dyDescent="0.2">
      <c r="A2599" t="s">
        <v>6097</v>
      </c>
      <c r="B2599" t="s">
        <v>1550</v>
      </c>
      <c r="C2599" t="s">
        <v>2115</v>
      </c>
      <c r="D2599" t="s">
        <v>56</v>
      </c>
      <c r="E2599" t="s">
        <v>1011</v>
      </c>
      <c r="F2599" t="s">
        <v>84</v>
      </c>
      <c r="G2599" s="202">
        <v>1</v>
      </c>
      <c r="H2599">
        <v>4</v>
      </c>
      <c r="I2599" t="s">
        <v>4017</v>
      </c>
      <c r="J2599" t="s">
        <v>4115</v>
      </c>
      <c r="K2599" t="s">
        <v>1283</v>
      </c>
      <c r="L2599" s="204">
        <v>0.05</v>
      </c>
      <c r="M2599" s="112">
        <v>54.472499999999997</v>
      </c>
      <c r="N2599" s="112">
        <v>2.7236250000000002</v>
      </c>
      <c r="O2599" s="204"/>
      <c r="P2599" s="112"/>
      <c r="Q2599" s="112"/>
      <c r="R2599" s="112"/>
      <c r="S2599" s="112"/>
      <c r="T2599" s="112"/>
      <c r="U2599" t="s">
        <v>6098</v>
      </c>
      <c r="V2599" t="s">
        <v>6099</v>
      </c>
      <c r="W2599" t="s">
        <v>3958</v>
      </c>
      <c r="X2599" t="s">
        <v>4660</v>
      </c>
    </row>
    <row r="2600" spans="1:24" x14ac:dyDescent="0.2">
      <c r="A2600" t="s">
        <v>6097</v>
      </c>
      <c r="B2600" t="s">
        <v>1550</v>
      </c>
      <c r="C2600" t="s">
        <v>2115</v>
      </c>
      <c r="D2600" t="s">
        <v>56</v>
      </c>
      <c r="E2600" t="s">
        <v>1011</v>
      </c>
      <c r="F2600" t="s">
        <v>84</v>
      </c>
      <c r="G2600" s="202">
        <v>1</v>
      </c>
      <c r="H2600">
        <v>5</v>
      </c>
      <c r="I2600" t="s">
        <v>3968</v>
      </c>
      <c r="J2600" t="s">
        <v>3969</v>
      </c>
      <c r="K2600" t="s">
        <v>84</v>
      </c>
      <c r="L2600" s="204">
        <v>1</v>
      </c>
      <c r="M2600" s="112"/>
      <c r="N2600" s="112">
        <v>54.472499999999997</v>
      </c>
      <c r="O2600" s="204">
        <v>0.2220845380696681</v>
      </c>
      <c r="P2600" s="112">
        <v>12.097499999999997</v>
      </c>
      <c r="Q2600" s="112">
        <v>66.569999999999993</v>
      </c>
      <c r="R2600" s="112">
        <v>66.569999999999993</v>
      </c>
      <c r="S2600" s="112">
        <v>66.569999999999993</v>
      </c>
      <c r="T2600" s="112">
        <v>0</v>
      </c>
      <c r="U2600" t="s">
        <v>6098</v>
      </c>
      <c r="V2600" t="s">
        <v>6099</v>
      </c>
      <c r="W2600" t="s">
        <v>4666</v>
      </c>
      <c r="X2600" t="s">
        <v>4667</v>
      </c>
    </row>
    <row r="2601" spans="1:24" x14ac:dyDescent="0.2">
      <c r="A2601" t="s">
        <v>6100</v>
      </c>
      <c r="B2601" t="s">
        <v>2116</v>
      </c>
      <c r="C2601" t="s">
        <v>2117</v>
      </c>
      <c r="D2601" t="s">
        <v>56</v>
      </c>
      <c r="E2601" t="s">
        <v>1012</v>
      </c>
      <c r="F2601" t="s">
        <v>84</v>
      </c>
      <c r="G2601" s="202">
        <v>1</v>
      </c>
      <c r="H2601">
        <v>1</v>
      </c>
      <c r="I2601" t="s">
        <v>3954</v>
      </c>
      <c r="J2601" t="s">
        <v>4823</v>
      </c>
      <c r="K2601" t="s">
        <v>1283</v>
      </c>
      <c r="L2601" s="204">
        <v>0.18</v>
      </c>
      <c r="M2601" s="112">
        <v>46.012500000000003</v>
      </c>
      <c r="N2601" s="112">
        <v>8.2822499999999994</v>
      </c>
      <c r="O2601" s="204"/>
      <c r="P2601" s="112"/>
      <c r="Q2601" s="112"/>
      <c r="R2601" s="112"/>
      <c r="S2601" s="112"/>
      <c r="T2601" s="112"/>
      <c r="U2601" t="s">
        <v>6101</v>
      </c>
      <c r="V2601" t="s">
        <v>6102</v>
      </c>
      <c r="W2601" t="s">
        <v>3958</v>
      </c>
      <c r="X2601" t="s">
        <v>4660</v>
      </c>
    </row>
    <row r="2602" spans="1:24" x14ac:dyDescent="0.2">
      <c r="A2602" t="s">
        <v>6100</v>
      </c>
      <c r="B2602" t="s">
        <v>2116</v>
      </c>
      <c r="C2602" t="s">
        <v>2117</v>
      </c>
      <c r="D2602" t="s">
        <v>56</v>
      </c>
      <c r="E2602" t="s">
        <v>1012</v>
      </c>
      <c r="F2602" t="s">
        <v>84</v>
      </c>
      <c r="G2602" s="202">
        <v>1</v>
      </c>
      <c r="H2602">
        <v>2</v>
      </c>
      <c r="I2602" t="s">
        <v>3960</v>
      </c>
      <c r="J2602" t="s">
        <v>4826</v>
      </c>
      <c r="K2602" t="s">
        <v>1283</v>
      </c>
      <c r="L2602" s="204">
        <v>0.72</v>
      </c>
      <c r="M2602" s="112">
        <v>46.012500000000003</v>
      </c>
      <c r="N2602" s="112">
        <v>33.128999999999998</v>
      </c>
      <c r="O2602" s="204"/>
      <c r="P2602" s="112"/>
      <c r="Q2602" s="112"/>
      <c r="R2602" s="112"/>
      <c r="S2602" s="112"/>
      <c r="T2602" s="112"/>
      <c r="U2602" t="s">
        <v>6101</v>
      </c>
      <c r="V2602" t="s">
        <v>6102</v>
      </c>
      <c r="W2602" t="s">
        <v>3958</v>
      </c>
      <c r="X2602" t="s">
        <v>4660</v>
      </c>
    </row>
    <row r="2603" spans="1:24" x14ac:dyDescent="0.2">
      <c r="A2603" t="s">
        <v>6100</v>
      </c>
      <c r="B2603" t="s">
        <v>2116</v>
      </c>
      <c r="C2603" t="s">
        <v>2117</v>
      </c>
      <c r="D2603" t="s">
        <v>56</v>
      </c>
      <c r="E2603" t="s">
        <v>1012</v>
      </c>
      <c r="F2603" t="s">
        <v>84</v>
      </c>
      <c r="G2603" s="202">
        <v>1</v>
      </c>
      <c r="H2603">
        <v>3</v>
      </c>
      <c r="I2603" t="s">
        <v>3976</v>
      </c>
      <c r="J2603" t="s">
        <v>4827</v>
      </c>
      <c r="K2603" t="s">
        <v>1283</v>
      </c>
      <c r="L2603" s="204">
        <v>0.05</v>
      </c>
      <c r="M2603" s="112">
        <v>46.012500000000003</v>
      </c>
      <c r="N2603" s="112">
        <v>2.3006250000000001</v>
      </c>
      <c r="O2603" s="204"/>
      <c r="P2603" s="112"/>
      <c r="Q2603" s="112"/>
      <c r="R2603" s="112"/>
      <c r="S2603" s="112"/>
      <c r="T2603" s="112"/>
      <c r="U2603" t="s">
        <v>6101</v>
      </c>
      <c r="V2603" t="s">
        <v>6102</v>
      </c>
      <c r="W2603" t="s">
        <v>3958</v>
      </c>
      <c r="X2603" t="s">
        <v>4660</v>
      </c>
    </row>
    <row r="2604" spans="1:24" x14ac:dyDescent="0.2">
      <c r="A2604" t="s">
        <v>6100</v>
      </c>
      <c r="B2604" t="s">
        <v>2116</v>
      </c>
      <c r="C2604" t="s">
        <v>2117</v>
      </c>
      <c r="D2604" t="s">
        <v>56</v>
      </c>
      <c r="E2604" t="s">
        <v>1012</v>
      </c>
      <c r="F2604" t="s">
        <v>84</v>
      </c>
      <c r="G2604" s="202">
        <v>1</v>
      </c>
      <c r="H2604">
        <v>4</v>
      </c>
      <c r="I2604" t="s">
        <v>4017</v>
      </c>
      <c r="J2604" t="s">
        <v>4809</v>
      </c>
      <c r="K2604" t="s">
        <v>1283</v>
      </c>
      <c r="L2604" s="204">
        <v>0.05</v>
      </c>
      <c r="M2604" s="112">
        <v>46.012500000000003</v>
      </c>
      <c r="N2604" s="112">
        <v>2.3006250000000001</v>
      </c>
      <c r="O2604" s="204"/>
      <c r="P2604" s="112"/>
      <c r="Q2604" s="112"/>
      <c r="R2604" s="112"/>
      <c r="S2604" s="112"/>
      <c r="T2604" s="112"/>
      <c r="U2604" t="s">
        <v>6101</v>
      </c>
      <c r="V2604" t="s">
        <v>6102</v>
      </c>
      <c r="W2604" t="s">
        <v>3958</v>
      </c>
      <c r="X2604" t="s">
        <v>4660</v>
      </c>
    </row>
    <row r="2605" spans="1:24" x14ac:dyDescent="0.2">
      <c r="A2605" t="s">
        <v>6100</v>
      </c>
      <c r="B2605" t="s">
        <v>2116</v>
      </c>
      <c r="C2605" t="s">
        <v>2117</v>
      </c>
      <c r="D2605" t="s">
        <v>56</v>
      </c>
      <c r="E2605" t="s">
        <v>1012</v>
      </c>
      <c r="F2605" t="s">
        <v>84</v>
      </c>
      <c r="G2605" s="202">
        <v>1</v>
      </c>
      <c r="H2605">
        <v>5</v>
      </c>
      <c r="I2605" t="s">
        <v>3968</v>
      </c>
      <c r="J2605" t="s">
        <v>3969</v>
      </c>
      <c r="K2605" t="s">
        <v>84</v>
      </c>
      <c r="L2605" s="204">
        <v>1</v>
      </c>
      <c r="M2605" s="112"/>
      <c r="N2605" s="112">
        <v>46.012500000000003</v>
      </c>
      <c r="O2605" s="204">
        <v>0.22205922303721803</v>
      </c>
      <c r="P2605" s="112">
        <v>10.217499999999994</v>
      </c>
      <c r="Q2605" s="112">
        <v>56.23</v>
      </c>
      <c r="R2605" s="112">
        <v>56.23</v>
      </c>
      <c r="S2605" s="112">
        <v>56.23</v>
      </c>
      <c r="T2605" s="112">
        <v>0</v>
      </c>
      <c r="U2605" t="s">
        <v>6101</v>
      </c>
      <c r="V2605" t="s">
        <v>6102</v>
      </c>
      <c r="W2605" t="s">
        <v>4666</v>
      </c>
      <c r="X2605" t="s">
        <v>4667</v>
      </c>
    </row>
    <row r="2606" spans="1:24" x14ac:dyDescent="0.2">
      <c r="A2606" t="s">
        <v>6103</v>
      </c>
      <c r="B2606" t="s">
        <v>2118</v>
      </c>
      <c r="C2606" t="s">
        <v>2119</v>
      </c>
      <c r="D2606" t="s">
        <v>56</v>
      </c>
      <c r="E2606" t="s">
        <v>1013</v>
      </c>
      <c r="F2606" t="s">
        <v>84</v>
      </c>
      <c r="G2606" s="202">
        <v>63</v>
      </c>
      <c r="H2606">
        <v>1</v>
      </c>
      <c r="I2606" t="s">
        <v>3954</v>
      </c>
      <c r="J2606" t="s">
        <v>4823</v>
      </c>
      <c r="K2606" t="s">
        <v>1283</v>
      </c>
      <c r="L2606" s="204">
        <v>0.18</v>
      </c>
      <c r="M2606" s="112">
        <v>32.347500000000004</v>
      </c>
      <c r="N2606" s="112">
        <v>5.8225500000000006</v>
      </c>
      <c r="O2606" s="204"/>
      <c r="P2606" s="112"/>
      <c r="Q2606" s="112"/>
      <c r="R2606" s="112"/>
      <c r="S2606" s="112"/>
      <c r="T2606" s="112"/>
      <c r="U2606" t="s">
        <v>6104</v>
      </c>
      <c r="V2606" t="s">
        <v>6105</v>
      </c>
      <c r="W2606" t="s">
        <v>3958</v>
      </c>
      <c r="X2606" t="s">
        <v>4660</v>
      </c>
    </row>
    <row r="2607" spans="1:24" x14ac:dyDescent="0.2">
      <c r="A2607" t="s">
        <v>6103</v>
      </c>
      <c r="B2607" t="s">
        <v>2118</v>
      </c>
      <c r="C2607" t="s">
        <v>2119</v>
      </c>
      <c r="D2607" t="s">
        <v>56</v>
      </c>
      <c r="E2607" t="s">
        <v>1013</v>
      </c>
      <c r="F2607" t="s">
        <v>84</v>
      </c>
      <c r="G2607" s="202">
        <v>63</v>
      </c>
      <c r="H2607">
        <v>2</v>
      </c>
      <c r="I2607" t="s">
        <v>3960</v>
      </c>
      <c r="J2607" t="s">
        <v>4826</v>
      </c>
      <c r="K2607" t="s">
        <v>1283</v>
      </c>
      <c r="L2607" s="204">
        <v>0.72</v>
      </c>
      <c r="M2607" s="112">
        <v>32.347500000000004</v>
      </c>
      <c r="N2607" s="112">
        <v>23.290200000000002</v>
      </c>
      <c r="O2607" s="204"/>
      <c r="P2607" s="112"/>
      <c r="Q2607" s="112"/>
      <c r="R2607" s="112"/>
      <c r="S2607" s="112"/>
      <c r="T2607" s="112"/>
      <c r="U2607" t="s">
        <v>6104</v>
      </c>
      <c r="V2607" t="s">
        <v>6105</v>
      </c>
      <c r="W2607" t="s">
        <v>3958</v>
      </c>
      <c r="X2607" t="s">
        <v>4660</v>
      </c>
    </row>
    <row r="2608" spans="1:24" x14ac:dyDescent="0.2">
      <c r="A2608" t="s">
        <v>6103</v>
      </c>
      <c r="B2608" t="s">
        <v>2118</v>
      </c>
      <c r="C2608" t="s">
        <v>2119</v>
      </c>
      <c r="D2608" t="s">
        <v>56</v>
      </c>
      <c r="E2608" t="s">
        <v>1013</v>
      </c>
      <c r="F2608" t="s">
        <v>84</v>
      </c>
      <c r="G2608" s="202">
        <v>63</v>
      </c>
      <c r="H2608">
        <v>3</v>
      </c>
      <c r="I2608" t="s">
        <v>3976</v>
      </c>
      <c r="J2608" t="s">
        <v>4827</v>
      </c>
      <c r="K2608" t="s">
        <v>1283</v>
      </c>
      <c r="L2608" s="204">
        <v>0.05</v>
      </c>
      <c r="M2608" s="112">
        <v>32.347500000000004</v>
      </c>
      <c r="N2608" s="112">
        <v>1.6173750000000002</v>
      </c>
      <c r="O2608" s="204"/>
      <c r="P2608" s="112"/>
      <c r="Q2608" s="112"/>
      <c r="R2608" s="112"/>
      <c r="S2608" s="112"/>
      <c r="T2608" s="112"/>
      <c r="U2608" t="s">
        <v>6104</v>
      </c>
      <c r="V2608" t="s">
        <v>6105</v>
      </c>
      <c r="W2608" t="s">
        <v>3958</v>
      </c>
      <c r="X2608" t="s">
        <v>4660</v>
      </c>
    </row>
    <row r="2609" spans="1:24" x14ac:dyDescent="0.2">
      <c r="A2609" t="s">
        <v>6103</v>
      </c>
      <c r="B2609" t="s">
        <v>2118</v>
      </c>
      <c r="C2609" t="s">
        <v>2119</v>
      </c>
      <c r="D2609" t="s">
        <v>56</v>
      </c>
      <c r="E2609" t="s">
        <v>1013</v>
      </c>
      <c r="F2609" t="s">
        <v>84</v>
      </c>
      <c r="G2609" s="202">
        <v>63</v>
      </c>
      <c r="H2609">
        <v>4</v>
      </c>
      <c r="I2609" t="s">
        <v>4017</v>
      </c>
      <c r="J2609" t="s">
        <v>4809</v>
      </c>
      <c r="K2609" t="s">
        <v>1283</v>
      </c>
      <c r="L2609" s="204">
        <v>0.05</v>
      </c>
      <c r="M2609" s="112">
        <v>32.347500000000004</v>
      </c>
      <c r="N2609" s="112">
        <v>1.6173750000000002</v>
      </c>
      <c r="O2609" s="204"/>
      <c r="P2609" s="112"/>
      <c r="Q2609" s="112"/>
      <c r="R2609" s="112"/>
      <c r="S2609" s="112"/>
      <c r="T2609" s="112"/>
      <c r="U2609" t="s">
        <v>6104</v>
      </c>
      <c r="V2609" t="s">
        <v>6105</v>
      </c>
      <c r="W2609" t="s">
        <v>3958</v>
      </c>
      <c r="X2609" t="s">
        <v>4660</v>
      </c>
    </row>
    <row r="2610" spans="1:24" x14ac:dyDescent="0.2">
      <c r="A2610" t="s">
        <v>6103</v>
      </c>
      <c r="B2610" t="s">
        <v>2118</v>
      </c>
      <c r="C2610" t="s">
        <v>2119</v>
      </c>
      <c r="D2610" t="s">
        <v>56</v>
      </c>
      <c r="E2610" t="s">
        <v>1013</v>
      </c>
      <c r="F2610" t="s">
        <v>84</v>
      </c>
      <c r="G2610" s="202">
        <v>63</v>
      </c>
      <c r="H2610">
        <v>5</v>
      </c>
      <c r="I2610" t="s">
        <v>3968</v>
      </c>
      <c r="J2610" t="s">
        <v>3969</v>
      </c>
      <c r="K2610" t="s">
        <v>84</v>
      </c>
      <c r="L2610" s="204">
        <v>1</v>
      </c>
      <c r="M2610" s="112"/>
      <c r="N2610" s="112">
        <v>32.347500000000004</v>
      </c>
      <c r="O2610" s="204">
        <v>0.22211549431581878</v>
      </c>
      <c r="P2610" s="112">
        <v>7.1848809523809507</v>
      </c>
      <c r="Q2610" s="112">
        <v>39.532380952380954</v>
      </c>
      <c r="R2610" s="112">
        <v>2490.54</v>
      </c>
      <c r="S2610" s="112">
        <v>2490.54</v>
      </c>
      <c r="T2610" s="112">
        <v>0</v>
      </c>
      <c r="U2610" t="s">
        <v>6104</v>
      </c>
      <c r="V2610" t="s">
        <v>6105</v>
      </c>
      <c r="W2610" t="s">
        <v>4666</v>
      </c>
      <c r="X2610" t="s">
        <v>4667</v>
      </c>
    </row>
    <row r="2611" spans="1:24" x14ac:dyDescent="0.2">
      <c r="A2611" t="s">
        <v>6106</v>
      </c>
      <c r="B2611" t="s">
        <v>2120</v>
      </c>
      <c r="C2611" t="s">
        <v>2121</v>
      </c>
      <c r="D2611" t="s">
        <v>56</v>
      </c>
      <c r="E2611" t="s">
        <v>1014</v>
      </c>
      <c r="F2611" t="s">
        <v>84</v>
      </c>
      <c r="G2611" s="202">
        <v>34</v>
      </c>
      <c r="H2611">
        <v>1</v>
      </c>
      <c r="I2611" t="s">
        <v>3954</v>
      </c>
      <c r="J2611" t="s">
        <v>4823</v>
      </c>
      <c r="K2611" t="s">
        <v>1283</v>
      </c>
      <c r="L2611" s="204">
        <v>0.18</v>
      </c>
      <c r="M2611" s="112">
        <v>51.39</v>
      </c>
      <c r="N2611" s="112">
        <v>9.2501999999999995</v>
      </c>
      <c r="O2611" s="204"/>
      <c r="P2611" s="112"/>
      <c r="Q2611" s="112"/>
      <c r="R2611" s="112"/>
      <c r="S2611" s="112"/>
      <c r="T2611" s="112"/>
      <c r="U2611" t="s">
        <v>6107</v>
      </c>
      <c r="V2611" t="s">
        <v>6108</v>
      </c>
      <c r="W2611" t="s">
        <v>3958</v>
      </c>
      <c r="X2611" t="s">
        <v>4660</v>
      </c>
    </row>
    <row r="2612" spans="1:24" x14ac:dyDescent="0.2">
      <c r="A2612" t="s">
        <v>6106</v>
      </c>
      <c r="B2612" t="s">
        <v>2120</v>
      </c>
      <c r="C2612" t="s">
        <v>2121</v>
      </c>
      <c r="D2612" t="s">
        <v>56</v>
      </c>
      <c r="E2612" t="s">
        <v>1014</v>
      </c>
      <c r="F2612" t="s">
        <v>84</v>
      </c>
      <c r="G2612" s="202">
        <v>34</v>
      </c>
      <c r="H2612">
        <v>2</v>
      </c>
      <c r="I2612" t="s">
        <v>3960</v>
      </c>
      <c r="J2612" t="s">
        <v>4826</v>
      </c>
      <c r="K2612" t="s">
        <v>1283</v>
      </c>
      <c r="L2612" s="204">
        <v>0.72</v>
      </c>
      <c r="M2612" s="112">
        <v>51.39</v>
      </c>
      <c r="N2612" s="112">
        <v>37.000799999999998</v>
      </c>
      <c r="O2612" s="204"/>
      <c r="P2612" s="112"/>
      <c r="Q2612" s="112"/>
      <c r="R2612" s="112"/>
      <c r="S2612" s="112"/>
      <c r="T2612" s="112"/>
      <c r="U2612" t="s">
        <v>6107</v>
      </c>
      <c r="V2612" t="s">
        <v>6108</v>
      </c>
      <c r="W2612" t="s">
        <v>3958</v>
      </c>
      <c r="X2612" t="s">
        <v>4660</v>
      </c>
    </row>
    <row r="2613" spans="1:24" x14ac:dyDescent="0.2">
      <c r="A2613" t="s">
        <v>6106</v>
      </c>
      <c r="B2613" t="s">
        <v>2120</v>
      </c>
      <c r="C2613" t="s">
        <v>2121</v>
      </c>
      <c r="D2613" t="s">
        <v>56</v>
      </c>
      <c r="E2613" t="s">
        <v>1014</v>
      </c>
      <c r="F2613" t="s">
        <v>84</v>
      </c>
      <c r="G2613" s="202">
        <v>34</v>
      </c>
      <c r="H2613">
        <v>3</v>
      </c>
      <c r="I2613" t="s">
        <v>3976</v>
      </c>
      <c r="J2613" t="s">
        <v>4827</v>
      </c>
      <c r="K2613" t="s">
        <v>1283</v>
      </c>
      <c r="L2613" s="204">
        <v>0.05</v>
      </c>
      <c r="M2613" s="112">
        <v>51.39</v>
      </c>
      <c r="N2613" s="112">
        <v>2.5695000000000001</v>
      </c>
      <c r="O2613" s="204"/>
      <c r="P2613" s="112"/>
      <c r="Q2613" s="112"/>
      <c r="R2613" s="112"/>
      <c r="S2613" s="112"/>
      <c r="T2613" s="112"/>
      <c r="U2613" t="s">
        <v>6107</v>
      </c>
      <c r="V2613" t="s">
        <v>6108</v>
      </c>
      <c r="W2613" t="s">
        <v>3958</v>
      </c>
      <c r="X2613" t="s">
        <v>4660</v>
      </c>
    </row>
    <row r="2614" spans="1:24" x14ac:dyDescent="0.2">
      <c r="A2614" t="s">
        <v>6106</v>
      </c>
      <c r="B2614" t="s">
        <v>2120</v>
      </c>
      <c r="C2614" t="s">
        <v>2121</v>
      </c>
      <c r="D2614" t="s">
        <v>56</v>
      </c>
      <c r="E2614" t="s">
        <v>1014</v>
      </c>
      <c r="F2614" t="s">
        <v>84</v>
      </c>
      <c r="G2614" s="202">
        <v>34</v>
      </c>
      <c r="H2614">
        <v>4</v>
      </c>
      <c r="I2614" t="s">
        <v>4017</v>
      </c>
      <c r="J2614" t="s">
        <v>4809</v>
      </c>
      <c r="K2614" t="s">
        <v>1283</v>
      </c>
      <c r="L2614" s="204">
        <v>0.05</v>
      </c>
      <c r="M2614" s="112">
        <v>51.39</v>
      </c>
      <c r="N2614" s="112">
        <v>2.5695000000000001</v>
      </c>
      <c r="O2614" s="204"/>
      <c r="P2614" s="112"/>
      <c r="Q2614" s="112"/>
      <c r="R2614" s="112"/>
      <c r="S2614" s="112"/>
      <c r="T2614" s="112"/>
      <c r="U2614" t="s">
        <v>6107</v>
      </c>
      <c r="V2614" t="s">
        <v>6108</v>
      </c>
      <c r="W2614" t="s">
        <v>3958</v>
      </c>
      <c r="X2614" t="s">
        <v>4660</v>
      </c>
    </row>
    <row r="2615" spans="1:24" x14ac:dyDescent="0.2">
      <c r="A2615" t="s">
        <v>6106</v>
      </c>
      <c r="B2615" t="s">
        <v>2120</v>
      </c>
      <c r="C2615" t="s">
        <v>2121</v>
      </c>
      <c r="D2615" t="s">
        <v>56</v>
      </c>
      <c r="E2615" t="s">
        <v>1014</v>
      </c>
      <c r="F2615" t="s">
        <v>84</v>
      </c>
      <c r="G2615" s="202">
        <v>34</v>
      </c>
      <c r="H2615">
        <v>5</v>
      </c>
      <c r="I2615" t="s">
        <v>3968</v>
      </c>
      <c r="J2615" t="s">
        <v>3969</v>
      </c>
      <c r="K2615" t="s">
        <v>84</v>
      </c>
      <c r="L2615" s="204">
        <v>1</v>
      </c>
      <c r="M2615" s="112"/>
      <c r="N2615" s="112">
        <v>51.39</v>
      </c>
      <c r="O2615" s="204">
        <v>0.22226800819568915</v>
      </c>
      <c r="P2615" s="112">
        <v>11.42235294117647</v>
      </c>
      <c r="Q2615" s="112">
        <v>62.812352941176471</v>
      </c>
      <c r="R2615" s="112">
        <v>2135.62</v>
      </c>
      <c r="S2615" s="112">
        <v>2135.62</v>
      </c>
      <c r="T2615" s="112">
        <v>0</v>
      </c>
      <c r="U2615" t="s">
        <v>6107</v>
      </c>
      <c r="V2615" t="s">
        <v>6108</v>
      </c>
      <c r="W2615" t="s">
        <v>4666</v>
      </c>
      <c r="X2615" t="s">
        <v>4667</v>
      </c>
    </row>
    <row r="2616" spans="1:24" x14ac:dyDescent="0.2">
      <c r="A2616" t="s">
        <v>6109</v>
      </c>
      <c r="B2616" t="s">
        <v>2122</v>
      </c>
      <c r="C2616" t="s">
        <v>2123</v>
      </c>
      <c r="D2616" t="s">
        <v>56</v>
      </c>
      <c r="E2616" t="s">
        <v>1015</v>
      </c>
      <c r="F2616" t="s">
        <v>84</v>
      </c>
      <c r="G2616" s="202">
        <v>104</v>
      </c>
      <c r="H2616">
        <v>1</v>
      </c>
      <c r="I2616" t="s">
        <v>3954</v>
      </c>
      <c r="J2616" t="s">
        <v>4823</v>
      </c>
      <c r="K2616" t="s">
        <v>1283</v>
      </c>
      <c r="L2616" s="204">
        <v>0.18</v>
      </c>
      <c r="M2616" s="112">
        <v>76.897500000000008</v>
      </c>
      <c r="N2616" s="112">
        <v>13.841550000000002</v>
      </c>
      <c r="O2616" s="204"/>
      <c r="P2616" s="112"/>
      <c r="Q2616" s="112"/>
      <c r="R2616" s="112"/>
      <c r="S2616" s="112"/>
      <c r="T2616" s="112"/>
      <c r="U2616" t="s">
        <v>6110</v>
      </c>
      <c r="V2616" t="s">
        <v>6111</v>
      </c>
      <c r="W2616" t="s">
        <v>3958</v>
      </c>
      <c r="X2616" t="s">
        <v>4660</v>
      </c>
    </row>
    <row r="2617" spans="1:24" x14ac:dyDescent="0.2">
      <c r="A2617" t="s">
        <v>6109</v>
      </c>
      <c r="B2617" t="s">
        <v>2122</v>
      </c>
      <c r="C2617" t="s">
        <v>2123</v>
      </c>
      <c r="D2617" t="s">
        <v>56</v>
      </c>
      <c r="E2617" t="s">
        <v>1015</v>
      </c>
      <c r="F2617" t="s">
        <v>84</v>
      </c>
      <c r="G2617" s="202">
        <v>104</v>
      </c>
      <c r="H2617">
        <v>2</v>
      </c>
      <c r="I2617" t="s">
        <v>3960</v>
      </c>
      <c r="J2617" t="s">
        <v>4826</v>
      </c>
      <c r="K2617" t="s">
        <v>1283</v>
      </c>
      <c r="L2617" s="204">
        <v>0.72</v>
      </c>
      <c r="M2617" s="112">
        <v>76.897500000000008</v>
      </c>
      <c r="N2617" s="112">
        <v>55.366200000000006</v>
      </c>
      <c r="O2617" s="204"/>
      <c r="P2617" s="112"/>
      <c r="Q2617" s="112"/>
      <c r="R2617" s="112"/>
      <c r="S2617" s="112"/>
      <c r="T2617" s="112"/>
      <c r="U2617" t="s">
        <v>6110</v>
      </c>
      <c r="V2617" t="s">
        <v>6111</v>
      </c>
      <c r="W2617" t="s">
        <v>3958</v>
      </c>
      <c r="X2617" t="s">
        <v>4660</v>
      </c>
    </row>
    <row r="2618" spans="1:24" x14ac:dyDescent="0.2">
      <c r="A2618" t="s">
        <v>6109</v>
      </c>
      <c r="B2618" t="s">
        <v>2122</v>
      </c>
      <c r="C2618" t="s">
        <v>2123</v>
      </c>
      <c r="D2618" t="s">
        <v>56</v>
      </c>
      <c r="E2618" t="s">
        <v>1015</v>
      </c>
      <c r="F2618" t="s">
        <v>84</v>
      </c>
      <c r="G2618" s="202">
        <v>104</v>
      </c>
      <c r="H2618">
        <v>3</v>
      </c>
      <c r="I2618" t="s">
        <v>3976</v>
      </c>
      <c r="J2618" t="s">
        <v>4827</v>
      </c>
      <c r="K2618" t="s">
        <v>1283</v>
      </c>
      <c r="L2618" s="204">
        <v>0.05</v>
      </c>
      <c r="M2618" s="112">
        <v>76.897500000000008</v>
      </c>
      <c r="N2618" s="112">
        <v>3.8448750000000005</v>
      </c>
      <c r="O2618" s="204"/>
      <c r="P2618" s="112"/>
      <c r="Q2618" s="112"/>
      <c r="R2618" s="112"/>
      <c r="S2618" s="112"/>
      <c r="T2618" s="112"/>
      <c r="U2618" t="s">
        <v>6110</v>
      </c>
      <c r="V2618" t="s">
        <v>6111</v>
      </c>
      <c r="W2618" t="s">
        <v>3958</v>
      </c>
      <c r="X2618" t="s">
        <v>4660</v>
      </c>
    </row>
    <row r="2619" spans="1:24" x14ac:dyDescent="0.2">
      <c r="A2619" t="s">
        <v>6109</v>
      </c>
      <c r="B2619" t="s">
        <v>2122</v>
      </c>
      <c r="C2619" t="s">
        <v>2123</v>
      </c>
      <c r="D2619" t="s">
        <v>56</v>
      </c>
      <c r="E2619" t="s">
        <v>1015</v>
      </c>
      <c r="F2619" t="s">
        <v>84</v>
      </c>
      <c r="G2619" s="202">
        <v>104</v>
      </c>
      <c r="H2619">
        <v>4</v>
      </c>
      <c r="I2619" t="s">
        <v>4017</v>
      </c>
      <c r="J2619" t="s">
        <v>4809</v>
      </c>
      <c r="K2619" t="s">
        <v>1283</v>
      </c>
      <c r="L2619" s="204">
        <v>0.05</v>
      </c>
      <c r="M2619" s="112">
        <v>76.897500000000008</v>
      </c>
      <c r="N2619" s="112">
        <v>3.8448750000000005</v>
      </c>
      <c r="O2619" s="204"/>
      <c r="P2619" s="112"/>
      <c r="Q2619" s="112"/>
      <c r="R2619" s="112"/>
      <c r="S2619" s="112"/>
      <c r="T2619" s="112"/>
      <c r="U2619" t="s">
        <v>6110</v>
      </c>
      <c r="V2619" t="s">
        <v>6111</v>
      </c>
      <c r="W2619" t="s">
        <v>3958</v>
      </c>
      <c r="X2619" t="s">
        <v>4660</v>
      </c>
    </row>
    <row r="2620" spans="1:24" x14ac:dyDescent="0.2">
      <c r="A2620" t="s">
        <v>6109</v>
      </c>
      <c r="B2620" t="s">
        <v>2122</v>
      </c>
      <c r="C2620" t="s">
        <v>2123</v>
      </c>
      <c r="D2620" t="s">
        <v>56</v>
      </c>
      <c r="E2620" t="s">
        <v>1015</v>
      </c>
      <c r="F2620" t="s">
        <v>84</v>
      </c>
      <c r="G2620" s="202">
        <v>104</v>
      </c>
      <c r="H2620">
        <v>5</v>
      </c>
      <c r="I2620" t="s">
        <v>3968</v>
      </c>
      <c r="J2620" t="s">
        <v>3969</v>
      </c>
      <c r="K2620" t="s">
        <v>84</v>
      </c>
      <c r="L2620" s="204">
        <v>1</v>
      </c>
      <c r="M2620" s="112"/>
      <c r="N2620" s="112">
        <v>76.897500000000008</v>
      </c>
      <c r="O2620" s="204">
        <v>0.22227640690529582</v>
      </c>
      <c r="P2620" s="112">
        <v>17.092499999999987</v>
      </c>
      <c r="Q2620" s="112">
        <v>93.99</v>
      </c>
      <c r="R2620" s="112">
        <v>9774.9599999999991</v>
      </c>
      <c r="S2620" s="112">
        <v>9774.9599999999991</v>
      </c>
      <c r="T2620" s="112">
        <v>0</v>
      </c>
      <c r="U2620" t="s">
        <v>6110</v>
      </c>
      <c r="V2620" t="s">
        <v>6111</v>
      </c>
      <c r="W2620" t="s">
        <v>4666</v>
      </c>
      <c r="X2620" t="s">
        <v>4667</v>
      </c>
    </row>
    <row r="2621" spans="1:24" x14ac:dyDescent="0.2">
      <c r="A2621" t="s">
        <v>6112</v>
      </c>
      <c r="B2621" t="s">
        <v>2124</v>
      </c>
      <c r="C2621" t="s">
        <v>2125</v>
      </c>
      <c r="D2621" t="s">
        <v>56</v>
      </c>
      <c r="E2621" t="s">
        <v>1016</v>
      </c>
      <c r="F2621" t="s">
        <v>84</v>
      </c>
      <c r="G2621" s="202">
        <v>6</v>
      </c>
      <c r="H2621">
        <v>1</v>
      </c>
      <c r="I2621" t="s">
        <v>3954</v>
      </c>
      <c r="J2621" t="s">
        <v>4823</v>
      </c>
      <c r="K2621" t="s">
        <v>1283</v>
      </c>
      <c r="L2621" s="204">
        <v>0.18</v>
      </c>
      <c r="M2621" s="112">
        <v>33.697499999999998</v>
      </c>
      <c r="N2621" s="112">
        <v>6.0655499999999991</v>
      </c>
      <c r="O2621" s="204"/>
      <c r="P2621" s="112"/>
      <c r="Q2621" s="112"/>
      <c r="R2621" s="112"/>
      <c r="S2621" s="112"/>
      <c r="T2621" s="112"/>
      <c r="U2621" t="s">
        <v>6113</v>
      </c>
      <c r="V2621" t="s">
        <v>6114</v>
      </c>
      <c r="W2621" t="s">
        <v>3958</v>
      </c>
      <c r="X2621" t="s">
        <v>4660</v>
      </c>
    </row>
    <row r="2622" spans="1:24" x14ac:dyDescent="0.2">
      <c r="A2622" t="s">
        <v>6112</v>
      </c>
      <c r="B2622" t="s">
        <v>2124</v>
      </c>
      <c r="C2622" t="s">
        <v>2125</v>
      </c>
      <c r="D2622" t="s">
        <v>56</v>
      </c>
      <c r="E2622" t="s">
        <v>1016</v>
      </c>
      <c r="F2622" t="s">
        <v>84</v>
      </c>
      <c r="G2622" s="202">
        <v>6</v>
      </c>
      <c r="H2622">
        <v>2</v>
      </c>
      <c r="I2622" t="s">
        <v>3960</v>
      </c>
      <c r="J2622" t="s">
        <v>4826</v>
      </c>
      <c r="K2622" t="s">
        <v>1283</v>
      </c>
      <c r="L2622" s="204">
        <v>0.72</v>
      </c>
      <c r="M2622" s="112">
        <v>33.697499999999998</v>
      </c>
      <c r="N2622" s="112">
        <v>24.262199999999996</v>
      </c>
      <c r="O2622" s="204"/>
      <c r="P2622" s="112"/>
      <c r="Q2622" s="112"/>
      <c r="R2622" s="112"/>
      <c r="S2622" s="112"/>
      <c r="T2622" s="112"/>
      <c r="U2622" t="s">
        <v>6113</v>
      </c>
      <c r="V2622" t="s">
        <v>6114</v>
      </c>
      <c r="W2622" t="s">
        <v>3958</v>
      </c>
      <c r="X2622" t="s">
        <v>4660</v>
      </c>
    </row>
    <row r="2623" spans="1:24" x14ac:dyDescent="0.2">
      <c r="A2623" t="s">
        <v>6112</v>
      </c>
      <c r="B2623" t="s">
        <v>2124</v>
      </c>
      <c r="C2623" t="s">
        <v>2125</v>
      </c>
      <c r="D2623" t="s">
        <v>56</v>
      </c>
      <c r="E2623" t="s">
        <v>1016</v>
      </c>
      <c r="F2623" t="s">
        <v>84</v>
      </c>
      <c r="G2623" s="202">
        <v>6</v>
      </c>
      <c r="H2623">
        <v>3</v>
      </c>
      <c r="I2623" t="s">
        <v>3976</v>
      </c>
      <c r="J2623" t="s">
        <v>4827</v>
      </c>
      <c r="K2623" t="s">
        <v>1283</v>
      </c>
      <c r="L2623" s="204">
        <v>0.05</v>
      </c>
      <c r="M2623" s="112">
        <v>33.697499999999998</v>
      </c>
      <c r="N2623" s="112">
        <v>1.6848749999999999</v>
      </c>
      <c r="O2623" s="204"/>
      <c r="P2623" s="112"/>
      <c r="Q2623" s="112"/>
      <c r="R2623" s="112"/>
      <c r="S2623" s="112"/>
      <c r="T2623" s="112"/>
      <c r="U2623" t="s">
        <v>6113</v>
      </c>
      <c r="V2623" t="s">
        <v>6114</v>
      </c>
      <c r="W2623" t="s">
        <v>3958</v>
      </c>
      <c r="X2623" t="s">
        <v>4660</v>
      </c>
    </row>
    <row r="2624" spans="1:24" x14ac:dyDescent="0.2">
      <c r="A2624" t="s">
        <v>6112</v>
      </c>
      <c r="B2624" t="s">
        <v>2124</v>
      </c>
      <c r="C2624" t="s">
        <v>2125</v>
      </c>
      <c r="D2624" t="s">
        <v>56</v>
      </c>
      <c r="E2624" t="s">
        <v>1016</v>
      </c>
      <c r="F2624" t="s">
        <v>84</v>
      </c>
      <c r="G2624" s="202">
        <v>6</v>
      </c>
      <c r="H2624">
        <v>4</v>
      </c>
      <c r="I2624" t="s">
        <v>4017</v>
      </c>
      <c r="J2624" t="s">
        <v>4809</v>
      </c>
      <c r="K2624" t="s">
        <v>1283</v>
      </c>
      <c r="L2624" s="204">
        <v>0.05</v>
      </c>
      <c r="M2624" s="112">
        <v>33.697499999999998</v>
      </c>
      <c r="N2624" s="112">
        <v>1.6848749999999999</v>
      </c>
      <c r="O2624" s="204"/>
      <c r="P2624" s="112"/>
      <c r="Q2624" s="112"/>
      <c r="R2624" s="112"/>
      <c r="S2624" s="112"/>
      <c r="T2624" s="112"/>
      <c r="U2624" t="s">
        <v>6113</v>
      </c>
      <c r="V2624" t="s">
        <v>6114</v>
      </c>
      <c r="W2624" t="s">
        <v>3958</v>
      </c>
      <c r="X2624" t="s">
        <v>4660</v>
      </c>
    </row>
    <row r="2625" spans="1:24" x14ac:dyDescent="0.2">
      <c r="A2625" t="s">
        <v>6112</v>
      </c>
      <c r="B2625" t="s">
        <v>2124</v>
      </c>
      <c r="C2625" t="s">
        <v>2125</v>
      </c>
      <c r="D2625" t="s">
        <v>56</v>
      </c>
      <c r="E2625" t="s">
        <v>1016</v>
      </c>
      <c r="F2625" t="s">
        <v>84</v>
      </c>
      <c r="G2625" s="202">
        <v>6</v>
      </c>
      <c r="H2625">
        <v>5</v>
      </c>
      <c r="I2625" t="s">
        <v>3968</v>
      </c>
      <c r="J2625" t="s">
        <v>3969</v>
      </c>
      <c r="K2625" t="s">
        <v>84</v>
      </c>
      <c r="L2625" s="204">
        <v>1</v>
      </c>
      <c r="M2625" s="112"/>
      <c r="N2625" s="112">
        <v>33.697499999999998</v>
      </c>
      <c r="O2625" s="204">
        <v>0.2220985730890026</v>
      </c>
      <c r="P2625" s="112">
        <v>7.4841666666666669</v>
      </c>
      <c r="Q2625" s="112">
        <v>41.181666666666665</v>
      </c>
      <c r="R2625" s="112">
        <v>247.09</v>
      </c>
      <c r="S2625" s="112">
        <v>247.09</v>
      </c>
      <c r="T2625" s="112">
        <v>0</v>
      </c>
      <c r="U2625" t="s">
        <v>6113</v>
      </c>
      <c r="V2625" t="s">
        <v>6114</v>
      </c>
      <c r="W2625" t="s">
        <v>4666</v>
      </c>
      <c r="X2625" t="s">
        <v>4667</v>
      </c>
    </row>
    <row r="2626" spans="1:24" x14ac:dyDescent="0.2">
      <c r="A2626" t="s">
        <v>6115</v>
      </c>
      <c r="B2626" t="s">
        <v>2126</v>
      </c>
      <c r="C2626" t="s">
        <v>2127</v>
      </c>
      <c r="D2626" t="s">
        <v>24</v>
      </c>
      <c r="E2626" t="s">
        <v>2128</v>
      </c>
      <c r="F2626" t="s">
        <v>84</v>
      </c>
      <c r="G2626" s="202">
        <v>377</v>
      </c>
      <c r="H2626">
        <v>1</v>
      </c>
      <c r="I2626" t="s">
        <v>3954</v>
      </c>
      <c r="J2626" t="s">
        <v>5094</v>
      </c>
      <c r="K2626" t="s">
        <v>1283</v>
      </c>
      <c r="L2626" s="204">
        <v>0.45</v>
      </c>
      <c r="M2626" s="112">
        <v>225.36750000000001</v>
      </c>
      <c r="N2626" s="112">
        <v>101.41537500000001</v>
      </c>
      <c r="O2626" s="204"/>
      <c r="P2626" s="112"/>
      <c r="Q2626" s="112"/>
      <c r="R2626" s="112"/>
      <c r="S2626" s="112"/>
      <c r="T2626" s="112"/>
      <c r="U2626" t="s">
        <v>6116</v>
      </c>
      <c r="V2626" t="s">
        <v>6117</v>
      </c>
      <c r="W2626" t="s">
        <v>3958</v>
      </c>
      <c r="X2626" t="s">
        <v>4660</v>
      </c>
    </row>
    <row r="2627" spans="1:24" x14ac:dyDescent="0.2">
      <c r="A2627" t="s">
        <v>6115</v>
      </c>
      <c r="B2627" t="s">
        <v>2126</v>
      </c>
      <c r="C2627" t="s">
        <v>2127</v>
      </c>
      <c r="D2627" t="s">
        <v>24</v>
      </c>
      <c r="E2627" t="s">
        <v>2128</v>
      </c>
      <c r="F2627" t="s">
        <v>84</v>
      </c>
      <c r="G2627" s="202">
        <v>377</v>
      </c>
      <c r="H2627">
        <v>2</v>
      </c>
      <c r="I2627" t="s">
        <v>3960</v>
      </c>
      <c r="J2627" t="s">
        <v>5097</v>
      </c>
      <c r="K2627" t="s">
        <v>1283</v>
      </c>
      <c r="L2627" s="204">
        <v>0.45</v>
      </c>
      <c r="M2627" s="112">
        <v>225.36750000000001</v>
      </c>
      <c r="N2627" s="112">
        <v>101.41537500000001</v>
      </c>
      <c r="O2627" s="204"/>
      <c r="P2627" s="112"/>
      <c r="Q2627" s="112"/>
      <c r="R2627" s="112"/>
      <c r="S2627" s="112"/>
      <c r="T2627" s="112"/>
      <c r="U2627" t="s">
        <v>6116</v>
      </c>
      <c r="V2627" t="s">
        <v>6117</v>
      </c>
      <c r="W2627" t="s">
        <v>3958</v>
      </c>
      <c r="X2627" t="s">
        <v>4660</v>
      </c>
    </row>
    <row r="2628" spans="1:24" x14ac:dyDescent="0.2">
      <c r="A2628" t="s">
        <v>6115</v>
      </c>
      <c r="B2628" t="s">
        <v>2126</v>
      </c>
      <c r="C2628" t="s">
        <v>2127</v>
      </c>
      <c r="D2628" t="s">
        <v>24</v>
      </c>
      <c r="E2628" t="s">
        <v>2128</v>
      </c>
      <c r="F2628" t="s">
        <v>84</v>
      </c>
      <c r="G2628" s="202">
        <v>377</v>
      </c>
      <c r="H2628">
        <v>3</v>
      </c>
      <c r="I2628" t="s">
        <v>3976</v>
      </c>
      <c r="J2628" t="s">
        <v>5098</v>
      </c>
      <c r="K2628" t="s">
        <v>1283</v>
      </c>
      <c r="L2628" s="204">
        <v>0.05</v>
      </c>
      <c r="M2628" s="112">
        <v>225.36750000000001</v>
      </c>
      <c r="N2628" s="112">
        <v>11.268375000000001</v>
      </c>
      <c r="O2628" s="204"/>
      <c r="P2628" s="112"/>
      <c r="Q2628" s="112"/>
      <c r="R2628" s="112"/>
      <c r="S2628" s="112"/>
      <c r="T2628" s="112"/>
      <c r="U2628" t="s">
        <v>6116</v>
      </c>
      <c r="V2628" t="s">
        <v>6117</v>
      </c>
      <c r="W2628" t="s">
        <v>3958</v>
      </c>
      <c r="X2628" t="s">
        <v>4660</v>
      </c>
    </row>
    <row r="2629" spans="1:24" x14ac:dyDescent="0.2">
      <c r="A2629" t="s">
        <v>6115</v>
      </c>
      <c r="B2629" t="s">
        <v>2126</v>
      </c>
      <c r="C2629" t="s">
        <v>2127</v>
      </c>
      <c r="D2629" t="s">
        <v>24</v>
      </c>
      <c r="E2629" t="s">
        <v>2128</v>
      </c>
      <c r="F2629" t="s">
        <v>84</v>
      </c>
      <c r="G2629" s="202">
        <v>377</v>
      </c>
      <c r="H2629">
        <v>4</v>
      </c>
      <c r="I2629" t="s">
        <v>4017</v>
      </c>
      <c r="J2629" t="s">
        <v>4851</v>
      </c>
      <c r="K2629" t="s">
        <v>1283</v>
      </c>
      <c r="L2629" s="204">
        <v>0.05</v>
      </c>
      <c r="M2629" s="112">
        <v>225.36750000000001</v>
      </c>
      <c r="N2629" s="112">
        <v>11.268375000000001</v>
      </c>
      <c r="O2629" s="204"/>
      <c r="P2629" s="112"/>
      <c r="Q2629" s="112"/>
      <c r="R2629" s="112"/>
      <c r="S2629" s="112"/>
      <c r="T2629" s="112"/>
      <c r="U2629" t="s">
        <v>6116</v>
      </c>
      <c r="V2629" t="s">
        <v>6117</v>
      </c>
      <c r="W2629" t="s">
        <v>3958</v>
      </c>
      <c r="X2629" t="s">
        <v>4660</v>
      </c>
    </row>
    <row r="2630" spans="1:24" x14ac:dyDescent="0.2">
      <c r="A2630" t="s">
        <v>6115</v>
      </c>
      <c r="B2630" t="s">
        <v>2126</v>
      </c>
      <c r="C2630" t="s">
        <v>2127</v>
      </c>
      <c r="D2630" t="s">
        <v>24</v>
      </c>
      <c r="E2630" t="s">
        <v>2128</v>
      </c>
      <c r="F2630" t="s">
        <v>84</v>
      </c>
      <c r="G2630" s="202">
        <v>377</v>
      </c>
      <c r="H2630">
        <v>5</v>
      </c>
      <c r="I2630" t="s">
        <v>3968</v>
      </c>
      <c r="J2630" t="s">
        <v>3969</v>
      </c>
      <c r="K2630" t="s">
        <v>84</v>
      </c>
      <c r="L2630" s="204">
        <v>1</v>
      </c>
      <c r="M2630" s="112"/>
      <c r="N2630" s="112">
        <v>225.36750000000001</v>
      </c>
      <c r="O2630" s="204">
        <v>0.22227029185663394</v>
      </c>
      <c r="P2630" s="112">
        <v>50.092499999999973</v>
      </c>
      <c r="Q2630" s="112">
        <v>275.45999999999998</v>
      </c>
      <c r="R2630" s="112">
        <v>103848.42</v>
      </c>
      <c r="S2630" s="112">
        <v>103848.42</v>
      </c>
      <c r="T2630" s="112">
        <v>0</v>
      </c>
      <c r="U2630" t="s">
        <v>6116</v>
      </c>
      <c r="V2630" t="s">
        <v>6117</v>
      </c>
      <c r="W2630" t="s">
        <v>4666</v>
      </c>
      <c r="X2630" t="s">
        <v>4667</v>
      </c>
    </row>
    <row r="2631" spans="1:24" x14ac:dyDescent="0.2">
      <c r="A2631" t="s">
        <v>6118</v>
      </c>
      <c r="B2631" t="s">
        <v>2129</v>
      </c>
      <c r="C2631" t="s">
        <v>2130</v>
      </c>
      <c r="D2631" t="s">
        <v>56</v>
      </c>
      <c r="E2631" t="s">
        <v>1019</v>
      </c>
      <c r="F2631" t="s">
        <v>84</v>
      </c>
      <c r="G2631" s="202">
        <v>54</v>
      </c>
      <c r="H2631">
        <v>1</v>
      </c>
      <c r="I2631" t="s">
        <v>3954</v>
      </c>
      <c r="J2631" t="s">
        <v>4823</v>
      </c>
      <c r="K2631" t="s">
        <v>1283</v>
      </c>
      <c r="L2631" s="204">
        <v>0.18</v>
      </c>
      <c r="M2631" s="112">
        <v>48.1875</v>
      </c>
      <c r="N2631" s="112">
        <v>8.6737500000000001</v>
      </c>
      <c r="O2631" s="204"/>
      <c r="P2631" s="112"/>
      <c r="Q2631" s="112"/>
      <c r="R2631" s="112"/>
      <c r="S2631" s="112"/>
      <c r="T2631" s="112"/>
      <c r="U2631" t="s">
        <v>6119</v>
      </c>
      <c r="V2631" t="s">
        <v>6120</v>
      </c>
      <c r="W2631" t="s">
        <v>3958</v>
      </c>
      <c r="X2631" t="s">
        <v>4660</v>
      </c>
    </row>
    <row r="2632" spans="1:24" x14ac:dyDescent="0.2">
      <c r="A2632" t="s">
        <v>6118</v>
      </c>
      <c r="B2632" t="s">
        <v>2129</v>
      </c>
      <c r="C2632" t="s">
        <v>2130</v>
      </c>
      <c r="D2632" t="s">
        <v>56</v>
      </c>
      <c r="E2632" t="s">
        <v>1019</v>
      </c>
      <c r="F2632" t="s">
        <v>84</v>
      </c>
      <c r="G2632" s="202">
        <v>54</v>
      </c>
      <c r="H2632">
        <v>2</v>
      </c>
      <c r="I2632" t="s">
        <v>3960</v>
      </c>
      <c r="J2632" t="s">
        <v>4826</v>
      </c>
      <c r="K2632" t="s">
        <v>1283</v>
      </c>
      <c r="L2632" s="204">
        <v>0.72</v>
      </c>
      <c r="M2632" s="112">
        <v>48.1875</v>
      </c>
      <c r="N2632" s="112">
        <v>34.695</v>
      </c>
      <c r="O2632" s="204"/>
      <c r="P2632" s="112"/>
      <c r="Q2632" s="112"/>
      <c r="R2632" s="112"/>
      <c r="S2632" s="112"/>
      <c r="T2632" s="112"/>
      <c r="U2632" t="s">
        <v>6119</v>
      </c>
      <c r="V2632" t="s">
        <v>6120</v>
      </c>
      <c r="W2632" t="s">
        <v>3958</v>
      </c>
      <c r="X2632" t="s">
        <v>4660</v>
      </c>
    </row>
    <row r="2633" spans="1:24" x14ac:dyDescent="0.2">
      <c r="A2633" t="s">
        <v>6118</v>
      </c>
      <c r="B2633" t="s">
        <v>2129</v>
      </c>
      <c r="C2633" t="s">
        <v>2130</v>
      </c>
      <c r="D2633" t="s">
        <v>56</v>
      </c>
      <c r="E2633" t="s">
        <v>1019</v>
      </c>
      <c r="F2633" t="s">
        <v>84</v>
      </c>
      <c r="G2633" s="202">
        <v>54</v>
      </c>
      <c r="H2633">
        <v>3</v>
      </c>
      <c r="I2633" t="s">
        <v>3976</v>
      </c>
      <c r="J2633" t="s">
        <v>4827</v>
      </c>
      <c r="K2633" t="s">
        <v>1283</v>
      </c>
      <c r="L2633" s="204">
        <v>0.05</v>
      </c>
      <c r="M2633" s="112">
        <v>48.1875</v>
      </c>
      <c r="N2633" s="112">
        <v>2.4093750000000003</v>
      </c>
      <c r="O2633" s="204"/>
      <c r="P2633" s="112"/>
      <c r="Q2633" s="112"/>
      <c r="R2633" s="112"/>
      <c r="S2633" s="112"/>
      <c r="T2633" s="112"/>
      <c r="U2633" t="s">
        <v>6119</v>
      </c>
      <c r="V2633" t="s">
        <v>6120</v>
      </c>
      <c r="W2633" t="s">
        <v>3958</v>
      </c>
      <c r="X2633" t="s">
        <v>4660</v>
      </c>
    </row>
    <row r="2634" spans="1:24" x14ac:dyDescent="0.2">
      <c r="A2634" t="s">
        <v>6118</v>
      </c>
      <c r="B2634" t="s">
        <v>2129</v>
      </c>
      <c r="C2634" t="s">
        <v>2130</v>
      </c>
      <c r="D2634" t="s">
        <v>56</v>
      </c>
      <c r="E2634" t="s">
        <v>1019</v>
      </c>
      <c r="F2634" t="s">
        <v>84</v>
      </c>
      <c r="G2634" s="202">
        <v>54</v>
      </c>
      <c r="H2634">
        <v>4</v>
      </c>
      <c r="I2634" t="s">
        <v>4017</v>
      </c>
      <c r="J2634" t="s">
        <v>4809</v>
      </c>
      <c r="K2634" t="s">
        <v>1283</v>
      </c>
      <c r="L2634" s="204">
        <v>0.05</v>
      </c>
      <c r="M2634" s="112">
        <v>48.1875</v>
      </c>
      <c r="N2634" s="112">
        <v>2.4093750000000003</v>
      </c>
      <c r="O2634" s="204"/>
      <c r="P2634" s="112"/>
      <c r="Q2634" s="112"/>
      <c r="R2634" s="112"/>
      <c r="S2634" s="112"/>
      <c r="T2634" s="112"/>
      <c r="U2634" t="s">
        <v>6119</v>
      </c>
      <c r="V2634" t="s">
        <v>6120</v>
      </c>
      <c r="W2634" t="s">
        <v>3958</v>
      </c>
      <c r="X2634" t="s">
        <v>4660</v>
      </c>
    </row>
    <row r="2635" spans="1:24" x14ac:dyDescent="0.2">
      <c r="A2635" t="s">
        <v>6118</v>
      </c>
      <c r="B2635" t="s">
        <v>2129</v>
      </c>
      <c r="C2635" t="s">
        <v>2130</v>
      </c>
      <c r="D2635" t="s">
        <v>56</v>
      </c>
      <c r="E2635" t="s">
        <v>1019</v>
      </c>
      <c r="F2635" t="s">
        <v>84</v>
      </c>
      <c r="G2635" s="202">
        <v>54</v>
      </c>
      <c r="H2635">
        <v>5</v>
      </c>
      <c r="I2635" t="s">
        <v>3968</v>
      </c>
      <c r="J2635" t="s">
        <v>3969</v>
      </c>
      <c r="K2635" t="s">
        <v>84</v>
      </c>
      <c r="L2635" s="204">
        <v>1</v>
      </c>
      <c r="M2635" s="112"/>
      <c r="N2635" s="112">
        <v>48.1875</v>
      </c>
      <c r="O2635" s="204">
        <v>0.22225488783206027</v>
      </c>
      <c r="P2635" s="112">
        <v>10.709907407407407</v>
      </c>
      <c r="Q2635" s="112">
        <v>58.897407407407407</v>
      </c>
      <c r="R2635" s="112">
        <v>3180.46</v>
      </c>
      <c r="S2635" s="112">
        <v>3180.46</v>
      </c>
      <c r="T2635" s="112">
        <v>0</v>
      </c>
      <c r="U2635" t="s">
        <v>6119</v>
      </c>
      <c r="V2635" t="s">
        <v>6120</v>
      </c>
      <c r="W2635" t="s">
        <v>4666</v>
      </c>
      <c r="X2635" t="s">
        <v>4667</v>
      </c>
    </row>
    <row r="2636" spans="1:24" x14ac:dyDescent="0.2">
      <c r="A2636" t="s">
        <v>6121</v>
      </c>
      <c r="B2636" t="s">
        <v>2131</v>
      </c>
      <c r="C2636" t="s">
        <v>2132</v>
      </c>
      <c r="D2636" t="s">
        <v>56</v>
      </c>
      <c r="E2636" t="s">
        <v>1020</v>
      </c>
      <c r="F2636" t="s">
        <v>84</v>
      </c>
      <c r="G2636" s="202">
        <v>5</v>
      </c>
      <c r="H2636">
        <v>1</v>
      </c>
      <c r="I2636" t="s">
        <v>3954</v>
      </c>
      <c r="J2636" t="s">
        <v>4110</v>
      </c>
      <c r="K2636" t="s">
        <v>1283</v>
      </c>
      <c r="L2636" s="204">
        <v>0.3</v>
      </c>
      <c r="M2636" s="112">
        <v>17.767500000000002</v>
      </c>
      <c r="N2636" s="112">
        <v>5.3302500000000004</v>
      </c>
      <c r="O2636" s="204"/>
      <c r="P2636" s="112"/>
      <c r="Q2636" s="112"/>
      <c r="R2636" s="112"/>
      <c r="S2636" s="112"/>
      <c r="T2636" s="112"/>
      <c r="U2636" t="s">
        <v>6122</v>
      </c>
      <c r="V2636" t="s">
        <v>6123</v>
      </c>
      <c r="W2636" t="s">
        <v>3958</v>
      </c>
      <c r="X2636" t="s">
        <v>4660</v>
      </c>
    </row>
    <row r="2637" spans="1:24" x14ac:dyDescent="0.2">
      <c r="A2637" t="s">
        <v>6121</v>
      </c>
      <c r="B2637" t="s">
        <v>2131</v>
      </c>
      <c r="C2637" t="s">
        <v>2132</v>
      </c>
      <c r="D2637" t="s">
        <v>56</v>
      </c>
      <c r="E2637" t="s">
        <v>1020</v>
      </c>
      <c r="F2637" t="s">
        <v>84</v>
      </c>
      <c r="G2637" s="202">
        <v>5</v>
      </c>
      <c r="H2637">
        <v>2</v>
      </c>
      <c r="I2637" t="s">
        <v>3960</v>
      </c>
      <c r="J2637" t="s">
        <v>4113</v>
      </c>
      <c r="K2637" t="s">
        <v>1283</v>
      </c>
      <c r="L2637" s="204">
        <v>0.55000000000000004</v>
      </c>
      <c r="M2637" s="112">
        <v>17.767500000000002</v>
      </c>
      <c r="N2637" s="112">
        <v>9.7721250000000026</v>
      </c>
      <c r="O2637" s="204"/>
      <c r="P2637" s="112"/>
      <c r="Q2637" s="112"/>
      <c r="R2637" s="112"/>
      <c r="S2637" s="112"/>
      <c r="T2637" s="112"/>
      <c r="U2637" t="s">
        <v>6122</v>
      </c>
      <c r="V2637" t="s">
        <v>6123</v>
      </c>
      <c r="W2637" t="s">
        <v>3958</v>
      </c>
      <c r="X2637" t="s">
        <v>4660</v>
      </c>
    </row>
    <row r="2638" spans="1:24" x14ac:dyDescent="0.2">
      <c r="A2638" t="s">
        <v>6121</v>
      </c>
      <c r="B2638" t="s">
        <v>2131</v>
      </c>
      <c r="C2638" t="s">
        <v>2132</v>
      </c>
      <c r="D2638" t="s">
        <v>56</v>
      </c>
      <c r="E2638" t="s">
        <v>1020</v>
      </c>
      <c r="F2638" t="s">
        <v>84</v>
      </c>
      <c r="G2638" s="202">
        <v>5</v>
      </c>
      <c r="H2638">
        <v>3</v>
      </c>
      <c r="I2638" t="s">
        <v>3976</v>
      </c>
      <c r="J2638" t="s">
        <v>4114</v>
      </c>
      <c r="K2638" t="s">
        <v>1283</v>
      </c>
      <c r="L2638" s="204">
        <v>0.1</v>
      </c>
      <c r="M2638" s="112">
        <v>17.767500000000002</v>
      </c>
      <c r="N2638" s="112">
        <v>1.7767500000000003</v>
      </c>
      <c r="O2638" s="204"/>
      <c r="P2638" s="112"/>
      <c r="Q2638" s="112"/>
      <c r="R2638" s="112"/>
      <c r="S2638" s="112"/>
      <c r="T2638" s="112"/>
      <c r="U2638" t="s">
        <v>6122</v>
      </c>
      <c r="V2638" t="s">
        <v>6123</v>
      </c>
      <c r="W2638" t="s">
        <v>3958</v>
      </c>
      <c r="X2638" t="s">
        <v>4660</v>
      </c>
    </row>
    <row r="2639" spans="1:24" x14ac:dyDescent="0.2">
      <c r="A2639" t="s">
        <v>6121</v>
      </c>
      <c r="B2639" t="s">
        <v>2131</v>
      </c>
      <c r="C2639" t="s">
        <v>2132</v>
      </c>
      <c r="D2639" t="s">
        <v>56</v>
      </c>
      <c r="E2639" t="s">
        <v>1020</v>
      </c>
      <c r="F2639" t="s">
        <v>84</v>
      </c>
      <c r="G2639" s="202">
        <v>5</v>
      </c>
      <c r="H2639">
        <v>4</v>
      </c>
      <c r="I2639" t="s">
        <v>4017</v>
      </c>
      <c r="J2639" t="s">
        <v>4115</v>
      </c>
      <c r="K2639" t="s">
        <v>1283</v>
      </c>
      <c r="L2639" s="204">
        <v>0.05</v>
      </c>
      <c r="M2639" s="112">
        <v>17.767500000000002</v>
      </c>
      <c r="N2639" s="112">
        <v>0.88837500000000014</v>
      </c>
      <c r="O2639" s="204"/>
      <c r="P2639" s="112"/>
      <c r="Q2639" s="112"/>
      <c r="R2639" s="112"/>
      <c r="S2639" s="112"/>
      <c r="T2639" s="112"/>
      <c r="U2639" t="s">
        <v>6122</v>
      </c>
      <c r="V2639" t="s">
        <v>6123</v>
      </c>
      <c r="W2639" t="s">
        <v>3958</v>
      </c>
      <c r="X2639" t="s">
        <v>4660</v>
      </c>
    </row>
    <row r="2640" spans="1:24" x14ac:dyDescent="0.2">
      <c r="A2640" t="s">
        <v>6121</v>
      </c>
      <c r="B2640" t="s">
        <v>2131</v>
      </c>
      <c r="C2640" t="s">
        <v>2132</v>
      </c>
      <c r="D2640" t="s">
        <v>56</v>
      </c>
      <c r="E2640" t="s">
        <v>1020</v>
      </c>
      <c r="F2640" t="s">
        <v>84</v>
      </c>
      <c r="G2640" s="202">
        <v>5</v>
      </c>
      <c r="H2640">
        <v>5</v>
      </c>
      <c r="I2640" t="s">
        <v>3968</v>
      </c>
      <c r="J2640" t="s">
        <v>3969</v>
      </c>
      <c r="K2640" t="s">
        <v>84</v>
      </c>
      <c r="L2640" s="204">
        <v>1</v>
      </c>
      <c r="M2640" s="112"/>
      <c r="N2640" s="112">
        <v>17.767500000000002</v>
      </c>
      <c r="O2640" s="204">
        <v>0.2220064724919093</v>
      </c>
      <c r="P2640" s="112">
        <v>3.9444999999999979</v>
      </c>
      <c r="Q2640" s="112">
        <v>21.712</v>
      </c>
      <c r="R2640" s="112">
        <v>108.56</v>
      </c>
      <c r="S2640" s="112">
        <v>108.56</v>
      </c>
      <c r="T2640" s="112">
        <v>0</v>
      </c>
      <c r="U2640" t="s">
        <v>6122</v>
      </c>
      <c r="V2640" t="s">
        <v>6123</v>
      </c>
      <c r="W2640" t="s">
        <v>4666</v>
      </c>
      <c r="X2640" t="s">
        <v>4667</v>
      </c>
    </row>
    <row r="2641" spans="1:24" x14ac:dyDescent="0.2">
      <c r="A2641" t="s">
        <v>6124</v>
      </c>
      <c r="B2641" t="s">
        <v>2133</v>
      </c>
      <c r="C2641" t="s">
        <v>2134</v>
      </c>
      <c r="D2641" t="s">
        <v>335</v>
      </c>
      <c r="E2641" t="s">
        <v>1021</v>
      </c>
      <c r="F2641" t="s">
        <v>84</v>
      </c>
      <c r="G2641" s="202">
        <v>10</v>
      </c>
      <c r="H2641">
        <v>1</v>
      </c>
      <c r="I2641" t="s">
        <v>3954</v>
      </c>
      <c r="J2641" t="s">
        <v>4110</v>
      </c>
      <c r="K2641" t="s">
        <v>1283</v>
      </c>
      <c r="L2641" s="204">
        <v>0.3</v>
      </c>
      <c r="M2641" s="112">
        <v>128.4975</v>
      </c>
      <c r="N2641" s="112">
        <v>38.549250000000001</v>
      </c>
      <c r="O2641" s="204"/>
      <c r="P2641" s="112"/>
      <c r="Q2641" s="112"/>
      <c r="R2641" s="112"/>
      <c r="S2641" s="112"/>
      <c r="T2641" s="112"/>
      <c r="U2641" t="s">
        <v>6125</v>
      </c>
      <c r="V2641" t="s">
        <v>6126</v>
      </c>
      <c r="W2641" t="s">
        <v>3958</v>
      </c>
      <c r="X2641" t="s">
        <v>4660</v>
      </c>
    </row>
    <row r="2642" spans="1:24" x14ac:dyDescent="0.2">
      <c r="A2642" t="s">
        <v>6124</v>
      </c>
      <c r="B2642" t="s">
        <v>2133</v>
      </c>
      <c r="C2642" t="s">
        <v>2134</v>
      </c>
      <c r="D2642" t="s">
        <v>335</v>
      </c>
      <c r="E2642" t="s">
        <v>1021</v>
      </c>
      <c r="F2642" t="s">
        <v>84</v>
      </c>
      <c r="G2642" s="202">
        <v>10</v>
      </c>
      <c r="H2642">
        <v>2</v>
      </c>
      <c r="I2642" t="s">
        <v>3960</v>
      </c>
      <c r="J2642" t="s">
        <v>4113</v>
      </c>
      <c r="K2642" t="s">
        <v>1283</v>
      </c>
      <c r="L2642" s="204">
        <v>0.55000000000000004</v>
      </c>
      <c r="M2642" s="112">
        <v>128.4975</v>
      </c>
      <c r="N2642" s="112">
        <v>70.673625000000001</v>
      </c>
      <c r="O2642" s="204"/>
      <c r="P2642" s="112"/>
      <c r="Q2642" s="112"/>
      <c r="R2642" s="112"/>
      <c r="S2642" s="112"/>
      <c r="T2642" s="112"/>
      <c r="U2642" t="s">
        <v>6125</v>
      </c>
      <c r="V2642" t="s">
        <v>6126</v>
      </c>
      <c r="W2642" t="s">
        <v>3958</v>
      </c>
      <c r="X2642" t="s">
        <v>4660</v>
      </c>
    </row>
    <row r="2643" spans="1:24" x14ac:dyDescent="0.2">
      <c r="A2643" t="s">
        <v>6124</v>
      </c>
      <c r="B2643" t="s">
        <v>2133</v>
      </c>
      <c r="C2643" t="s">
        <v>2134</v>
      </c>
      <c r="D2643" t="s">
        <v>335</v>
      </c>
      <c r="E2643" t="s">
        <v>1021</v>
      </c>
      <c r="F2643" t="s">
        <v>84</v>
      </c>
      <c r="G2643" s="202">
        <v>10</v>
      </c>
      <c r="H2643">
        <v>3</v>
      </c>
      <c r="I2643" t="s">
        <v>3976</v>
      </c>
      <c r="J2643" t="s">
        <v>4114</v>
      </c>
      <c r="K2643" t="s">
        <v>1283</v>
      </c>
      <c r="L2643" s="204">
        <v>0.1</v>
      </c>
      <c r="M2643" s="112">
        <v>128.4975</v>
      </c>
      <c r="N2643" s="112">
        <v>12.84975</v>
      </c>
      <c r="O2643" s="204"/>
      <c r="P2643" s="112"/>
      <c r="Q2643" s="112"/>
      <c r="R2643" s="112"/>
      <c r="S2643" s="112"/>
      <c r="T2643" s="112"/>
      <c r="U2643" t="s">
        <v>6125</v>
      </c>
      <c r="V2643" t="s">
        <v>6126</v>
      </c>
      <c r="W2643" t="s">
        <v>3958</v>
      </c>
      <c r="X2643" t="s">
        <v>4660</v>
      </c>
    </row>
    <row r="2644" spans="1:24" x14ac:dyDescent="0.2">
      <c r="A2644" t="s">
        <v>6124</v>
      </c>
      <c r="B2644" t="s">
        <v>2133</v>
      </c>
      <c r="C2644" t="s">
        <v>2134</v>
      </c>
      <c r="D2644" t="s">
        <v>335</v>
      </c>
      <c r="E2644" t="s">
        <v>1021</v>
      </c>
      <c r="F2644" t="s">
        <v>84</v>
      </c>
      <c r="G2644" s="202">
        <v>10</v>
      </c>
      <c r="H2644">
        <v>4</v>
      </c>
      <c r="I2644" t="s">
        <v>4017</v>
      </c>
      <c r="J2644" t="s">
        <v>4115</v>
      </c>
      <c r="K2644" t="s">
        <v>1283</v>
      </c>
      <c r="L2644" s="204">
        <v>0.05</v>
      </c>
      <c r="M2644" s="112">
        <v>128.4975</v>
      </c>
      <c r="N2644" s="112">
        <v>6.4248750000000001</v>
      </c>
      <c r="O2644" s="204"/>
      <c r="P2644" s="112"/>
      <c r="Q2644" s="112"/>
      <c r="R2644" s="112"/>
      <c r="S2644" s="112"/>
      <c r="T2644" s="112"/>
      <c r="U2644" t="s">
        <v>6125</v>
      </c>
      <c r="V2644" t="s">
        <v>6126</v>
      </c>
      <c r="W2644" t="s">
        <v>3958</v>
      </c>
      <c r="X2644" t="s">
        <v>4660</v>
      </c>
    </row>
    <row r="2645" spans="1:24" x14ac:dyDescent="0.2">
      <c r="A2645" t="s">
        <v>6124</v>
      </c>
      <c r="B2645" t="s">
        <v>2133</v>
      </c>
      <c r="C2645" t="s">
        <v>2134</v>
      </c>
      <c r="D2645" t="s">
        <v>335</v>
      </c>
      <c r="E2645" t="s">
        <v>1021</v>
      </c>
      <c r="F2645" t="s">
        <v>84</v>
      </c>
      <c r="G2645" s="202">
        <v>10</v>
      </c>
      <c r="H2645">
        <v>5</v>
      </c>
      <c r="I2645" t="s">
        <v>3968</v>
      </c>
      <c r="J2645" t="s">
        <v>3969</v>
      </c>
      <c r="K2645" t="s">
        <v>84</v>
      </c>
      <c r="L2645" s="204">
        <v>1</v>
      </c>
      <c r="M2645" s="112"/>
      <c r="N2645" s="112">
        <v>128.4975</v>
      </c>
      <c r="O2645" s="204">
        <v>0.22225724235880073</v>
      </c>
      <c r="P2645" s="112">
        <v>28.559499999999986</v>
      </c>
      <c r="Q2645" s="112">
        <v>157.05699999999999</v>
      </c>
      <c r="R2645" s="112">
        <v>1570.57</v>
      </c>
      <c r="S2645" s="112">
        <v>1570.57</v>
      </c>
      <c r="T2645" s="112">
        <v>0</v>
      </c>
      <c r="U2645" t="s">
        <v>6125</v>
      </c>
      <c r="V2645" t="s">
        <v>6126</v>
      </c>
      <c r="W2645" t="s">
        <v>4666</v>
      </c>
      <c r="X2645" t="s">
        <v>4667</v>
      </c>
    </row>
    <row r="2646" spans="1:24" x14ac:dyDescent="0.2">
      <c r="A2646" t="s">
        <v>6127</v>
      </c>
      <c r="B2646" t="s">
        <v>2135</v>
      </c>
      <c r="C2646" t="s">
        <v>2136</v>
      </c>
      <c r="D2646" t="s">
        <v>335</v>
      </c>
      <c r="E2646" t="s">
        <v>1022</v>
      </c>
      <c r="F2646" t="s">
        <v>84</v>
      </c>
      <c r="G2646" s="202">
        <v>6</v>
      </c>
      <c r="H2646">
        <v>1</v>
      </c>
      <c r="I2646" t="s">
        <v>3954</v>
      </c>
      <c r="J2646" t="s">
        <v>4110</v>
      </c>
      <c r="K2646" t="s">
        <v>1283</v>
      </c>
      <c r="L2646" s="204">
        <v>0.3</v>
      </c>
      <c r="M2646" s="112">
        <v>103.88249999999999</v>
      </c>
      <c r="N2646" s="112">
        <v>31.164749999999998</v>
      </c>
      <c r="O2646" s="204"/>
      <c r="P2646" s="112"/>
      <c r="Q2646" s="112"/>
      <c r="R2646" s="112"/>
      <c r="S2646" s="112"/>
      <c r="T2646" s="112"/>
      <c r="U2646" t="s">
        <v>6128</v>
      </c>
      <c r="V2646" t="s">
        <v>6129</v>
      </c>
      <c r="W2646" t="s">
        <v>3958</v>
      </c>
      <c r="X2646" t="s">
        <v>4660</v>
      </c>
    </row>
    <row r="2647" spans="1:24" x14ac:dyDescent="0.2">
      <c r="A2647" t="s">
        <v>6127</v>
      </c>
      <c r="B2647" t="s">
        <v>2135</v>
      </c>
      <c r="C2647" t="s">
        <v>2136</v>
      </c>
      <c r="D2647" t="s">
        <v>335</v>
      </c>
      <c r="E2647" t="s">
        <v>1022</v>
      </c>
      <c r="F2647" t="s">
        <v>84</v>
      </c>
      <c r="G2647" s="202">
        <v>6</v>
      </c>
      <c r="H2647">
        <v>2</v>
      </c>
      <c r="I2647" t="s">
        <v>3960</v>
      </c>
      <c r="J2647" t="s">
        <v>4113</v>
      </c>
      <c r="K2647" t="s">
        <v>1283</v>
      </c>
      <c r="L2647" s="204">
        <v>0.55000000000000004</v>
      </c>
      <c r="M2647" s="112">
        <v>103.88249999999999</v>
      </c>
      <c r="N2647" s="112">
        <v>57.135375000000003</v>
      </c>
      <c r="O2647" s="204"/>
      <c r="P2647" s="112"/>
      <c r="Q2647" s="112"/>
      <c r="R2647" s="112"/>
      <c r="S2647" s="112"/>
      <c r="T2647" s="112"/>
      <c r="U2647" t="s">
        <v>6128</v>
      </c>
      <c r="V2647" t="s">
        <v>6129</v>
      </c>
      <c r="W2647" t="s">
        <v>3958</v>
      </c>
      <c r="X2647" t="s">
        <v>4660</v>
      </c>
    </row>
    <row r="2648" spans="1:24" x14ac:dyDescent="0.2">
      <c r="A2648" t="s">
        <v>6127</v>
      </c>
      <c r="B2648" t="s">
        <v>2135</v>
      </c>
      <c r="C2648" t="s">
        <v>2136</v>
      </c>
      <c r="D2648" t="s">
        <v>335</v>
      </c>
      <c r="E2648" t="s">
        <v>1022</v>
      </c>
      <c r="F2648" t="s">
        <v>84</v>
      </c>
      <c r="G2648" s="202">
        <v>6</v>
      </c>
      <c r="H2648">
        <v>3</v>
      </c>
      <c r="I2648" t="s">
        <v>3976</v>
      </c>
      <c r="J2648" t="s">
        <v>4114</v>
      </c>
      <c r="K2648" t="s">
        <v>1283</v>
      </c>
      <c r="L2648" s="204">
        <v>0.1</v>
      </c>
      <c r="M2648" s="112">
        <v>103.88249999999999</v>
      </c>
      <c r="N2648" s="112">
        <v>10.388249999999999</v>
      </c>
      <c r="O2648" s="204"/>
      <c r="P2648" s="112"/>
      <c r="Q2648" s="112"/>
      <c r="R2648" s="112"/>
      <c r="S2648" s="112"/>
      <c r="T2648" s="112"/>
      <c r="U2648" t="s">
        <v>6128</v>
      </c>
      <c r="V2648" t="s">
        <v>6129</v>
      </c>
      <c r="W2648" t="s">
        <v>3958</v>
      </c>
      <c r="X2648" t="s">
        <v>4660</v>
      </c>
    </row>
    <row r="2649" spans="1:24" x14ac:dyDescent="0.2">
      <c r="A2649" t="s">
        <v>6127</v>
      </c>
      <c r="B2649" t="s">
        <v>2135</v>
      </c>
      <c r="C2649" t="s">
        <v>2136</v>
      </c>
      <c r="D2649" t="s">
        <v>335</v>
      </c>
      <c r="E2649" t="s">
        <v>1022</v>
      </c>
      <c r="F2649" t="s">
        <v>84</v>
      </c>
      <c r="G2649" s="202">
        <v>6</v>
      </c>
      <c r="H2649">
        <v>4</v>
      </c>
      <c r="I2649" t="s">
        <v>4017</v>
      </c>
      <c r="J2649" t="s">
        <v>4115</v>
      </c>
      <c r="K2649" t="s">
        <v>1283</v>
      </c>
      <c r="L2649" s="204">
        <v>0.05</v>
      </c>
      <c r="M2649" s="112">
        <v>103.88249999999999</v>
      </c>
      <c r="N2649" s="112">
        <v>5.1941249999999997</v>
      </c>
      <c r="O2649" s="204"/>
      <c r="P2649" s="112"/>
      <c r="Q2649" s="112"/>
      <c r="R2649" s="112"/>
      <c r="S2649" s="112"/>
      <c r="T2649" s="112"/>
      <c r="U2649" t="s">
        <v>6128</v>
      </c>
      <c r="V2649" t="s">
        <v>6129</v>
      </c>
      <c r="W2649" t="s">
        <v>3958</v>
      </c>
      <c r="X2649" t="s">
        <v>4660</v>
      </c>
    </row>
    <row r="2650" spans="1:24" x14ac:dyDescent="0.2">
      <c r="A2650" t="s">
        <v>6127</v>
      </c>
      <c r="B2650" t="s">
        <v>2135</v>
      </c>
      <c r="C2650" t="s">
        <v>2136</v>
      </c>
      <c r="D2650" t="s">
        <v>335</v>
      </c>
      <c r="E2650" t="s">
        <v>1022</v>
      </c>
      <c r="F2650" t="s">
        <v>84</v>
      </c>
      <c r="G2650" s="202">
        <v>6</v>
      </c>
      <c r="H2650">
        <v>5</v>
      </c>
      <c r="I2650" t="s">
        <v>3968</v>
      </c>
      <c r="J2650" t="s">
        <v>3969</v>
      </c>
      <c r="K2650" t="s">
        <v>84</v>
      </c>
      <c r="L2650" s="204">
        <v>1</v>
      </c>
      <c r="M2650" s="112"/>
      <c r="N2650" s="112">
        <v>103.88249999999999</v>
      </c>
      <c r="O2650" s="204">
        <v>0.22229441917551096</v>
      </c>
      <c r="P2650" s="112">
        <v>23.092500000000015</v>
      </c>
      <c r="Q2650" s="112">
        <v>126.97500000000001</v>
      </c>
      <c r="R2650" s="112">
        <v>761.85</v>
      </c>
      <c r="S2650" s="112">
        <v>761.85</v>
      </c>
      <c r="T2650" s="112">
        <v>0</v>
      </c>
      <c r="U2650" t="s">
        <v>6128</v>
      </c>
      <c r="V2650" t="s">
        <v>6129</v>
      </c>
      <c r="W2650" t="s">
        <v>4666</v>
      </c>
      <c r="X2650" t="s">
        <v>4667</v>
      </c>
    </row>
    <row r="2651" spans="1:24" x14ac:dyDescent="0.2">
      <c r="A2651" t="s">
        <v>6130</v>
      </c>
      <c r="B2651" t="s">
        <v>1570</v>
      </c>
      <c r="C2651" t="s">
        <v>2137</v>
      </c>
      <c r="D2651" t="s">
        <v>56</v>
      </c>
      <c r="E2651" t="s">
        <v>1025</v>
      </c>
      <c r="F2651" t="s">
        <v>84</v>
      </c>
      <c r="G2651" s="202">
        <v>4</v>
      </c>
      <c r="H2651">
        <v>1</v>
      </c>
      <c r="I2651" t="s">
        <v>3954</v>
      </c>
      <c r="J2651" t="s">
        <v>4804</v>
      </c>
      <c r="K2651" t="s">
        <v>1283</v>
      </c>
      <c r="L2651" s="204">
        <v>0.28000000000000003</v>
      </c>
      <c r="M2651" s="112">
        <v>512.17499999999995</v>
      </c>
      <c r="N2651" s="112">
        <v>143.40899999999999</v>
      </c>
      <c r="O2651" s="204"/>
      <c r="P2651" s="112"/>
      <c r="Q2651" s="112"/>
      <c r="R2651" s="112"/>
      <c r="S2651" s="112"/>
      <c r="T2651" s="112"/>
      <c r="U2651" t="s">
        <v>6131</v>
      </c>
      <c r="V2651" t="s">
        <v>5270</v>
      </c>
      <c r="W2651" t="s">
        <v>3958</v>
      </c>
      <c r="X2651" t="s">
        <v>4660</v>
      </c>
    </row>
    <row r="2652" spans="1:24" x14ac:dyDescent="0.2">
      <c r="A2652" t="s">
        <v>6130</v>
      </c>
      <c r="B2652" t="s">
        <v>1570</v>
      </c>
      <c r="C2652" t="s">
        <v>2137</v>
      </c>
      <c r="D2652" t="s">
        <v>56</v>
      </c>
      <c r="E2652" t="s">
        <v>1025</v>
      </c>
      <c r="F2652" t="s">
        <v>84</v>
      </c>
      <c r="G2652" s="202">
        <v>4</v>
      </c>
      <c r="H2652">
        <v>2</v>
      </c>
      <c r="I2652" t="s">
        <v>3960</v>
      </c>
      <c r="J2652" t="s">
        <v>4807</v>
      </c>
      <c r="K2652" t="s">
        <v>1283</v>
      </c>
      <c r="L2652" s="204">
        <v>0.56000000000000005</v>
      </c>
      <c r="M2652" s="112">
        <v>512.17499999999995</v>
      </c>
      <c r="N2652" s="112">
        <v>286.81799999999998</v>
      </c>
      <c r="O2652" s="204"/>
      <c r="P2652" s="112"/>
      <c r="Q2652" s="112"/>
      <c r="R2652" s="112"/>
      <c r="S2652" s="112"/>
      <c r="T2652" s="112"/>
      <c r="U2652" t="s">
        <v>6131</v>
      </c>
      <c r="V2652" t="s">
        <v>5270</v>
      </c>
      <c r="W2652" t="s">
        <v>3958</v>
      </c>
      <c r="X2652" t="s">
        <v>4660</v>
      </c>
    </row>
    <row r="2653" spans="1:24" x14ac:dyDescent="0.2">
      <c r="A2653" t="s">
        <v>6130</v>
      </c>
      <c r="B2653" t="s">
        <v>1570</v>
      </c>
      <c r="C2653" t="s">
        <v>2137</v>
      </c>
      <c r="D2653" t="s">
        <v>56</v>
      </c>
      <c r="E2653" t="s">
        <v>1025</v>
      </c>
      <c r="F2653" t="s">
        <v>84</v>
      </c>
      <c r="G2653" s="202">
        <v>4</v>
      </c>
      <c r="H2653">
        <v>3</v>
      </c>
      <c r="I2653" t="s">
        <v>3962</v>
      </c>
      <c r="J2653" t="s">
        <v>4808</v>
      </c>
      <c r="K2653" t="s">
        <v>1283</v>
      </c>
      <c r="L2653" s="204">
        <v>0.1</v>
      </c>
      <c r="M2653" s="112">
        <v>512.17499999999995</v>
      </c>
      <c r="N2653" s="112">
        <v>51.217500000000001</v>
      </c>
      <c r="O2653" s="204"/>
      <c r="P2653" s="112"/>
      <c r="Q2653" s="112"/>
      <c r="R2653" s="112"/>
      <c r="S2653" s="112"/>
      <c r="T2653" s="112"/>
      <c r="U2653" t="s">
        <v>6131</v>
      </c>
      <c r="V2653" t="s">
        <v>5270</v>
      </c>
      <c r="W2653" t="s">
        <v>3958</v>
      </c>
      <c r="X2653" t="s">
        <v>4660</v>
      </c>
    </row>
    <row r="2654" spans="1:24" x14ac:dyDescent="0.2">
      <c r="A2654" t="s">
        <v>6130</v>
      </c>
      <c r="B2654" t="s">
        <v>1570</v>
      </c>
      <c r="C2654" t="s">
        <v>2137</v>
      </c>
      <c r="D2654" t="s">
        <v>56</v>
      </c>
      <c r="E2654" t="s">
        <v>1025</v>
      </c>
      <c r="F2654" t="s">
        <v>84</v>
      </c>
      <c r="G2654" s="202">
        <v>4</v>
      </c>
      <c r="H2654">
        <v>4</v>
      </c>
      <c r="I2654" t="s">
        <v>4017</v>
      </c>
      <c r="J2654" t="s">
        <v>4809</v>
      </c>
      <c r="K2654" t="s">
        <v>1283</v>
      </c>
      <c r="L2654" s="204">
        <v>0.06</v>
      </c>
      <c r="M2654" s="112">
        <v>512.17499999999995</v>
      </c>
      <c r="N2654" s="112">
        <v>30.730499999999996</v>
      </c>
      <c r="O2654" s="204"/>
      <c r="P2654" s="112"/>
      <c r="Q2654" s="112"/>
      <c r="R2654" s="112"/>
      <c r="S2654" s="112"/>
      <c r="T2654" s="112"/>
      <c r="U2654" t="s">
        <v>6131</v>
      </c>
      <c r="V2654" t="s">
        <v>5270</v>
      </c>
      <c r="W2654" t="s">
        <v>3958</v>
      </c>
      <c r="X2654" t="s">
        <v>4660</v>
      </c>
    </row>
    <row r="2655" spans="1:24" x14ac:dyDescent="0.2">
      <c r="A2655" t="s">
        <v>6130</v>
      </c>
      <c r="B2655" t="s">
        <v>1570</v>
      </c>
      <c r="C2655" t="s">
        <v>2137</v>
      </c>
      <c r="D2655" t="s">
        <v>56</v>
      </c>
      <c r="E2655" t="s">
        <v>1025</v>
      </c>
      <c r="F2655" t="s">
        <v>84</v>
      </c>
      <c r="G2655" s="202">
        <v>4</v>
      </c>
      <c r="H2655">
        <v>5</v>
      </c>
      <c r="I2655" t="s">
        <v>3968</v>
      </c>
      <c r="J2655" t="s">
        <v>3969</v>
      </c>
      <c r="K2655" t="s">
        <v>84</v>
      </c>
      <c r="L2655" s="204">
        <v>1</v>
      </c>
      <c r="M2655" s="112"/>
      <c r="N2655" s="112">
        <v>512.17499999999995</v>
      </c>
      <c r="O2655" s="204">
        <v>0.22228730414409137</v>
      </c>
      <c r="P2655" s="112">
        <v>113.85000000000002</v>
      </c>
      <c r="Q2655" s="112">
        <v>626.02499999999998</v>
      </c>
      <c r="R2655" s="112">
        <v>2504.1</v>
      </c>
      <c r="S2655" s="112">
        <v>2504.1</v>
      </c>
      <c r="T2655" s="112">
        <v>0</v>
      </c>
      <c r="U2655" t="s">
        <v>6131</v>
      </c>
      <c r="V2655" t="s">
        <v>5270</v>
      </c>
      <c r="W2655" t="s">
        <v>4666</v>
      </c>
      <c r="X2655" t="s">
        <v>4667</v>
      </c>
    </row>
    <row r="2656" spans="1:24" x14ac:dyDescent="0.2">
      <c r="A2656" t="s">
        <v>6132</v>
      </c>
      <c r="B2656" t="s">
        <v>1641</v>
      </c>
      <c r="C2656" t="s">
        <v>2138</v>
      </c>
      <c r="D2656" t="s">
        <v>56</v>
      </c>
      <c r="E2656" t="s">
        <v>1026</v>
      </c>
      <c r="F2656" t="s">
        <v>84</v>
      </c>
      <c r="G2656" s="202">
        <v>4</v>
      </c>
      <c r="H2656">
        <v>1</v>
      </c>
      <c r="I2656" t="s">
        <v>3954</v>
      </c>
      <c r="J2656" t="s">
        <v>5227</v>
      </c>
      <c r="K2656" t="s">
        <v>1283</v>
      </c>
      <c r="L2656" s="204">
        <v>0.26</v>
      </c>
      <c r="M2656" s="112">
        <v>253.60499999999999</v>
      </c>
      <c r="N2656" s="112">
        <v>65.937299999999993</v>
      </c>
      <c r="O2656" s="204"/>
      <c r="P2656" s="112"/>
      <c r="Q2656" s="112"/>
      <c r="R2656" s="112"/>
      <c r="S2656" s="112"/>
      <c r="T2656" s="112"/>
      <c r="U2656" t="s">
        <v>6133</v>
      </c>
      <c r="V2656" t="s">
        <v>5379</v>
      </c>
      <c r="W2656" t="s">
        <v>3958</v>
      </c>
      <c r="X2656" t="s">
        <v>4660</v>
      </c>
    </row>
    <row r="2657" spans="1:24" x14ac:dyDescent="0.2">
      <c r="A2657" t="s">
        <v>6132</v>
      </c>
      <c r="B2657" t="s">
        <v>1641</v>
      </c>
      <c r="C2657" t="s">
        <v>2138</v>
      </c>
      <c r="D2657" t="s">
        <v>56</v>
      </c>
      <c r="E2657" t="s">
        <v>1026</v>
      </c>
      <c r="F2657" t="s">
        <v>84</v>
      </c>
      <c r="G2657" s="202">
        <v>4</v>
      </c>
      <c r="H2657">
        <v>2</v>
      </c>
      <c r="I2657" t="s">
        <v>3960</v>
      </c>
      <c r="J2657" t="s">
        <v>5229</v>
      </c>
      <c r="K2657" t="s">
        <v>1283</v>
      </c>
      <c r="L2657" s="204">
        <v>0.64</v>
      </c>
      <c r="M2657" s="112">
        <v>253.60499999999999</v>
      </c>
      <c r="N2657" s="112">
        <v>162.30719999999999</v>
      </c>
      <c r="O2657" s="204"/>
      <c r="P2657" s="112"/>
      <c r="Q2657" s="112"/>
      <c r="R2657" s="112"/>
      <c r="S2657" s="112"/>
      <c r="T2657" s="112"/>
      <c r="U2657" t="s">
        <v>6133</v>
      </c>
      <c r="V2657" t="s">
        <v>5379</v>
      </c>
      <c r="W2657" t="s">
        <v>3958</v>
      </c>
      <c r="X2657" t="s">
        <v>4660</v>
      </c>
    </row>
    <row r="2658" spans="1:24" x14ac:dyDescent="0.2">
      <c r="A2658" t="s">
        <v>6132</v>
      </c>
      <c r="B2658" t="s">
        <v>1641</v>
      </c>
      <c r="C2658" t="s">
        <v>2138</v>
      </c>
      <c r="D2658" t="s">
        <v>56</v>
      </c>
      <c r="E2658" t="s">
        <v>1026</v>
      </c>
      <c r="F2658" t="s">
        <v>84</v>
      </c>
      <c r="G2658" s="202">
        <v>4</v>
      </c>
      <c r="H2658">
        <v>3</v>
      </c>
      <c r="I2658" t="s">
        <v>3976</v>
      </c>
      <c r="J2658" t="s">
        <v>5230</v>
      </c>
      <c r="K2658" t="s">
        <v>1283</v>
      </c>
      <c r="L2658" s="204">
        <v>0.04</v>
      </c>
      <c r="M2658" s="112">
        <v>253.60499999999999</v>
      </c>
      <c r="N2658" s="112">
        <v>10.1442</v>
      </c>
      <c r="O2658" s="204"/>
      <c r="P2658" s="112"/>
      <c r="Q2658" s="112"/>
      <c r="R2658" s="112"/>
      <c r="S2658" s="112"/>
      <c r="T2658" s="112"/>
      <c r="U2658" t="s">
        <v>6133</v>
      </c>
      <c r="V2658" t="s">
        <v>5379</v>
      </c>
      <c r="W2658" t="s">
        <v>3958</v>
      </c>
      <c r="X2658" t="s">
        <v>4660</v>
      </c>
    </row>
    <row r="2659" spans="1:24" x14ac:dyDescent="0.2">
      <c r="A2659" t="s">
        <v>6132</v>
      </c>
      <c r="B2659" t="s">
        <v>1641</v>
      </c>
      <c r="C2659" t="s">
        <v>2138</v>
      </c>
      <c r="D2659" t="s">
        <v>56</v>
      </c>
      <c r="E2659" t="s">
        <v>1026</v>
      </c>
      <c r="F2659" t="s">
        <v>84</v>
      </c>
      <c r="G2659" s="202">
        <v>4</v>
      </c>
      <c r="H2659">
        <v>4</v>
      </c>
      <c r="I2659" t="s">
        <v>4017</v>
      </c>
      <c r="J2659" t="s">
        <v>4851</v>
      </c>
      <c r="K2659" t="s">
        <v>1283</v>
      </c>
      <c r="L2659" s="204">
        <v>0.06</v>
      </c>
      <c r="M2659" s="112">
        <v>253.60499999999999</v>
      </c>
      <c r="N2659" s="112">
        <v>15.216299999999999</v>
      </c>
      <c r="O2659" s="204"/>
      <c r="P2659" s="112"/>
      <c r="Q2659" s="112"/>
      <c r="R2659" s="112"/>
      <c r="S2659" s="112"/>
      <c r="T2659" s="112"/>
      <c r="U2659" t="s">
        <v>6133</v>
      </c>
      <c r="V2659" t="s">
        <v>5379</v>
      </c>
      <c r="W2659" t="s">
        <v>3958</v>
      </c>
      <c r="X2659" t="s">
        <v>4660</v>
      </c>
    </row>
    <row r="2660" spans="1:24" x14ac:dyDescent="0.2">
      <c r="A2660" t="s">
        <v>6132</v>
      </c>
      <c r="B2660" t="s">
        <v>1641</v>
      </c>
      <c r="C2660" t="s">
        <v>2138</v>
      </c>
      <c r="D2660" t="s">
        <v>56</v>
      </c>
      <c r="E2660" t="s">
        <v>1026</v>
      </c>
      <c r="F2660" t="s">
        <v>84</v>
      </c>
      <c r="G2660" s="202">
        <v>4</v>
      </c>
      <c r="H2660">
        <v>5</v>
      </c>
      <c r="I2660" t="s">
        <v>3968</v>
      </c>
      <c r="J2660" t="s">
        <v>3969</v>
      </c>
      <c r="K2660" t="s">
        <v>84</v>
      </c>
      <c r="L2660" s="204">
        <v>1</v>
      </c>
      <c r="M2660" s="112"/>
      <c r="N2660" s="112">
        <v>253.60499999999999</v>
      </c>
      <c r="O2660" s="204">
        <v>0.22227479742118672</v>
      </c>
      <c r="P2660" s="112">
        <v>56.370000000000033</v>
      </c>
      <c r="Q2660" s="112">
        <v>309.97500000000002</v>
      </c>
      <c r="R2660" s="112">
        <v>1239.9000000000001</v>
      </c>
      <c r="S2660" s="112">
        <v>1239.9000000000001</v>
      </c>
      <c r="T2660" s="112">
        <v>0</v>
      </c>
      <c r="U2660" t="s">
        <v>6133</v>
      </c>
      <c r="V2660" t="s">
        <v>5379</v>
      </c>
      <c r="W2660" t="s">
        <v>4666</v>
      </c>
      <c r="X2660" t="s">
        <v>4667</v>
      </c>
    </row>
    <row r="2661" spans="1:24" x14ac:dyDescent="0.2">
      <c r="A2661" t="s">
        <v>6134</v>
      </c>
      <c r="B2661" t="s">
        <v>1692</v>
      </c>
      <c r="C2661" t="s">
        <v>1971</v>
      </c>
      <c r="D2661" t="s">
        <v>56</v>
      </c>
      <c r="E2661" t="s">
        <v>921</v>
      </c>
      <c r="F2661" t="s">
        <v>84</v>
      </c>
      <c r="G2661" s="202">
        <v>119</v>
      </c>
      <c r="H2661">
        <v>1</v>
      </c>
      <c r="I2661" t="s">
        <v>3954</v>
      </c>
      <c r="J2661" t="s">
        <v>4992</v>
      </c>
      <c r="K2661" t="s">
        <v>1283</v>
      </c>
      <c r="L2661" s="204">
        <v>0.27</v>
      </c>
      <c r="M2661" s="112">
        <v>18.945</v>
      </c>
      <c r="N2661" s="112">
        <v>5.1151500000000008</v>
      </c>
      <c r="O2661" s="204"/>
      <c r="P2661" s="112"/>
      <c r="Q2661" s="112"/>
      <c r="R2661" s="112"/>
      <c r="S2661" s="112"/>
      <c r="T2661" s="112"/>
      <c r="U2661" t="s">
        <v>5903</v>
      </c>
      <c r="V2661" t="s">
        <v>5469</v>
      </c>
      <c r="W2661" t="s">
        <v>3958</v>
      </c>
      <c r="X2661" t="s">
        <v>4660</v>
      </c>
    </row>
    <row r="2662" spans="1:24" x14ac:dyDescent="0.2">
      <c r="A2662" t="s">
        <v>6134</v>
      </c>
      <c r="B2662" t="s">
        <v>1692</v>
      </c>
      <c r="C2662" t="s">
        <v>1971</v>
      </c>
      <c r="D2662" t="s">
        <v>56</v>
      </c>
      <c r="E2662" t="s">
        <v>921</v>
      </c>
      <c r="F2662" t="s">
        <v>84</v>
      </c>
      <c r="G2662" s="202">
        <v>119</v>
      </c>
      <c r="H2662">
        <v>2</v>
      </c>
      <c r="I2662" t="s">
        <v>3960</v>
      </c>
      <c r="J2662" t="s">
        <v>4994</v>
      </c>
      <c r="K2662" t="s">
        <v>1283</v>
      </c>
      <c r="L2662" s="204">
        <v>0.63</v>
      </c>
      <c r="M2662" s="112">
        <v>18.945</v>
      </c>
      <c r="N2662" s="112">
        <v>11.93535</v>
      </c>
      <c r="O2662" s="204"/>
      <c r="P2662" s="112"/>
      <c r="Q2662" s="112"/>
      <c r="R2662" s="112"/>
      <c r="S2662" s="112"/>
      <c r="T2662" s="112"/>
      <c r="U2662" t="s">
        <v>5903</v>
      </c>
      <c r="V2662" t="s">
        <v>5469</v>
      </c>
      <c r="W2662" t="s">
        <v>3958</v>
      </c>
      <c r="X2662" t="s">
        <v>4660</v>
      </c>
    </row>
    <row r="2663" spans="1:24" x14ac:dyDescent="0.2">
      <c r="A2663" t="s">
        <v>6134</v>
      </c>
      <c r="B2663" t="s">
        <v>1692</v>
      </c>
      <c r="C2663" t="s">
        <v>1971</v>
      </c>
      <c r="D2663" t="s">
        <v>56</v>
      </c>
      <c r="E2663" t="s">
        <v>921</v>
      </c>
      <c r="F2663" t="s">
        <v>84</v>
      </c>
      <c r="G2663" s="202">
        <v>119</v>
      </c>
      <c r="H2663">
        <v>3</v>
      </c>
      <c r="I2663" t="s">
        <v>3976</v>
      </c>
      <c r="J2663" t="s">
        <v>4995</v>
      </c>
      <c r="K2663" t="s">
        <v>1283</v>
      </c>
      <c r="L2663" s="204">
        <v>0.05</v>
      </c>
      <c r="M2663" s="112">
        <v>18.945</v>
      </c>
      <c r="N2663" s="112">
        <v>0.94725000000000004</v>
      </c>
      <c r="O2663" s="204"/>
      <c r="P2663" s="112"/>
      <c r="Q2663" s="112"/>
      <c r="R2663" s="112"/>
      <c r="S2663" s="112"/>
      <c r="T2663" s="112"/>
      <c r="U2663" t="s">
        <v>5903</v>
      </c>
      <c r="V2663" t="s">
        <v>5469</v>
      </c>
      <c r="W2663" t="s">
        <v>3958</v>
      </c>
      <c r="X2663" t="s">
        <v>4660</v>
      </c>
    </row>
    <row r="2664" spans="1:24" x14ac:dyDescent="0.2">
      <c r="A2664" t="s">
        <v>6134</v>
      </c>
      <c r="B2664" t="s">
        <v>1692</v>
      </c>
      <c r="C2664" t="s">
        <v>1971</v>
      </c>
      <c r="D2664" t="s">
        <v>56</v>
      </c>
      <c r="E2664" t="s">
        <v>921</v>
      </c>
      <c r="F2664" t="s">
        <v>84</v>
      </c>
      <c r="G2664" s="202">
        <v>119</v>
      </c>
      <c r="H2664">
        <v>4</v>
      </c>
      <c r="I2664" t="s">
        <v>4017</v>
      </c>
      <c r="J2664" t="s">
        <v>4809</v>
      </c>
      <c r="K2664" t="s">
        <v>1283</v>
      </c>
      <c r="L2664" s="204">
        <v>0.05</v>
      </c>
      <c r="M2664" s="112">
        <v>18.945</v>
      </c>
      <c r="N2664" s="112">
        <v>0.94725000000000004</v>
      </c>
      <c r="O2664" s="204"/>
      <c r="P2664" s="112"/>
      <c r="Q2664" s="112"/>
      <c r="R2664" s="112"/>
      <c r="S2664" s="112"/>
      <c r="T2664" s="112"/>
      <c r="U2664" t="s">
        <v>5903</v>
      </c>
      <c r="V2664" t="s">
        <v>5469</v>
      </c>
      <c r="W2664" t="s">
        <v>3958</v>
      </c>
      <c r="X2664" t="s">
        <v>4660</v>
      </c>
    </row>
    <row r="2665" spans="1:24" x14ac:dyDescent="0.2">
      <c r="A2665" t="s">
        <v>6134</v>
      </c>
      <c r="B2665" t="s">
        <v>1692</v>
      </c>
      <c r="C2665" t="s">
        <v>1971</v>
      </c>
      <c r="D2665" t="s">
        <v>56</v>
      </c>
      <c r="E2665" t="s">
        <v>921</v>
      </c>
      <c r="F2665" t="s">
        <v>84</v>
      </c>
      <c r="G2665" s="202">
        <v>119</v>
      </c>
      <c r="H2665">
        <v>5</v>
      </c>
      <c r="I2665" t="s">
        <v>3968</v>
      </c>
      <c r="J2665" t="s">
        <v>3969</v>
      </c>
      <c r="K2665" t="s">
        <v>84</v>
      </c>
      <c r="L2665" s="204">
        <v>1</v>
      </c>
      <c r="M2665" s="112"/>
      <c r="N2665" s="112">
        <v>18.945</v>
      </c>
      <c r="O2665" s="204">
        <v>0.22208693453628481</v>
      </c>
      <c r="P2665" s="112">
        <v>4.2074369747899141</v>
      </c>
      <c r="Q2665" s="112">
        <v>23.152436974789914</v>
      </c>
      <c r="R2665" s="112">
        <v>2755.14</v>
      </c>
      <c r="S2665" s="112">
        <v>2755.14</v>
      </c>
      <c r="T2665" s="112">
        <v>0</v>
      </c>
      <c r="U2665" t="s">
        <v>5903</v>
      </c>
      <c r="V2665" t="s">
        <v>5469</v>
      </c>
      <c r="W2665" t="s">
        <v>4666</v>
      </c>
      <c r="X2665" t="s">
        <v>4667</v>
      </c>
    </row>
    <row r="2666" spans="1:24" x14ac:dyDescent="0.2">
      <c r="A2666" t="s">
        <v>6135</v>
      </c>
      <c r="B2666" t="s">
        <v>1727</v>
      </c>
      <c r="C2666" t="s">
        <v>2139</v>
      </c>
      <c r="D2666" t="s">
        <v>56</v>
      </c>
      <c r="E2666" t="s">
        <v>2140</v>
      </c>
      <c r="F2666" t="s">
        <v>84</v>
      </c>
      <c r="G2666" s="202">
        <v>1</v>
      </c>
      <c r="H2666">
        <v>1</v>
      </c>
      <c r="I2666" t="s">
        <v>3954</v>
      </c>
      <c r="J2666" t="s">
        <v>5227</v>
      </c>
      <c r="K2666" t="s">
        <v>1283</v>
      </c>
      <c r="L2666" s="204">
        <v>0.26</v>
      </c>
      <c r="M2666" s="112">
        <v>24.93</v>
      </c>
      <c r="N2666" s="112">
        <v>6.4817999999999998</v>
      </c>
      <c r="O2666" s="204"/>
      <c r="P2666" s="112"/>
      <c r="Q2666" s="112"/>
      <c r="R2666" s="112"/>
      <c r="S2666" s="112"/>
      <c r="T2666" s="112"/>
      <c r="U2666" t="s">
        <v>6136</v>
      </c>
      <c r="V2666" t="s">
        <v>5533</v>
      </c>
      <c r="W2666" t="s">
        <v>3958</v>
      </c>
      <c r="X2666" t="s">
        <v>4660</v>
      </c>
    </row>
    <row r="2667" spans="1:24" x14ac:dyDescent="0.2">
      <c r="A2667" t="s">
        <v>6135</v>
      </c>
      <c r="B2667" t="s">
        <v>1727</v>
      </c>
      <c r="C2667" t="s">
        <v>2139</v>
      </c>
      <c r="D2667" t="s">
        <v>56</v>
      </c>
      <c r="E2667" t="s">
        <v>2140</v>
      </c>
      <c r="F2667" t="s">
        <v>84</v>
      </c>
      <c r="G2667" s="202">
        <v>1</v>
      </c>
      <c r="H2667">
        <v>2</v>
      </c>
      <c r="I2667" t="s">
        <v>3960</v>
      </c>
      <c r="J2667" t="s">
        <v>5229</v>
      </c>
      <c r="K2667" t="s">
        <v>1283</v>
      </c>
      <c r="L2667" s="204">
        <v>0.64</v>
      </c>
      <c r="M2667" s="112">
        <v>24.93</v>
      </c>
      <c r="N2667" s="112">
        <v>15.9552</v>
      </c>
      <c r="O2667" s="204"/>
      <c r="P2667" s="112"/>
      <c r="Q2667" s="112"/>
      <c r="R2667" s="112"/>
      <c r="S2667" s="112"/>
      <c r="T2667" s="112"/>
      <c r="U2667" t="s">
        <v>6136</v>
      </c>
      <c r="V2667" t="s">
        <v>5533</v>
      </c>
      <c r="W2667" t="s">
        <v>3958</v>
      </c>
      <c r="X2667" t="s">
        <v>4660</v>
      </c>
    </row>
    <row r="2668" spans="1:24" x14ac:dyDescent="0.2">
      <c r="A2668" t="s">
        <v>6135</v>
      </c>
      <c r="B2668" t="s">
        <v>1727</v>
      </c>
      <c r="C2668" t="s">
        <v>2139</v>
      </c>
      <c r="D2668" t="s">
        <v>56</v>
      </c>
      <c r="E2668" t="s">
        <v>2140</v>
      </c>
      <c r="F2668" t="s">
        <v>84</v>
      </c>
      <c r="G2668" s="202">
        <v>1</v>
      </c>
      <c r="H2668">
        <v>3</v>
      </c>
      <c r="I2668" t="s">
        <v>3976</v>
      </c>
      <c r="J2668" t="s">
        <v>5230</v>
      </c>
      <c r="K2668" t="s">
        <v>1283</v>
      </c>
      <c r="L2668" s="204">
        <v>0.04</v>
      </c>
      <c r="M2668" s="112">
        <v>24.93</v>
      </c>
      <c r="N2668" s="112">
        <v>0.99719999999999998</v>
      </c>
      <c r="O2668" s="204"/>
      <c r="P2668" s="112"/>
      <c r="Q2668" s="112"/>
      <c r="R2668" s="112"/>
      <c r="S2668" s="112"/>
      <c r="T2668" s="112"/>
      <c r="U2668" t="s">
        <v>6136</v>
      </c>
      <c r="V2668" t="s">
        <v>5533</v>
      </c>
      <c r="W2668" t="s">
        <v>3958</v>
      </c>
      <c r="X2668" t="s">
        <v>4660</v>
      </c>
    </row>
    <row r="2669" spans="1:24" x14ac:dyDescent="0.2">
      <c r="A2669" t="s">
        <v>6135</v>
      </c>
      <c r="B2669" t="s">
        <v>1727</v>
      </c>
      <c r="C2669" t="s">
        <v>2139</v>
      </c>
      <c r="D2669" t="s">
        <v>56</v>
      </c>
      <c r="E2669" t="s">
        <v>2140</v>
      </c>
      <c r="F2669" t="s">
        <v>84</v>
      </c>
      <c r="G2669" s="202">
        <v>1</v>
      </c>
      <c r="H2669">
        <v>4</v>
      </c>
      <c r="I2669" t="s">
        <v>4017</v>
      </c>
      <c r="J2669" t="s">
        <v>4851</v>
      </c>
      <c r="K2669" t="s">
        <v>1283</v>
      </c>
      <c r="L2669" s="204">
        <v>0.06</v>
      </c>
      <c r="M2669" s="112">
        <v>24.93</v>
      </c>
      <c r="N2669" s="112">
        <v>1.4958</v>
      </c>
      <c r="O2669" s="204"/>
      <c r="P2669" s="112"/>
      <c r="Q2669" s="112"/>
      <c r="R2669" s="112"/>
      <c r="S2669" s="112"/>
      <c r="T2669" s="112"/>
      <c r="U2669" t="s">
        <v>6136</v>
      </c>
      <c r="V2669" t="s">
        <v>5533</v>
      </c>
      <c r="W2669" t="s">
        <v>3958</v>
      </c>
      <c r="X2669" t="s">
        <v>4660</v>
      </c>
    </row>
    <row r="2670" spans="1:24" x14ac:dyDescent="0.2">
      <c r="A2670" t="s">
        <v>6135</v>
      </c>
      <c r="B2670" t="s">
        <v>1727</v>
      </c>
      <c r="C2670" t="s">
        <v>2139</v>
      </c>
      <c r="D2670" t="s">
        <v>56</v>
      </c>
      <c r="E2670" t="s">
        <v>2140</v>
      </c>
      <c r="F2670" t="s">
        <v>84</v>
      </c>
      <c r="G2670" s="202">
        <v>1</v>
      </c>
      <c r="H2670">
        <v>5</v>
      </c>
      <c r="I2670" t="s">
        <v>3968</v>
      </c>
      <c r="J2670" t="s">
        <v>3969</v>
      </c>
      <c r="K2670" t="s">
        <v>84</v>
      </c>
      <c r="L2670" s="204">
        <v>1</v>
      </c>
      <c r="M2670" s="112"/>
      <c r="N2670" s="112">
        <v>24.93</v>
      </c>
      <c r="O2670" s="204">
        <v>0.22182109907741676</v>
      </c>
      <c r="P2670" s="112">
        <v>5.5300000000000011</v>
      </c>
      <c r="Q2670" s="112">
        <v>30.46</v>
      </c>
      <c r="R2670" s="112">
        <v>30.46</v>
      </c>
      <c r="S2670" s="112">
        <v>30.46</v>
      </c>
      <c r="T2670" s="112">
        <v>0</v>
      </c>
      <c r="U2670" t="s">
        <v>6136</v>
      </c>
      <c r="V2670" t="s">
        <v>5533</v>
      </c>
      <c r="W2670" t="s">
        <v>4666</v>
      </c>
      <c r="X2670" t="s">
        <v>4667</v>
      </c>
    </row>
    <row r="2671" spans="1:24" x14ac:dyDescent="0.2">
      <c r="A2671" t="s">
        <v>6137</v>
      </c>
      <c r="B2671" t="s">
        <v>1794</v>
      </c>
      <c r="C2671" t="s">
        <v>1028</v>
      </c>
      <c r="D2671" t="s">
        <v>1029</v>
      </c>
      <c r="E2671" t="s">
        <v>1030</v>
      </c>
      <c r="F2671" t="s">
        <v>84</v>
      </c>
      <c r="G2671" s="202">
        <v>10</v>
      </c>
      <c r="H2671">
        <v>1</v>
      </c>
      <c r="I2671" t="s">
        <v>3954</v>
      </c>
      <c r="J2671" t="s">
        <v>5227</v>
      </c>
      <c r="K2671" t="s">
        <v>1283</v>
      </c>
      <c r="L2671" s="204">
        <v>0.26</v>
      </c>
      <c r="M2671" s="112">
        <v>75.172499999999999</v>
      </c>
      <c r="N2671" s="112">
        <v>19.54485</v>
      </c>
      <c r="O2671" s="204"/>
      <c r="P2671" s="112"/>
      <c r="Q2671" s="112"/>
      <c r="R2671" s="112"/>
      <c r="S2671" s="112"/>
      <c r="T2671" s="112"/>
      <c r="U2671" t="s">
        <v>6138</v>
      </c>
      <c r="V2671" t="s">
        <v>6139</v>
      </c>
      <c r="W2671" t="s">
        <v>3958</v>
      </c>
      <c r="X2671" t="s">
        <v>4660</v>
      </c>
    </row>
    <row r="2672" spans="1:24" x14ac:dyDescent="0.2">
      <c r="A2672" t="s">
        <v>6137</v>
      </c>
      <c r="B2672" t="s">
        <v>1794</v>
      </c>
      <c r="C2672" t="s">
        <v>1028</v>
      </c>
      <c r="D2672" t="s">
        <v>1029</v>
      </c>
      <c r="E2672" t="s">
        <v>1030</v>
      </c>
      <c r="F2672" t="s">
        <v>84</v>
      </c>
      <c r="G2672" s="202">
        <v>10</v>
      </c>
      <c r="H2672">
        <v>2</v>
      </c>
      <c r="I2672" t="s">
        <v>3960</v>
      </c>
      <c r="J2672" t="s">
        <v>5229</v>
      </c>
      <c r="K2672" t="s">
        <v>1283</v>
      </c>
      <c r="L2672" s="204">
        <v>0.64</v>
      </c>
      <c r="M2672" s="112">
        <v>75.172499999999999</v>
      </c>
      <c r="N2672" s="112">
        <v>48.110399999999998</v>
      </c>
      <c r="O2672" s="204"/>
      <c r="P2672" s="112"/>
      <c r="Q2672" s="112"/>
      <c r="R2672" s="112"/>
      <c r="S2672" s="112"/>
      <c r="T2672" s="112"/>
      <c r="U2672" t="s">
        <v>6138</v>
      </c>
      <c r="V2672" t="s">
        <v>6139</v>
      </c>
      <c r="W2672" t="s">
        <v>3958</v>
      </c>
      <c r="X2672" t="s">
        <v>4660</v>
      </c>
    </row>
    <row r="2673" spans="1:24" x14ac:dyDescent="0.2">
      <c r="A2673" t="s">
        <v>6137</v>
      </c>
      <c r="B2673" t="s">
        <v>1794</v>
      </c>
      <c r="C2673" t="s">
        <v>1028</v>
      </c>
      <c r="D2673" t="s">
        <v>1029</v>
      </c>
      <c r="E2673" t="s">
        <v>1030</v>
      </c>
      <c r="F2673" t="s">
        <v>84</v>
      </c>
      <c r="G2673" s="202">
        <v>10</v>
      </c>
      <c r="H2673">
        <v>3</v>
      </c>
      <c r="I2673" t="s">
        <v>3976</v>
      </c>
      <c r="J2673" t="s">
        <v>5230</v>
      </c>
      <c r="K2673" t="s">
        <v>1283</v>
      </c>
      <c r="L2673" s="204">
        <v>0.04</v>
      </c>
      <c r="M2673" s="112">
        <v>75.172499999999999</v>
      </c>
      <c r="N2673" s="112">
        <v>3.0068999999999999</v>
      </c>
      <c r="O2673" s="204"/>
      <c r="P2673" s="112"/>
      <c r="Q2673" s="112"/>
      <c r="R2673" s="112"/>
      <c r="S2673" s="112"/>
      <c r="T2673" s="112"/>
      <c r="U2673" t="s">
        <v>6138</v>
      </c>
      <c r="V2673" t="s">
        <v>6139</v>
      </c>
      <c r="W2673" t="s">
        <v>3958</v>
      </c>
      <c r="X2673" t="s">
        <v>4660</v>
      </c>
    </row>
    <row r="2674" spans="1:24" x14ac:dyDescent="0.2">
      <c r="A2674" t="s">
        <v>6137</v>
      </c>
      <c r="B2674" t="s">
        <v>1794</v>
      </c>
      <c r="C2674" t="s">
        <v>1028</v>
      </c>
      <c r="D2674" t="s">
        <v>1029</v>
      </c>
      <c r="E2674" t="s">
        <v>1030</v>
      </c>
      <c r="F2674" t="s">
        <v>84</v>
      </c>
      <c r="G2674" s="202">
        <v>10</v>
      </c>
      <c r="H2674">
        <v>4</v>
      </c>
      <c r="I2674" t="s">
        <v>4017</v>
      </c>
      <c r="J2674" t="s">
        <v>4851</v>
      </c>
      <c r="K2674" t="s">
        <v>1283</v>
      </c>
      <c r="L2674" s="204">
        <v>0.06</v>
      </c>
      <c r="M2674" s="112">
        <v>75.172499999999999</v>
      </c>
      <c r="N2674" s="112">
        <v>4.5103499999999999</v>
      </c>
      <c r="O2674" s="204"/>
      <c r="P2674" s="112"/>
      <c r="Q2674" s="112"/>
      <c r="R2674" s="112"/>
      <c r="S2674" s="112"/>
      <c r="T2674" s="112"/>
      <c r="U2674" t="s">
        <v>6138</v>
      </c>
      <c r="V2674" t="s">
        <v>6139</v>
      </c>
      <c r="W2674" t="s">
        <v>3958</v>
      </c>
      <c r="X2674" t="s">
        <v>4660</v>
      </c>
    </row>
    <row r="2675" spans="1:24" x14ac:dyDescent="0.2">
      <c r="A2675" t="s">
        <v>6137</v>
      </c>
      <c r="B2675" t="s">
        <v>1794</v>
      </c>
      <c r="C2675" t="s">
        <v>1028</v>
      </c>
      <c r="D2675" t="s">
        <v>1029</v>
      </c>
      <c r="E2675" t="s">
        <v>1030</v>
      </c>
      <c r="F2675" t="s">
        <v>84</v>
      </c>
      <c r="G2675" s="202">
        <v>10</v>
      </c>
      <c r="H2675">
        <v>5</v>
      </c>
      <c r="I2675" t="s">
        <v>3968</v>
      </c>
      <c r="J2675" t="s">
        <v>3969</v>
      </c>
      <c r="K2675" t="s">
        <v>84</v>
      </c>
      <c r="L2675" s="204">
        <v>1</v>
      </c>
      <c r="M2675" s="112"/>
      <c r="N2675" s="112">
        <v>75.172499999999999</v>
      </c>
      <c r="O2675" s="204">
        <v>0.22228208453889398</v>
      </c>
      <c r="P2675" s="112">
        <v>16.709500000000006</v>
      </c>
      <c r="Q2675" s="112">
        <v>91.882000000000005</v>
      </c>
      <c r="R2675" s="112">
        <v>918.82</v>
      </c>
      <c r="S2675" s="112">
        <v>918.82</v>
      </c>
      <c r="T2675" s="112">
        <v>0</v>
      </c>
      <c r="U2675" t="s">
        <v>6138</v>
      </c>
      <c r="V2675" t="s">
        <v>6139</v>
      </c>
      <c r="W2675" t="s">
        <v>4666</v>
      </c>
      <c r="X2675" t="s">
        <v>4667</v>
      </c>
    </row>
    <row r="2676" spans="1:24" x14ac:dyDescent="0.2">
      <c r="A2676" t="s">
        <v>6140</v>
      </c>
      <c r="B2676" t="s">
        <v>1816</v>
      </c>
      <c r="C2676" t="s">
        <v>2141</v>
      </c>
      <c r="D2676" t="s">
        <v>24</v>
      </c>
      <c r="E2676" t="s">
        <v>1032</v>
      </c>
      <c r="F2676" t="s">
        <v>99</v>
      </c>
      <c r="G2676" s="202">
        <v>179.9</v>
      </c>
      <c r="H2676">
        <v>1</v>
      </c>
      <c r="I2676" t="s">
        <v>3954</v>
      </c>
      <c r="J2676" t="s">
        <v>3955</v>
      </c>
      <c r="K2676" t="s">
        <v>1283</v>
      </c>
      <c r="L2676" s="204">
        <v>0.14000000000000001</v>
      </c>
      <c r="M2676" s="112">
        <v>61.53</v>
      </c>
      <c r="N2676" s="112">
        <v>8.6142000000000003</v>
      </c>
      <c r="O2676" s="204"/>
      <c r="P2676" s="112"/>
      <c r="Q2676" s="112"/>
      <c r="R2676" s="112"/>
      <c r="S2676" s="112"/>
      <c r="T2676" s="112"/>
      <c r="U2676" t="s">
        <v>6141</v>
      </c>
      <c r="V2676" t="s">
        <v>6142</v>
      </c>
      <c r="W2676" t="s">
        <v>3958</v>
      </c>
      <c r="X2676" t="s">
        <v>4660</v>
      </c>
    </row>
    <row r="2677" spans="1:24" x14ac:dyDescent="0.2">
      <c r="A2677" t="s">
        <v>6140</v>
      </c>
      <c r="B2677" t="s">
        <v>1816</v>
      </c>
      <c r="C2677" t="s">
        <v>2141</v>
      </c>
      <c r="D2677" t="s">
        <v>24</v>
      </c>
      <c r="E2677" t="s">
        <v>1032</v>
      </c>
      <c r="F2677" t="s">
        <v>99</v>
      </c>
      <c r="G2677" s="202">
        <v>179.9</v>
      </c>
      <c r="H2677">
        <v>2</v>
      </c>
      <c r="I2677" t="s">
        <v>3960</v>
      </c>
      <c r="J2677" t="s">
        <v>4800</v>
      </c>
      <c r="K2677" t="s">
        <v>1283</v>
      </c>
      <c r="L2677" s="204">
        <v>0.5</v>
      </c>
      <c r="M2677" s="112">
        <v>61.53</v>
      </c>
      <c r="N2677" s="112">
        <v>30.765000000000001</v>
      </c>
      <c r="O2677" s="204"/>
      <c r="P2677" s="112"/>
      <c r="Q2677" s="112"/>
      <c r="R2677" s="112"/>
      <c r="S2677" s="112"/>
      <c r="T2677" s="112"/>
      <c r="U2677" t="s">
        <v>6141</v>
      </c>
      <c r="V2677" t="s">
        <v>6142</v>
      </c>
      <c r="W2677" t="s">
        <v>3958</v>
      </c>
      <c r="X2677" t="s">
        <v>4660</v>
      </c>
    </row>
    <row r="2678" spans="1:24" x14ac:dyDescent="0.2">
      <c r="A2678" t="s">
        <v>6140</v>
      </c>
      <c r="B2678" t="s">
        <v>1816</v>
      </c>
      <c r="C2678" t="s">
        <v>2141</v>
      </c>
      <c r="D2678" t="s">
        <v>24</v>
      </c>
      <c r="E2678" t="s">
        <v>1032</v>
      </c>
      <c r="F2678" t="s">
        <v>99</v>
      </c>
      <c r="G2678" s="202">
        <v>179.9</v>
      </c>
      <c r="H2678">
        <v>3</v>
      </c>
      <c r="I2678" t="s">
        <v>3962</v>
      </c>
      <c r="J2678" t="s">
        <v>4801</v>
      </c>
      <c r="K2678" t="s">
        <v>1283</v>
      </c>
      <c r="L2678" s="204">
        <v>0.26</v>
      </c>
      <c r="M2678" s="112">
        <v>61.53</v>
      </c>
      <c r="N2678" s="112">
        <v>15.997800000000002</v>
      </c>
      <c r="O2678" s="204"/>
      <c r="P2678" s="112"/>
      <c r="Q2678" s="112"/>
      <c r="R2678" s="112"/>
      <c r="S2678" s="112"/>
      <c r="T2678" s="112"/>
      <c r="U2678" t="s">
        <v>6141</v>
      </c>
      <c r="V2678" t="s">
        <v>6142</v>
      </c>
      <c r="W2678" t="s">
        <v>3958</v>
      </c>
      <c r="X2678" t="s">
        <v>4660</v>
      </c>
    </row>
    <row r="2679" spans="1:24" x14ac:dyDescent="0.2">
      <c r="A2679" t="s">
        <v>6140</v>
      </c>
      <c r="B2679" t="s">
        <v>1816</v>
      </c>
      <c r="C2679" t="s">
        <v>2141</v>
      </c>
      <c r="D2679" t="s">
        <v>24</v>
      </c>
      <c r="E2679" t="s">
        <v>1032</v>
      </c>
      <c r="F2679" t="s">
        <v>99</v>
      </c>
      <c r="G2679" s="202">
        <v>179.9</v>
      </c>
      <c r="H2679">
        <v>4</v>
      </c>
      <c r="I2679" t="s">
        <v>3964</v>
      </c>
      <c r="J2679" t="s">
        <v>4802</v>
      </c>
      <c r="K2679" t="s">
        <v>1283</v>
      </c>
      <c r="L2679" s="204">
        <v>7.0000000000000007E-2</v>
      </c>
      <c r="M2679" s="112">
        <v>61.53</v>
      </c>
      <c r="N2679" s="112">
        <v>4.3071000000000002</v>
      </c>
      <c r="O2679" s="204"/>
      <c r="P2679" s="112"/>
      <c r="Q2679" s="112"/>
      <c r="R2679" s="112"/>
      <c r="S2679" s="112"/>
      <c r="T2679" s="112"/>
      <c r="U2679" t="s">
        <v>6141</v>
      </c>
      <c r="V2679" t="s">
        <v>6142</v>
      </c>
      <c r="W2679" t="s">
        <v>3958</v>
      </c>
      <c r="X2679" t="s">
        <v>4660</v>
      </c>
    </row>
    <row r="2680" spans="1:24" x14ac:dyDescent="0.2">
      <c r="A2680" t="s">
        <v>6140</v>
      </c>
      <c r="B2680" t="s">
        <v>1816</v>
      </c>
      <c r="C2680" t="s">
        <v>2141</v>
      </c>
      <c r="D2680" t="s">
        <v>24</v>
      </c>
      <c r="E2680" t="s">
        <v>1032</v>
      </c>
      <c r="F2680" t="s">
        <v>99</v>
      </c>
      <c r="G2680" s="202">
        <v>179.9</v>
      </c>
      <c r="H2680">
        <v>5</v>
      </c>
      <c r="I2680" t="s">
        <v>3966</v>
      </c>
      <c r="J2680" t="s">
        <v>3967</v>
      </c>
      <c r="K2680" t="s">
        <v>1283</v>
      </c>
      <c r="L2680" s="204">
        <v>0.03</v>
      </c>
      <c r="M2680" s="112">
        <v>61.53</v>
      </c>
      <c r="N2680" s="112">
        <v>1.8458999999999999</v>
      </c>
      <c r="O2680" s="204"/>
      <c r="P2680" s="112"/>
      <c r="Q2680" s="112"/>
      <c r="R2680" s="112"/>
      <c r="S2680" s="112"/>
      <c r="T2680" s="112"/>
      <c r="U2680" t="s">
        <v>6141</v>
      </c>
      <c r="V2680" t="s">
        <v>6142</v>
      </c>
      <c r="W2680" t="s">
        <v>3958</v>
      </c>
      <c r="X2680" t="s">
        <v>4660</v>
      </c>
    </row>
    <row r="2681" spans="1:24" x14ac:dyDescent="0.2">
      <c r="A2681" t="s">
        <v>6140</v>
      </c>
      <c r="B2681" t="s">
        <v>1816</v>
      </c>
      <c r="C2681" t="s">
        <v>2141</v>
      </c>
      <c r="D2681" t="s">
        <v>24</v>
      </c>
      <c r="E2681" t="s">
        <v>1032</v>
      </c>
      <c r="F2681" t="s">
        <v>99</v>
      </c>
      <c r="G2681" s="202">
        <v>179.9</v>
      </c>
      <c r="H2681">
        <v>6</v>
      </c>
      <c r="I2681" t="s">
        <v>3968</v>
      </c>
      <c r="J2681" t="s">
        <v>3969</v>
      </c>
      <c r="K2681" t="s">
        <v>99</v>
      </c>
      <c r="L2681" s="204">
        <v>1</v>
      </c>
      <c r="M2681" s="112"/>
      <c r="N2681" s="112">
        <v>61.53</v>
      </c>
      <c r="O2681" s="204">
        <v>0.22220779787459799</v>
      </c>
      <c r="P2681" s="112">
        <v>13.672445803224008</v>
      </c>
      <c r="Q2681" s="112">
        <v>75.202445803224009</v>
      </c>
      <c r="R2681" s="112">
        <v>13528.92</v>
      </c>
      <c r="S2681" s="112">
        <v>13528.92</v>
      </c>
      <c r="T2681" s="112">
        <v>0</v>
      </c>
      <c r="U2681" t="s">
        <v>6141</v>
      </c>
      <c r="V2681" t="s">
        <v>6142</v>
      </c>
      <c r="W2681" t="s">
        <v>4666</v>
      </c>
      <c r="X2681" t="s">
        <v>4667</v>
      </c>
    </row>
    <row r="2682" spans="1:24" x14ac:dyDescent="0.2">
      <c r="A2682" t="s">
        <v>6143</v>
      </c>
      <c r="B2682" t="s">
        <v>1860</v>
      </c>
      <c r="C2682" t="s">
        <v>2142</v>
      </c>
      <c r="D2682" t="s">
        <v>24</v>
      </c>
      <c r="E2682" t="s">
        <v>2143</v>
      </c>
      <c r="F2682" t="s">
        <v>99</v>
      </c>
      <c r="G2682" s="202">
        <v>55.5</v>
      </c>
      <c r="H2682">
        <v>1</v>
      </c>
      <c r="I2682" t="s">
        <v>3954</v>
      </c>
      <c r="J2682" t="s">
        <v>3955</v>
      </c>
      <c r="K2682" t="s">
        <v>1283</v>
      </c>
      <c r="L2682" s="204">
        <v>0.14000000000000001</v>
      </c>
      <c r="M2682" s="112">
        <v>76.155000000000001</v>
      </c>
      <c r="N2682" s="112">
        <v>10.661700000000002</v>
      </c>
      <c r="O2682" s="204"/>
      <c r="P2682" s="112"/>
      <c r="Q2682" s="112"/>
      <c r="R2682" s="112"/>
      <c r="S2682" s="112"/>
      <c r="T2682" s="112"/>
      <c r="U2682" t="s">
        <v>6144</v>
      </c>
      <c r="V2682" t="s">
        <v>6145</v>
      </c>
      <c r="W2682" t="s">
        <v>3958</v>
      </c>
      <c r="X2682" t="s">
        <v>4660</v>
      </c>
    </row>
    <row r="2683" spans="1:24" x14ac:dyDescent="0.2">
      <c r="A2683" t="s">
        <v>6143</v>
      </c>
      <c r="B2683" t="s">
        <v>1860</v>
      </c>
      <c r="C2683" t="s">
        <v>2142</v>
      </c>
      <c r="D2683" t="s">
        <v>24</v>
      </c>
      <c r="E2683" t="s">
        <v>2143</v>
      </c>
      <c r="F2683" t="s">
        <v>99</v>
      </c>
      <c r="G2683" s="202">
        <v>55.5</v>
      </c>
      <c r="H2683">
        <v>2</v>
      </c>
      <c r="I2683" t="s">
        <v>3960</v>
      </c>
      <c r="J2683" t="s">
        <v>4800</v>
      </c>
      <c r="K2683" t="s">
        <v>1283</v>
      </c>
      <c r="L2683" s="204">
        <v>0.5</v>
      </c>
      <c r="M2683" s="112">
        <v>76.155000000000001</v>
      </c>
      <c r="N2683" s="112">
        <v>38.077500000000001</v>
      </c>
      <c r="O2683" s="204"/>
      <c r="P2683" s="112"/>
      <c r="Q2683" s="112"/>
      <c r="R2683" s="112"/>
      <c r="S2683" s="112"/>
      <c r="T2683" s="112"/>
      <c r="U2683" t="s">
        <v>6144</v>
      </c>
      <c r="V2683" t="s">
        <v>6145</v>
      </c>
      <c r="W2683" t="s">
        <v>3958</v>
      </c>
      <c r="X2683" t="s">
        <v>4660</v>
      </c>
    </row>
    <row r="2684" spans="1:24" x14ac:dyDescent="0.2">
      <c r="A2684" t="s">
        <v>6143</v>
      </c>
      <c r="B2684" t="s">
        <v>1860</v>
      </c>
      <c r="C2684" t="s">
        <v>2142</v>
      </c>
      <c r="D2684" t="s">
        <v>24</v>
      </c>
      <c r="E2684" t="s">
        <v>2143</v>
      </c>
      <c r="F2684" t="s">
        <v>99</v>
      </c>
      <c r="G2684" s="202">
        <v>55.5</v>
      </c>
      <c r="H2684">
        <v>3</v>
      </c>
      <c r="I2684" t="s">
        <v>3962</v>
      </c>
      <c r="J2684" t="s">
        <v>4801</v>
      </c>
      <c r="K2684" t="s">
        <v>1283</v>
      </c>
      <c r="L2684" s="204">
        <v>0.26</v>
      </c>
      <c r="M2684" s="112">
        <v>76.155000000000001</v>
      </c>
      <c r="N2684" s="112">
        <v>19.8003</v>
      </c>
      <c r="O2684" s="204"/>
      <c r="P2684" s="112"/>
      <c r="Q2684" s="112"/>
      <c r="R2684" s="112"/>
      <c r="S2684" s="112"/>
      <c r="T2684" s="112"/>
      <c r="U2684" t="s">
        <v>6144</v>
      </c>
      <c r="V2684" t="s">
        <v>6145</v>
      </c>
      <c r="W2684" t="s">
        <v>3958</v>
      </c>
      <c r="X2684" t="s">
        <v>4660</v>
      </c>
    </row>
    <row r="2685" spans="1:24" x14ac:dyDescent="0.2">
      <c r="A2685" t="s">
        <v>6143</v>
      </c>
      <c r="B2685" t="s">
        <v>1860</v>
      </c>
      <c r="C2685" t="s">
        <v>2142</v>
      </c>
      <c r="D2685" t="s">
        <v>24</v>
      </c>
      <c r="E2685" t="s">
        <v>2143</v>
      </c>
      <c r="F2685" t="s">
        <v>99</v>
      </c>
      <c r="G2685" s="202">
        <v>55.5</v>
      </c>
      <c r="H2685">
        <v>4</v>
      </c>
      <c r="I2685" t="s">
        <v>3964</v>
      </c>
      <c r="J2685" t="s">
        <v>4802</v>
      </c>
      <c r="K2685" t="s">
        <v>1283</v>
      </c>
      <c r="L2685" s="204">
        <v>7.0000000000000007E-2</v>
      </c>
      <c r="M2685" s="112">
        <v>76.155000000000001</v>
      </c>
      <c r="N2685" s="112">
        <v>5.3308500000000008</v>
      </c>
      <c r="O2685" s="204"/>
      <c r="P2685" s="112"/>
      <c r="Q2685" s="112"/>
      <c r="R2685" s="112"/>
      <c r="S2685" s="112"/>
      <c r="T2685" s="112"/>
      <c r="U2685" t="s">
        <v>6144</v>
      </c>
      <c r="V2685" t="s">
        <v>6145</v>
      </c>
      <c r="W2685" t="s">
        <v>3958</v>
      </c>
      <c r="X2685" t="s">
        <v>4660</v>
      </c>
    </row>
    <row r="2686" spans="1:24" x14ac:dyDescent="0.2">
      <c r="A2686" t="s">
        <v>6143</v>
      </c>
      <c r="B2686" t="s">
        <v>1860</v>
      </c>
      <c r="C2686" t="s">
        <v>2142</v>
      </c>
      <c r="D2686" t="s">
        <v>24</v>
      </c>
      <c r="E2686" t="s">
        <v>2143</v>
      </c>
      <c r="F2686" t="s">
        <v>99</v>
      </c>
      <c r="G2686" s="202">
        <v>55.5</v>
      </c>
      <c r="H2686">
        <v>5</v>
      </c>
      <c r="I2686" t="s">
        <v>3966</v>
      </c>
      <c r="J2686" t="s">
        <v>3967</v>
      </c>
      <c r="K2686" t="s">
        <v>1283</v>
      </c>
      <c r="L2686" s="204">
        <v>0.03</v>
      </c>
      <c r="M2686" s="112">
        <v>76.155000000000001</v>
      </c>
      <c r="N2686" s="112">
        <v>2.2846500000000001</v>
      </c>
      <c r="O2686" s="204"/>
      <c r="P2686" s="112"/>
      <c r="Q2686" s="112"/>
      <c r="R2686" s="112"/>
      <c r="S2686" s="112"/>
      <c r="T2686" s="112"/>
      <c r="U2686" t="s">
        <v>6144</v>
      </c>
      <c r="V2686" t="s">
        <v>6145</v>
      </c>
      <c r="W2686" t="s">
        <v>3958</v>
      </c>
      <c r="X2686" t="s">
        <v>4660</v>
      </c>
    </row>
    <row r="2687" spans="1:24" x14ac:dyDescent="0.2">
      <c r="A2687" t="s">
        <v>6143</v>
      </c>
      <c r="B2687" t="s">
        <v>1860</v>
      </c>
      <c r="C2687" t="s">
        <v>2142</v>
      </c>
      <c r="D2687" t="s">
        <v>24</v>
      </c>
      <c r="E2687" t="s">
        <v>2143</v>
      </c>
      <c r="F2687" t="s">
        <v>99</v>
      </c>
      <c r="G2687" s="202">
        <v>55.5</v>
      </c>
      <c r="H2687">
        <v>6</v>
      </c>
      <c r="I2687" t="s">
        <v>3968</v>
      </c>
      <c r="J2687" t="s">
        <v>3969</v>
      </c>
      <c r="K2687" t="s">
        <v>99</v>
      </c>
      <c r="L2687" s="204">
        <v>1</v>
      </c>
      <c r="M2687" s="112"/>
      <c r="N2687" s="112">
        <v>76.155000000000001</v>
      </c>
      <c r="O2687" s="204">
        <v>0.22227486497724835</v>
      </c>
      <c r="P2687" s="112">
        <v>16.927342342342342</v>
      </c>
      <c r="Q2687" s="112">
        <v>93.082342342342343</v>
      </c>
      <c r="R2687" s="112">
        <v>5166.07</v>
      </c>
      <c r="S2687" s="112">
        <v>5166.07</v>
      </c>
      <c r="T2687" s="112">
        <v>0</v>
      </c>
      <c r="U2687" t="s">
        <v>6144</v>
      </c>
      <c r="V2687" t="s">
        <v>6145</v>
      </c>
      <c r="W2687" t="s">
        <v>4666</v>
      </c>
      <c r="X2687" t="s">
        <v>4667</v>
      </c>
    </row>
    <row r="2688" spans="1:24" x14ac:dyDescent="0.2">
      <c r="A2688" t="s">
        <v>6146</v>
      </c>
      <c r="B2688" t="s">
        <v>2144</v>
      </c>
      <c r="C2688" t="s">
        <v>2145</v>
      </c>
      <c r="D2688" t="s">
        <v>24</v>
      </c>
      <c r="E2688" t="s">
        <v>2146</v>
      </c>
      <c r="F2688" t="s">
        <v>99</v>
      </c>
      <c r="G2688" s="202">
        <v>15.7</v>
      </c>
      <c r="H2688">
        <v>1</v>
      </c>
      <c r="I2688" t="s">
        <v>3954</v>
      </c>
      <c r="J2688" t="s">
        <v>3955</v>
      </c>
      <c r="K2688" t="s">
        <v>1283</v>
      </c>
      <c r="L2688" s="204">
        <v>0.14000000000000001</v>
      </c>
      <c r="M2688" s="112">
        <v>70.304999999999993</v>
      </c>
      <c r="N2688" s="112">
        <v>9.8427000000000007</v>
      </c>
      <c r="O2688" s="204"/>
      <c r="P2688" s="112"/>
      <c r="Q2688" s="112"/>
      <c r="R2688" s="112"/>
      <c r="S2688" s="112"/>
      <c r="T2688" s="112"/>
      <c r="U2688" t="s">
        <v>6147</v>
      </c>
      <c r="V2688" t="s">
        <v>6148</v>
      </c>
      <c r="W2688" t="s">
        <v>3958</v>
      </c>
      <c r="X2688" t="s">
        <v>4660</v>
      </c>
    </row>
    <row r="2689" spans="1:24" x14ac:dyDescent="0.2">
      <c r="A2689" t="s">
        <v>6146</v>
      </c>
      <c r="B2689" t="s">
        <v>2144</v>
      </c>
      <c r="C2689" t="s">
        <v>2145</v>
      </c>
      <c r="D2689" t="s">
        <v>24</v>
      </c>
      <c r="E2689" t="s">
        <v>2146</v>
      </c>
      <c r="F2689" t="s">
        <v>99</v>
      </c>
      <c r="G2689" s="202">
        <v>15.7</v>
      </c>
      <c r="H2689">
        <v>2</v>
      </c>
      <c r="I2689" t="s">
        <v>3960</v>
      </c>
      <c r="J2689" t="s">
        <v>4800</v>
      </c>
      <c r="K2689" t="s">
        <v>1283</v>
      </c>
      <c r="L2689" s="204">
        <v>0.5</v>
      </c>
      <c r="M2689" s="112">
        <v>70.304999999999993</v>
      </c>
      <c r="N2689" s="112">
        <v>35.152499999999996</v>
      </c>
      <c r="O2689" s="204"/>
      <c r="P2689" s="112"/>
      <c r="Q2689" s="112"/>
      <c r="R2689" s="112"/>
      <c r="S2689" s="112"/>
      <c r="T2689" s="112"/>
      <c r="U2689" t="s">
        <v>6147</v>
      </c>
      <c r="V2689" t="s">
        <v>6148</v>
      </c>
      <c r="W2689" t="s">
        <v>3958</v>
      </c>
      <c r="X2689" t="s">
        <v>4660</v>
      </c>
    </row>
    <row r="2690" spans="1:24" x14ac:dyDescent="0.2">
      <c r="A2690" t="s">
        <v>6146</v>
      </c>
      <c r="B2690" t="s">
        <v>2144</v>
      </c>
      <c r="C2690" t="s">
        <v>2145</v>
      </c>
      <c r="D2690" t="s">
        <v>24</v>
      </c>
      <c r="E2690" t="s">
        <v>2146</v>
      </c>
      <c r="F2690" t="s">
        <v>99</v>
      </c>
      <c r="G2690" s="202">
        <v>15.7</v>
      </c>
      <c r="H2690">
        <v>3</v>
      </c>
      <c r="I2690" t="s">
        <v>3962</v>
      </c>
      <c r="J2690" t="s">
        <v>4801</v>
      </c>
      <c r="K2690" t="s">
        <v>1283</v>
      </c>
      <c r="L2690" s="204">
        <v>0.26</v>
      </c>
      <c r="M2690" s="112">
        <v>70.304999999999993</v>
      </c>
      <c r="N2690" s="112">
        <v>18.279299999999999</v>
      </c>
      <c r="O2690" s="204"/>
      <c r="P2690" s="112"/>
      <c r="Q2690" s="112"/>
      <c r="R2690" s="112"/>
      <c r="S2690" s="112"/>
      <c r="T2690" s="112"/>
      <c r="U2690" t="s">
        <v>6147</v>
      </c>
      <c r="V2690" t="s">
        <v>6148</v>
      </c>
      <c r="W2690" t="s">
        <v>3958</v>
      </c>
      <c r="X2690" t="s">
        <v>4660</v>
      </c>
    </row>
    <row r="2691" spans="1:24" x14ac:dyDescent="0.2">
      <c r="A2691" t="s">
        <v>6146</v>
      </c>
      <c r="B2691" t="s">
        <v>2144</v>
      </c>
      <c r="C2691" t="s">
        <v>2145</v>
      </c>
      <c r="D2691" t="s">
        <v>24</v>
      </c>
      <c r="E2691" t="s">
        <v>2146</v>
      </c>
      <c r="F2691" t="s">
        <v>99</v>
      </c>
      <c r="G2691" s="202">
        <v>15.7</v>
      </c>
      <c r="H2691">
        <v>4</v>
      </c>
      <c r="I2691" t="s">
        <v>3964</v>
      </c>
      <c r="J2691" t="s">
        <v>4802</v>
      </c>
      <c r="K2691" t="s">
        <v>1283</v>
      </c>
      <c r="L2691" s="204">
        <v>7.0000000000000007E-2</v>
      </c>
      <c r="M2691" s="112">
        <v>70.304999999999993</v>
      </c>
      <c r="N2691" s="112">
        <v>4.9213500000000003</v>
      </c>
      <c r="O2691" s="204"/>
      <c r="P2691" s="112"/>
      <c r="Q2691" s="112"/>
      <c r="R2691" s="112"/>
      <c r="S2691" s="112"/>
      <c r="T2691" s="112"/>
      <c r="U2691" t="s">
        <v>6147</v>
      </c>
      <c r="V2691" t="s">
        <v>6148</v>
      </c>
      <c r="W2691" t="s">
        <v>3958</v>
      </c>
      <c r="X2691" t="s">
        <v>4660</v>
      </c>
    </row>
    <row r="2692" spans="1:24" x14ac:dyDescent="0.2">
      <c r="A2692" t="s">
        <v>6146</v>
      </c>
      <c r="B2692" t="s">
        <v>2144</v>
      </c>
      <c r="C2692" t="s">
        <v>2145</v>
      </c>
      <c r="D2692" t="s">
        <v>24</v>
      </c>
      <c r="E2692" t="s">
        <v>2146</v>
      </c>
      <c r="F2692" t="s">
        <v>99</v>
      </c>
      <c r="G2692" s="202">
        <v>15.7</v>
      </c>
      <c r="H2692">
        <v>5</v>
      </c>
      <c r="I2692" t="s">
        <v>3966</v>
      </c>
      <c r="J2692" t="s">
        <v>3967</v>
      </c>
      <c r="K2692" t="s">
        <v>1283</v>
      </c>
      <c r="L2692" s="204">
        <v>0.03</v>
      </c>
      <c r="M2692" s="112">
        <v>70.304999999999993</v>
      </c>
      <c r="N2692" s="112">
        <v>2.1091499999999996</v>
      </c>
      <c r="O2692" s="204"/>
      <c r="P2692" s="112"/>
      <c r="Q2692" s="112"/>
      <c r="R2692" s="112"/>
      <c r="S2692" s="112"/>
      <c r="T2692" s="112"/>
      <c r="U2692" t="s">
        <v>6147</v>
      </c>
      <c r="V2692" t="s">
        <v>6148</v>
      </c>
      <c r="W2692" t="s">
        <v>3958</v>
      </c>
      <c r="X2692" t="s">
        <v>4660</v>
      </c>
    </row>
    <row r="2693" spans="1:24" x14ac:dyDescent="0.2">
      <c r="A2693" t="s">
        <v>6146</v>
      </c>
      <c r="B2693" t="s">
        <v>2144</v>
      </c>
      <c r="C2693" t="s">
        <v>2145</v>
      </c>
      <c r="D2693" t="s">
        <v>24</v>
      </c>
      <c r="E2693" t="s">
        <v>2146</v>
      </c>
      <c r="F2693" t="s">
        <v>99</v>
      </c>
      <c r="G2693" s="202">
        <v>15.7</v>
      </c>
      <c r="H2693">
        <v>6</v>
      </c>
      <c r="I2693" t="s">
        <v>3968</v>
      </c>
      <c r="J2693" t="s">
        <v>3969</v>
      </c>
      <c r="K2693" t="s">
        <v>99</v>
      </c>
      <c r="L2693" s="204">
        <v>1</v>
      </c>
      <c r="M2693" s="112"/>
      <c r="N2693" s="112">
        <v>70.304999999999993</v>
      </c>
      <c r="O2693" s="204">
        <v>0.22220878365737651</v>
      </c>
      <c r="P2693" s="112">
        <v>15.62238853503186</v>
      </c>
      <c r="Q2693" s="112">
        <v>85.927388535031852</v>
      </c>
      <c r="R2693" s="112">
        <v>1349.06</v>
      </c>
      <c r="S2693" s="112">
        <v>1349.06</v>
      </c>
      <c r="T2693" s="112">
        <v>0</v>
      </c>
      <c r="U2693" t="s">
        <v>6147</v>
      </c>
      <c r="V2693" t="s">
        <v>6148</v>
      </c>
      <c r="W2693" t="s">
        <v>4666</v>
      </c>
      <c r="X2693" t="s">
        <v>4667</v>
      </c>
    </row>
    <row r="2694" spans="1:24" x14ac:dyDescent="0.2">
      <c r="A2694" t="s">
        <v>6149</v>
      </c>
      <c r="B2694" t="s">
        <v>1877</v>
      </c>
      <c r="C2694" t="s">
        <v>2147</v>
      </c>
      <c r="D2694" t="s">
        <v>24</v>
      </c>
      <c r="E2694" t="s">
        <v>1038</v>
      </c>
      <c r="F2694" t="s">
        <v>99</v>
      </c>
      <c r="G2694" s="202">
        <v>487</v>
      </c>
      <c r="H2694">
        <v>1</v>
      </c>
      <c r="I2694" t="s">
        <v>3954</v>
      </c>
      <c r="J2694" t="s">
        <v>4110</v>
      </c>
      <c r="K2694" t="s">
        <v>1283</v>
      </c>
      <c r="L2694" s="204">
        <v>0.3</v>
      </c>
      <c r="M2694" s="112">
        <v>15.3825</v>
      </c>
      <c r="N2694" s="112">
        <v>4.6147499999999999</v>
      </c>
      <c r="O2694" s="204"/>
      <c r="P2694" s="112"/>
      <c r="Q2694" s="112"/>
      <c r="R2694" s="112"/>
      <c r="S2694" s="112"/>
      <c r="T2694" s="112"/>
      <c r="U2694" t="s">
        <v>6150</v>
      </c>
      <c r="V2694" t="s">
        <v>6151</v>
      </c>
      <c r="W2694" t="s">
        <v>3958</v>
      </c>
      <c r="X2694" t="s">
        <v>4660</v>
      </c>
    </row>
    <row r="2695" spans="1:24" x14ac:dyDescent="0.2">
      <c r="A2695" t="s">
        <v>6149</v>
      </c>
      <c r="B2695" t="s">
        <v>1877</v>
      </c>
      <c r="C2695" t="s">
        <v>2147</v>
      </c>
      <c r="D2695" t="s">
        <v>24</v>
      </c>
      <c r="E2695" t="s">
        <v>1038</v>
      </c>
      <c r="F2695" t="s">
        <v>99</v>
      </c>
      <c r="G2695" s="202">
        <v>487</v>
      </c>
      <c r="H2695">
        <v>2</v>
      </c>
      <c r="I2695" t="s">
        <v>3960</v>
      </c>
      <c r="J2695" t="s">
        <v>4113</v>
      </c>
      <c r="K2695" t="s">
        <v>1283</v>
      </c>
      <c r="L2695" s="204">
        <v>0.55000000000000004</v>
      </c>
      <c r="M2695" s="112">
        <v>15.3825</v>
      </c>
      <c r="N2695" s="112">
        <v>8.4603750000000009</v>
      </c>
      <c r="O2695" s="204"/>
      <c r="P2695" s="112"/>
      <c r="Q2695" s="112"/>
      <c r="R2695" s="112"/>
      <c r="S2695" s="112"/>
      <c r="T2695" s="112"/>
      <c r="U2695" t="s">
        <v>6150</v>
      </c>
      <c r="V2695" t="s">
        <v>6151</v>
      </c>
      <c r="W2695" t="s">
        <v>3958</v>
      </c>
      <c r="X2695" t="s">
        <v>4660</v>
      </c>
    </row>
    <row r="2696" spans="1:24" x14ac:dyDescent="0.2">
      <c r="A2696" t="s">
        <v>6149</v>
      </c>
      <c r="B2696" t="s">
        <v>1877</v>
      </c>
      <c r="C2696" t="s">
        <v>2147</v>
      </c>
      <c r="D2696" t="s">
        <v>24</v>
      </c>
      <c r="E2696" t="s">
        <v>1038</v>
      </c>
      <c r="F2696" t="s">
        <v>99</v>
      </c>
      <c r="G2696" s="202">
        <v>487</v>
      </c>
      <c r="H2696">
        <v>3</v>
      </c>
      <c r="I2696" t="s">
        <v>3976</v>
      </c>
      <c r="J2696" t="s">
        <v>4114</v>
      </c>
      <c r="K2696" t="s">
        <v>1283</v>
      </c>
      <c r="L2696" s="204">
        <v>0.1</v>
      </c>
      <c r="M2696" s="112">
        <v>15.3825</v>
      </c>
      <c r="N2696" s="112">
        <v>1.5382500000000001</v>
      </c>
      <c r="O2696" s="204"/>
      <c r="P2696" s="112"/>
      <c r="Q2696" s="112"/>
      <c r="R2696" s="112"/>
      <c r="S2696" s="112"/>
      <c r="T2696" s="112"/>
      <c r="U2696" t="s">
        <v>6150</v>
      </c>
      <c r="V2696" t="s">
        <v>6151</v>
      </c>
      <c r="W2696" t="s">
        <v>3958</v>
      </c>
      <c r="X2696" t="s">
        <v>4660</v>
      </c>
    </row>
    <row r="2697" spans="1:24" x14ac:dyDescent="0.2">
      <c r="A2697" t="s">
        <v>6149</v>
      </c>
      <c r="B2697" t="s">
        <v>1877</v>
      </c>
      <c r="C2697" t="s">
        <v>2147</v>
      </c>
      <c r="D2697" t="s">
        <v>24</v>
      </c>
      <c r="E2697" t="s">
        <v>1038</v>
      </c>
      <c r="F2697" t="s">
        <v>99</v>
      </c>
      <c r="G2697" s="202">
        <v>487</v>
      </c>
      <c r="H2697">
        <v>4</v>
      </c>
      <c r="I2697" t="s">
        <v>4017</v>
      </c>
      <c r="J2697" t="s">
        <v>4115</v>
      </c>
      <c r="K2697" t="s">
        <v>1283</v>
      </c>
      <c r="L2697" s="204">
        <v>0.05</v>
      </c>
      <c r="M2697" s="112">
        <v>15.3825</v>
      </c>
      <c r="N2697" s="112">
        <v>0.76912500000000006</v>
      </c>
      <c r="O2697" s="204"/>
      <c r="P2697" s="112"/>
      <c r="Q2697" s="112"/>
      <c r="R2697" s="112"/>
      <c r="S2697" s="112"/>
      <c r="T2697" s="112"/>
      <c r="U2697" t="s">
        <v>6150</v>
      </c>
      <c r="V2697" t="s">
        <v>6151</v>
      </c>
      <c r="W2697" t="s">
        <v>3958</v>
      </c>
      <c r="X2697" t="s">
        <v>4660</v>
      </c>
    </row>
    <row r="2698" spans="1:24" x14ac:dyDescent="0.2">
      <c r="A2698" t="s">
        <v>6149</v>
      </c>
      <c r="B2698" t="s">
        <v>1877</v>
      </c>
      <c r="C2698" t="s">
        <v>2147</v>
      </c>
      <c r="D2698" t="s">
        <v>24</v>
      </c>
      <c r="E2698" t="s">
        <v>1038</v>
      </c>
      <c r="F2698" t="s">
        <v>99</v>
      </c>
      <c r="G2698" s="202">
        <v>487</v>
      </c>
      <c r="H2698">
        <v>5</v>
      </c>
      <c r="I2698" t="s">
        <v>3968</v>
      </c>
      <c r="J2698" t="s">
        <v>3969</v>
      </c>
      <c r="K2698" t="s">
        <v>99</v>
      </c>
      <c r="L2698" s="204">
        <v>1</v>
      </c>
      <c r="M2698" s="112"/>
      <c r="N2698" s="112">
        <v>15.3825</v>
      </c>
      <c r="O2698" s="204">
        <v>0.22184233597006653</v>
      </c>
      <c r="P2698" s="112">
        <v>3.4124897330595481</v>
      </c>
      <c r="Q2698" s="112">
        <v>18.794989733059548</v>
      </c>
      <c r="R2698" s="112">
        <v>9153.16</v>
      </c>
      <c r="S2698" s="112">
        <v>9153.16</v>
      </c>
      <c r="T2698" s="112">
        <v>0</v>
      </c>
      <c r="U2698" t="s">
        <v>6150</v>
      </c>
      <c r="V2698" t="s">
        <v>6151</v>
      </c>
      <c r="W2698" t="s">
        <v>4666</v>
      </c>
      <c r="X2698" t="s">
        <v>4667</v>
      </c>
    </row>
    <row r="2699" spans="1:24" x14ac:dyDescent="0.2">
      <c r="A2699" t="s">
        <v>6152</v>
      </c>
      <c r="B2699" t="s">
        <v>2148</v>
      </c>
      <c r="C2699" t="s">
        <v>2149</v>
      </c>
      <c r="D2699" t="s">
        <v>24</v>
      </c>
      <c r="E2699" t="s">
        <v>1040</v>
      </c>
      <c r="F2699" t="s">
        <v>99</v>
      </c>
      <c r="G2699" s="202">
        <v>22.8</v>
      </c>
      <c r="H2699">
        <v>1</v>
      </c>
      <c r="I2699" t="s">
        <v>3954</v>
      </c>
      <c r="J2699" t="s">
        <v>4110</v>
      </c>
      <c r="K2699" t="s">
        <v>1283</v>
      </c>
      <c r="L2699" s="204">
        <v>0.3</v>
      </c>
      <c r="M2699" s="112">
        <v>19.725000000000001</v>
      </c>
      <c r="N2699" s="112">
        <v>5.9175000000000004</v>
      </c>
      <c r="O2699" s="204"/>
      <c r="P2699" s="112"/>
      <c r="Q2699" s="112"/>
      <c r="R2699" s="112"/>
      <c r="S2699" s="112"/>
      <c r="T2699" s="112"/>
      <c r="U2699" t="s">
        <v>6153</v>
      </c>
      <c r="V2699" t="s">
        <v>6154</v>
      </c>
      <c r="W2699" t="s">
        <v>3958</v>
      </c>
      <c r="X2699" t="s">
        <v>4660</v>
      </c>
    </row>
    <row r="2700" spans="1:24" x14ac:dyDescent="0.2">
      <c r="A2700" t="s">
        <v>6152</v>
      </c>
      <c r="B2700" t="s">
        <v>2148</v>
      </c>
      <c r="C2700" t="s">
        <v>2149</v>
      </c>
      <c r="D2700" t="s">
        <v>24</v>
      </c>
      <c r="E2700" t="s">
        <v>1040</v>
      </c>
      <c r="F2700" t="s">
        <v>99</v>
      </c>
      <c r="G2700" s="202">
        <v>22.8</v>
      </c>
      <c r="H2700">
        <v>2</v>
      </c>
      <c r="I2700" t="s">
        <v>3960</v>
      </c>
      <c r="J2700" t="s">
        <v>4113</v>
      </c>
      <c r="K2700" t="s">
        <v>1283</v>
      </c>
      <c r="L2700" s="204">
        <v>0.55000000000000004</v>
      </c>
      <c r="M2700" s="112">
        <v>19.725000000000001</v>
      </c>
      <c r="N2700" s="112">
        <v>10.848750000000001</v>
      </c>
      <c r="O2700" s="204"/>
      <c r="P2700" s="112"/>
      <c r="Q2700" s="112"/>
      <c r="R2700" s="112"/>
      <c r="S2700" s="112"/>
      <c r="T2700" s="112"/>
      <c r="U2700" t="s">
        <v>6153</v>
      </c>
      <c r="V2700" t="s">
        <v>6154</v>
      </c>
      <c r="W2700" t="s">
        <v>3958</v>
      </c>
      <c r="X2700" t="s">
        <v>4660</v>
      </c>
    </row>
    <row r="2701" spans="1:24" x14ac:dyDescent="0.2">
      <c r="A2701" t="s">
        <v>6152</v>
      </c>
      <c r="B2701" t="s">
        <v>2148</v>
      </c>
      <c r="C2701" t="s">
        <v>2149</v>
      </c>
      <c r="D2701" t="s">
        <v>24</v>
      </c>
      <c r="E2701" t="s">
        <v>1040</v>
      </c>
      <c r="F2701" t="s">
        <v>99</v>
      </c>
      <c r="G2701" s="202">
        <v>22.8</v>
      </c>
      <c r="H2701">
        <v>3</v>
      </c>
      <c r="I2701" t="s">
        <v>3976</v>
      </c>
      <c r="J2701" t="s">
        <v>4114</v>
      </c>
      <c r="K2701" t="s">
        <v>1283</v>
      </c>
      <c r="L2701" s="204">
        <v>0.1</v>
      </c>
      <c r="M2701" s="112">
        <v>19.725000000000001</v>
      </c>
      <c r="N2701" s="112">
        <v>1.9725000000000001</v>
      </c>
      <c r="O2701" s="204"/>
      <c r="P2701" s="112"/>
      <c r="Q2701" s="112"/>
      <c r="R2701" s="112"/>
      <c r="S2701" s="112"/>
      <c r="T2701" s="112"/>
      <c r="U2701" t="s">
        <v>6153</v>
      </c>
      <c r="V2701" t="s">
        <v>6154</v>
      </c>
      <c r="W2701" t="s">
        <v>3958</v>
      </c>
      <c r="X2701" t="s">
        <v>4660</v>
      </c>
    </row>
    <row r="2702" spans="1:24" x14ac:dyDescent="0.2">
      <c r="A2702" t="s">
        <v>6152</v>
      </c>
      <c r="B2702" t="s">
        <v>2148</v>
      </c>
      <c r="C2702" t="s">
        <v>2149</v>
      </c>
      <c r="D2702" t="s">
        <v>24</v>
      </c>
      <c r="E2702" t="s">
        <v>1040</v>
      </c>
      <c r="F2702" t="s">
        <v>99</v>
      </c>
      <c r="G2702" s="202">
        <v>22.8</v>
      </c>
      <c r="H2702">
        <v>4</v>
      </c>
      <c r="I2702" t="s">
        <v>4017</v>
      </c>
      <c r="J2702" t="s">
        <v>4115</v>
      </c>
      <c r="K2702" t="s">
        <v>1283</v>
      </c>
      <c r="L2702" s="204">
        <v>0.05</v>
      </c>
      <c r="M2702" s="112">
        <v>19.725000000000001</v>
      </c>
      <c r="N2702" s="112">
        <v>0.98625000000000007</v>
      </c>
      <c r="O2702" s="204"/>
      <c r="P2702" s="112"/>
      <c r="Q2702" s="112"/>
      <c r="R2702" s="112"/>
      <c r="S2702" s="112"/>
      <c r="T2702" s="112"/>
      <c r="U2702" t="s">
        <v>6153</v>
      </c>
      <c r="V2702" t="s">
        <v>6154</v>
      </c>
      <c r="W2702" t="s">
        <v>3958</v>
      </c>
      <c r="X2702" t="s">
        <v>4660</v>
      </c>
    </row>
    <row r="2703" spans="1:24" x14ac:dyDescent="0.2">
      <c r="A2703" t="s">
        <v>6152</v>
      </c>
      <c r="B2703" t="s">
        <v>2148</v>
      </c>
      <c r="C2703" t="s">
        <v>2149</v>
      </c>
      <c r="D2703" t="s">
        <v>24</v>
      </c>
      <c r="E2703" t="s">
        <v>1040</v>
      </c>
      <c r="F2703" t="s">
        <v>99</v>
      </c>
      <c r="G2703" s="202">
        <v>22.8</v>
      </c>
      <c r="H2703">
        <v>5</v>
      </c>
      <c r="I2703" t="s">
        <v>3968</v>
      </c>
      <c r="J2703" t="s">
        <v>3969</v>
      </c>
      <c r="K2703" t="s">
        <v>99</v>
      </c>
      <c r="L2703" s="204">
        <v>1</v>
      </c>
      <c r="M2703" s="112"/>
      <c r="N2703" s="112">
        <v>19.725000000000001</v>
      </c>
      <c r="O2703" s="204">
        <v>0.22204433771373933</v>
      </c>
      <c r="P2703" s="112">
        <v>4.3798245614035096</v>
      </c>
      <c r="Q2703" s="112">
        <v>24.104824561403511</v>
      </c>
      <c r="R2703" s="112">
        <v>549.59</v>
      </c>
      <c r="S2703" s="112">
        <v>549.59</v>
      </c>
      <c r="T2703" s="112">
        <v>0</v>
      </c>
      <c r="U2703" t="s">
        <v>6153</v>
      </c>
      <c r="V2703" t="s">
        <v>6154</v>
      </c>
      <c r="W2703" t="s">
        <v>4666</v>
      </c>
      <c r="X2703" t="s">
        <v>4667</v>
      </c>
    </row>
    <row r="2704" spans="1:24" x14ac:dyDescent="0.2">
      <c r="A2704" t="s">
        <v>6155</v>
      </c>
      <c r="B2704" t="s">
        <v>2150</v>
      </c>
      <c r="C2704" t="s">
        <v>1991</v>
      </c>
      <c r="D2704" t="s">
        <v>56</v>
      </c>
      <c r="E2704" t="s">
        <v>937</v>
      </c>
      <c r="F2704" t="s">
        <v>99</v>
      </c>
      <c r="G2704" s="202">
        <v>31</v>
      </c>
      <c r="H2704">
        <v>1</v>
      </c>
      <c r="I2704" t="s">
        <v>3954</v>
      </c>
      <c r="J2704" t="s">
        <v>4823</v>
      </c>
      <c r="K2704" t="s">
        <v>1283</v>
      </c>
      <c r="L2704" s="204">
        <v>0.18</v>
      </c>
      <c r="M2704" s="112">
        <v>10.74</v>
      </c>
      <c r="N2704" s="112">
        <v>1.9332</v>
      </c>
      <c r="O2704" s="204"/>
      <c r="P2704" s="112"/>
      <c r="Q2704" s="112"/>
      <c r="R2704" s="112"/>
      <c r="S2704" s="112"/>
      <c r="T2704" s="112"/>
      <c r="U2704" t="s">
        <v>5933</v>
      </c>
      <c r="V2704" t="s">
        <v>6156</v>
      </c>
      <c r="W2704" t="s">
        <v>3958</v>
      </c>
      <c r="X2704" t="s">
        <v>4660</v>
      </c>
    </row>
    <row r="2705" spans="1:24" x14ac:dyDescent="0.2">
      <c r="A2705" t="s">
        <v>6155</v>
      </c>
      <c r="B2705" t="s">
        <v>2150</v>
      </c>
      <c r="C2705" t="s">
        <v>1991</v>
      </c>
      <c r="D2705" t="s">
        <v>56</v>
      </c>
      <c r="E2705" t="s">
        <v>937</v>
      </c>
      <c r="F2705" t="s">
        <v>99</v>
      </c>
      <c r="G2705" s="202">
        <v>31</v>
      </c>
      <c r="H2705">
        <v>2</v>
      </c>
      <c r="I2705" t="s">
        <v>3960</v>
      </c>
      <c r="J2705" t="s">
        <v>4826</v>
      </c>
      <c r="K2705" t="s">
        <v>1283</v>
      </c>
      <c r="L2705" s="204">
        <v>0.72</v>
      </c>
      <c r="M2705" s="112">
        <v>10.74</v>
      </c>
      <c r="N2705" s="112">
        <v>7.7328000000000001</v>
      </c>
      <c r="O2705" s="204"/>
      <c r="P2705" s="112"/>
      <c r="Q2705" s="112"/>
      <c r="R2705" s="112"/>
      <c r="S2705" s="112"/>
      <c r="T2705" s="112"/>
      <c r="U2705" t="s">
        <v>5933</v>
      </c>
      <c r="V2705" t="s">
        <v>6156</v>
      </c>
      <c r="W2705" t="s">
        <v>3958</v>
      </c>
      <c r="X2705" t="s">
        <v>4660</v>
      </c>
    </row>
    <row r="2706" spans="1:24" x14ac:dyDescent="0.2">
      <c r="A2706" t="s">
        <v>6155</v>
      </c>
      <c r="B2706" t="s">
        <v>2150</v>
      </c>
      <c r="C2706" t="s">
        <v>1991</v>
      </c>
      <c r="D2706" t="s">
        <v>56</v>
      </c>
      <c r="E2706" t="s">
        <v>937</v>
      </c>
      <c r="F2706" t="s">
        <v>99</v>
      </c>
      <c r="G2706" s="202">
        <v>31</v>
      </c>
      <c r="H2706">
        <v>3</v>
      </c>
      <c r="I2706" t="s">
        <v>3976</v>
      </c>
      <c r="J2706" t="s">
        <v>4827</v>
      </c>
      <c r="K2706" t="s">
        <v>1283</v>
      </c>
      <c r="L2706" s="204">
        <v>0.05</v>
      </c>
      <c r="M2706" s="112">
        <v>10.74</v>
      </c>
      <c r="N2706" s="112">
        <v>0.53700000000000003</v>
      </c>
      <c r="O2706" s="204"/>
      <c r="P2706" s="112"/>
      <c r="Q2706" s="112"/>
      <c r="R2706" s="112"/>
      <c r="S2706" s="112"/>
      <c r="T2706" s="112"/>
      <c r="U2706" t="s">
        <v>5933</v>
      </c>
      <c r="V2706" t="s">
        <v>6156</v>
      </c>
      <c r="W2706" t="s">
        <v>3958</v>
      </c>
      <c r="X2706" t="s">
        <v>4660</v>
      </c>
    </row>
    <row r="2707" spans="1:24" x14ac:dyDescent="0.2">
      <c r="A2707" t="s">
        <v>6155</v>
      </c>
      <c r="B2707" t="s">
        <v>2150</v>
      </c>
      <c r="C2707" t="s">
        <v>1991</v>
      </c>
      <c r="D2707" t="s">
        <v>56</v>
      </c>
      <c r="E2707" t="s">
        <v>937</v>
      </c>
      <c r="F2707" t="s">
        <v>99</v>
      </c>
      <c r="G2707" s="202">
        <v>31</v>
      </c>
      <c r="H2707">
        <v>4</v>
      </c>
      <c r="I2707" t="s">
        <v>4017</v>
      </c>
      <c r="J2707" t="s">
        <v>4809</v>
      </c>
      <c r="K2707" t="s">
        <v>1283</v>
      </c>
      <c r="L2707" s="204">
        <v>0.05</v>
      </c>
      <c r="M2707" s="112">
        <v>10.74</v>
      </c>
      <c r="N2707" s="112">
        <v>0.53700000000000003</v>
      </c>
      <c r="O2707" s="204"/>
      <c r="P2707" s="112"/>
      <c r="Q2707" s="112"/>
      <c r="R2707" s="112"/>
      <c r="S2707" s="112"/>
      <c r="T2707" s="112"/>
      <c r="U2707" t="s">
        <v>5933</v>
      </c>
      <c r="V2707" t="s">
        <v>6156</v>
      </c>
      <c r="W2707" t="s">
        <v>3958</v>
      </c>
      <c r="X2707" t="s">
        <v>4660</v>
      </c>
    </row>
    <row r="2708" spans="1:24" x14ac:dyDescent="0.2">
      <c r="A2708" t="s">
        <v>6155</v>
      </c>
      <c r="B2708" t="s">
        <v>2150</v>
      </c>
      <c r="C2708" t="s">
        <v>1991</v>
      </c>
      <c r="D2708" t="s">
        <v>56</v>
      </c>
      <c r="E2708" t="s">
        <v>937</v>
      </c>
      <c r="F2708" t="s">
        <v>99</v>
      </c>
      <c r="G2708" s="202">
        <v>31</v>
      </c>
      <c r="H2708">
        <v>5</v>
      </c>
      <c r="I2708" t="s">
        <v>3968</v>
      </c>
      <c r="J2708" t="s">
        <v>3969</v>
      </c>
      <c r="K2708" t="s">
        <v>99</v>
      </c>
      <c r="L2708" s="204">
        <v>1</v>
      </c>
      <c r="M2708" s="112"/>
      <c r="N2708" s="112">
        <v>10.74</v>
      </c>
      <c r="O2708" s="204">
        <v>0.22205202138523461</v>
      </c>
      <c r="P2708" s="112">
        <v>2.3848387096774193</v>
      </c>
      <c r="Q2708" s="112">
        <v>13.12483870967742</v>
      </c>
      <c r="R2708" s="112">
        <v>406.87</v>
      </c>
      <c r="S2708" s="112">
        <v>406.87</v>
      </c>
      <c r="T2708" s="112">
        <v>0</v>
      </c>
      <c r="U2708" t="s">
        <v>5933</v>
      </c>
      <c r="V2708" t="s">
        <v>6156</v>
      </c>
      <c r="W2708" t="s">
        <v>4666</v>
      </c>
      <c r="X2708" t="s">
        <v>4667</v>
      </c>
    </row>
    <row r="2709" spans="1:24" x14ac:dyDescent="0.2">
      <c r="A2709" t="s">
        <v>6157</v>
      </c>
      <c r="B2709" t="s">
        <v>2151</v>
      </c>
      <c r="C2709" t="s">
        <v>2152</v>
      </c>
      <c r="D2709" t="s">
        <v>56</v>
      </c>
      <c r="E2709" t="s">
        <v>1042</v>
      </c>
      <c r="F2709" t="s">
        <v>99</v>
      </c>
      <c r="G2709" s="202">
        <v>9.8000000000000007</v>
      </c>
      <c r="H2709">
        <v>1</v>
      </c>
      <c r="I2709" t="s">
        <v>3954</v>
      </c>
      <c r="J2709" t="s">
        <v>4823</v>
      </c>
      <c r="K2709" t="s">
        <v>1283</v>
      </c>
      <c r="L2709" s="204">
        <v>0.18</v>
      </c>
      <c r="M2709" s="112">
        <v>24.974999999999998</v>
      </c>
      <c r="N2709" s="112">
        <v>4.4954999999999998</v>
      </c>
      <c r="O2709" s="204"/>
      <c r="P2709" s="112"/>
      <c r="Q2709" s="112"/>
      <c r="R2709" s="112"/>
      <c r="S2709" s="112"/>
      <c r="T2709" s="112"/>
      <c r="U2709" t="s">
        <v>6158</v>
      </c>
      <c r="V2709" t="s">
        <v>6159</v>
      </c>
      <c r="W2709" t="s">
        <v>3958</v>
      </c>
      <c r="X2709" t="s">
        <v>4660</v>
      </c>
    </row>
    <row r="2710" spans="1:24" x14ac:dyDescent="0.2">
      <c r="A2710" t="s">
        <v>6157</v>
      </c>
      <c r="B2710" t="s">
        <v>2151</v>
      </c>
      <c r="C2710" t="s">
        <v>2152</v>
      </c>
      <c r="D2710" t="s">
        <v>56</v>
      </c>
      <c r="E2710" t="s">
        <v>1042</v>
      </c>
      <c r="F2710" t="s">
        <v>99</v>
      </c>
      <c r="G2710" s="202">
        <v>9.8000000000000007</v>
      </c>
      <c r="H2710">
        <v>2</v>
      </c>
      <c r="I2710" t="s">
        <v>3960</v>
      </c>
      <c r="J2710" t="s">
        <v>4826</v>
      </c>
      <c r="K2710" t="s">
        <v>1283</v>
      </c>
      <c r="L2710" s="204">
        <v>0.72</v>
      </c>
      <c r="M2710" s="112">
        <v>24.974999999999998</v>
      </c>
      <c r="N2710" s="112">
        <v>17.981999999999999</v>
      </c>
      <c r="O2710" s="204"/>
      <c r="P2710" s="112"/>
      <c r="Q2710" s="112"/>
      <c r="R2710" s="112"/>
      <c r="S2710" s="112"/>
      <c r="T2710" s="112"/>
      <c r="U2710" t="s">
        <v>6158</v>
      </c>
      <c r="V2710" t="s">
        <v>6159</v>
      </c>
      <c r="W2710" t="s">
        <v>3958</v>
      </c>
      <c r="X2710" t="s">
        <v>4660</v>
      </c>
    </row>
    <row r="2711" spans="1:24" x14ac:dyDescent="0.2">
      <c r="A2711" t="s">
        <v>6157</v>
      </c>
      <c r="B2711" t="s">
        <v>2151</v>
      </c>
      <c r="C2711" t="s">
        <v>2152</v>
      </c>
      <c r="D2711" t="s">
        <v>56</v>
      </c>
      <c r="E2711" t="s">
        <v>1042</v>
      </c>
      <c r="F2711" t="s">
        <v>99</v>
      </c>
      <c r="G2711" s="202">
        <v>9.8000000000000007</v>
      </c>
      <c r="H2711">
        <v>3</v>
      </c>
      <c r="I2711" t="s">
        <v>3976</v>
      </c>
      <c r="J2711" t="s">
        <v>4827</v>
      </c>
      <c r="K2711" t="s">
        <v>1283</v>
      </c>
      <c r="L2711" s="204">
        <v>0.05</v>
      </c>
      <c r="M2711" s="112">
        <v>24.974999999999998</v>
      </c>
      <c r="N2711" s="112">
        <v>1.24875</v>
      </c>
      <c r="O2711" s="204"/>
      <c r="P2711" s="112"/>
      <c r="Q2711" s="112"/>
      <c r="R2711" s="112"/>
      <c r="S2711" s="112"/>
      <c r="T2711" s="112"/>
      <c r="U2711" t="s">
        <v>6158</v>
      </c>
      <c r="V2711" t="s">
        <v>6159</v>
      </c>
      <c r="W2711" t="s">
        <v>3958</v>
      </c>
      <c r="X2711" t="s">
        <v>4660</v>
      </c>
    </row>
    <row r="2712" spans="1:24" x14ac:dyDescent="0.2">
      <c r="A2712" t="s">
        <v>6157</v>
      </c>
      <c r="B2712" t="s">
        <v>2151</v>
      </c>
      <c r="C2712" t="s">
        <v>2152</v>
      </c>
      <c r="D2712" t="s">
        <v>56</v>
      </c>
      <c r="E2712" t="s">
        <v>1042</v>
      </c>
      <c r="F2712" t="s">
        <v>99</v>
      </c>
      <c r="G2712" s="202">
        <v>9.8000000000000007</v>
      </c>
      <c r="H2712">
        <v>4</v>
      </c>
      <c r="I2712" t="s">
        <v>4017</v>
      </c>
      <c r="J2712" t="s">
        <v>4809</v>
      </c>
      <c r="K2712" t="s">
        <v>1283</v>
      </c>
      <c r="L2712" s="204">
        <v>0.05</v>
      </c>
      <c r="M2712" s="112">
        <v>24.974999999999998</v>
      </c>
      <c r="N2712" s="112">
        <v>1.24875</v>
      </c>
      <c r="O2712" s="204"/>
      <c r="P2712" s="112"/>
      <c r="Q2712" s="112"/>
      <c r="R2712" s="112"/>
      <c r="S2712" s="112"/>
      <c r="T2712" s="112"/>
      <c r="U2712" t="s">
        <v>6158</v>
      </c>
      <c r="V2712" t="s">
        <v>6159</v>
      </c>
      <c r="W2712" t="s">
        <v>3958</v>
      </c>
      <c r="X2712" t="s">
        <v>4660</v>
      </c>
    </row>
    <row r="2713" spans="1:24" x14ac:dyDescent="0.2">
      <c r="A2713" t="s">
        <v>6157</v>
      </c>
      <c r="B2713" t="s">
        <v>2151</v>
      </c>
      <c r="C2713" t="s">
        <v>2152</v>
      </c>
      <c r="D2713" t="s">
        <v>56</v>
      </c>
      <c r="E2713" t="s">
        <v>1042</v>
      </c>
      <c r="F2713" t="s">
        <v>99</v>
      </c>
      <c r="G2713" s="202">
        <v>9.8000000000000007</v>
      </c>
      <c r="H2713">
        <v>5</v>
      </c>
      <c r="I2713" t="s">
        <v>3968</v>
      </c>
      <c r="J2713" t="s">
        <v>3969</v>
      </c>
      <c r="K2713" t="s">
        <v>99</v>
      </c>
      <c r="L2713" s="204">
        <v>1</v>
      </c>
      <c r="M2713" s="112"/>
      <c r="N2713" s="112">
        <v>24.974999999999998</v>
      </c>
      <c r="O2713" s="204">
        <v>0.22220179363036507</v>
      </c>
      <c r="P2713" s="112">
        <v>5.5494897959183653</v>
      </c>
      <c r="Q2713" s="112">
        <v>30.524489795918363</v>
      </c>
      <c r="R2713" s="112">
        <v>299.14</v>
      </c>
      <c r="S2713" s="112">
        <v>299.14</v>
      </c>
      <c r="T2713" s="112">
        <v>0</v>
      </c>
      <c r="U2713" t="s">
        <v>6158</v>
      </c>
      <c r="V2713" t="s">
        <v>6159</v>
      </c>
      <c r="W2713" t="s">
        <v>4666</v>
      </c>
      <c r="X2713" t="s">
        <v>4667</v>
      </c>
    </row>
    <row r="2714" spans="1:24" x14ac:dyDescent="0.2">
      <c r="A2714" t="s">
        <v>6160</v>
      </c>
      <c r="B2714" t="s">
        <v>2153</v>
      </c>
      <c r="C2714" t="s">
        <v>2011</v>
      </c>
      <c r="D2714" t="s">
        <v>56</v>
      </c>
      <c r="E2714" t="s">
        <v>2012</v>
      </c>
      <c r="F2714" t="s">
        <v>99</v>
      </c>
      <c r="G2714" s="202">
        <v>5.3</v>
      </c>
      <c r="H2714">
        <v>1</v>
      </c>
      <c r="I2714" t="s">
        <v>3954</v>
      </c>
      <c r="J2714" t="s">
        <v>4823</v>
      </c>
      <c r="K2714" t="s">
        <v>1283</v>
      </c>
      <c r="L2714" s="204">
        <v>0.18</v>
      </c>
      <c r="M2714" s="112">
        <v>22.11</v>
      </c>
      <c r="N2714" s="112">
        <v>3.9797999999999996</v>
      </c>
      <c r="O2714" s="204"/>
      <c r="P2714" s="112"/>
      <c r="Q2714" s="112"/>
      <c r="R2714" s="112"/>
      <c r="S2714" s="112"/>
      <c r="T2714" s="112"/>
      <c r="U2714" t="s">
        <v>5962</v>
      </c>
      <c r="V2714" t="s">
        <v>6161</v>
      </c>
      <c r="W2714" t="s">
        <v>3958</v>
      </c>
      <c r="X2714" t="s">
        <v>4660</v>
      </c>
    </row>
    <row r="2715" spans="1:24" x14ac:dyDescent="0.2">
      <c r="A2715" t="s">
        <v>6160</v>
      </c>
      <c r="B2715" t="s">
        <v>2153</v>
      </c>
      <c r="C2715" t="s">
        <v>2011</v>
      </c>
      <c r="D2715" t="s">
        <v>56</v>
      </c>
      <c r="E2715" t="s">
        <v>2012</v>
      </c>
      <c r="F2715" t="s">
        <v>99</v>
      </c>
      <c r="G2715" s="202">
        <v>5.3</v>
      </c>
      <c r="H2715">
        <v>2</v>
      </c>
      <c r="I2715" t="s">
        <v>3960</v>
      </c>
      <c r="J2715" t="s">
        <v>4826</v>
      </c>
      <c r="K2715" t="s">
        <v>1283</v>
      </c>
      <c r="L2715" s="204">
        <v>0.72</v>
      </c>
      <c r="M2715" s="112">
        <v>22.11</v>
      </c>
      <c r="N2715" s="112">
        <v>15.919199999999998</v>
      </c>
      <c r="O2715" s="204"/>
      <c r="P2715" s="112"/>
      <c r="Q2715" s="112"/>
      <c r="R2715" s="112"/>
      <c r="S2715" s="112"/>
      <c r="T2715" s="112"/>
      <c r="U2715" t="s">
        <v>5962</v>
      </c>
      <c r="V2715" t="s">
        <v>6161</v>
      </c>
      <c r="W2715" t="s">
        <v>3958</v>
      </c>
      <c r="X2715" t="s">
        <v>4660</v>
      </c>
    </row>
    <row r="2716" spans="1:24" x14ac:dyDescent="0.2">
      <c r="A2716" t="s">
        <v>6160</v>
      </c>
      <c r="B2716" t="s">
        <v>2153</v>
      </c>
      <c r="C2716" t="s">
        <v>2011</v>
      </c>
      <c r="D2716" t="s">
        <v>56</v>
      </c>
      <c r="E2716" t="s">
        <v>2012</v>
      </c>
      <c r="F2716" t="s">
        <v>99</v>
      </c>
      <c r="G2716" s="202">
        <v>5.3</v>
      </c>
      <c r="H2716">
        <v>3</v>
      </c>
      <c r="I2716" t="s">
        <v>3976</v>
      </c>
      <c r="J2716" t="s">
        <v>4827</v>
      </c>
      <c r="K2716" t="s">
        <v>1283</v>
      </c>
      <c r="L2716" s="204">
        <v>0.05</v>
      </c>
      <c r="M2716" s="112">
        <v>22.11</v>
      </c>
      <c r="N2716" s="112">
        <v>1.1054999999999999</v>
      </c>
      <c r="O2716" s="204"/>
      <c r="P2716" s="112"/>
      <c r="Q2716" s="112"/>
      <c r="R2716" s="112"/>
      <c r="S2716" s="112"/>
      <c r="T2716" s="112"/>
      <c r="U2716" t="s">
        <v>5962</v>
      </c>
      <c r="V2716" t="s">
        <v>6161</v>
      </c>
      <c r="W2716" t="s">
        <v>3958</v>
      </c>
      <c r="X2716" t="s">
        <v>4660</v>
      </c>
    </row>
    <row r="2717" spans="1:24" x14ac:dyDescent="0.2">
      <c r="A2717" t="s">
        <v>6160</v>
      </c>
      <c r="B2717" t="s">
        <v>2153</v>
      </c>
      <c r="C2717" t="s">
        <v>2011</v>
      </c>
      <c r="D2717" t="s">
        <v>56</v>
      </c>
      <c r="E2717" t="s">
        <v>2012</v>
      </c>
      <c r="F2717" t="s">
        <v>99</v>
      </c>
      <c r="G2717" s="202">
        <v>5.3</v>
      </c>
      <c r="H2717">
        <v>4</v>
      </c>
      <c r="I2717" t="s">
        <v>4017</v>
      </c>
      <c r="J2717" t="s">
        <v>4809</v>
      </c>
      <c r="K2717" t="s">
        <v>1283</v>
      </c>
      <c r="L2717" s="204">
        <v>0.05</v>
      </c>
      <c r="M2717" s="112">
        <v>22.11</v>
      </c>
      <c r="N2717" s="112">
        <v>1.1054999999999999</v>
      </c>
      <c r="O2717" s="204"/>
      <c r="P2717" s="112"/>
      <c r="Q2717" s="112"/>
      <c r="R2717" s="112"/>
      <c r="S2717" s="112"/>
      <c r="T2717" s="112"/>
      <c r="U2717" t="s">
        <v>5962</v>
      </c>
      <c r="V2717" t="s">
        <v>6161</v>
      </c>
      <c r="W2717" t="s">
        <v>3958</v>
      </c>
      <c r="X2717" t="s">
        <v>4660</v>
      </c>
    </row>
    <row r="2718" spans="1:24" x14ac:dyDescent="0.2">
      <c r="A2718" t="s">
        <v>6160</v>
      </c>
      <c r="B2718" t="s">
        <v>2153</v>
      </c>
      <c r="C2718" t="s">
        <v>2011</v>
      </c>
      <c r="D2718" t="s">
        <v>56</v>
      </c>
      <c r="E2718" t="s">
        <v>2012</v>
      </c>
      <c r="F2718" t="s">
        <v>99</v>
      </c>
      <c r="G2718" s="202">
        <v>5.3</v>
      </c>
      <c r="H2718">
        <v>5</v>
      </c>
      <c r="I2718" t="s">
        <v>3968</v>
      </c>
      <c r="J2718" t="s">
        <v>3969</v>
      </c>
      <c r="K2718" t="s">
        <v>99</v>
      </c>
      <c r="L2718" s="204">
        <v>1</v>
      </c>
      <c r="M2718" s="112"/>
      <c r="N2718" s="112">
        <v>22.11</v>
      </c>
      <c r="O2718" s="204">
        <v>0.22210559552153475</v>
      </c>
      <c r="P2718" s="112">
        <v>4.9107547169811347</v>
      </c>
      <c r="Q2718" s="112">
        <v>27.020754716981134</v>
      </c>
      <c r="R2718" s="112">
        <v>143.21</v>
      </c>
      <c r="S2718" s="112">
        <v>143.21</v>
      </c>
      <c r="T2718" s="112">
        <v>0</v>
      </c>
      <c r="U2718" t="s">
        <v>5962</v>
      </c>
      <c r="V2718" t="s">
        <v>6161</v>
      </c>
      <c r="W2718" t="s">
        <v>4666</v>
      </c>
      <c r="X2718" t="s">
        <v>4667</v>
      </c>
    </row>
    <row r="2719" spans="1:24" x14ac:dyDescent="0.2">
      <c r="A2719" t="s">
        <v>6162</v>
      </c>
      <c r="B2719" t="s">
        <v>2154</v>
      </c>
      <c r="C2719" t="s">
        <v>2155</v>
      </c>
      <c r="D2719" t="s">
        <v>56</v>
      </c>
      <c r="E2719" t="s">
        <v>1044</v>
      </c>
      <c r="F2719" t="s">
        <v>99</v>
      </c>
      <c r="G2719" s="202">
        <v>519.6</v>
      </c>
      <c r="H2719">
        <v>1</v>
      </c>
      <c r="I2719" t="s">
        <v>3954</v>
      </c>
      <c r="J2719" t="s">
        <v>4823</v>
      </c>
      <c r="K2719" t="s">
        <v>1283</v>
      </c>
      <c r="L2719" s="204">
        <v>0.18</v>
      </c>
      <c r="M2719" s="112">
        <v>11.842499999999999</v>
      </c>
      <c r="N2719" s="112">
        <v>2.1316499999999996</v>
      </c>
      <c r="O2719" s="204"/>
      <c r="P2719" s="112"/>
      <c r="Q2719" s="112"/>
      <c r="R2719" s="112"/>
      <c r="S2719" s="112"/>
      <c r="T2719" s="112"/>
      <c r="U2719" t="s">
        <v>6163</v>
      </c>
      <c r="V2719" t="s">
        <v>6164</v>
      </c>
      <c r="W2719" t="s">
        <v>3958</v>
      </c>
      <c r="X2719" t="s">
        <v>4660</v>
      </c>
    </row>
    <row r="2720" spans="1:24" x14ac:dyDescent="0.2">
      <c r="A2720" t="s">
        <v>6162</v>
      </c>
      <c r="B2720" t="s">
        <v>2154</v>
      </c>
      <c r="C2720" t="s">
        <v>2155</v>
      </c>
      <c r="D2720" t="s">
        <v>56</v>
      </c>
      <c r="E2720" t="s">
        <v>1044</v>
      </c>
      <c r="F2720" t="s">
        <v>99</v>
      </c>
      <c r="G2720" s="202">
        <v>519.6</v>
      </c>
      <c r="H2720">
        <v>2</v>
      </c>
      <c r="I2720" t="s">
        <v>3960</v>
      </c>
      <c r="J2720" t="s">
        <v>4826</v>
      </c>
      <c r="K2720" t="s">
        <v>1283</v>
      </c>
      <c r="L2720" s="204">
        <v>0.72</v>
      </c>
      <c r="M2720" s="112">
        <v>11.842499999999999</v>
      </c>
      <c r="N2720" s="112">
        <v>8.5265999999999984</v>
      </c>
      <c r="O2720" s="204"/>
      <c r="P2720" s="112"/>
      <c r="Q2720" s="112"/>
      <c r="R2720" s="112"/>
      <c r="S2720" s="112"/>
      <c r="T2720" s="112"/>
      <c r="U2720" t="s">
        <v>6163</v>
      </c>
      <c r="V2720" t="s">
        <v>6164</v>
      </c>
      <c r="W2720" t="s">
        <v>3958</v>
      </c>
      <c r="X2720" t="s">
        <v>4660</v>
      </c>
    </row>
    <row r="2721" spans="1:24" x14ac:dyDescent="0.2">
      <c r="A2721" t="s">
        <v>6162</v>
      </c>
      <c r="B2721" t="s">
        <v>2154</v>
      </c>
      <c r="C2721" t="s">
        <v>2155</v>
      </c>
      <c r="D2721" t="s">
        <v>56</v>
      </c>
      <c r="E2721" t="s">
        <v>1044</v>
      </c>
      <c r="F2721" t="s">
        <v>99</v>
      </c>
      <c r="G2721" s="202">
        <v>519.6</v>
      </c>
      <c r="H2721">
        <v>3</v>
      </c>
      <c r="I2721" t="s">
        <v>3976</v>
      </c>
      <c r="J2721" t="s">
        <v>4827</v>
      </c>
      <c r="K2721" t="s">
        <v>1283</v>
      </c>
      <c r="L2721" s="204">
        <v>0.05</v>
      </c>
      <c r="M2721" s="112">
        <v>11.842499999999999</v>
      </c>
      <c r="N2721" s="112">
        <v>0.59212500000000001</v>
      </c>
      <c r="O2721" s="204"/>
      <c r="P2721" s="112"/>
      <c r="Q2721" s="112"/>
      <c r="R2721" s="112"/>
      <c r="S2721" s="112"/>
      <c r="T2721" s="112"/>
      <c r="U2721" t="s">
        <v>6163</v>
      </c>
      <c r="V2721" t="s">
        <v>6164</v>
      </c>
      <c r="W2721" t="s">
        <v>3958</v>
      </c>
      <c r="X2721" t="s">
        <v>4660</v>
      </c>
    </row>
    <row r="2722" spans="1:24" x14ac:dyDescent="0.2">
      <c r="A2722" t="s">
        <v>6162</v>
      </c>
      <c r="B2722" t="s">
        <v>2154</v>
      </c>
      <c r="C2722" t="s">
        <v>2155</v>
      </c>
      <c r="D2722" t="s">
        <v>56</v>
      </c>
      <c r="E2722" t="s">
        <v>1044</v>
      </c>
      <c r="F2722" t="s">
        <v>99</v>
      </c>
      <c r="G2722" s="202">
        <v>519.6</v>
      </c>
      <c r="H2722">
        <v>4</v>
      </c>
      <c r="I2722" t="s">
        <v>4017</v>
      </c>
      <c r="J2722" t="s">
        <v>4809</v>
      </c>
      <c r="K2722" t="s">
        <v>1283</v>
      </c>
      <c r="L2722" s="204">
        <v>0.05</v>
      </c>
      <c r="M2722" s="112">
        <v>11.842499999999999</v>
      </c>
      <c r="N2722" s="112">
        <v>0.59212500000000001</v>
      </c>
      <c r="O2722" s="204"/>
      <c r="P2722" s="112"/>
      <c r="Q2722" s="112"/>
      <c r="R2722" s="112"/>
      <c r="S2722" s="112"/>
      <c r="T2722" s="112"/>
      <c r="U2722" t="s">
        <v>6163</v>
      </c>
      <c r="V2722" t="s">
        <v>6164</v>
      </c>
      <c r="W2722" t="s">
        <v>3958</v>
      </c>
      <c r="X2722" t="s">
        <v>4660</v>
      </c>
    </row>
    <row r="2723" spans="1:24" x14ac:dyDescent="0.2">
      <c r="A2723" t="s">
        <v>6162</v>
      </c>
      <c r="B2723" t="s">
        <v>2154</v>
      </c>
      <c r="C2723" t="s">
        <v>2155</v>
      </c>
      <c r="D2723" t="s">
        <v>56</v>
      </c>
      <c r="E2723" t="s">
        <v>1044</v>
      </c>
      <c r="F2723" t="s">
        <v>99</v>
      </c>
      <c r="G2723" s="202">
        <v>519.6</v>
      </c>
      <c r="H2723">
        <v>5</v>
      </c>
      <c r="I2723" t="s">
        <v>3968</v>
      </c>
      <c r="J2723" t="s">
        <v>3969</v>
      </c>
      <c r="K2723" t="s">
        <v>99</v>
      </c>
      <c r="L2723" s="204">
        <v>1</v>
      </c>
      <c r="M2723" s="112"/>
      <c r="N2723" s="112">
        <v>11.842499999999999</v>
      </c>
      <c r="O2723" s="204">
        <v>0.22229259024699188</v>
      </c>
      <c r="P2723" s="112">
        <v>2.6325000000000003</v>
      </c>
      <c r="Q2723" s="112">
        <v>14.475</v>
      </c>
      <c r="R2723" s="112">
        <v>7521.21</v>
      </c>
      <c r="S2723" s="112">
        <v>7521.21</v>
      </c>
      <c r="T2723" s="112">
        <v>0</v>
      </c>
      <c r="U2723" t="s">
        <v>6163</v>
      </c>
      <c r="V2723" t="s">
        <v>6164</v>
      </c>
      <c r="W2723" t="s">
        <v>4666</v>
      </c>
      <c r="X2723" t="s">
        <v>4667</v>
      </c>
    </row>
    <row r="2724" spans="1:24" x14ac:dyDescent="0.2">
      <c r="A2724" t="s">
        <v>6165</v>
      </c>
      <c r="B2724" t="s">
        <v>2156</v>
      </c>
      <c r="C2724" t="s">
        <v>2157</v>
      </c>
      <c r="D2724" t="s">
        <v>56</v>
      </c>
      <c r="E2724" t="s">
        <v>1045</v>
      </c>
      <c r="F2724" t="s">
        <v>84</v>
      </c>
      <c r="G2724" s="202">
        <v>2</v>
      </c>
      <c r="H2724">
        <v>1</v>
      </c>
      <c r="I2724" t="s">
        <v>3954</v>
      </c>
      <c r="J2724" t="s">
        <v>4823</v>
      </c>
      <c r="K2724" t="s">
        <v>1283</v>
      </c>
      <c r="L2724" s="204">
        <v>0.18</v>
      </c>
      <c r="M2724" s="112">
        <v>17.3475</v>
      </c>
      <c r="N2724" s="112">
        <v>3.1225499999999999</v>
      </c>
      <c r="O2724" s="204"/>
      <c r="P2724" s="112"/>
      <c r="Q2724" s="112"/>
      <c r="R2724" s="112"/>
      <c r="S2724" s="112"/>
      <c r="T2724" s="112"/>
      <c r="U2724" t="s">
        <v>6166</v>
      </c>
      <c r="V2724" t="s">
        <v>6167</v>
      </c>
      <c r="W2724" t="s">
        <v>3958</v>
      </c>
      <c r="X2724" t="s">
        <v>4660</v>
      </c>
    </row>
    <row r="2725" spans="1:24" x14ac:dyDescent="0.2">
      <c r="A2725" t="s">
        <v>6165</v>
      </c>
      <c r="B2725" t="s">
        <v>2156</v>
      </c>
      <c r="C2725" t="s">
        <v>2157</v>
      </c>
      <c r="D2725" t="s">
        <v>56</v>
      </c>
      <c r="E2725" t="s">
        <v>1045</v>
      </c>
      <c r="F2725" t="s">
        <v>84</v>
      </c>
      <c r="G2725" s="202">
        <v>2</v>
      </c>
      <c r="H2725">
        <v>2</v>
      </c>
      <c r="I2725" t="s">
        <v>3960</v>
      </c>
      <c r="J2725" t="s">
        <v>4826</v>
      </c>
      <c r="K2725" t="s">
        <v>1283</v>
      </c>
      <c r="L2725" s="204">
        <v>0.72</v>
      </c>
      <c r="M2725" s="112">
        <v>17.3475</v>
      </c>
      <c r="N2725" s="112">
        <v>12.4902</v>
      </c>
      <c r="O2725" s="204"/>
      <c r="P2725" s="112"/>
      <c r="Q2725" s="112"/>
      <c r="R2725" s="112"/>
      <c r="S2725" s="112"/>
      <c r="T2725" s="112"/>
      <c r="U2725" t="s">
        <v>6166</v>
      </c>
      <c r="V2725" t="s">
        <v>6167</v>
      </c>
      <c r="W2725" t="s">
        <v>3958</v>
      </c>
      <c r="X2725" t="s">
        <v>4660</v>
      </c>
    </row>
    <row r="2726" spans="1:24" x14ac:dyDescent="0.2">
      <c r="A2726" t="s">
        <v>6165</v>
      </c>
      <c r="B2726" t="s">
        <v>2156</v>
      </c>
      <c r="C2726" t="s">
        <v>2157</v>
      </c>
      <c r="D2726" t="s">
        <v>56</v>
      </c>
      <c r="E2726" t="s">
        <v>1045</v>
      </c>
      <c r="F2726" t="s">
        <v>84</v>
      </c>
      <c r="G2726" s="202">
        <v>2</v>
      </c>
      <c r="H2726">
        <v>3</v>
      </c>
      <c r="I2726" t="s">
        <v>3976</v>
      </c>
      <c r="J2726" t="s">
        <v>4827</v>
      </c>
      <c r="K2726" t="s">
        <v>1283</v>
      </c>
      <c r="L2726" s="204">
        <v>0.05</v>
      </c>
      <c r="M2726" s="112">
        <v>17.3475</v>
      </c>
      <c r="N2726" s="112">
        <v>0.86737500000000001</v>
      </c>
      <c r="O2726" s="204"/>
      <c r="P2726" s="112"/>
      <c r="Q2726" s="112"/>
      <c r="R2726" s="112"/>
      <c r="S2726" s="112"/>
      <c r="T2726" s="112"/>
      <c r="U2726" t="s">
        <v>6166</v>
      </c>
      <c r="V2726" t="s">
        <v>6167</v>
      </c>
      <c r="W2726" t="s">
        <v>3958</v>
      </c>
      <c r="X2726" t="s">
        <v>4660</v>
      </c>
    </row>
    <row r="2727" spans="1:24" x14ac:dyDescent="0.2">
      <c r="A2727" t="s">
        <v>6165</v>
      </c>
      <c r="B2727" t="s">
        <v>2156</v>
      </c>
      <c r="C2727" t="s">
        <v>2157</v>
      </c>
      <c r="D2727" t="s">
        <v>56</v>
      </c>
      <c r="E2727" t="s">
        <v>1045</v>
      </c>
      <c r="F2727" t="s">
        <v>84</v>
      </c>
      <c r="G2727" s="202">
        <v>2</v>
      </c>
      <c r="H2727">
        <v>4</v>
      </c>
      <c r="I2727" t="s">
        <v>4017</v>
      </c>
      <c r="J2727" t="s">
        <v>4809</v>
      </c>
      <c r="K2727" t="s">
        <v>1283</v>
      </c>
      <c r="L2727" s="204">
        <v>0.05</v>
      </c>
      <c r="M2727" s="112">
        <v>17.3475</v>
      </c>
      <c r="N2727" s="112">
        <v>0.86737500000000001</v>
      </c>
      <c r="O2727" s="204"/>
      <c r="P2727" s="112"/>
      <c r="Q2727" s="112"/>
      <c r="R2727" s="112"/>
      <c r="S2727" s="112"/>
      <c r="T2727" s="112"/>
      <c r="U2727" t="s">
        <v>6166</v>
      </c>
      <c r="V2727" t="s">
        <v>6167</v>
      </c>
      <c r="W2727" t="s">
        <v>3958</v>
      </c>
      <c r="X2727" t="s">
        <v>4660</v>
      </c>
    </row>
    <row r="2728" spans="1:24" x14ac:dyDescent="0.2">
      <c r="A2728" t="s">
        <v>6165</v>
      </c>
      <c r="B2728" t="s">
        <v>2156</v>
      </c>
      <c r="C2728" t="s">
        <v>2157</v>
      </c>
      <c r="D2728" t="s">
        <v>56</v>
      </c>
      <c r="E2728" t="s">
        <v>1045</v>
      </c>
      <c r="F2728" t="s">
        <v>84</v>
      </c>
      <c r="G2728" s="202">
        <v>2</v>
      </c>
      <c r="H2728">
        <v>5</v>
      </c>
      <c r="I2728" t="s">
        <v>3968</v>
      </c>
      <c r="J2728" t="s">
        <v>3969</v>
      </c>
      <c r="K2728" t="s">
        <v>84</v>
      </c>
      <c r="L2728" s="204">
        <v>1</v>
      </c>
      <c r="M2728" s="112"/>
      <c r="N2728" s="112">
        <v>17.3475</v>
      </c>
      <c r="O2728" s="204">
        <v>0.22207810923764226</v>
      </c>
      <c r="P2728" s="112">
        <v>3.8524999999999991</v>
      </c>
      <c r="Q2728" s="112">
        <v>21.2</v>
      </c>
      <c r="R2728" s="112">
        <v>42.4</v>
      </c>
      <c r="S2728" s="112">
        <v>42.4</v>
      </c>
      <c r="T2728" s="112">
        <v>0</v>
      </c>
      <c r="U2728" t="s">
        <v>6166</v>
      </c>
      <c r="V2728" t="s">
        <v>6167</v>
      </c>
      <c r="W2728" t="s">
        <v>4666</v>
      </c>
      <c r="X2728" t="s">
        <v>4667</v>
      </c>
    </row>
    <row r="2729" spans="1:24" x14ac:dyDescent="0.2">
      <c r="A2729" t="s">
        <v>6168</v>
      </c>
      <c r="B2729" t="s">
        <v>2158</v>
      </c>
      <c r="C2729" t="s">
        <v>2159</v>
      </c>
      <c r="D2729" t="s">
        <v>335</v>
      </c>
      <c r="E2729" t="s">
        <v>1046</v>
      </c>
      <c r="F2729" t="s">
        <v>84</v>
      </c>
      <c r="G2729" s="202">
        <v>1</v>
      </c>
      <c r="H2729">
        <v>1</v>
      </c>
      <c r="I2729" t="s">
        <v>3954</v>
      </c>
      <c r="J2729" t="s">
        <v>4823</v>
      </c>
      <c r="K2729" t="s">
        <v>1283</v>
      </c>
      <c r="L2729" s="204">
        <v>0.18</v>
      </c>
      <c r="M2729" s="112">
        <v>7.0950000000000006</v>
      </c>
      <c r="N2729" s="112">
        <v>1.2771000000000001</v>
      </c>
      <c r="O2729" s="204"/>
      <c r="P2729" s="112"/>
      <c r="Q2729" s="112"/>
      <c r="R2729" s="112"/>
      <c r="S2729" s="112"/>
      <c r="T2729" s="112"/>
      <c r="U2729" t="s">
        <v>6169</v>
      </c>
      <c r="V2729" t="s">
        <v>6170</v>
      </c>
      <c r="W2729" t="s">
        <v>3958</v>
      </c>
      <c r="X2729" t="s">
        <v>4660</v>
      </c>
    </row>
    <row r="2730" spans="1:24" x14ac:dyDescent="0.2">
      <c r="A2730" t="s">
        <v>6168</v>
      </c>
      <c r="B2730" t="s">
        <v>2158</v>
      </c>
      <c r="C2730" t="s">
        <v>2159</v>
      </c>
      <c r="D2730" t="s">
        <v>335</v>
      </c>
      <c r="E2730" t="s">
        <v>1046</v>
      </c>
      <c r="F2730" t="s">
        <v>84</v>
      </c>
      <c r="G2730" s="202">
        <v>1</v>
      </c>
      <c r="H2730">
        <v>2</v>
      </c>
      <c r="I2730" t="s">
        <v>3960</v>
      </c>
      <c r="J2730" t="s">
        <v>4826</v>
      </c>
      <c r="K2730" t="s">
        <v>1283</v>
      </c>
      <c r="L2730" s="204">
        <v>0.72</v>
      </c>
      <c r="M2730" s="112">
        <v>7.0950000000000006</v>
      </c>
      <c r="N2730" s="112">
        <v>5.1084000000000005</v>
      </c>
      <c r="O2730" s="204"/>
      <c r="P2730" s="112"/>
      <c r="Q2730" s="112"/>
      <c r="R2730" s="112"/>
      <c r="S2730" s="112"/>
      <c r="T2730" s="112"/>
      <c r="U2730" t="s">
        <v>6169</v>
      </c>
      <c r="V2730" t="s">
        <v>6170</v>
      </c>
      <c r="W2730" t="s">
        <v>3958</v>
      </c>
      <c r="X2730" t="s">
        <v>4660</v>
      </c>
    </row>
    <row r="2731" spans="1:24" x14ac:dyDescent="0.2">
      <c r="A2731" t="s">
        <v>6168</v>
      </c>
      <c r="B2731" t="s">
        <v>2158</v>
      </c>
      <c r="C2731" t="s">
        <v>2159</v>
      </c>
      <c r="D2731" t="s">
        <v>335</v>
      </c>
      <c r="E2731" t="s">
        <v>1046</v>
      </c>
      <c r="F2731" t="s">
        <v>84</v>
      </c>
      <c r="G2731" s="202">
        <v>1</v>
      </c>
      <c r="H2731">
        <v>3</v>
      </c>
      <c r="I2731" t="s">
        <v>3976</v>
      </c>
      <c r="J2731" t="s">
        <v>4827</v>
      </c>
      <c r="K2731" t="s">
        <v>1283</v>
      </c>
      <c r="L2731" s="204">
        <v>0.05</v>
      </c>
      <c r="M2731" s="112">
        <v>7.0950000000000006</v>
      </c>
      <c r="N2731" s="112">
        <v>0.35475000000000007</v>
      </c>
      <c r="O2731" s="204"/>
      <c r="P2731" s="112"/>
      <c r="Q2731" s="112"/>
      <c r="R2731" s="112"/>
      <c r="S2731" s="112"/>
      <c r="T2731" s="112"/>
      <c r="U2731" t="s">
        <v>6169</v>
      </c>
      <c r="V2731" t="s">
        <v>6170</v>
      </c>
      <c r="W2731" t="s">
        <v>3958</v>
      </c>
      <c r="X2731" t="s">
        <v>4660</v>
      </c>
    </row>
    <row r="2732" spans="1:24" x14ac:dyDescent="0.2">
      <c r="A2732" t="s">
        <v>6168</v>
      </c>
      <c r="B2732" t="s">
        <v>2158</v>
      </c>
      <c r="C2732" t="s">
        <v>2159</v>
      </c>
      <c r="D2732" t="s">
        <v>335</v>
      </c>
      <c r="E2732" t="s">
        <v>1046</v>
      </c>
      <c r="F2732" t="s">
        <v>84</v>
      </c>
      <c r="G2732" s="202">
        <v>1</v>
      </c>
      <c r="H2732">
        <v>4</v>
      </c>
      <c r="I2732" t="s">
        <v>4017</v>
      </c>
      <c r="J2732" t="s">
        <v>4809</v>
      </c>
      <c r="K2732" t="s">
        <v>1283</v>
      </c>
      <c r="L2732" s="204">
        <v>0.05</v>
      </c>
      <c r="M2732" s="112">
        <v>7.0950000000000006</v>
      </c>
      <c r="N2732" s="112">
        <v>0.35475000000000007</v>
      </c>
      <c r="O2732" s="204"/>
      <c r="P2732" s="112"/>
      <c r="Q2732" s="112"/>
      <c r="R2732" s="112"/>
      <c r="S2732" s="112"/>
      <c r="T2732" s="112"/>
      <c r="U2732" t="s">
        <v>6169</v>
      </c>
      <c r="V2732" t="s">
        <v>6170</v>
      </c>
      <c r="W2732" t="s">
        <v>3958</v>
      </c>
      <c r="X2732" t="s">
        <v>4660</v>
      </c>
    </row>
    <row r="2733" spans="1:24" x14ac:dyDescent="0.2">
      <c r="A2733" t="s">
        <v>6168</v>
      </c>
      <c r="B2733" t="s">
        <v>2158</v>
      </c>
      <c r="C2733" t="s">
        <v>2159</v>
      </c>
      <c r="D2733" t="s">
        <v>335</v>
      </c>
      <c r="E2733" t="s">
        <v>1046</v>
      </c>
      <c r="F2733" t="s">
        <v>84</v>
      </c>
      <c r="G2733" s="202">
        <v>1</v>
      </c>
      <c r="H2733">
        <v>5</v>
      </c>
      <c r="I2733" t="s">
        <v>3968</v>
      </c>
      <c r="J2733" t="s">
        <v>3969</v>
      </c>
      <c r="K2733" t="s">
        <v>84</v>
      </c>
      <c r="L2733" s="204">
        <v>1</v>
      </c>
      <c r="M2733" s="112"/>
      <c r="N2733" s="112">
        <v>7.0950000000000006</v>
      </c>
      <c r="O2733" s="204">
        <v>0.22198731501057067</v>
      </c>
      <c r="P2733" s="112">
        <v>1.5749999999999993</v>
      </c>
      <c r="Q2733" s="112">
        <v>8.67</v>
      </c>
      <c r="R2733" s="112">
        <v>8.67</v>
      </c>
      <c r="S2733" s="112">
        <v>8.67</v>
      </c>
      <c r="T2733" s="112">
        <v>0</v>
      </c>
      <c r="U2733" t="s">
        <v>6169</v>
      </c>
      <c r="V2733" t="s">
        <v>6170</v>
      </c>
      <c r="W2733" t="s">
        <v>4666</v>
      </c>
      <c r="X2733" t="s">
        <v>4667</v>
      </c>
    </row>
    <row r="2734" spans="1:24" x14ac:dyDescent="0.2">
      <c r="A2734" t="s">
        <v>6171</v>
      </c>
      <c r="B2734" t="s">
        <v>2160</v>
      </c>
      <c r="C2734" t="s">
        <v>2161</v>
      </c>
      <c r="D2734" t="s">
        <v>1047</v>
      </c>
      <c r="E2734" t="s">
        <v>1048</v>
      </c>
      <c r="F2734" t="s">
        <v>776</v>
      </c>
      <c r="G2734" s="202">
        <v>76</v>
      </c>
      <c r="H2734">
        <v>1</v>
      </c>
      <c r="I2734" t="s">
        <v>3954</v>
      </c>
      <c r="J2734" t="s">
        <v>4110</v>
      </c>
      <c r="K2734" t="s">
        <v>1283</v>
      </c>
      <c r="L2734" s="204">
        <v>0.3</v>
      </c>
      <c r="M2734" s="112">
        <v>7.5975000000000001</v>
      </c>
      <c r="N2734" s="112">
        <v>2.2792499999999998</v>
      </c>
      <c r="O2734" s="204"/>
      <c r="P2734" s="112"/>
      <c r="Q2734" s="112"/>
      <c r="R2734" s="112"/>
      <c r="S2734" s="112"/>
      <c r="T2734" s="112"/>
      <c r="U2734" t="s">
        <v>6172</v>
      </c>
      <c r="V2734" t="s">
        <v>6173</v>
      </c>
      <c r="W2734" t="s">
        <v>3958</v>
      </c>
      <c r="X2734" t="s">
        <v>4660</v>
      </c>
    </row>
    <row r="2735" spans="1:24" x14ac:dyDescent="0.2">
      <c r="A2735" t="s">
        <v>6171</v>
      </c>
      <c r="B2735" t="s">
        <v>2160</v>
      </c>
      <c r="C2735" t="s">
        <v>2161</v>
      </c>
      <c r="D2735" t="s">
        <v>1047</v>
      </c>
      <c r="E2735" t="s">
        <v>1048</v>
      </c>
      <c r="F2735" t="s">
        <v>776</v>
      </c>
      <c r="G2735" s="202">
        <v>76</v>
      </c>
      <c r="H2735">
        <v>2</v>
      </c>
      <c r="I2735" t="s">
        <v>3960</v>
      </c>
      <c r="J2735" t="s">
        <v>4113</v>
      </c>
      <c r="K2735" t="s">
        <v>1283</v>
      </c>
      <c r="L2735" s="204">
        <v>0.55000000000000004</v>
      </c>
      <c r="M2735" s="112">
        <v>7.5975000000000001</v>
      </c>
      <c r="N2735" s="112">
        <v>4.1786250000000003</v>
      </c>
      <c r="O2735" s="204"/>
      <c r="P2735" s="112"/>
      <c r="Q2735" s="112"/>
      <c r="R2735" s="112"/>
      <c r="S2735" s="112"/>
      <c r="T2735" s="112"/>
      <c r="U2735" t="s">
        <v>6172</v>
      </c>
      <c r="V2735" t="s">
        <v>6173</v>
      </c>
      <c r="W2735" t="s">
        <v>3958</v>
      </c>
      <c r="X2735" t="s">
        <v>4660</v>
      </c>
    </row>
    <row r="2736" spans="1:24" x14ac:dyDescent="0.2">
      <c r="A2736" t="s">
        <v>6171</v>
      </c>
      <c r="B2736" t="s">
        <v>2160</v>
      </c>
      <c r="C2736" t="s">
        <v>2161</v>
      </c>
      <c r="D2736" t="s">
        <v>1047</v>
      </c>
      <c r="E2736" t="s">
        <v>1048</v>
      </c>
      <c r="F2736" t="s">
        <v>776</v>
      </c>
      <c r="G2736" s="202">
        <v>76</v>
      </c>
      <c r="H2736">
        <v>3</v>
      </c>
      <c r="I2736" t="s">
        <v>3976</v>
      </c>
      <c r="J2736" t="s">
        <v>4114</v>
      </c>
      <c r="K2736" t="s">
        <v>1283</v>
      </c>
      <c r="L2736" s="204">
        <v>0.1</v>
      </c>
      <c r="M2736" s="112">
        <v>7.5975000000000001</v>
      </c>
      <c r="N2736" s="112">
        <v>0.75975000000000004</v>
      </c>
      <c r="O2736" s="204"/>
      <c r="P2736" s="112"/>
      <c r="Q2736" s="112"/>
      <c r="R2736" s="112"/>
      <c r="S2736" s="112"/>
      <c r="T2736" s="112"/>
      <c r="U2736" t="s">
        <v>6172</v>
      </c>
      <c r="V2736" t="s">
        <v>6173</v>
      </c>
      <c r="W2736" t="s">
        <v>3958</v>
      </c>
      <c r="X2736" t="s">
        <v>4660</v>
      </c>
    </row>
    <row r="2737" spans="1:24" x14ac:dyDescent="0.2">
      <c r="A2737" t="s">
        <v>6171</v>
      </c>
      <c r="B2737" t="s">
        <v>2160</v>
      </c>
      <c r="C2737" t="s">
        <v>2161</v>
      </c>
      <c r="D2737" t="s">
        <v>1047</v>
      </c>
      <c r="E2737" t="s">
        <v>1048</v>
      </c>
      <c r="F2737" t="s">
        <v>776</v>
      </c>
      <c r="G2737" s="202">
        <v>76</v>
      </c>
      <c r="H2737">
        <v>4</v>
      </c>
      <c r="I2737" t="s">
        <v>4017</v>
      </c>
      <c r="J2737" t="s">
        <v>4115</v>
      </c>
      <c r="K2737" t="s">
        <v>1283</v>
      </c>
      <c r="L2737" s="204">
        <v>0.05</v>
      </c>
      <c r="M2737" s="112">
        <v>7.5975000000000001</v>
      </c>
      <c r="N2737" s="112">
        <v>0.37987500000000002</v>
      </c>
      <c r="O2737" s="204"/>
      <c r="P2737" s="112"/>
      <c r="Q2737" s="112"/>
      <c r="R2737" s="112"/>
      <c r="S2737" s="112"/>
      <c r="T2737" s="112"/>
      <c r="U2737" t="s">
        <v>6172</v>
      </c>
      <c r="V2737" t="s">
        <v>6173</v>
      </c>
      <c r="W2737" t="s">
        <v>3958</v>
      </c>
      <c r="X2737" t="s">
        <v>4660</v>
      </c>
    </row>
    <row r="2738" spans="1:24" x14ac:dyDescent="0.2">
      <c r="A2738" t="s">
        <v>6171</v>
      </c>
      <c r="B2738" t="s">
        <v>2160</v>
      </c>
      <c r="C2738" t="s">
        <v>2161</v>
      </c>
      <c r="D2738" t="s">
        <v>1047</v>
      </c>
      <c r="E2738" t="s">
        <v>1048</v>
      </c>
      <c r="F2738" t="s">
        <v>776</v>
      </c>
      <c r="G2738" s="202">
        <v>76</v>
      </c>
      <c r="H2738">
        <v>5</v>
      </c>
      <c r="I2738" t="s">
        <v>3968</v>
      </c>
      <c r="J2738" t="s">
        <v>3969</v>
      </c>
      <c r="K2738" t="s">
        <v>776</v>
      </c>
      <c r="L2738" s="204">
        <v>1</v>
      </c>
      <c r="M2738" s="112"/>
      <c r="N2738" s="112">
        <v>7.5975000000000001</v>
      </c>
      <c r="O2738" s="204">
        <v>0.22211253701875622</v>
      </c>
      <c r="P2738" s="112">
        <v>1.6875</v>
      </c>
      <c r="Q2738" s="112">
        <v>9.2850000000000001</v>
      </c>
      <c r="R2738" s="112">
        <v>705.66</v>
      </c>
      <c r="S2738" s="112">
        <v>705.66</v>
      </c>
      <c r="T2738" s="112">
        <v>0</v>
      </c>
      <c r="U2738" t="s">
        <v>6172</v>
      </c>
      <c r="V2738" t="s">
        <v>6173</v>
      </c>
      <c r="W2738" t="s">
        <v>4666</v>
      </c>
      <c r="X2738" t="s">
        <v>4667</v>
      </c>
    </row>
    <row r="2739" spans="1:24" x14ac:dyDescent="0.2">
      <c r="A2739" t="s">
        <v>6174</v>
      </c>
      <c r="B2739" t="s">
        <v>2162</v>
      </c>
      <c r="C2739" t="s">
        <v>2163</v>
      </c>
      <c r="D2739" t="s">
        <v>335</v>
      </c>
      <c r="E2739" t="s">
        <v>1049</v>
      </c>
      <c r="F2739" t="s">
        <v>84</v>
      </c>
      <c r="G2739" s="202">
        <v>8</v>
      </c>
      <c r="H2739">
        <v>1</v>
      </c>
      <c r="I2739" t="s">
        <v>3954</v>
      </c>
      <c r="J2739" t="s">
        <v>4823</v>
      </c>
      <c r="K2739" t="s">
        <v>1283</v>
      </c>
      <c r="L2739" s="204">
        <v>0.18</v>
      </c>
      <c r="M2739" s="112">
        <v>247.79999999999998</v>
      </c>
      <c r="N2739" s="112">
        <v>44.603999999999992</v>
      </c>
      <c r="O2739" s="204"/>
      <c r="P2739" s="112"/>
      <c r="Q2739" s="112"/>
      <c r="R2739" s="112"/>
      <c r="S2739" s="112"/>
      <c r="T2739" s="112"/>
      <c r="U2739" t="s">
        <v>6175</v>
      </c>
      <c r="V2739" t="s">
        <v>6176</v>
      </c>
      <c r="W2739" t="s">
        <v>3958</v>
      </c>
      <c r="X2739" t="s">
        <v>4660</v>
      </c>
    </row>
    <row r="2740" spans="1:24" x14ac:dyDescent="0.2">
      <c r="A2740" t="s">
        <v>6174</v>
      </c>
      <c r="B2740" t="s">
        <v>2162</v>
      </c>
      <c r="C2740" t="s">
        <v>2163</v>
      </c>
      <c r="D2740" t="s">
        <v>335</v>
      </c>
      <c r="E2740" t="s">
        <v>1049</v>
      </c>
      <c r="F2740" t="s">
        <v>84</v>
      </c>
      <c r="G2740" s="202">
        <v>8</v>
      </c>
      <c r="H2740">
        <v>2</v>
      </c>
      <c r="I2740" t="s">
        <v>3960</v>
      </c>
      <c r="J2740" t="s">
        <v>4826</v>
      </c>
      <c r="K2740" t="s">
        <v>1283</v>
      </c>
      <c r="L2740" s="204">
        <v>0.72</v>
      </c>
      <c r="M2740" s="112">
        <v>247.79999999999998</v>
      </c>
      <c r="N2740" s="112">
        <v>178.41599999999997</v>
      </c>
      <c r="O2740" s="204"/>
      <c r="P2740" s="112"/>
      <c r="Q2740" s="112"/>
      <c r="R2740" s="112"/>
      <c r="S2740" s="112"/>
      <c r="T2740" s="112"/>
      <c r="U2740" t="s">
        <v>6175</v>
      </c>
      <c r="V2740" t="s">
        <v>6176</v>
      </c>
      <c r="W2740" t="s">
        <v>3958</v>
      </c>
      <c r="X2740" t="s">
        <v>4660</v>
      </c>
    </row>
    <row r="2741" spans="1:24" x14ac:dyDescent="0.2">
      <c r="A2741" t="s">
        <v>6174</v>
      </c>
      <c r="B2741" t="s">
        <v>2162</v>
      </c>
      <c r="C2741" t="s">
        <v>2163</v>
      </c>
      <c r="D2741" t="s">
        <v>335</v>
      </c>
      <c r="E2741" t="s">
        <v>1049</v>
      </c>
      <c r="F2741" t="s">
        <v>84</v>
      </c>
      <c r="G2741" s="202">
        <v>8</v>
      </c>
      <c r="H2741">
        <v>3</v>
      </c>
      <c r="I2741" t="s">
        <v>3976</v>
      </c>
      <c r="J2741" t="s">
        <v>4827</v>
      </c>
      <c r="K2741" t="s">
        <v>1283</v>
      </c>
      <c r="L2741" s="204">
        <v>0.05</v>
      </c>
      <c r="M2741" s="112">
        <v>247.79999999999998</v>
      </c>
      <c r="N2741" s="112">
        <v>12.39</v>
      </c>
      <c r="O2741" s="204"/>
      <c r="P2741" s="112"/>
      <c r="Q2741" s="112"/>
      <c r="R2741" s="112"/>
      <c r="S2741" s="112"/>
      <c r="T2741" s="112"/>
      <c r="U2741" t="s">
        <v>6175</v>
      </c>
      <c r="V2741" t="s">
        <v>6176</v>
      </c>
      <c r="W2741" t="s">
        <v>3958</v>
      </c>
      <c r="X2741" t="s">
        <v>4660</v>
      </c>
    </row>
    <row r="2742" spans="1:24" x14ac:dyDescent="0.2">
      <c r="A2742" t="s">
        <v>6174</v>
      </c>
      <c r="B2742" t="s">
        <v>2162</v>
      </c>
      <c r="C2742" t="s">
        <v>2163</v>
      </c>
      <c r="D2742" t="s">
        <v>335</v>
      </c>
      <c r="E2742" t="s">
        <v>1049</v>
      </c>
      <c r="F2742" t="s">
        <v>84</v>
      </c>
      <c r="G2742" s="202">
        <v>8</v>
      </c>
      <c r="H2742">
        <v>4</v>
      </c>
      <c r="I2742" t="s">
        <v>4017</v>
      </c>
      <c r="J2742" t="s">
        <v>4809</v>
      </c>
      <c r="K2742" t="s">
        <v>1283</v>
      </c>
      <c r="L2742" s="204">
        <v>0.05</v>
      </c>
      <c r="M2742" s="112">
        <v>247.79999999999998</v>
      </c>
      <c r="N2742" s="112">
        <v>12.39</v>
      </c>
      <c r="O2742" s="204"/>
      <c r="P2742" s="112"/>
      <c r="Q2742" s="112"/>
      <c r="R2742" s="112"/>
      <c r="S2742" s="112"/>
      <c r="T2742" s="112"/>
      <c r="U2742" t="s">
        <v>6175</v>
      </c>
      <c r="V2742" t="s">
        <v>6176</v>
      </c>
      <c r="W2742" t="s">
        <v>3958</v>
      </c>
      <c r="X2742" t="s">
        <v>4660</v>
      </c>
    </row>
    <row r="2743" spans="1:24" x14ac:dyDescent="0.2">
      <c r="A2743" t="s">
        <v>6174</v>
      </c>
      <c r="B2743" t="s">
        <v>2162</v>
      </c>
      <c r="C2743" t="s">
        <v>2163</v>
      </c>
      <c r="D2743" t="s">
        <v>335</v>
      </c>
      <c r="E2743" t="s">
        <v>1049</v>
      </c>
      <c r="F2743" t="s">
        <v>84</v>
      </c>
      <c r="G2743" s="202">
        <v>8</v>
      </c>
      <c r="H2743">
        <v>5</v>
      </c>
      <c r="I2743" t="s">
        <v>3968</v>
      </c>
      <c r="J2743" t="s">
        <v>3969</v>
      </c>
      <c r="K2743" t="s">
        <v>84</v>
      </c>
      <c r="L2743" s="204">
        <v>1</v>
      </c>
      <c r="M2743" s="112"/>
      <c r="N2743" s="112">
        <v>247.79999999999998</v>
      </c>
      <c r="O2743" s="204">
        <v>0.22227602905569022</v>
      </c>
      <c r="P2743" s="112">
        <v>55.080000000000013</v>
      </c>
      <c r="Q2743" s="112">
        <v>302.88</v>
      </c>
      <c r="R2743" s="112">
        <v>2423.04</v>
      </c>
      <c r="S2743" s="112">
        <v>2423.04</v>
      </c>
      <c r="T2743" s="112">
        <v>0</v>
      </c>
      <c r="U2743" t="s">
        <v>6175</v>
      </c>
      <c r="V2743" t="s">
        <v>6176</v>
      </c>
      <c r="W2743" t="s">
        <v>4666</v>
      </c>
      <c r="X2743" t="s">
        <v>4667</v>
      </c>
    </row>
    <row r="2744" spans="1:24" x14ac:dyDescent="0.2">
      <c r="A2744" t="s">
        <v>6177</v>
      </c>
      <c r="B2744" t="s">
        <v>2164</v>
      </c>
      <c r="C2744" t="s">
        <v>2165</v>
      </c>
      <c r="D2744" t="s">
        <v>56</v>
      </c>
      <c r="E2744" t="s">
        <v>2166</v>
      </c>
      <c r="F2744" t="s">
        <v>84</v>
      </c>
      <c r="G2744" s="202">
        <v>119</v>
      </c>
      <c r="H2744">
        <v>1</v>
      </c>
      <c r="I2744" t="s">
        <v>3954</v>
      </c>
      <c r="J2744" t="s">
        <v>4992</v>
      </c>
      <c r="K2744" t="s">
        <v>1283</v>
      </c>
      <c r="L2744" s="204">
        <v>0.27</v>
      </c>
      <c r="M2744" s="112">
        <v>9.8550000000000004</v>
      </c>
      <c r="N2744" s="112">
        <v>2.6608500000000004</v>
      </c>
      <c r="O2744" s="204"/>
      <c r="P2744" s="112"/>
      <c r="Q2744" s="112"/>
      <c r="R2744" s="112"/>
      <c r="S2744" s="112"/>
      <c r="T2744" s="112"/>
      <c r="U2744" t="s">
        <v>6178</v>
      </c>
      <c r="V2744" t="s">
        <v>6179</v>
      </c>
      <c r="W2744" t="s">
        <v>3958</v>
      </c>
      <c r="X2744" t="s">
        <v>4660</v>
      </c>
    </row>
    <row r="2745" spans="1:24" x14ac:dyDescent="0.2">
      <c r="A2745" t="s">
        <v>6177</v>
      </c>
      <c r="B2745" t="s">
        <v>2164</v>
      </c>
      <c r="C2745" t="s">
        <v>2165</v>
      </c>
      <c r="D2745" t="s">
        <v>56</v>
      </c>
      <c r="E2745" t="s">
        <v>2166</v>
      </c>
      <c r="F2745" t="s">
        <v>84</v>
      </c>
      <c r="G2745" s="202">
        <v>119</v>
      </c>
      <c r="H2745">
        <v>2</v>
      </c>
      <c r="I2745" t="s">
        <v>3960</v>
      </c>
      <c r="J2745" t="s">
        <v>4994</v>
      </c>
      <c r="K2745" t="s">
        <v>1283</v>
      </c>
      <c r="L2745" s="204">
        <v>0.63</v>
      </c>
      <c r="M2745" s="112">
        <v>9.8550000000000004</v>
      </c>
      <c r="N2745" s="112">
        <v>6.2086500000000004</v>
      </c>
      <c r="O2745" s="204"/>
      <c r="P2745" s="112"/>
      <c r="Q2745" s="112"/>
      <c r="R2745" s="112"/>
      <c r="S2745" s="112"/>
      <c r="T2745" s="112"/>
      <c r="U2745" t="s">
        <v>6178</v>
      </c>
      <c r="V2745" t="s">
        <v>6179</v>
      </c>
      <c r="W2745" t="s">
        <v>3958</v>
      </c>
      <c r="X2745" t="s">
        <v>4660</v>
      </c>
    </row>
    <row r="2746" spans="1:24" x14ac:dyDescent="0.2">
      <c r="A2746" t="s">
        <v>6177</v>
      </c>
      <c r="B2746" t="s">
        <v>2164</v>
      </c>
      <c r="C2746" t="s">
        <v>2165</v>
      </c>
      <c r="D2746" t="s">
        <v>56</v>
      </c>
      <c r="E2746" t="s">
        <v>2166</v>
      </c>
      <c r="F2746" t="s">
        <v>84</v>
      </c>
      <c r="G2746" s="202">
        <v>119</v>
      </c>
      <c r="H2746">
        <v>3</v>
      </c>
      <c r="I2746" t="s">
        <v>3976</v>
      </c>
      <c r="J2746" t="s">
        <v>4995</v>
      </c>
      <c r="K2746" t="s">
        <v>1283</v>
      </c>
      <c r="L2746" s="204">
        <v>0.05</v>
      </c>
      <c r="M2746" s="112">
        <v>9.8550000000000004</v>
      </c>
      <c r="N2746" s="112">
        <v>0.49275000000000002</v>
      </c>
      <c r="O2746" s="204"/>
      <c r="P2746" s="112"/>
      <c r="Q2746" s="112"/>
      <c r="R2746" s="112"/>
      <c r="S2746" s="112"/>
      <c r="T2746" s="112"/>
      <c r="U2746" t="s">
        <v>6178</v>
      </c>
      <c r="V2746" t="s">
        <v>6179</v>
      </c>
      <c r="W2746" t="s">
        <v>3958</v>
      </c>
      <c r="X2746" t="s">
        <v>4660</v>
      </c>
    </row>
    <row r="2747" spans="1:24" x14ac:dyDescent="0.2">
      <c r="A2747" t="s">
        <v>6177</v>
      </c>
      <c r="B2747" t="s">
        <v>2164</v>
      </c>
      <c r="C2747" t="s">
        <v>2165</v>
      </c>
      <c r="D2747" t="s">
        <v>56</v>
      </c>
      <c r="E2747" t="s">
        <v>2166</v>
      </c>
      <c r="F2747" t="s">
        <v>84</v>
      </c>
      <c r="G2747" s="202">
        <v>119</v>
      </c>
      <c r="H2747">
        <v>4</v>
      </c>
      <c r="I2747" t="s">
        <v>4017</v>
      </c>
      <c r="J2747" t="s">
        <v>4809</v>
      </c>
      <c r="K2747" t="s">
        <v>1283</v>
      </c>
      <c r="L2747" s="204">
        <v>0.05</v>
      </c>
      <c r="M2747" s="112">
        <v>9.8550000000000004</v>
      </c>
      <c r="N2747" s="112">
        <v>0.49275000000000002</v>
      </c>
      <c r="O2747" s="204"/>
      <c r="P2747" s="112"/>
      <c r="Q2747" s="112"/>
      <c r="R2747" s="112"/>
      <c r="S2747" s="112"/>
      <c r="T2747" s="112"/>
      <c r="U2747" t="s">
        <v>6178</v>
      </c>
      <c r="V2747" t="s">
        <v>6179</v>
      </c>
      <c r="W2747" t="s">
        <v>3958</v>
      </c>
      <c r="X2747" t="s">
        <v>4660</v>
      </c>
    </row>
    <row r="2748" spans="1:24" x14ac:dyDescent="0.2">
      <c r="A2748" t="s">
        <v>6177</v>
      </c>
      <c r="B2748" t="s">
        <v>2164</v>
      </c>
      <c r="C2748" t="s">
        <v>2165</v>
      </c>
      <c r="D2748" t="s">
        <v>56</v>
      </c>
      <c r="E2748" t="s">
        <v>2166</v>
      </c>
      <c r="F2748" t="s">
        <v>84</v>
      </c>
      <c r="G2748" s="202">
        <v>119</v>
      </c>
      <c r="H2748">
        <v>5</v>
      </c>
      <c r="I2748" t="s">
        <v>3968</v>
      </c>
      <c r="J2748" t="s">
        <v>3969</v>
      </c>
      <c r="K2748" t="s">
        <v>84</v>
      </c>
      <c r="L2748" s="204">
        <v>1</v>
      </c>
      <c r="M2748" s="112"/>
      <c r="N2748" s="112">
        <v>9.8550000000000004</v>
      </c>
      <c r="O2748" s="204">
        <v>0.22221795872077887</v>
      </c>
      <c r="P2748" s="112">
        <v>2.1899579831932758</v>
      </c>
      <c r="Q2748" s="112">
        <v>12.044957983193276</v>
      </c>
      <c r="R2748" s="112">
        <v>1433.35</v>
      </c>
      <c r="S2748" s="112">
        <v>1433.35</v>
      </c>
      <c r="T2748" s="112">
        <v>0</v>
      </c>
      <c r="U2748" t="s">
        <v>6178</v>
      </c>
      <c r="V2748" t="s">
        <v>6179</v>
      </c>
      <c r="W2748" t="s">
        <v>4666</v>
      </c>
      <c r="X2748" t="s">
        <v>4667</v>
      </c>
    </row>
    <row r="2749" spans="1:24" x14ac:dyDescent="0.2">
      <c r="A2749" t="s">
        <v>6180</v>
      </c>
      <c r="B2749" t="s">
        <v>2167</v>
      </c>
      <c r="C2749" t="s">
        <v>1051</v>
      </c>
      <c r="D2749" t="s">
        <v>209</v>
      </c>
      <c r="E2749" t="s">
        <v>1052</v>
      </c>
      <c r="F2749" t="s">
        <v>84</v>
      </c>
      <c r="G2749" s="202">
        <v>238</v>
      </c>
      <c r="H2749">
        <v>1</v>
      </c>
      <c r="I2749" t="s">
        <v>3954</v>
      </c>
      <c r="J2749" t="s">
        <v>4823</v>
      </c>
      <c r="K2749" t="s">
        <v>1283</v>
      </c>
      <c r="L2749" s="204">
        <v>0.18</v>
      </c>
      <c r="M2749" s="112">
        <v>45.292500000000004</v>
      </c>
      <c r="N2749" s="112">
        <v>8.1526500000000013</v>
      </c>
      <c r="O2749" s="204"/>
      <c r="P2749" s="112"/>
      <c r="Q2749" s="112"/>
      <c r="R2749" s="112"/>
      <c r="S2749" s="112"/>
      <c r="T2749" s="112"/>
      <c r="U2749" t="s">
        <v>4402</v>
      </c>
      <c r="V2749" t="s">
        <v>4403</v>
      </c>
      <c r="W2749" t="s">
        <v>3958</v>
      </c>
      <c r="X2749" t="s">
        <v>4660</v>
      </c>
    </row>
    <row r="2750" spans="1:24" x14ac:dyDescent="0.2">
      <c r="A2750" t="s">
        <v>6180</v>
      </c>
      <c r="B2750" t="s">
        <v>2167</v>
      </c>
      <c r="C2750" t="s">
        <v>1051</v>
      </c>
      <c r="D2750" t="s">
        <v>209</v>
      </c>
      <c r="E2750" t="s">
        <v>1052</v>
      </c>
      <c r="F2750" t="s">
        <v>84</v>
      </c>
      <c r="G2750" s="202">
        <v>238</v>
      </c>
      <c r="H2750">
        <v>2</v>
      </c>
      <c r="I2750" t="s">
        <v>3960</v>
      </c>
      <c r="J2750" t="s">
        <v>4826</v>
      </c>
      <c r="K2750" t="s">
        <v>1283</v>
      </c>
      <c r="L2750" s="204">
        <v>0.72</v>
      </c>
      <c r="M2750" s="112">
        <v>45.292500000000004</v>
      </c>
      <c r="N2750" s="112">
        <v>32.610600000000005</v>
      </c>
      <c r="O2750" s="204"/>
      <c r="P2750" s="112"/>
      <c r="Q2750" s="112"/>
      <c r="R2750" s="112"/>
      <c r="S2750" s="112"/>
      <c r="T2750" s="112"/>
      <c r="U2750" t="s">
        <v>4402</v>
      </c>
      <c r="V2750" t="s">
        <v>4403</v>
      </c>
      <c r="W2750" t="s">
        <v>3958</v>
      </c>
      <c r="X2750" t="s">
        <v>4660</v>
      </c>
    </row>
    <row r="2751" spans="1:24" x14ac:dyDescent="0.2">
      <c r="A2751" t="s">
        <v>6180</v>
      </c>
      <c r="B2751" t="s">
        <v>2167</v>
      </c>
      <c r="C2751" t="s">
        <v>1051</v>
      </c>
      <c r="D2751" t="s">
        <v>209</v>
      </c>
      <c r="E2751" t="s">
        <v>1052</v>
      </c>
      <c r="F2751" t="s">
        <v>84</v>
      </c>
      <c r="G2751" s="202">
        <v>238</v>
      </c>
      <c r="H2751">
        <v>3</v>
      </c>
      <c r="I2751" t="s">
        <v>3976</v>
      </c>
      <c r="J2751" t="s">
        <v>4827</v>
      </c>
      <c r="K2751" t="s">
        <v>1283</v>
      </c>
      <c r="L2751" s="204">
        <v>0.05</v>
      </c>
      <c r="M2751" s="112">
        <v>45.292500000000004</v>
      </c>
      <c r="N2751" s="112">
        <v>2.2646250000000001</v>
      </c>
      <c r="O2751" s="204"/>
      <c r="P2751" s="112"/>
      <c r="Q2751" s="112"/>
      <c r="R2751" s="112"/>
      <c r="S2751" s="112"/>
      <c r="T2751" s="112"/>
      <c r="U2751" t="s">
        <v>4402</v>
      </c>
      <c r="V2751" t="s">
        <v>4403</v>
      </c>
      <c r="W2751" t="s">
        <v>3958</v>
      </c>
      <c r="X2751" t="s">
        <v>4660</v>
      </c>
    </row>
    <row r="2752" spans="1:24" x14ac:dyDescent="0.2">
      <c r="A2752" t="s">
        <v>6180</v>
      </c>
      <c r="B2752" t="s">
        <v>2167</v>
      </c>
      <c r="C2752" t="s">
        <v>1051</v>
      </c>
      <c r="D2752" t="s">
        <v>209</v>
      </c>
      <c r="E2752" t="s">
        <v>1052</v>
      </c>
      <c r="F2752" t="s">
        <v>84</v>
      </c>
      <c r="G2752" s="202">
        <v>238</v>
      </c>
      <c r="H2752">
        <v>4</v>
      </c>
      <c r="I2752" t="s">
        <v>4017</v>
      </c>
      <c r="J2752" t="s">
        <v>4809</v>
      </c>
      <c r="K2752" t="s">
        <v>1283</v>
      </c>
      <c r="L2752" s="204">
        <v>0.05</v>
      </c>
      <c r="M2752" s="112">
        <v>45.292500000000004</v>
      </c>
      <c r="N2752" s="112">
        <v>2.2646250000000001</v>
      </c>
      <c r="O2752" s="204"/>
      <c r="P2752" s="112"/>
      <c r="Q2752" s="112"/>
      <c r="R2752" s="112"/>
      <c r="S2752" s="112"/>
      <c r="T2752" s="112"/>
      <c r="U2752" t="s">
        <v>4402</v>
      </c>
      <c r="V2752" t="s">
        <v>4403</v>
      </c>
      <c r="W2752" t="s">
        <v>3958</v>
      </c>
      <c r="X2752" t="s">
        <v>4660</v>
      </c>
    </row>
    <row r="2753" spans="1:24" x14ac:dyDescent="0.2">
      <c r="A2753" t="s">
        <v>6180</v>
      </c>
      <c r="B2753" t="s">
        <v>2167</v>
      </c>
      <c r="C2753" t="s">
        <v>1051</v>
      </c>
      <c r="D2753" t="s">
        <v>209</v>
      </c>
      <c r="E2753" t="s">
        <v>1052</v>
      </c>
      <c r="F2753" t="s">
        <v>84</v>
      </c>
      <c r="G2753" s="202">
        <v>238</v>
      </c>
      <c r="H2753">
        <v>5</v>
      </c>
      <c r="I2753" t="s">
        <v>3968</v>
      </c>
      <c r="J2753" t="s">
        <v>3969</v>
      </c>
      <c r="K2753" t="s">
        <v>84</v>
      </c>
      <c r="L2753" s="204">
        <v>1</v>
      </c>
      <c r="M2753" s="112"/>
      <c r="N2753" s="112">
        <v>45.292500000000004</v>
      </c>
      <c r="O2753" s="204">
        <v>0.22222175838376401</v>
      </c>
      <c r="P2753" s="112">
        <v>10.064978991596632</v>
      </c>
      <c r="Q2753" s="112">
        <v>55.357478991596636</v>
      </c>
      <c r="R2753" s="112">
        <v>13175.08</v>
      </c>
      <c r="S2753" s="112">
        <v>13175.08</v>
      </c>
      <c r="T2753" s="112">
        <v>0</v>
      </c>
      <c r="U2753" t="s">
        <v>4402</v>
      </c>
      <c r="V2753" t="s">
        <v>4403</v>
      </c>
      <c r="W2753" t="s">
        <v>4666</v>
      </c>
      <c r="X2753" t="s">
        <v>4667</v>
      </c>
    </row>
    <row r="2754" spans="1:24" x14ac:dyDescent="0.2">
      <c r="A2754" t="s">
        <v>6181</v>
      </c>
      <c r="B2754" t="s">
        <v>1912</v>
      </c>
      <c r="C2754" t="s">
        <v>1976</v>
      </c>
      <c r="D2754" t="s">
        <v>56</v>
      </c>
      <c r="E2754" t="s">
        <v>924</v>
      </c>
      <c r="F2754" t="s">
        <v>84</v>
      </c>
      <c r="G2754" s="202">
        <v>4</v>
      </c>
      <c r="H2754">
        <v>1</v>
      </c>
      <c r="I2754" t="s">
        <v>3954</v>
      </c>
      <c r="J2754" t="s">
        <v>4804</v>
      </c>
      <c r="K2754" t="s">
        <v>1283</v>
      </c>
      <c r="L2754" s="204">
        <v>0.28000000000000003</v>
      </c>
      <c r="M2754" s="112">
        <v>127.88249999999999</v>
      </c>
      <c r="N2754" s="112">
        <v>35.807099999999998</v>
      </c>
      <c r="O2754" s="204"/>
      <c r="P2754" s="112"/>
      <c r="Q2754" s="112"/>
      <c r="R2754" s="112"/>
      <c r="S2754" s="112"/>
      <c r="T2754" s="112"/>
      <c r="U2754" t="s">
        <v>5910</v>
      </c>
      <c r="V2754" t="s">
        <v>6182</v>
      </c>
      <c r="W2754" t="s">
        <v>3958</v>
      </c>
      <c r="X2754" t="s">
        <v>4660</v>
      </c>
    </row>
    <row r="2755" spans="1:24" x14ac:dyDescent="0.2">
      <c r="A2755" t="s">
        <v>6181</v>
      </c>
      <c r="B2755" t="s">
        <v>1912</v>
      </c>
      <c r="C2755" t="s">
        <v>1976</v>
      </c>
      <c r="D2755" t="s">
        <v>56</v>
      </c>
      <c r="E2755" t="s">
        <v>924</v>
      </c>
      <c r="F2755" t="s">
        <v>84</v>
      </c>
      <c r="G2755" s="202">
        <v>4</v>
      </c>
      <c r="H2755">
        <v>2</v>
      </c>
      <c r="I2755" t="s">
        <v>3960</v>
      </c>
      <c r="J2755" t="s">
        <v>4807</v>
      </c>
      <c r="K2755" t="s">
        <v>1283</v>
      </c>
      <c r="L2755" s="204">
        <v>0.56000000000000005</v>
      </c>
      <c r="M2755" s="112">
        <v>127.88249999999999</v>
      </c>
      <c r="N2755" s="112">
        <v>71.614199999999997</v>
      </c>
      <c r="O2755" s="204"/>
      <c r="P2755" s="112"/>
      <c r="Q2755" s="112"/>
      <c r="R2755" s="112"/>
      <c r="S2755" s="112"/>
      <c r="T2755" s="112"/>
      <c r="U2755" t="s">
        <v>5910</v>
      </c>
      <c r="V2755" t="s">
        <v>6182</v>
      </c>
      <c r="W2755" t="s">
        <v>3958</v>
      </c>
      <c r="X2755" t="s">
        <v>4660</v>
      </c>
    </row>
    <row r="2756" spans="1:24" x14ac:dyDescent="0.2">
      <c r="A2756" t="s">
        <v>6181</v>
      </c>
      <c r="B2756" t="s">
        <v>1912</v>
      </c>
      <c r="C2756" t="s">
        <v>1976</v>
      </c>
      <c r="D2756" t="s">
        <v>56</v>
      </c>
      <c r="E2756" t="s">
        <v>924</v>
      </c>
      <c r="F2756" t="s">
        <v>84</v>
      </c>
      <c r="G2756" s="202">
        <v>4</v>
      </c>
      <c r="H2756">
        <v>3</v>
      </c>
      <c r="I2756" t="s">
        <v>3962</v>
      </c>
      <c r="J2756" t="s">
        <v>4808</v>
      </c>
      <c r="K2756" t="s">
        <v>1283</v>
      </c>
      <c r="L2756" s="204">
        <v>0.1</v>
      </c>
      <c r="M2756" s="112">
        <v>127.88249999999999</v>
      </c>
      <c r="N2756" s="112">
        <v>12.78825</v>
      </c>
      <c r="O2756" s="204"/>
      <c r="P2756" s="112"/>
      <c r="Q2756" s="112"/>
      <c r="R2756" s="112"/>
      <c r="S2756" s="112"/>
      <c r="T2756" s="112"/>
      <c r="U2756" t="s">
        <v>5910</v>
      </c>
      <c r="V2756" t="s">
        <v>6182</v>
      </c>
      <c r="W2756" t="s">
        <v>3958</v>
      </c>
      <c r="X2756" t="s">
        <v>4660</v>
      </c>
    </row>
    <row r="2757" spans="1:24" x14ac:dyDescent="0.2">
      <c r="A2757" t="s">
        <v>6181</v>
      </c>
      <c r="B2757" t="s">
        <v>1912</v>
      </c>
      <c r="C2757" t="s">
        <v>1976</v>
      </c>
      <c r="D2757" t="s">
        <v>56</v>
      </c>
      <c r="E2757" t="s">
        <v>924</v>
      </c>
      <c r="F2757" t="s">
        <v>84</v>
      </c>
      <c r="G2757" s="202">
        <v>4</v>
      </c>
      <c r="H2757">
        <v>4</v>
      </c>
      <c r="I2757" t="s">
        <v>4017</v>
      </c>
      <c r="J2757" t="s">
        <v>4809</v>
      </c>
      <c r="K2757" t="s">
        <v>1283</v>
      </c>
      <c r="L2757" s="204">
        <v>0.06</v>
      </c>
      <c r="M2757" s="112">
        <v>127.88249999999999</v>
      </c>
      <c r="N2757" s="112">
        <v>7.6729499999999993</v>
      </c>
      <c r="O2757" s="204"/>
      <c r="P2757" s="112"/>
      <c r="Q2757" s="112"/>
      <c r="R2757" s="112"/>
      <c r="S2757" s="112"/>
      <c r="T2757" s="112"/>
      <c r="U2757" t="s">
        <v>5910</v>
      </c>
      <c r="V2757" t="s">
        <v>6182</v>
      </c>
      <c r="W2757" t="s">
        <v>3958</v>
      </c>
      <c r="X2757" t="s">
        <v>4660</v>
      </c>
    </row>
    <row r="2758" spans="1:24" x14ac:dyDescent="0.2">
      <c r="A2758" t="s">
        <v>6181</v>
      </c>
      <c r="B2758" t="s">
        <v>1912</v>
      </c>
      <c r="C2758" t="s">
        <v>1976</v>
      </c>
      <c r="D2758" t="s">
        <v>56</v>
      </c>
      <c r="E2758" t="s">
        <v>924</v>
      </c>
      <c r="F2758" t="s">
        <v>84</v>
      </c>
      <c r="G2758" s="202">
        <v>4</v>
      </c>
      <c r="H2758">
        <v>5</v>
      </c>
      <c r="I2758" t="s">
        <v>3968</v>
      </c>
      <c r="J2758" t="s">
        <v>3969</v>
      </c>
      <c r="K2758" t="s">
        <v>84</v>
      </c>
      <c r="L2758" s="204">
        <v>1</v>
      </c>
      <c r="M2758" s="112"/>
      <c r="N2758" s="112">
        <v>127.88249999999999</v>
      </c>
      <c r="O2758" s="204">
        <v>0.22227435341035728</v>
      </c>
      <c r="P2758" s="112">
        <v>28.425000000000011</v>
      </c>
      <c r="Q2758" s="112">
        <v>156.3075</v>
      </c>
      <c r="R2758" s="112">
        <v>625.23</v>
      </c>
      <c r="S2758" s="112">
        <v>625.23</v>
      </c>
      <c r="T2758" s="112">
        <v>0</v>
      </c>
      <c r="U2758" t="s">
        <v>5910</v>
      </c>
      <c r="V2758" t="s">
        <v>6182</v>
      </c>
      <c r="W2758" t="s">
        <v>4666</v>
      </c>
      <c r="X2758" t="s">
        <v>4667</v>
      </c>
    </row>
    <row r="2759" spans="1:24" x14ac:dyDescent="0.2">
      <c r="A2759" t="s">
        <v>6183</v>
      </c>
      <c r="B2759" t="s">
        <v>2168</v>
      </c>
      <c r="C2759" t="s">
        <v>2169</v>
      </c>
      <c r="D2759" t="s">
        <v>56</v>
      </c>
      <c r="E2759" t="s">
        <v>1056</v>
      </c>
      <c r="F2759" t="s">
        <v>84</v>
      </c>
      <c r="G2759" s="202">
        <v>11</v>
      </c>
      <c r="H2759">
        <v>1</v>
      </c>
      <c r="I2759" t="s">
        <v>3954</v>
      </c>
      <c r="J2759" t="s">
        <v>4823</v>
      </c>
      <c r="K2759" t="s">
        <v>1283</v>
      </c>
      <c r="L2759" s="204">
        <v>0.18</v>
      </c>
      <c r="M2759" s="112">
        <v>17.145</v>
      </c>
      <c r="N2759" s="112">
        <v>3.0860999999999996</v>
      </c>
      <c r="O2759" s="204"/>
      <c r="P2759" s="112"/>
      <c r="Q2759" s="112"/>
      <c r="R2759" s="112"/>
      <c r="S2759" s="112"/>
      <c r="T2759" s="112"/>
      <c r="U2759" t="s">
        <v>6184</v>
      </c>
      <c r="V2759" t="s">
        <v>6185</v>
      </c>
      <c r="W2759" t="s">
        <v>3958</v>
      </c>
      <c r="X2759" t="s">
        <v>4660</v>
      </c>
    </row>
    <row r="2760" spans="1:24" x14ac:dyDescent="0.2">
      <c r="A2760" t="s">
        <v>6183</v>
      </c>
      <c r="B2760" t="s">
        <v>2168</v>
      </c>
      <c r="C2760" t="s">
        <v>2169</v>
      </c>
      <c r="D2760" t="s">
        <v>56</v>
      </c>
      <c r="E2760" t="s">
        <v>1056</v>
      </c>
      <c r="F2760" t="s">
        <v>84</v>
      </c>
      <c r="G2760" s="202">
        <v>11</v>
      </c>
      <c r="H2760">
        <v>2</v>
      </c>
      <c r="I2760" t="s">
        <v>3960</v>
      </c>
      <c r="J2760" t="s">
        <v>4826</v>
      </c>
      <c r="K2760" t="s">
        <v>1283</v>
      </c>
      <c r="L2760" s="204">
        <v>0.72</v>
      </c>
      <c r="M2760" s="112">
        <v>17.145</v>
      </c>
      <c r="N2760" s="112">
        <v>12.344399999999998</v>
      </c>
      <c r="O2760" s="204"/>
      <c r="P2760" s="112"/>
      <c r="Q2760" s="112"/>
      <c r="R2760" s="112"/>
      <c r="S2760" s="112"/>
      <c r="T2760" s="112"/>
      <c r="U2760" t="s">
        <v>6184</v>
      </c>
      <c r="V2760" t="s">
        <v>6185</v>
      </c>
      <c r="W2760" t="s">
        <v>3958</v>
      </c>
      <c r="X2760" t="s">
        <v>4660</v>
      </c>
    </row>
    <row r="2761" spans="1:24" x14ac:dyDescent="0.2">
      <c r="A2761" t="s">
        <v>6183</v>
      </c>
      <c r="B2761" t="s">
        <v>2168</v>
      </c>
      <c r="C2761" t="s">
        <v>2169</v>
      </c>
      <c r="D2761" t="s">
        <v>56</v>
      </c>
      <c r="E2761" t="s">
        <v>1056</v>
      </c>
      <c r="F2761" t="s">
        <v>84</v>
      </c>
      <c r="G2761" s="202">
        <v>11</v>
      </c>
      <c r="H2761">
        <v>3</v>
      </c>
      <c r="I2761" t="s">
        <v>3976</v>
      </c>
      <c r="J2761" t="s">
        <v>4827</v>
      </c>
      <c r="K2761" t="s">
        <v>1283</v>
      </c>
      <c r="L2761" s="204">
        <v>0.05</v>
      </c>
      <c r="M2761" s="112">
        <v>17.145</v>
      </c>
      <c r="N2761" s="112">
        <v>0.85725000000000007</v>
      </c>
      <c r="O2761" s="204"/>
      <c r="P2761" s="112"/>
      <c r="Q2761" s="112"/>
      <c r="R2761" s="112"/>
      <c r="S2761" s="112"/>
      <c r="T2761" s="112"/>
      <c r="U2761" t="s">
        <v>6184</v>
      </c>
      <c r="V2761" t="s">
        <v>6185</v>
      </c>
      <c r="W2761" t="s">
        <v>3958</v>
      </c>
      <c r="X2761" t="s">
        <v>4660</v>
      </c>
    </row>
    <row r="2762" spans="1:24" x14ac:dyDescent="0.2">
      <c r="A2762" t="s">
        <v>6183</v>
      </c>
      <c r="B2762" t="s">
        <v>2168</v>
      </c>
      <c r="C2762" t="s">
        <v>2169</v>
      </c>
      <c r="D2762" t="s">
        <v>56</v>
      </c>
      <c r="E2762" t="s">
        <v>1056</v>
      </c>
      <c r="F2762" t="s">
        <v>84</v>
      </c>
      <c r="G2762" s="202">
        <v>11</v>
      </c>
      <c r="H2762">
        <v>4</v>
      </c>
      <c r="I2762" t="s">
        <v>4017</v>
      </c>
      <c r="J2762" t="s">
        <v>4809</v>
      </c>
      <c r="K2762" t="s">
        <v>1283</v>
      </c>
      <c r="L2762" s="204">
        <v>0.05</v>
      </c>
      <c r="M2762" s="112">
        <v>17.145</v>
      </c>
      <c r="N2762" s="112">
        <v>0.85725000000000007</v>
      </c>
      <c r="O2762" s="204"/>
      <c r="P2762" s="112"/>
      <c r="Q2762" s="112"/>
      <c r="R2762" s="112"/>
      <c r="S2762" s="112"/>
      <c r="T2762" s="112"/>
      <c r="U2762" t="s">
        <v>6184</v>
      </c>
      <c r="V2762" t="s">
        <v>6185</v>
      </c>
      <c r="W2762" t="s">
        <v>3958</v>
      </c>
      <c r="X2762" t="s">
        <v>4660</v>
      </c>
    </row>
    <row r="2763" spans="1:24" x14ac:dyDescent="0.2">
      <c r="A2763" t="s">
        <v>6183</v>
      </c>
      <c r="B2763" t="s">
        <v>2168</v>
      </c>
      <c r="C2763" t="s">
        <v>2169</v>
      </c>
      <c r="D2763" t="s">
        <v>56</v>
      </c>
      <c r="E2763" t="s">
        <v>1056</v>
      </c>
      <c r="F2763" t="s">
        <v>84</v>
      </c>
      <c r="G2763" s="202">
        <v>11</v>
      </c>
      <c r="H2763">
        <v>5</v>
      </c>
      <c r="I2763" t="s">
        <v>3968</v>
      </c>
      <c r="J2763" t="s">
        <v>3969</v>
      </c>
      <c r="K2763" t="s">
        <v>84</v>
      </c>
      <c r="L2763" s="204">
        <v>1</v>
      </c>
      <c r="M2763" s="112"/>
      <c r="N2763" s="112">
        <v>17.145</v>
      </c>
      <c r="O2763" s="204">
        <v>0.22219571038468677</v>
      </c>
      <c r="P2763" s="112">
        <v>3.8095454545454537</v>
      </c>
      <c r="Q2763" s="112">
        <v>20.954545454545453</v>
      </c>
      <c r="R2763" s="112">
        <v>230.5</v>
      </c>
      <c r="S2763" s="112">
        <v>230.5</v>
      </c>
      <c r="T2763" s="112">
        <v>0</v>
      </c>
      <c r="U2763" t="s">
        <v>6184</v>
      </c>
      <c r="V2763" t="s">
        <v>6185</v>
      </c>
      <c r="W2763" t="s">
        <v>4666</v>
      </c>
      <c r="X2763" t="s">
        <v>4667</v>
      </c>
    </row>
    <row r="2764" spans="1:24" x14ac:dyDescent="0.2">
      <c r="A2764" t="s">
        <v>6186</v>
      </c>
      <c r="B2764" t="s">
        <v>2170</v>
      </c>
      <c r="C2764" t="s">
        <v>2171</v>
      </c>
      <c r="D2764" t="s">
        <v>24</v>
      </c>
      <c r="E2764" t="s">
        <v>1058</v>
      </c>
      <c r="F2764" t="s">
        <v>84</v>
      </c>
      <c r="G2764" s="202">
        <v>15</v>
      </c>
      <c r="H2764">
        <v>1</v>
      </c>
      <c r="I2764" t="s">
        <v>3954</v>
      </c>
      <c r="J2764" t="s">
        <v>4110</v>
      </c>
      <c r="K2764" t="s">
        <v>1283</v>
      </c>
      <c r="L2764" s="204">
        <v>0.3</v>
      </c>
      <c r="M2764" s="112">
        <v>80.092500000000001</v>
      </c>
      <c r="N2764" s="112">
        <v>24.027750000000001</v>
      </c>
      <c r="O2764" s="204"/>
      <c r="P2764" s="112"/>
      <c r="Q2764" s="112"/>
      <c r="R2764" s="112"/>
      <c r="S2764" s="112"/>
      <c r="T2764" s="112"/>
      <c r="U2764" t="s">
        <v>6187</v>
      </c>
      <c r="V2764" t="s">
        <v>6188</v>
      </c>
      <c r="W2764" t="s">
        <v>3958</v>
      </c>
      <c r="X2764" t="s">
        <v>4660</v>
      </c>
    </row>
    <row r="2765" spans="1:24" x14ac:dyDescent="0.2">
      <c r="A2765" t="s">
        <v>6186</v>
      </c>
      <c r="B2765" t="s">
        <v>2170</v>
      </c>
      <c r="C2765" t="s">
        <v>2171</v>
      </c>
      <c r="D2765" t="s">
        <v>24</v>
      </c>
      <c r="E2765" t="s">
        <v>1058</v>
      </c>
      <c r="F2765" t="s">
        <v>84</v>
      </c>
      <c r="G2765" s="202">
        <v>15</v>
      </c>
      <c r="H2765">
        <v>2</v>
      </c>
      <c r="I2765" t="s">
        <v>3960</v>
      </c>
      <c r="J2765" t="s">
        <v>4113</v>
      </c>
      <c r="K2765" t="s">
        <v>1283</v>
      </c>
      <c r="L2765" s="204">
        <v>0.55000000000000004</v>
      </c>
      <c r="M2765" s="112">
        <v>80.092500000000001</v>
      </c>
      <c r="N2765" s="112">
        <v>44.050875000000005</v>
      </c>
      <c r="O2765" s="204"/>
      <c r="P2765" s="112"/>
      <c r="Q2765" s="112"/>
      <c r="R2765" s="112"/>
      <c r="S2765" s="112"/>
      <c r="T2765" s="112"/>
      <c r="U2765" t="s">
        <v>6187</v>
      </c>
      <c r="V2765" t="s">
        <v>6188</v>
      </c>
      <c r="W2765" t="s">
        <v>3958</v>
      </c>
      <c r="X2765" t="s">
        <v>4660</v>
      </c>
    </row>
    <row r="2766" spans="1:24" x14ac:dyDescent="0.2">
      <c r="A2766" t="s">
        <v>6186</v>
      </c>
      <c r="B2766" t="s">
        <v>2170</v>
      </c>
      <c r="C2766" t="s">
        <v>2171</v>
      </c>
      <c r="D2766" t="s">
        <v>24</v>
      </c>
      <c r="E2766" t="s">
        <v>1058</v>
      </c>
      <c r="F2766" t="s">
        <v>84</v>
      </c>
      <c r="G2766" s="202">
        <v>15</v>
      </c>
      <c r="H2766">
        <v>3</v>
      </c>
      <c r="I2766" t="s">
        <v>3976</v>
      </c>
      <c r="J2766" t="s">
        <v>4114</v>
      </c>
      <c r="K2766" t="s">
        <v>1283</v>
      </c>
      <c r="L2766" s="204">
        <v>0.1</v>
      </c>
      <c r="M2766" s="112">
        <v>80.092500000000001</v>
      </c>
      <c r="N2766" s="112">
        <v>8.0092499999999998</v>
      </c>
      <c r="O2766" s="204"/>
      <c r="P2766" s="112"/>
      <c r="Q2766" s="112"/>
      <c r="R2766" s="112"/>
      <c r="S2766" s="112"/>
      <c r="T2766" s="112"/>
      <c r="U2766" t="s">
        <v>6187</v>
      </c>
      <c r="V2766" t="s">
        <v>6188</v>
      </c>
      <c r="W2766" t="s">
        <v>3958</v>
      </c>
      <c r="X2766" t="s">
        <v>4660</v>
      </c>
    </row>
    <row r="2767" spans="1:24" x14ac:dyDescent="0.2">
      <c r="A2767" t="s">
        <v>6186</v>
      </c>
      <c r="B2767" t="s">
        <v>2170</v>
      </c>
      <c r="C2767" t="s">
        <v>2171</v>
      </c>
      <c r="D2767" t="s">
        <v>24</v>
      </c>
      <c r="E2767" t="s">
        <v>1058</v>
      </c>
      <c r="F2767" t="s">
        <v>84</v>
      </c>
      <c r="G2767" s="202">
        <v>15</v>
      </c>
      <c r="H2767">
        <v>4</v>
      </c>
      <c r="I2767" t="s">
        <v>4017</v>
      </c>
      <c r="J2767" t="s">
        <v>4115</v>
      </c>
      <c r="K2767" t="s">
        <v>1283</v>
      </c>
      <c r="L2767" s="204">
        <v>0.05</v>
      </c>
      <c r="M2767" s="112">
        <v>80.092500000000001</v>
      </c>
      <c r="N2767" s="112">
        <v>4.0046249999999999</v>
      </c>
      <c r="O2767" s="204"/>
      <c r="P2767" s="112"/>
      <c r="Q2767" s="112"/>
      <c r="R2767" s="112"/>
      <c r="S2767" s="112"/>
      <c r="T2767" s="112"/>
      <c r="U2767" t="s">
        <v>6187</v>
      </c>
      <c r="V2767" t="s">
        <v>6188</v>
      </c>
      <c r="W2767" t="s">
        <v>3958</v>
      </c>
      <c r="X2767" t="s">
        <v>4660</v>
      </c>
    </row>
    <row r="2768" spans="1:24" x14ac:dyDescent="0.2">
      <c r="A2768" t="s">
        <v>6186</v>
      </c>
      <c r="B2768" t="s">
        <v>2170</v>
      </c>
      <c r="C2768" t="s">
        <v>2171</v>
      </c>
      <c r="D2768" t="s">
        <v>24</v>
      </c>
      <c r="E2768" t="s">
        <v>1058</v>
      </c>
      <c r="F2768" t="s">
        <v>84</v>
      </c>
      <c r="G2768" s="202">
        <v>15</v>
      </c>
      <c r="H2768">
        <v>5</v>
      </c>
      <c r="I2768" t="s">
        <v>3968</v>
      </c>
      <c r="J2768" t="s">
        <v>3969</v>
      </c>
      <c r="K2768" t="s">
        <v>84</v>
      </c>
      <c r="L2768" s="204">
        <v>1</v>
      </c>
      <c r="M2768" s="112"/>
      <c r="N2768" s="112">
        <v>80.092500000000001</v>
      </c>
      <c r="O2768" s="204">
        <v>0.22221181758591624</v>
      </c>
      <c r="P2768" s="112">
        <v>17.797499999999999</v>
      </c>
      <c r="Q2768" s="112">
        <v>97.89</v>
      </c>
      <c r="R2768" s="112">
        <v>1468.35</v>
      </c>
      <c r="S2768" s="112">
        <v>1468.35</v>
      </c>
      <c r="T2768" s="112">
        <v>0</v>
      </c>
      <c r="U2768" t="s">
        <v>6187</v>
      </c>
      <c r="V2768" t="s">
        <v>6188</v>
      </c>
      <c r="W2768" t="s">
        <v>4666</v>
      </c>
      <c r="X2768" t="s">
        <v>4667</v>
      </c>
    </row>
    <row r="2769" spans="1:24" x14ac:dyDescent="0.2">
      <c r="A2769" t="s">
        <v>6189</v>
      </c>
      <c r="B2769" t="s">
        <v>2172</v>
      </c>
      <c r="C2769" t="s">
        <v>2173</v>
      </c>
      <c r="D2769" t="s">
        <v>56</v>
      </c>
      <c r="E2769" t="s">
        <v>1059</v>
      </c>
      <c r="F2769" t="s">
        <v>84</v>
      </c>
      <c r="G2769" s="202">
        <v>1</v>
      </c>
      <c r="H2769">
        <v>1</v>
      </c>
      <c r="I2769" t="s">
        <v>3954</v>
      </c>
      <c r="J2769" t="s">
        <v>4823</v>
      </c>
      <c r="K2769" t="s">
        <v>1283</v>
      </c>
      <c r="L2769" s="204">
        <v>0.18</v>
      </c>
      <c r="M2769" s="112">
        <v>100.1925</v>
      </c>
      <c r="N2769" s="112">
        <v>18.034649999999999</v>
      </c>
      <c r="O2769" s="204"/>
      <c r="P2769" s="112"/>
      <c r="Q2769" s="112"/>
      <c r="R2769" s="112"/>
      <c r="S2769" s="112"/>
      <c r="T2769" s="112"/>
      <c r="U2769" t="s">
        <v>6190</v>
      </c>
      <c r="V2769" t="s">
        <v>6191</v>
      </c>
      <c r="W2769" t="s">
        <v>3958</v>
      </c>
      <c r="X2769" t="s">
        <v>4660</v>
      </c>
    </row>
    <row r="2770" spans="1:24" x14ac:dyDescent="0.2">
      <c r="A2770" t="s">
        <v>6189</v>
      </c>
      <c r="B2770" t="s">
        <v>2172</v>
      </c>
      <c r="C2770" t="s">
        <v>2173</v>
      </c>
      <c r="D2770" t="s">
        <v>56</v>
      </c>
      <c r="E2770" t="s">
        <v>1059</v>
      </c>
      <c r="F2770" t="s">
        <v>84</v>
      </c>
      <c r="G2770" s="202">
        <v>1</v>
      </c>
      <c r="H2770">
        <v>2</v>
      </c>
      <c r="I2770" t="s">
        <v>3960</v>
      </c>
      <c r="J2770" t="s">
        <v>4826</v>
      </c>
      <c r="K2770" t="s">
        <v>1283</v>
      </c>
      <c r="L2770" s="204">
        <v>0.72</v>
      </c>
      <c r="M2770" s="112">
        <v>100.1925</v>
      </c>
      <c r="N2770" s="112">
        <v>72.138599999999997</v>
      </c>
      <c r="O2770" s="204"/>
      <c r="P2770" s="112"/>
      <c r="Q2770" s="112"/>
      <c r="R2770" s="112"/>
      <c r="S2770" s="112"/>
      <c r="T2770" s="112"/>
      <c r="U2770" t="s">
        <v>6190</v>
      </c>
      <c r="V2770" t="s">
        <v>6191</v>
      </c>
      <c r="W2770" t="s">
        <v>3958</v>
      </c>
      <c r="X2770" t="s">
        <v>4660</v>
      </c>
    </row>
    <row r="2771" spans="1:24" x14ac:dyDescent="0.2">
      <c r="A2771" t="s">
        <v>6189</v>
      </c>
      <c r="B2771" t="s">
        <v>2172</v>
      </c>
      <c r="C2771" t="s">
        <v>2173</v>
      </c>
      <c r="D2771" t="s">
        <v>56</v>
      </c>
      <c r="E2771" t="s">
        <v>1059</v>
      </c>
      <c r="F2771" t="s">
        <v>84</v>
      </c>
      <c r="G2771" s="202">
        <v>1</v>
      </c>
      <c r="H2771">
        <v>3</v>
      </c>
      <c r="I2771" t="s">
        <v>3976</v>
      </c>
      <c r="J2771" t="s">
        <v>4827</v>
      </c>
      <c r="K2771" t="s">
        <v>1283</v>
      </c>
      <c r="L2771" s="204">
        <v>0.05</v>
      </c>
      <c r="M2771" s="112">
        <v>100.1925</v>
      </c>
      <c r="N2771" s="112">
        <v>5.0096249999999998</v>
      </c>
      <c r="O2771" s="204"/>
      <c r="P2771" s="112"/>
      <c r="Q2771" s="112"/>
      <c r="R2771" s="112"/>
      <c r="S2771" s="112"/>
      <c r="T2771" s="112"/>
      <c r="U2771" t="s">
        <v>6190</v>
      </c>
      <c r="V2771" t="s">
        <v>6191</v>
      </c>
      <c r="W2771" t="s">
        <v>3958</v>
      </c>
      <c r="X2771" t="s">
        <v>4660</v>
      </c>
    </row>
    <row r="2772" spans="1:24" x14ac:dyDescent="0.2">
      <c r="A2772" t="s">
        <v>6189</v>
      </c>
      <c r="B2772" t="s">
        <v>2172</v>
      </c>
      <c r="C2772" t="s">
        <v>2173</v>
      </c>
      <c r="D2772" t="s">
        <v>56</v>
      </c>
      <c r="E2772" t="s">
        <v>1059</v>
      </c>
      <c r="F2772" t="s">
        <v>84</v>
      </c>
      <c r="G2772" s="202">
        <v>1</v>
      </c>
      <c r="H2772">
        <v>4</v>
      </c>
      <c r="I2772" t="s">
        <v>4017</v>
      </c>
      <c r="J2772" t="s">
        <v>4809</v>
      </c>
      <c r="K2772" t="s">
        <v>1283</v>
      </c>
      <c r="L2772" s="204">
        <v>0.05</v>
      </c>
      <c r="M2772" s="112">
        <v>100.1925</v>
      </c>
      <c r="N2772" s="112">
        <v>5.0096249999999998</v>
      </c>
      <c r="O2772" s="204"/>
      <c r="P2772" s="112"/>
      <c r="Q2772" s="112"/>
      <c r="R2772" s="112"/>
      <c r="S2772" s="112"/>
      <c r="T2772" s="112"/>
      <c r="U2772" t="s">
        <v>6190</v>
      </c>
      <c r="V2772" t="s">
        <v>6191</v>
      </c>
      <c r="W2772" t="s">
        <v>3958</v>
      </c>
      <c r="X2772" t="s">
        <v>4660</v>
      </c>
    </row>
    <row r="2773" spans="1:24" x14ac:dyDescent="0.2">
      <c r="A2773" t="s">
        <v>6189</v>
      </c>
      <c r="B2773" t="s">
        <v>2172</v>
      </c>
      <c r="C2773" t="s">
        <v>2173</v>
      </c>
      <c r="D2773" t="s">
        <v>56</v>
      </c>
      <c r="E2773" t="s">
        <v>1059</v>
      </c>
      <c r="F2773" t="s">
        <v>84</v>
      </c>
      <c r="G2773" s="202">
        <v>1</v>
      </c>
      <c r="H2773">
        <v>5</v>
      </c>
      <c r="I2773" t="s">
        <v>3968</v>
      </c>
      <c r="J2773" t="s">
        <v>3969</v>
      </c>
      <c r="K2773" t="s">
        <v>84</v>
      </c>
      <c r="L2773" s="204">
        <v>1</v>
      </c>
      <c r="M2773" s="112"/>
      <c r="N2773" s="112">
        <v>100.1925</v>
      </c>
      <c r="O2773" s="204">
        <v>0.22224717418968476</v>
      </c>
      <c r="P2773" s="112">
        <v>22.267499999999998</v>
      </c>
      <c r="Q2773" s="112">
        <v>122.46</v>
      </c>
      <c r="R2773" s="112">
        <v>122.46</v>
      </c>
      <c r="S2773" s="112">
        <v>122.46</v>
      </c>
      <c r="T2773" s="112">
        <v>0</v>
      </c>
      <c r="U2773" t="s">
        <v>6190</v>
      </c>
      <c r="V2773" t="s">
        <v>6191</v>
      </c>
      <c r="W2773" t="s">
        <v>4666</v>
      </c>
      <c r="X2773" t="s">
        <v>4667</v>
      </c>
    </row>
    <row r="2774" spans="1:24" x14ac:dyDescent="0.2">
      <c r="A2774" t="s">
        <v>6192</v>
      </c>
      <c r="B2774" t="s">
        <v>1985</v>
      </c>
      <c r="C2774" t="s">
        <v>2174</v>
      </c>
      <c r="D2774" t="s">
        <v>56</v>
      </c>
      <c r="E2774" t="s">
        <v>2175</v>
      </c>
      <c r="F2774" t="s">
        <v>84</v>
      </c>
      <c r="G2774" s="202">
        <v>1</v>
      </c>
      <c r="H2774">
        <v>1</v>
      </c>
      <c r="I2774" t="s">
        <v>3954</v>
      </c>
      <c r="J2774" t="s">
        <v>4823</v>
      </c>
      <c r="K2774" t="s">
        <v>1283</v>
      </c>
      <c r="L2774" s="204">
        <v>0.18</v>
      </c>
      <c r="M2774" s="112">
        <v>119.79749999999999</v>
      </c>
      <c r="N2774" s="112">
        <v>21.563549999999996</v>
      </c>
      <c r="O2774" s="204"/>
      <c r="P2774" s="112"/>
      <c r="Q2774" s="112"/>
      <c r="R2774" s="112"/>
      <c r="S2774" s="112"/>
      <c r="T2774" s="112"/>
      <c r="U2774" t="s">
        <v>6193</v>
      </c>
      <c r="V2774" t="s">
        <v>6194</v>
      </c>
      <c r="W2774" t="s">
        <v>3958</v>
      </c>
      <c r="X2774" t="s">
        <v>4660</v>
      </c>
    </row>
    <row r="2775" spans="1:24" x14ac:dyDescent="0.2">
      <c r="A2775" t="s">
        <v>6192</v>
      </c>
      <c r="B2775" t="s">
        <v>1985</v>
      </c>
      <c r="C2775" t="s">
        <v>2174</v>
      </c>
      <c r="D2775" t="s">
        <v>56</v>
      </c>
      <c r="E2775" t="s">
        <v>2175</v>
      </c>
      <c r="F2775" t="s">
        <v>84</v>
      </c>
      <c r="G2775" s="202">
        <v>1</v>
      </c>
      <c r="H2775">
        <v>2</v>
      </c>
      <c r="I2775" t="s">
        <v>3960</v>
      </c>
      <c r="J2775" t="s">
        <v>4826</v>
      </c>
      <c r="K2775" t="s">
        <v>1283</v>
      </c>
      <c r="L2775" s="204">
        <v>0.72</v>
      </c>
      <c r="M2775" s="112">
        <v>119.79749999999999</v>
      </c>
      <c r="N2775" s="112">
        <v>86.254199999999983</v>
      </c>
      <c r="O2775" s="204"/>
      <c r="P2775" s="112"/>
      <c r="Q2775" s="112"/>
      <c r="R2775" s="112"/>
      <c r="S2775" s="112"/>
      <c r="T2775" s="112"/>
      <c r="U2775" t="s">
        <v>6193</v>
      </c>
      <c r="V2775" t="s">
        <v>6194</v>
      </c>
      <c r="W2775" t="s">
        <v>3958</v>
      </c>
      <c r="X2775" t="s">
        <v>4660</v>
      </c>
    </row>
    <row r="2776" spans="1:24" x14ac:dyDescent="0.2">
      <c r="A2776" t="s">
        <v>6192</v>
      </c>
      <c r="B2776" t="s">
        <v>1985</v>
      </c>
      <c r="C2776" t="s">
        <v>2174</v>
      </c>
      <c r="D2776" t="s">
        <v>56</v>
      </c>
      <c r="E2776" t="s">
        <v>2175</v>
      </c>
      <c r="F2776" t="s">
        <v>84</v>
      </c>
      <c r="G2776" s="202">
        <v>1</v>
      </c>
      <c r="H2776">
        <v>3</v>
      </c>
      <c r="I2776" t="s">
        <v>3976</v>
      </c>
      <c r="J2776" t="s">
        <v>4827</v>
      </c>
      <c r="K2776" t="s">
        <v>1283</v>
      </c>
      <c r="L2776" s="204">
        <v>0.05</v>
      </c>
      <c r="M2776" s="112">
        <v>119.79749999999999</v>
      </c>
      <c r="N2776" s="112">
        <v>5.9898749999999996</v>
      </c>
      <c r="O2776" s="204"/>
      <c r="P2776" s="112"/>
      <c r="Q2776" s="112"/>
      <c r="R2776" s="112"/>
      <c r="S2776" s="112"/>
      <c r="T2776" s="112"/>
      <c r="U2776" t="s">
        <v>6193</v>
      </c>
      <c r="V2776" t="s">
        <v>6194</v>
      </c>
      <c r="W2776" t="s">
        <v>3958</v>
      </c>
      <c r="X2776" t="s">
        <v>4660</v>
      </c>
    </row>
    <row r="2777" spans="1:24" x14ac:dyDescent="0.2">
      <c r="A2777" t="s">
        <v>6192</v>
      </c>
      <c r="B2777" t="s">
        <v>1985</v>
      </c>
      <c r="C2777" t="s">
        <v>2174</v>
      </c>
      <c r="D2777" t="s">
        <v>56</v>
      </c>
      <c r="E2777" t="s">
        <v>2175</v>
      </c>
      <c r="F2777" t="s">
        <v>84</v>
      </c>
      <c r="G2777" s="202">
        <v>1</v>
      </c>
      <c r="H2777">
        <v>4</v>
      </c>
      <c r="I2777" t="s">
        <v>4017</v>
      </c>
      <c r="J2777" t="s">
        <v>4809</v>
      </c>
      <c r="K2777" t="s">
        <v>1283</v>
      </c>
      <c r="L2777" s="204">
        <v>0.05</v>
      </c>
      <c r="M2777" s="112">
        <v>119.79749999999999</v>
      </c>
      <c r="N2777" s="112">
        <v>5.9898749999999996</v>
      </c>
      <c r="O2777" s="204"/>
      <c r="P2777" s="112"/>
      <c r="Q2777" s="112"/>
      <c r="R2777" s="112"/>
      <c r="S2777" s="112"/>
      <c r="T2777" s="112"/>
      <c r="U2777" t="s">
        <v>6193</v>
      </c>
      <c r="V2777" t="s">
        <v>6194</v>
      </c>
      <c r="W2777" t="s">
        <v>3958</v>
      </c>
      <c r="X2777" t="s">
        <v>4660</v>
      </c>
    </row>
    <row r="2778" spans="1:24" x14ac:dyDescent="0.2">
      <c r="A2778" t="s">
        <v>6192</v>
      </c>
      <c r="B2778" t="s">
        <v>1985</v>
      </c>
      <c r="C2778" t="s">
        <v>2174</v>
      </c>
      <c r="D2778" t="s">
        <v>56</v>
      </c>
      <c r="E2778" t="s">
        <v>2175</v>
      </c>
      <c r="F2778" t="s">
        <v>84</v>
      </c>
      <c r="G2778" s="202">
        <v>1</v>
      </c>
      <c r="H2778">
        <v>5</v>
      </c>
      <c r="I2778" t="s">
        <v>3968</v>
      </c>
      <c r="J2778" t="s">
        <v>3969</v>
      </c>
      <c r="K2778" t="s">
        <v>84</v>
      </c>
      <c r="L2778" s="204">
        <v>1</v>
      </c>
      <c r="M2778" s="112"/>
      <c r="N2778" s="112">
        <v>119.79749999999999</v>
      </c>
      <c r="O2778" s="204">
        <v>0.22222917840522549</v>
      </c>
      <c r="P2778" s="112">
        <v>26.622500000000002</v>
      </c>
      <c r="Q2778" s="112">
        <v>146.41999999999999</v>
      </c>
      <c r="R2778" s="112">
        <v>146.41999999999999</v>
      </c>
      <c r="S2778" s="112">
        <v>146.41999999999999</v>
      </c>
      <c r="T2778" s="112">
        <v>0</v>
      </c>
      <c r="U2778" t="s">
        <v>6193</v>
      </c>
      <c r="V2778" t="s">
        <v>6194</v>
      </c>
      <c r="W2778" t="s">
        <v>4666</v>
      </c>
      <c r="X2778" t="s">
        <v>4667</v>
      </c>
    </row>
    <row r="2779" spans="1:24" x14ac:dyDescent="0.2">
      <c r="A2779" t="s">
        <v>6195</v>
      </c>
      <c r="B2779" t="s">
        <v>2059</v>
      </c>
      <c r="C2779" t="s">
        <v>2176</v>
      </c>
      <c r="D2779" t="s">
        <v>56</v>
      </c>
      <c r="E2779" t="s">
        <v>2177</v>
      </c>
      <c r="F2779" t="s">
        <v>84</v>
      </c>
      <c r="G2779" s="202">
        <v>1</v>
      </c>
      <c r="H2779">
        <v>1</v>
      </c>
      <c r="I2779" t="s">
        <v>3954</v>
      </c>
      <c r="J2779" t="s">
        <v>4823</v>
      </c>
      <c r="K2779" t="s">
        <v>1283</v>
      </c>
      <c r="L2779" s="204">
        <v>0.18</v>
      </c>
      <c r="M2779" s="112">
        <v>109.29749999999999</v>
      </c>
      <c r="N2779" s="112">
        <v>19.673549999999995</v>
      </c>
      <c r="O2779" s="204"/>
      <c r="P2779" s="112"/>
      <c r="Q2779" s="112"/>
      <c r="R2779" s="112"/>
      <c r="S2779" s="112"/>
      <c r="T2779" s="112"/>
      <c r="U2779" t="s">
        <v>6196</v>
      </c>
      <c r="V2779" t="s">
        <v>6027</v>
      </c>
      <c r="W2779" t="s">
        <v>3958</v>
      </c>
      <c r="X2779" t="s">
        <v>4660</v>
      </c>
    </row>
    <row r="2780" spans="1:24" x14ac:dyDescent="0.2">
      <c r="A2780" t="s">
        <v>6195</v>
      </c>
      <c r="B2780" t="s">
        <v>2059</v>
      </c>
      <c r="C2780" t="s">
        <v>2176</v>
      </c>
      <c r="D2780" t="s">
        <v>56</v>
      </c>
      <c r="E2780" t="s">
        <v>2177</v>
      </c>
      <c r="F2780" t="s">
        <v>84</v>
      </c>
      <c r="G2780" s="202">
        <v>1</v>
      </c>
      <c r="H2780">
        <v>2</v>
      </c>
      <c r="I2780" t="s">
        <v>3960</v>
      </c>
      <c r="J2780" t="s">
        <v>4826</v>
      </c>
      <c r="K2780" t="s">
        <v>1283</v>
      </c>
      <c r="L2780" s="204">
        <v>0.72</v>
      </c>
      <c r="M2780" s="112">
        <v>109.29749999999999</v>
      </c>
      <c r="N2780" s="112">
        <v>78.694199999999981</v>
      </c>
      <c r="O2780" s="204"/>
      <c r="P2780" s="112"/>
      <c r="Q2780" s="112"/>
      <c r="R2780" s="112"/>
      <c r="S2780" s="112"/>
      <c r="T2780" s="112"/>
      <c r="U2780" t="s">
        <v>6196</v>
      </c>
      <c r="V2780" t="s">
        <v>6027</v>
      </c>
      <c r="W2780" t="s">
        <v>3958</v>
      </c>
      <c r="X2780" t="s">
        <v>4660</v>
      </c>
    </row>
    <row r="2781" spans="1:24" x14ac:dyDescent="0.2">
      <c r="A2781" t="s">
        <v>6195</v>
      </c>
      <c r="B2781" t="s">
        <v>2059</v>
      </c>
      <c r="C2781" t="s">
        <v>2176</v>
      </c>
      <c r="D2781" t="s">
        <v>56</v>
      </c>
      <c r="E2781" t="s">
        <v>2177</v>
      </c>
      <c r="F2781" t="s">
        <v>84</v>
      </c>
      <c r="G2781" s="202">
        <v>1</v>
      </c>
      <c r="H2781">
        <v>3</v>
      </c>
      <c r="I2781" t="s">
        <v>3976</v>
      </c>
      <c r="J2781" t="s">
        <v>4827</v>
      </c>
      <c r="K2781" t="s">
        <v>1283</v>
      </c>
      <c r="L2781" s="204">
        <v>0.05</v>
      </c>
      <c r="M2781" s="112">
        <v>109.29749999999999</v>
      </c>
      <c r="N2781" s="112">
        <v>5.4648749999999993</v>
      </c>
      <c r="O2781" s="204"/>
      <c r="P2781" s="112"/>
      <c r="Q2781" s="112"/>
      <c r="R2781" s="112"/>
      <c r="S2781" s="112"/>
      <c r="T2781" s="112"/>
      <c r="U2781" t="s">
        <v>6196</v>
      </c>
      <c r="V2781" t="s">
        <v>6027</v>
      </c>
      <c r="W2781" t="s">
        <v>3958</v>
      </c>
      <c r="X2781" t="s">
        <v>4660</v>
      </c>
    </row>
    <row r="2782" spans="1:24" x14ac:dyDescent="0.2">
      <c r="A2782" t="s">
        <v>6195</v>
      </c>
      <c r="B2782" t="s">
        <v>2059</v>
      </c>
      <c r="C2782" t="s">
        <v>2176</v>
      </c>
      <c r="D2782" t="s">
        <v>56</v>
      </c>
      <c r="E2782" t="s">
        <v>2177</v>
      </c>
      <c r="F2782" t="s">
        <v>84</v>
      </c>
      <c r="G2782" s="202">
        <v>1</v>
      </c>
      <c r="H2782">
        <v>4</v>
      </c>
      <c r="I2782" t="s">
        <v>4017</v>
      </c>
      <c r="J2782" t="s">
        <v>4809</v>
      </c>
      <c r="K2782" t="s">
        <v>1283</v>
      </c>
      <c r="L2782" s="204">
        <v>0.05</v>
      </c>
      <c r="M2782" s="112">
        <v>109.29749999999999</v>
      </c>
      <c r="N2782" s="112">
        <v>5.4648749999999993</v>
      </c>
      <c r="O2782" s="204"/>
      <c r="P2782" s="112"/>
      <c r="Q2782" s="112"/>
      <c r="R2782" s="112"/>
      <c r="S2782" s="112"/>
      <c r="T2782" s="112"/>
      <c r="U2782" t="s">
        <v>6196</v>
      </c>
      <c r="V2782" t="s">
        <v>6027</v>
      </c>
      <c r="W2782" t="s">
        <v>3958</v>
      </c>
      <c r="X2782" t="s">
        <v>4660</v>
      </c>
    </row>
    <row r="2783" spans="1:24" x14ac:dyDescent="0.2">
      <c r="A2783" t="s">
        <v>6195</v>
      </c>
      <c r="B2783" t="s">
        <v>2059</v>
      </c>
      <c r="C2783" t="s">
        <v>2176</v>
      </c>
      <c r="D2783" t="s">
        <v>56</v>
      </c>
      <c r="E2783" t="s">
        <v>2177</v>
      </c>
      <c r="F2783" t="s">
        <v>84</v>
      </c>
      <c r="G2783" s="202">
        <v>1</v>
      </c>
      <c r="H2783">
        <v>5</v>
      </c>
      <c r="I2783" t="s">
        <v>3968</v>
      </c>
      <c r="J2783" t="s">
        <v>3969</v>
      </c>
      <c r="K2783" t="s">
        <v>84</v>
      </c>
      <c r="L2783" s="204">
        <v>1</v>
      </c>
      <c r="M2783" s="112"/>
      <c r="N2783" s="112">
        <v>109.29749999999999</v>
      </c>
      <c r="O2783" s="204">
        <v>0.22226034447265519</v>
      </c>
      <c r="P2783" s="112">
        <v>24.292500000000018</v>
      </c>
      <c r="Q2783" s="112">
        <v>133.59</v>
      </c>
      <c r="R2783" s="112">
        <v>133.59</v>
      </c>
      <c r="S2783" s="112">
        <v>133.59</v>
      </c>
      <c r="T2783" s="112">
        <v>0</v>
      </c>
      <c r="U2783" t="s">
        <v>6196</v>
      </c>
      <c r="V2783" t="s">
        <v>6027</v>
      </c>
      <c r="W2783" t="s">
        <v>4666</v>
      </c>
      <c r="X2783" t="s">
        <v>4667</v>
      </c>
    </row>
    <row r="2784" spans="1:24" x14ac:dyDescent="0.2">
      <c r="A2784" t="s">
        <v>6197</v>
      </c>
      <c r="B2784" t="s">
        <v>2087</v>
      </c>
      <c r="C2784" t="s">
        <v>2178</v>
      </c>
      <c r="D2784" t="s">
        <v>335</v>
      </c>
      <c r="E2784" t="s">
        <v>1062</v>
      </c>
      <c r="F2784" t="s">
        <v>84</v>
      </c>
      <c r="G2784" s="202">
        <v>1</v>
      </c>
      <c r="H2784">
        <v>1</v>
      </c>
      <c r="I2784" t="s">
        <v>3954</v>
      </c>
      <c r="J2784" t="s">
        <v>4110</v>
      </c>
      <c r="K2784" t="s">
        <v>1283</v>
      </c>
      <c r="L2784" s="204">
        <v>0.3</v>
      </c>
      <c r="M2784" s="112">
        <v>432.32249999999999</v>
      </c>
      <c r="N2784" s="112">
        <v>129.69674999999998</v>
      </c>
      <c r="O2784" s="204"/>
      <c r="P2784" s="112"/>
      <c r="Q2784" s="112"/>
      <c r="R2784" s="112"/>
      <c r="S2784" s="112"/>
      <c r="T2784" s="112"/>
      <c r="U2784" t="s">
        <v>6198</v>
      </c>
      <c r="V2784" t="s">
        <v>6199</v>
      </c>
      <c r="W2784" t="s">
        <v>3958</v>
      </c>
      <c r="X2784" t="s">
        <v>4660</v>
      </c>
    </row>
    <row r="2785" spans="1:24" x14ac:dyDescent="0.2">
      <c r="A2785" t="s">
        <v>6197</v>
      </c>
      <c r="B2785" t="s">
        <v>2087</v>
      </c>
      <c r="C2785" t="s">
        <v>2178</v>
      </c>
      <c r="D2785" t="s">
        <v>335</v>
      </c>
      <c r="E2785" t="s">
        <v>1062</v>
      </c>
      <c r="F2785" t="s">
        <v>84</v>
      </c>
      <c r="G2785" s="202">
        <v>1</v>
      </c>
      <c r="H2785">
        <v>2</v>
      </c>
      <c r="I2785" t="s">
        <v>3960</v>
      </c>
      <c r="J2785" t="s">
        <v>4113</v>
      </c>
      <c r="K2785" t="s">
        <v>1283</v>
      </c>
      <c r="L2785" s="204">
        <v>0.55000000000000004</v>
      </c>
      <c r="M2785" s="112">
        <v>432.32249999999999</v>
      </c>
      <c r="N2785" s="112">
        <v>237.77737500000001</v>
      </c>
      <c r="O2785" s="204"/>
      <c r="P2785" s="112"/>
      <c r="Q2785" s="112"/>
      <c r="R2785" s="112"/>
      <c r="S2785" s="112"/>
      <c r="T2785" s="112"/>
      <c r="U2785" t="s">
        <v>6198</v>
      </c>
      <c r="V2785" t="s">
        <v>6199</v>
      </c>
      <c r="W2785" t="s">
        <v>3958</v>
      </c>
      <c r="X2785" t="s">
        <v>4660</v>
      </c>
    </row>
    <row r="2786" spans="1:24" x14ac:dyDescent="0.2">
      <c r="A2786" t="s">
        <v>6197</v>
      </c>
      <c r="B2786" t="s">
        <v>2087</v>
      </c>
      <c r="C2786" t="s">
        <v>2178</v>
      </c>
      <c r="D2786" t="s">
        <v>335</v>
      </c>
      <c r="E2786" t="s">
        <v>1062</v>
      </c>
      <c r="F2786" t="s">
        <v>84</v>
      </c>
      <c r="G2786" s="202">
        <v>1</v>
      </c>
      <c r="H2786">
        <v>3</v>
      </c>
      <c r="I2786" t="s">
        <v>3976</v>
      </c>
      <c r="J2786" t="s">
        <v>4114</v>
      </c>
      <c r="K2786" t="s">
        <v>1283</v>
      </c>
      <c r="L2786" s="204">
        <v>0.1</v>
      </c>
      <c r="M2786" s="112">
        <v>432.32249999999999</v>
      </c>
      <c r="N2786" s="112">
        <v>43.232250000000001</v>
      </c>
      <c r="O2786" s="204"/>
      <c r="P2786" s="112"/>
      <c r="Q2786" s="112"/>
      <c r="R2786" s="112"/>
      <c r="S2786" s="112"/>
      <c r="T2786" s="112"/>
      <c r="U2786" t="s">
        <v>6198</v>
      </c>
      <c r="V2786" t="s">
        <v>6199</v>
      </c>
      <c r="W2786" t="s">
        <v>3958</v>
      </c>
      <c r="X2786" t="s">
        <v>4660</v>
      </c>
    </row>
    <row r="2787" spans="1:24" x14ac:dyDescent="0.2">
      <c r="A2787" t="s">
        <v>6197</v>
      </c>
      <c r="B2787" t="s">
        <v>2087</v>
      </c>
      <c r="C2787" t="s">
        <v>2178</v>
      </c>
      <c r="D2787" t="s">
        <v>335</v>
      </c>
      <c r="E2787" t="s">
        <v>1062</v>
      </c>
      <c r="F2787" t="s">
        <v>84</v>
      </c>
      <c r="G2787" s="202">
        <v>1</v>
      </c>
      <c r="H2787">
        <v>4</v>
      </c>
      <c r="I2787" t="s">
        <v>4017</v>
      </c>
      <c r="J2787" t="s">
        <v>4115</v>
      </c>
      <c r="K2787" t="s">
        <v>1283</v>
      </c>
      <c r="L2787" s="204">
        <v>0.05</v>
      </c>
      <c r="M2787" s="112">
        <v>432.32249999999999</v>
      </c>
      <c r="N2787" s="112">
        <v>21.616125</v>
      </c>
      <c r="O2787" s="204"/>
      <c r="P2787" s="112"/>
      <c r="Q2787" s="112"/>
      <c r="R2787" s="112"/>
      <c r="S2787" s="112"/>
      <c r="T2787" s="112"/>
      <c r="U2787" t="s">
        <v>6198</v>
      </c>
      <c r="V2787" t="s">
        <v>6199</v>
      </c>
      <c r="W2787" t="s">
        <v>3958</v>
      </c>
      <c r="X2787" t="s">
        <v>4660</v>
      </c>
    </row>
    <row r="2788" spans="1:24" x14ac:dyDescent="0.2">
      <c r="A2788" t="s">
        <v>6197</v>
      </c>
      <c r="B2788" t="s">
        <v>2087</v>
      </c>
      <c r="C2788" t="s">
        <v>2178</v>
      </c>
      <c r="D2788" t="s">
        <v>335</v>
      </c>
      <c r="E2788" t="s">
        <v>1062</v>
      </c>
      <c r="F2788" t="s">
        <v>84</v>
      </c>
      <c r="G2788" s="202">
        <v>1</v>
      </c>
      <c r="H2788">
        <v>5</v>
      </c>
      <c r="I2788" t="s">
        <v>3968</v>
      </c>
      <c r="J2788" t="s">
        <v>3969</v>
      </c>
      <c r="K2788" t="s">
        <v>84</v>
      </c>
      <c r="L2788" s="204">
        <v>1</v>
      </c>
      <c r="M2788" s="112"/>
      <c r="N2788" s="112">
        <v>432.32249999999999</v>
      </c>
      <c r="O2788" s="204">
        <v>0.22228197699633956</v>
      </c>
      <c r="P2788" s="112">
        <v>96.097499999999968</v>
      </c>
      <c r="Q2788" s="112">
        <v>528.41999999999996</v>
      </c>
      <c r="R2788" s="112">
        <v>528.41999999999996</v>
      </c>
      <c r="S2788" s="112">
        <v>528.41999999999996</v>
      </c>
      <c r="T2788" s="112">
        <v>0</v>
      </c>
      <c r="U2788" t="s">
        <v>6198</v>
      </c>
      <c r="V2788" t="s">
        <v>6199</v>
      </c>
      <c r="W2788" t="s">
        <v>4666</v>
      </c>
      <c r="X2788" t="s">
        <v>4667</v>
      </c>
    </row>
    <row r="2789" spans="1:24" x14ac:dyDescent="0.2">
      <c r="A2789" t="s">
        <v>6200</v>
      </c>
      <c r="B2789" t="s">
        <v>2129</v>
      </c>
      <c r="C2789" t="s">
        <v>2179</v>
      </c>
      <c r="D2789" t="s">
        <v>24</v>
      </c>
      <c r="E2789" t="s">
        <v>1064</v>
      </c>
      <c r="F2789" t="s">
        <v>84</v>
      </c>
      <c r="G2789" s="202">
        <v>55</v>
      </c>
      <c r="H2789">
        <v>1</v>
      </c>
      <c r="I2789" t="s">
        <v>3954</v>
      </c>
      <c r="J2789" t="s">
        <v>4110</v>
      </c>
      <c r="K2789" t="s">
        <v>1283</v>
      </c>
      <c r="L2789" s="204">
        <v>0.3</v>
      </c>
      <c r="M2789" s="112">
        <v>33.494999999999997</v>
      </c>
      <c r="N2789" s="112">
        <v>10.048499999999999</v>
      </c>
      <c r="O2789" s="204"/>
      <c r="P2789" s="112"/>
      <c r="Q2789" s="112"/>
      <c r="R2789" s="112"/>
      <c r="S2789" s="112"/>
      <c r="T2789" s="112"/>
      <c r="U2789" t="s">
        <v>6201</v>
      </c>
      <c r="V2789" t="s">
        <v>6202</v>
      </c>
      <c r="W2789" t="s">
        <v>3958</v>
      </c>
      <c r="X2789" t="s">
        <v>4660</v>
      </c>
    </row>
    <row r="2790" spans="1:24" x14ac:dyDescent="0.2">
      <c r="A2790" t="s">
        <v>6200</v>
      </c>
      <c r="B2790" t="s">
        <v>2129</v>
      </c>
      <c r="C2790" t="s">
        <v>2179</v>
      </c>
      <c r="D2790" t="s">
        <v>24</v>
      </c>
      <c r="E2790" t="s">
        <v>1064</v>
      </c>
      <c r="F2790" t="s">
        <v>84</v>
      </c>
      <c r="G2790" s="202">
        <v>55</v>
      </c>
      <c r="H2790">
        <v>2</v>
      </c>
      <c r="I2790" t="s">
        <v>3960</v>
      </c>
      <c r="J2790" t="s">
        <v>4113</v>
      </c>
      <c r="K2790" t="s">
        <v>1283</v>
      </c>
      <c r="L2790" s="204">
        <v>0.55000000000000004</v>
      </c>
      <c r="M2790" s="112">
        <v>33.494999999999997</v>
      </c>
      <c r="N2790" s="112">
        <v>18.422250000000002</v>
      </c>
      <c r="O2790" s="204"/>
      <c r="P2790" s="112"/>
      <c r="Q2790" s="112"/>
      <c r="R2790" s="112"/>
      <c r="S2790" s="112"/>
      <c r="T2790" s="112"/>
      <c r="U2790" t="s">
        <v>6201</v>
      </c>
      <c r="V2790" t="s">
        <v>6202</v>
      </c>
      <c r="W2790" t="s">
        <v>3958</v>
      </c>
      <c r="X2790" t="s">
        <v>4660</v>
      </c>
    </row>
    <row r="2791" spans="1:24" x14ac:dyDescent="0.2">
      <c r="A2791" t="s">
        <v>6200</v>
      </c>
      <c r="B2791" t="s">
        <v>2129</v>
      </c>
      <c r="C2791" t="s">
        <v>2179</v>
      </c>
      <c r="D2791" t="s">
        <v>24</v>
      </c>
      <c r="E2791" t="s">
        <v>1064</v>
      </c>
      <c r="F2791" t="s">
        <v>84</v>
      </c>
      <c r="G2791" s="202">
        <v>55</v>
      </c>
      <c r="H2791">
        <v>3</v>
      </c>
      <c r="I2791" t="s">
        <v>3976</v>
      </c>
      <c r="J2791" t="s">
        <v>4114</v>
      </c>
      <c r="K2791" t="s">
        <v>1283</v>
      </c>
      <c r="L2791" s="204">
        <v>0.1</v>
      </c>
      <c r="M2791" s="112">
        <v>33.494999999999997</v>
      </c>
      <c r="N2791" s="112">
        <v>3.3494999999999999</v>
      </c>
      <c r="O2791" s="204"/>
      <c r="P2791" s="112"/>
      <c r="Q2791" s="112"/>
      <c r="R2791" s="112"/>
      <c r="S2791" s="112"/>
      <c r="T2791" s="112"/>
      <c r="U2791" t="s">
        <v>6201</v>
      </c>
      <c r="V2791" t="s">
        <v>6202</v>
      </c>
      <c r="W2791" t="s">
        <v>3958</v>
      </c>
      <c r="X2791" t="s">
        <v>4660</v>
      </c>
    </row>
    <row r="2792" spans="1:24" x14ac:dyDescent="0.2">
      <c r="A2792" t="s">
        <v>6200</v>
      </c>
      <c r="B2792" t="s">
        <v>2129</v>
      </c>
      <c r="C2792" t="s">
        <v>2179</v>
      </c>
      <c r="D2792" t="s">
        <v>24</v>
      </c>
      <c r="E2792" t="s">
        <v>1064</v>
      </c>
      <c r="F2792" t="s">
        <v>84</v>
      </c>
      <c r="G2792" s="202">
        <v>55</v>
      </c>
      <c r="H2792">
        <v>4</v>
      </c>
      <c r="I2792" t="s">
        <v>4017</v>
      </c>
      <c r="J2792" t="s">
        <v>4115</v>
      </c>
      <c r="K2792" t="s">
        <v>1283</v>
      </c>
      <c r="L2792" s="204">
        <v>0.05</v>
      </c>
      <c r="M2792" s="112">
        <v>33.494999999999997</v>
      </c>
      <c r="N2792" s="112">
        <v>1.67475</v>
      </c>
      <c r="O2792" s="204"/>
      <c r="P2792" s="112"/>
      <c r="Q2792" s="112"/>
      <c r="R2792" s="112"/>
      <c r="S2792" s="112"/>
      <c r="T2792" s="112"/>
      <c r="U2792" t="s">
        <v>6201</v>
      </c>
      <c r="V2792" t="s">
        <v>6202</v>
      </c>
      <c r="W2792" t="s">
        <v>3958</v>
      </c>
      <c r="X2792" t="s">
        <v>4660</v>
      </c>
    </row>
    <row r="2793" spans="1:24" x14ac:dyDescent="0.2">
      <c r="A2793" t="s">
        <v>6200</v>
      </c>
      <c r="B2793" t="s">
        <v>2129</v>
      </c>
      <c r="C2793" t="s">
        <v>2179</v>
      </c>
      <c r="D2793" t="s">
        <v>24</v>
      </c>
      <c r="E2793" t="s">
        <v>1064</v>
      </c>
      <c r="F2793" t="s">
        <v>84</v>
      </c>
      <c r="G2793" s="202">
        <v>55</v>
      </c>
      <c r="H2793">
        <v>5</v>
      </c>
      <c r="I2793" t="s">
        <v>3968</v>
      </c>
      <c r="J2793" t="s">
        <v>3969</v>
      </c>
      <c r="K2793" t="s">
        <v>84</v>
      </c>
      <c r="L2793" s="204">
        <v>1</v>
      </c>
      <c r="M2793" s="112"/>
      <c r="N2793" s="112">
        <v>33.494999999999997</v>
      </c>
      <c r="O2793" s="204">
        <v>0.2221199907720286</v>
      </c>
      <c r="P2793" s="112">
        <v>7.4399090909090972</v>
      </c>
      <c r="Q2793" s="112">
        <v>40.934909090909095</v>
      </c>
      <c r="R2793" s="112">
        <v>2251.42</v>
      </c>
      <c r="S2793" s="112">
        <v>2251.42</v>
      </c>
      <c r="T2793" s="112">
        <v>0</v>
      </c>
      <c r="U2793" t="s">
        <v>6201</v>
      </c>
      <c r="V2793" t="s">
        <v>6202</v>
      </c>
      <c r="W2793" t="s">
        <v>4666</v>
      </c>
      <c r="X2793" t="s">
        <v>4667</v>
      </c>
    </row>
    <row r="2794" spans="1:24" x14ac:dyDescent="0.2">
      <c r="A2794" t="s">
        <v>6203</v>
      </c>
      <c r="B2794" t="s">
        <v>2148</v>
      </c>
      <c r="C2794" t="s">
        <v>2180</v>
      </c>
      <c r="D2794" t="s">
        <v>56</v>
      </c>
      <c r="E2794" t="s">
        <v>2181</v>
      </c>
      <c r="F2794" t="s">
        <v>99</v>
      </c>
      <c r="G2794" s="202">
        <v>396.9</v>
      </c>
      <c r="H2794">
        <v>1</v>
      </c>
      <c r="I2794" t="s">
        <v>3954</v>
      </c>
      <c r="J2794" t="s">
        <v>4110</v>
      </c>
      <c r="K2794" t="s">
        <v>1283</v>
      </c>
      <c r="L2794" s="204">
        <v>0.3</v>
      </c>
      <c r="M2794" s="112">
        <v>59.752499999999998</v>
      </c>
      <c r="N2794" s="112">
        <v>17.925749999999997</v>
      </c>
      <c r="O2794" s="204"/>
      <c r="P2794" s="112"/>
      <c r="Q2794" s="112"/>
      <c r="R2794" s="112"/>
      <c r="S2794" s="112"/>
      <c r="T2794" s="112"/>
      <c r="U2794" t="s">
        <v>6204</v>
      </c>
      <c r="V2794" t="s">
        <v>6205</v>
      </c>
      <c r="W2794" t="s">
        <v>3958</v>
      </c>
      <c r="X2794" t="s">
        <v>4660</v>
      </c>
    </row>
    <row r="2795" spans="1:24" x14ac:dyDescent="0.2">
      <c r="A2795" t="s">
        <v>6203</v>
      </c>
      <c r="B2795" t="s">
        <v>2148</v>
      </c>
      <c r="C2795" t="s">
        <v>2180</v>
      </c>
      <c r="D2795" t="s">
        <v>56</v>
      </c>
      <c r="E2795" t="s">
        <v>2181</v>
      </c>
      <c r="F2795" t="s">
        <v>99</v>
      </c>
      <c r="G2795" s="202">
        <v>396.9</v>
      </c>
      <c r="H2795">
        <v>2</v>
      </c>
      <c r="I2795" t="s">
        <v>3960</v>
      </c>
      <c r="J2795" t="s">
        <v>4113</v>
      </c>
      <c r="K2795" t="s">
        <v>1283</v>
      </c>
      <c r="L2795" s="204">
        <v>0.55000000000000004</v>
      </c>
      <c r="M2795" s="112">
        <v>59.752499999999998</v>
      </c>
      <c r="N2795" s="112">
        <v>32.863875</v>
      </c>
      <c r="O2795" s="204"/>
      <c r="P2795" s="112"/>
      <c r="Q2795" s="112"/>
      <c r="R2795" s="112"/>
      <c r="S2795" s="112"/>
      <c r="T2795" s="112"/>
      <c r="U2795" t="s">
        <v>6204</v>
      </c>
      <c r="V2795" t="s">
        <v>6205</v>
      </c>
      <c r="W2795" t="s">
        <v>3958</v>
      </c>
      <c r="X2795" t="s">
        <v>4660</v>
      </c>
    </row>
    <row r="2796" spans="1:24" x14ac:dyDescent="0.2">
      <c r="A2796" t="s">
        <v>6203</v>
      </c>
      <c r="B2796" t="s">
        <v>2148</v>
      </c>
      <c r="C2796" t="s">
        <v>2180</v>
      </c>
      <c r="D2796" t="s">
        <v>56</v>
      </c>
      <c r="E2796" t="s">
        <v>2181</v>
      </c>
      <c r="F2796" t="s">
        <v>99</v>
      </c>
      <c r="G2796" s="202">
        <v>396.9</v>
      </c>
      <c r="H2796">
        <v>3</v>
      </c>
      <c r="I2796" t="s">
        <v>3976</v>
      </c>
      <c r="J2796" t="s">
        <v>4114</v>
      </c>
      <c r="K2796" t="s">
        <v>1283</v>
      </c>
      <c r="L2796" s="204">
        <v>0.1</v>
      </c>
      <c r="M2796" s="112">
        <v>59.752499999999998</v>
      </c>
      <c r="N2796" s="112">
        <v>5.97525</v>
      </c>
      <c r="O2796" s="204"/>
      <c r="P2796" s="112"/>
      <c r="Q2796" s="112"/>
      <c r="R2796" s="112"/>
      <c r="S2796" s="112"/>
      <c r="T2796" s="112"/>
      <c r="U2796" t="s">
        <v>6204</v>
      </c>
      <c r="V2796" t="s">
        <v>6205</v>
      </c>
      <c r="W2796" t="s">
        <v>3958</v>
      </c>
      <c r="X2796" t="s">
        <v>4660</v>
      </c>
    </row>
    <row r="2797" spans="1:24" x14ac:dyDescent="0.2">
      <c r="A2797" t="s">
        <v>6203</v>
      </c>
      <c r="B2797" t="s">
        <v>2148</v>
      </c>
      <c r="C2797" t="s">
        <v>2180</v>
      </c>
      <c r="D2797" t="s">
        <v>56</v>
      </c>
      <c r="E2797" t="s">
        <v>2181</v>
      </c>
      <c r="F2797" t="s">
        <v>99</v>
      </c>
      <c r="G2797" s="202">
        <v>396.9</v>
      </c>
      <c r="H2797">
        <v>4</v>
      </c>
      <c r="I2797" t="s">
        <v>4017</v>
      </c>
      <c r="J2797" t="s">
        <v>4115</v>
      </c>
      <c r="K2797" t="s">
        <v>1283</v>
      </c>
      <c r="L2797" s="204">
        <v>0.05</v>
      </c>
      <c r="M2797" s="112">
        <v>59.752499999999998</v>
      </c>
      <c r="N2797" s="112">
        <v>2.987625</v>
      </c>
      <c r="O2797" s="204"/>
      <c r="P2797" s="112"/>
      <c r="Q2797" s="112"/>
      <c r="R2797" s="112"/>
      <c r="S2797" s="112"/>
      <c r="T2797" s="112"/>
      <c r="U2797" t="s">
        <v>6204</v>
      </c>
      <c r="V2797" t="s">
        <v>6205</v>
      </c>
      <c r="W2797" t="s">
        <v>3958</v>
      </c>
      <c r="X2797" t="s">
        <v>4660</v>
      </c>
    </row>
    <row r="2798" spans="1:24" x14ac:dyDescent="0.2">
      <c r="A2798" t="s">
        <v>6203</v>
      </c>
      <c r="B2798" t="s">
        <v>2148</v>
      </c>
      <c r="C2798" t="s">
        <v>2180</v>
      </c>
      <c r="D2798" t="s">
        <v>56</v>
      </c>
      <c r="E2798" t="s">
        <v>2181</v>
      </c>
      <c r="F2798" t="s">
        <v>99</v>
      </c>
      <c r="G2798" s="202">
        <v>396.9</v>
      </c>
      <c r="H2798">
        <v>5</v>
      </c>
      <c r="I2798" t="s">
        <v>3968</v>
      </c>
      <c r="J2798" t="s">
        <v>3969</v>
      </c>
      <c r="K2798" t="s">
        <v>99</v>
      </c>
      <c r="L2798" s="204">
        <v>1</v>
      </c>
      <c r="M2798" s="112"/>
      <c r="N2798" s="112">
        <v>59.752499999999998</v>
      </c>
      <c r="O2798" s="204">
        <v>0.22229189106247471</v>
      </c>
      <c r="P2798" s="112">
        <v>13.282496220710513</v>
      </c>
      <c r="Q2798" s="112">
        <v>73.034996220710511</v>
      </c>
      <c r="R2798" s="112">
        <v>28987.59</v>
      </c>
      <c r="S2798" s="112">
        <v>28987.59</v>
      </c>
      <c r="T2798" s="112">
        <v>0</v>
      </c>
      <c r="U2798" t="s">
        <v>6204</v>
      </c>
      <c r="V2798" t="s">
        <v>6205</v>
      </c>
      <c r="W2798" t="s">
        <v>4666</v>
      </c>
      <c r="X2798" t="s">
        <v>4667</v>
      </c>
    </row>
    <row r="2799" spans="1:24" x14ac:dyDescent="0.2">
      <c r="A2799" t="s">
        <v>6206</v>
      </c>
      <c r="B2799" t="s">
        <v>2182</v>
      </c>
      <c r="C2799" t="s">
        <v>2183</v>
      </c>
      <c r="D2799" t="s">
        <v>56</v>
      </c>
      <c r="E2799" t="s">
        <v>1066</v>
      </c>
      <c r="F2799" t="s">
        <v>99</v>
      </c>
      <c r="G2799" s="202">
        <v>207.5</v>
      </c>
      <c r="H2799">
        <v>1</v>
      </c>
      <c r="I2799" t="s">
        <v>3954</v>
      </c>
      <c r="J2799" t="s">
        <v>4110</v>
      </c>
      <c r="K2799" t="s">
        <v>1283</v>
      </c>
      <c r="L2799" s="204">
        <v>0.3</v>
      </c>
      <c r="M2799" s="112">
        <v>44.2425</v>
      </c>
      <c r="N2799" s="112">
        <v>13.27275</v>
      </c>
      <c r="O2799" s="204"/>
      <c r="P2799" s="112"/>
      <c r="Q2799" s="112"/>
      <c r="R2799" s="112"/>
      <c r="S2799" s="112"/>
      <c r="T2799" s="112"/>
      <c r="U2799" t="s">
        <v>6207</v>
      </c>
      <c r="V2799" t="s">
        <v>6208</v>
      </c>
      <c r="W2799" t="s">
        <v>3958</v>
      </c>
      <c r="X2799" t="s">
        <v>4660</v>
      </c>
    </row>
    <row r="2800" spans="1:24" x14ac:dyDescent="0.2">
      <c r="A2800" t="s">
        <v>6206</v>
      </c>
      <c r="B2800" t="s">
        <v>2182</v>
      </c>
      <c r="C2800" t="s">
        <v>2183</v>
      </c>
      <c r="D2800" t="s">
        <v>56</v>
      </c>
      <c r="E2800" t="s">
        <v>1066</v>
      </c>
      <c r="F2800" t="s">
        <v>99</v>
      </c>
      <c r="G2800" s="202">
        <v>207.5</v>
      </c>
      <c r="H2800">
        <v>2</v>
      </c>
      <c r="I2800" t="s">
        <v>3960</v>
      </c>
      <c r="J2800" t="s">
        <v>4113</v>
      </c>
      <c r="K2800" t="s">
        <v>1283</v>
      </c>
      <c r="L2800" s="204">
        <v>0.55000000000000004</v>
      </c>
      <c r="M2800" s="112">
        <v>44.2425</v>
      </c>
      <c r="N2800" s="112">
        <v>24.333375</v>
      </c>
      <c r="O2800" s="204"/>
      <c r="P2800" s="112"/>
      <c r="Q2800" s="112"/>
      <c r="R2800" s="112"/>
      <c r="S2800" s="112"/>
      <c r="T2800" s="112"/>
      <c r="U2800" t="s">
        <v>6207</v>
      </c>
      <c r="V2800" t="s">
        <v>6208</v>
      </c>
      <c r="W2800" t="s">
        <v>3958</v>
      </c>
      <c r="X2800" t="s">
        <v>4660</v>
      </c>
    </row>
    <row r="2801" spans="1:24" x14ac:dyDescent="0.2">
      <c r="A2801" t="s">
        <v>6206</v>
      </c>
      <c r="B2801" t="s">
        <v>2182</v>
      </c>
      <c r="C2801" t="s">
        <v>2183</v>
      </c>
      <c r="D2801" t="s">
        <v>56</v>
      </c>
      <c r="E2801" t="s">
        <v>1066</v>
      </c>
      <c r="F2801" t="s">
        <v>99</v>
      </c>
      <c r="G2801" s="202">
        <v>207.5</v>
      </c>
      <c r="H2801">
        <v>3</v>
      </c>
      <c r="I2801" t="s">
        <v>3976</v>
      </c>
      <c r="J2801" t="s">
        <v>4114</v>
      </c>
      <c r="K2801" t="s">
        <v>1283</v>
      </c>
      <c r="L2801" s="204">
        <v>0.1</v>
      </c>
      <c r="M2801" s="112">
        <v>44.2425</v>
      </c>
      <c r="N2801" s="112">
        <v>4.4242499999999998</v>
      </c>
      <c r="O2801" s="204"/>
      <c r="P2801" s="112"/>
      <c r="Q2801" s="112"/>
      <c r="R2801" s="112"/>
      <c r="S2801" s="112"/>
      <c r="T2801" s="112"/>
      <c r="U2801" t="s">
        <v>6207</v>
      </c>
      <c r="V2801" t="s">
        <v>6208</v>
      </c>
      <c r="W2801" t="s">
        <v>3958</v>
      </c>
      <c r="X2801" t="s">
        <v>4660</v>
      </c>
    </row>
    <row r="2802" spans="1:24" x14ac:dyDescent="0.2">
      <c r="A2802" t="s">
        <v>6206</v>
      </c>
      <c r="B2802" t="s">
        <v>2182</v>
      </c>
      <c r="C2802" t="s">
        <v>2183</v>
      </c>
      <c r="D2802" t="s">
        <v>56</v>
      </c>
      <c r="E2802" t="s">
        <v>1066</v>
      </c>
      <c r="F2802" t="s">
        <v>99</v>
      </c>
      <c r="G2802" s="202">
        <v>207.5</v>
      </c>
      <c r="H2802">
        <v>4</v>
      </c>
      <c r="I2802" t="s">
        <v>4017</v>
      </c>
      <c r="J2802" t="s">
        <v>4115</v>
      </c>
      <c r="K2802" t="s">
        <v>1283</v>
      </c>
      <c r="L2802" s="204">
        <v>0.05</v>
      </c>
      <c r="M2802" s="112">
        <v>44.2425</v>
      </c>
      <c r="N2802" s="112">
        <v>2.2121249999999999</v>
      </c>
      <c r="O2802" s="204"/>
      <c r="P2802" s="112"/>
      <c r="Q2802" s="112"/>
      <c r="R2802" s="112"/>
      <c r="S2802" s="112"/>
      <c r="T2802" s="112"/>
      <c r="U2802" t="s">
        <v>6207</v>
      </c>
      <c r="V2802" t="s">
        <v>6208</v>
      </c>
      <c r="W2802" t="s">
        <v>3958</v>
      </c>
      <c r="X2802" t="s">
        <v>4660</v>
      </c>
    </row>
    <row r="2803" spans="1:24" x14ac:dyDescent="0.2">
      <c r="A2803" t="s">
        <v>6206</v>
      </c>
      <c r="B2803" t="s">
        <v>2182</v>
      </c>
      <c r="C2803" t="s">
        <v>2183</v>
      </c>
      <c r="D2803" t="s">
        <v>56</v>
      </c>
      <c r="E2803" t="s">
        <v>1066</v>
      </c>
      <c r="F2803" t="s">
        <v>99</v>
      </c>
      <c r="G2803" s="202">
        <v>207.5</v>
      </c>
      <c r="H2803">
        <v>5</v>
      </c>
      <c r="I2803" t="s">
        <v>3968</v>
      </c>
      <c r="J2803" t="s">
        <v>3969</v>
      </c>
      <c r="K2803" t="s">
        <v>99</v>
      </c>
      <c r="L2803" s="204">
        <v>1</v>
      </c>
      <c r="M2803" s="112"/>
      <c r="N2803" s="112">
        <v>44.2425</v>
      </c>
      <c r="O2803" s="204">
        <v>0.2222407854847086</v>
      </c>
      <c r="P2803" s="112">
        <v>9.8324879518072237</v>
      </c>
      <c r="Q2803" s="112">
        <v>54.074987951807223</v>
      </c>
      <c r="R2803" s="112">
        <v>11220.56</v>
      </c>
      <c r="S2803" s="112">
        <v>11220.56</v>
      </c>
      <c r="T2803" s="112">
        <v>0</v>
      </c>
      <c r="U2803" t="s">
        <v>6207</v>
      </c>
      <c r="V2803" t="s">
        <v>6208</v>
      </c>
      <c r="W2803" t="s">
        <v>4666</v>
      </c>
      <c r="X2803" t="s">
        <v>4667</v>
      </c>
    </row>
    <row r="2804" spans="1:24" x14ac:dyDescent="0.2">
      <c r="A2804" t="s">
        <v>6209</v>
      </c>
      <c r="B2804" t="s">
        <v>2184</v>
      </c>
      <c r="C2804" t="s">
        <v>2185</v>
      </c>
      <c r="D2804" t="s">
        <v>209</v>
      </c>
      <c r="E2804" t="s">
        <v>1068</v>
      </c>
      <c r="F2804" t="s">
        <v>99</v>
      </c>
      <c r="G2804" s="202">
        <v>152.5</v>
      </c>
      <c r="H2804">
        <v>1</v>
      </c>
      <c r="I2804" t="s">
        <v>3954</v>
      </c>
      <c r="J2804" t="s">
        <v>4110</v>
      </c>
      <c r="K2804" t="s">
        <v>1283</v>
      </c>
      <c r="L2804" s="204">
        <v>0.3</v>
      </c>
      <c r="M2804" s="112">
        <v>24.427500000000002</v>
      </c>
      <c r="N2804" s="112">
        <v>7.3282500000000006</v>
      </c>
      <c r="O2804" s="204"/>
      <c r="P2804" s="112"/>
      <c r="Q2804" s="112"/>
      <c r="R2804" s="112"/>
      <c r="S2804" s="112"/>
      <c r="T2804" s="112"/>
      <c r="U2804" t="s">
        <v>4476</v>
      </c>
      <c r="V2804" t="s">
        <v>4477</v>
      </c>
      <c r="W2804" t="s">
        <v>3958</v>
      </c>
      <c r="X2804" t="s">
        <v>4660</v>
      </c>
    </row>
    <row r="2805" spans="1:24" x14ac:dyDescent="0.2">
      <c r="A2805" t="s">
        <v>6209</v>
      </c>
      <c r="B2805" t="s">
        <v>2184</v>
      </c>
      <c r="C2805" t="s">
        <v>2185</v>
      </c>
      <c r="D2805" t="s">
        <v>209</v>
      </c>
      <c r="E2805" t="s">
        <v>1068</v>
      </c>
      <c r="F2805" t="s">
        <v>99</v>
      </c>
      <c r="G2805" s="202">
        <v>152.5</v>
      </c>
      <c r="H2805">
        <v>2</v>
      </c>
      <c r="I2805" t="s">
        <v>3960</v>
      </c>
      <c r="J2805" t="s">
        <v>4113</v>
      </c>
      <c r="K2805" t="s">
        <v>1283</v>
      </c>
      <c r="L2805" s="204">
        <v>0.55000000000000004</v>
      </c>
      <c r="M2805" s="112">
        <v>24.427500000000002</v>
      </c>
      <c r="N2805" s="112">
        <v>13.435125000000003</v>
      </c>
      <c r="O2805" s="204"/>
      <c r="P2805" s="112"/>
      <c r="Q2805" s="112"/>
      <c r="R2805" s="112"/>
      <c r="S2805" s="112"/>
      <c r="T2805" s="112"/>
      <c r="U2805" t="s">
        <v>4476</v>
      </c>
      <c r="V2805" t="s">
        <v>4477</v>
      </c>
      <c r="W2805" t="s">
        <v>3958</v>
      </c>
      <c r="X2805" t="s">
        <v>4660</v>
      </c>
    </row>
    <row r="2806" spans="1:24" x14ac:dyDescent="0.2">
      <c r="A2806" t="s">
        <v>6209</v>
      </c>
      <c r="B2806" t="s">
        <v>2184</v>
      </c>
      <c r="C2806" t="s">
        <v>2185</v>
      </c>
      <c r="D2806" t="s">
        <v>209</v>
      </c>
      <c r="E2806" t="s">
        <v>1068</v>
      </c>
      <c r="F2806" t="s">
        <v>99</v>
      </c>
      <c r="G2806" s="202">
        <v>152.5</v>
      </c>
      <c r="H2806">
        <v>3</v>
      </c>
      <c r="I2806" t="s">
        <v>3976</v>
      </c>
      <c r="J2806" t="s">
        <v>4114</v>
      </c>
      <c r="K2806" t="s">
        <v>1283</v>
      </c>
      <c r="L2806" s="204">
        <v>0.1</v>
      </c>
      <c r="M2806" s="112">
        <v>24.427500000000002</v>
      </c>
      <c r="N2806" s="112">
        <v>2.4427500000000002</v>
      </c>
      <c r="O2806" s="204"/>
      <c r="P2806" s="112"/>
      <c r="Q2806" s="112"/>
      <c r="R2806" s="112"/>
      <c r="S2806" s="112"/>
      <c r="T2806" s="112"/>
      <c r="U2806" t="s">
        <v>4476</v>
      </c>
      <c r="V2806" t="s">
        <v>4477</v>
      </c>
      <c r="W2806" t="s">
        <v>3958</v>
      </c>
      <c r="X2806" t="s">
        <v>4660</v>
      </c>
    </row>
    <row r="2807" spans="1:24" x14ac:dyDescent="0.2">
      <c r="A2807" t="s">
        <v>6209</v>
      </c>
      <c r="B2807" t="s">
        <v>2184</v>
      </c>
      <c r="C2807" t="s">
        <v>2185</v>
      </c>
      <c r="D2807" t="s">
        <v>209</v>
      </c>
      <c r="E2807" t="s">
        <v>1068</v>
      </c>
      <c r="F2807" t="s">
        <v>99</v>
      </c>
      <c r="G2807" s="202">
        <v>152.5</v>
      </c>
      <c r="H2807">
        <v>4</v>
      </c>
      <c r="I2807" t="s">
        <v>4017</v>
      </c>
      <c r="J2807" t="s">
        <v>4115</v>
      </c>
      <c r="K2807" t="s">
        <v>1283</v>
      </c>
      <c r="L2807" s="204">
        <v>0.05</v>
      </c>
      <c r="M2807" s="112">
        <v>24.427500000000002</v>
      </c>
      <c r="N2807" s="112">
        <v>1.2213750000000001</v>
      </c>
      <c r="O2807" s="204"/>
      <c r="P2807" s="112"/>
      <c r="Q2807" s="112"/>
      <c r="R2807" s="112"/>
      <c r="S2807" s="112"/>
      <c r="T2807" s="112"/>
      <c r="U2807" t="s">
        <v>4476</v>
      </c>
      <c r="V2807" t="s">
        <v>4477</v>
      </c>
      <c r="W2807" t="s">
        <v>3958</v>
      </c>
      <c r="X2807" t="s">
        <v>4660</v>
      </c>
    </row>
    <row r="2808" spans="1:24" x14ac:dyDescent="0.2">
      <c r="A2808" t="s">
        <v>6209</v>
      </c>
      <c r="B2808" t="s">
        <v>2184</v>
      </c>
      <c r="C2808" t="s">
        <v>2185</v>
      </c>
      <c r="D2808" t="s">
        <v>209</v>
      </c>
      <c r="E2808" t="s">
        <v>1068</v>
      </c>
      <c r="F2808" t="s">
        <v>99</v>
      </c>
      <c r="G2808" s="202">
        <v>152.5</v>
      </c>
      <c r="H2808">
        <v>5</v>
      </c>
      <c r="I2808" t="s">
        <v>3968</v>
      </c>
      <c r="J2808" t="s">
        <v>3969</v>
      </c>
      <c r="K2808" t="s">
        <v>99</v>
      </c>
      <c r="L2808" s="204">
        <v>1</v>
      </c>
      <c r="M2808" s="112"/>
      <c r="N2808" s="112">
        <v>24.427500000000002</v>
      </c>
      <c r="O2808" s="204">
        <v>0.22228810246446917</v>
      </c>
      <c r="P2808" s="112">
        <v>5.4299426229508185</v>
      </c>
      <c r="Q2808" s="112">
        <v>29.857442622950821</v>
      </c>
      <c r="R2808" s="112">
        <v>4553.26</v>
      </c>
      <c r="S2808" s="112">
        <v>4553.26</v>
      </c>
      <c r="T2808" s="112">
        <v>0</v>
      </c>
      <c r="U2808" t="s">
        <v>4476</v>
      </c>
      <c r="V2808" t="s">
        <v>4477</v>
      </c>
      <c r="W2808" t="s">
        <v>4666</v>
      </c>
      <c r="X2808" t="s">
        <v>4667</v>
      </c>
    </row>
    <row r="2809" spans="1:24" x14ac:dyDescent="0.2">
      <c r="A2809" t="s">
        <v>6210</v>
      </c>
      <c r="B2809" t="s">
        <v>2186</v>
      </c>
      <c r="C2809" t="s">
        <v>1069</v>
      </c>
      <c r="D2809" t="s">
        <v>209</v>
      </c>
      <c r="E2809" t="s">
        <v>1070</v>
      </c>
      <c r="F2809" t="s">
        <v>84</v>
      </c>
      <c r="G2809" s="202">
        <v>1</v>
      </c>
      <c r="H2809">
        <v>1</v>
      </c>
      <c r="I2809" t="s">
        <v>3954</v>
      </c>
      <c r="J2809" t="s">
        <v>4823</v>
      </c>
      <c r="K2809" t="s">
        <v>1283</v>
      </c>
      <c r="L2809" s="204">
        <v>0.18</v>
      </c>
      <c r="M2809" s="112">
        <v>486.12749999999994</v>
      </c>
      <c r="N2809" s="112">
        <v>87.502949999999984</v>
      </c>
      <c r="O2809" s="204"/>
      <c r="P2809" s="112"/>
      <c r="Q2809" s="112"/>
      <c r="R2809" s="112"/>
      <c r="S2809" s="112"/>
      <c r="T2809" s="112"/>
      <c r="U2809" t="s">
        <v>4524</v>
      </c>
      <c r="V2809" t="s">
        <v>4525</v>
      </c>
      <c r="W2809" t="s">
        <v>3958</v>
      </c>
      <c r="X2809" t="s">
        <v>4660</v>
      </c>
    </row>
    <row r="2810" spans="1:24" x14ac:dyDescent="0.2">
      <c r="A2810" t="s">
        <v>6210</v>
      </c>
      <c r="B2810" t="s">
        <v>2186</v>
      </c>
      <c r="C2810" t="s">
        <v>1069</v>
      </c>
      <c r="D2810" t="s">
        <v>209</v>
      </c>
      <c r="E2810" t="s">
        <v>1070</v>
      </c>
      <c r="F2810" t="s">
        <v>84</v>
      </c>
      <c r="G2810" s="202">
        <v>1</v>
      </c>
      <c r="H2810">
        <v>2</v>
      </c>
      <c r="I2810" t="s">
        <v>3960</v>
      </c>
      <c r="J2810" t="s">
        <v>4826</v>
      </c>
      <c r="K2810" t="s">
        <v>1283</v>
      </c>
      <c r="L2810" s="204">
        <v>0.72</v>
      </c>
      <c r="M2810" s="112">
        <v>486.12749999999994</v>
      </c>
      <c r="N2810" s="112">
        <v>350.01179999999994</v>
      </c>
      <c r="O2810" s="204"/>
      <c r="P2810" s="112"/>
      <c r="Q2810" s="112"/>
      <c r="R2810" s="112"/>
      <c r="S2810" s="112"/>
      <c r="T2810" s="112"/>
      <c r="U2810" t="s">
        <v>4524</v>
      </c>
      <c r="V2810" t="s">
        <v>4525</v>
      </c>
      <c r="W2810" t="s">
        <v>3958</v>
      </c>
      <c r="X2810" t="s">
        <v>4660</v>
      </c>
    </row>
    <row r="2811" spans="1:24" x14ac:dyDescent="0.2">
      <c r="A2811" t="s">
        <v>6210</v>
      </c>
      <c r="B2811" t="s">
        <v>2186</v>
      </c>
      <c r="C2811" t="s">
        <v>1069</v>
      </c>
      <c r="D2811" t="s">
        <v>209</v>
      </c>
      <c r="E2811" t="s">
        <v>1070</v>
      </c>
      <c r="F2811" t="s">
        <v>84</v>
      </c>
      <c r="G2811" s="202">
        <v>1</v>
      </c>
      <c r="H2811">
        <v>3</v>
      </c>
      <c r="I2811" t="s">
        <v>3976</v>
      </c>
      <c r="J2811" t="s">
        <v>4827</v>
      </c>
      <c r="K2811" t="s">
        <v>1283</v>
      </c>
      <c r="L2811" s="204">
        <v>0.05</v>
      </c>
      <c r="M2811" s="112">
        <v>486.12749999999994</v>
      </c>
      <c r="N2811" s="112">
        <v>24.306374999999999</v>
      </c>
      <c r="O2811" s="204"/>
      <c r="P2811" s="112"/>
      <c r="Q2811" s="112"/>
      <c r="R2811" s="112"/>
      <c r="S2811" s="112"/>
      <c r="T2811" s="112"/>
      <c r="U2811" t="s">
        <v>4524</v>
      </c>
      <c r="V2811" t="s">
        <v>4525</v>
      </c>
      <c r="W2811" t="s">
        <v>3958</v>
      </c>
      <c r="X2811" t="s">
        <v>4660</v>
      </c>
    </row>
    <row r="2812" spans="1:24" x14ac:dyDescent="0.2">
      <c r="A2812" t="s">
        <v>6210</v>
      </c>
      <c r="B2812" t="s">
        <v>2186</v>
      </c>
      <c r="C2812" t="s">
        <v>1069</v>
      </c>
      <c r="D2812" t="s">
        <v>209</v>
      </c>
      <c r="E2812" t="s">
        <v>1070</v>
      </c>
      <c r="F2812" t="s">
        <v>84</v>
      </c>
      <c r="G2812" s="202">
        <v>1</v>
      </c>
      <c r="H2812">
        <v>4</v>
      </c>
      <c r="I2812" t="s">
        <v>4017</v>
      </c>
      <c r="J2812" t="s">
        <v>4809</v>
      </c>
      <c r="K2812" t="s">
        <v>1283</v>
      </c>
      <c r="L2812" s="204">
        <v>0.05</v>
      </c>
      <c r="M2812" s="112">
        <v>486.12749999999994</v>
      </c>
      <c r="N2812" s="112">
        <v>24.306374999999999</v>
      </c>
      <c r="O2812" s="204"/>
      <c r="P2812" s="112"/>
      <c r="Q2812" s="112"/>
      <c r="R2812" s="112"/>
      <c r="S2812" s="112"/>
      <c r="T2812" s="112"/>
      <c r="U2812" t="s">
        <v>4524</v>
      </c>
      <c r="V2812" t="s">
        <v>4525</v>
      </c>
      <c r="W2812" t="s">
        <v>3958</v>
      </c>
      <c r="X2812" t="s">
        <v>4660</v>
      </c>
    </row>
    <row r="2813" spans="1:24" x14ac:dyDescent="0.2">
      <c r="A2813" t="s">
        <v>6210</v>
      </c>
      <c r="B2813" t="s">
        <v>2186</v>
      </c>
      <c r="C2813" t="s">
        <v>1069</v>
      </c>
      <c r="D2813" t="s">
        <v>209</v>
      </c>
      <c r="E2813" t="s">
        <v>1070</v>
      </c>
      <c r="F2813" t="s">
        <v>84</v>
      </c>
      <c r="G2813" s="202">
        <v>1</v>
      </c>
      <c r="H2813">
        <v>5</v>
      </c>
      <c r="I2813" t="s">
        <v>3968</v>
      </c>
      <c r="J2813" t="s">
        <v>3969</v>
      </c>
      <c r="K2813" t="s">
        <v>84</v>
      </c>
      <c r="L2813" s="204">
        <v>1</v>
      </c>
      <c r="M2813" s="112"/>
      <c r="N2813" s="112">
        <v>486.12749999999994</v>
      </c>
      <c r="O2813" s="204">
        <v>0.22227193483191132</v>
      </c>
      <c r="P2813" s="112">
        <v>108.05250000000001</v>
      </c>
      <c r="Q2813" s="112">
        <v>594.17999999999995</v>
      </c>
      <c r="R2813" s="112">
        <v>594.17999999999995</v>
      </c>
      <c r="S2813" s="112">
        <v>594.17999999999995</v>
      </c>
      <c r="T2813" s="112">
        <v>0</v>
      </c>
      <c r="U2813" t="s">
        <v>4524</v>
      </c>
      <c r="V2813" t="s">
        <v>4525</v>
      </c>
      <c r="W2813" t="s">
        <v>4666</v>
      </c>
      <c r="X2813" t="s">
        <v>4667</v>
      </c>
    </row>
    <row r="2814" spans="1:24" x14ac:dyDescent="0.2">
      <c r="A2814" t="s">
        <v>6211</v>
      </c>
      <c r="B2814" t="s">
        <v>2187</v>
      </c>
      <c r="C2814" t="s">
        <v>2188</v>
      </c>
      <c r="D2814" t="s">
        <v>56</v>
      </c>
      <c r="E2814" t="s">
        <v>1074</v>
      </c>
      <c r="F2814" t="s">
        <v>26</v>
      </c>
      <c r="G2814" s="202">
        <v>1131.723</v>
      </c>
      <c r="H2814">
        <v>1</v>
      </c>
      <c r="I2814" t="s">
        <v>3954</v>
      </c>
      <c r="J2814" t="s">
        <v>4847</v>
      </c>
      <c r="K2814" t="s">
        <v>1283</v>
      </c>
      <c r="L2814" s="204">
        <v>0.24</v>
      </c>
      <c r="M2814" s="112">
        <v>25.102499999999999</v>
      </c>
      <c r="N2814" s="112">
        <v>6.0245999999999995</v>
      </c>
      <c r="O2814" s="204"/>
      <c r="P2814" s="112"/>
      <c r="Q2814" s="112"/>
      <c r="R2814" s="112"/>
      <c r="S2814" s="112"/>
      <c r="T2814" s="112"/>
      <c r="U2814" t="s">
        <v>4284</v>
      </c>
      <c r="V2814" t="s">
        <v>6212</v>
      </c>
      <c r="W2814" t="s">
        <v>3958</v>
      </c>
      <c r="X2814" t="s">
        <v>4660</v>
      </c>
    </row>
    <row r="2815" spans="1:24" x14ac:dyDescent="0.2">
      <c r="A2815" t="s">
        <v>6211</v>
      </c>
      <c r="B2815" t="s">
        <v>2187</v>
      </c>
      <c r="C2815" t="s">
        <v>2188</v>
      </c>
      <c r="D2815" t="s">
        <v>56</v>
      </c>
      <c r="E2815" t="s">
        <v>1074</v>
      </c>
      <c r="F2815" t="s">
        <v>26</v>
      </c>
      <c r="G2815" s="202">
        <v>1131.723</v>
      </c>
      <c r="H2815">
        <v>2</v>
      </c>
      <c r="I2815" t="s">
        <v>3960</v>
      </c>
      <c r="J2815" t="s">
        <v>4849</v>
      </c>
      <c r="K2815" t="s">
        <v>1283</v>
      </c>
      <c r="L2815" s="204">
        <v>0.64</v>
      </c>
      <c r="M2815" s="112">
        <v>25.102499999999999</v>
      </c>
      <c r="N2815" s="112">
        <v>16.0656</v>
      </c>
      <c r="O2815" s="204"/>
      <c r="P2815" s="112"/>
      <c r="Q2815" s="112"/>
      <c r="R2815" s="112"/>
      <c r="S2815" s="112"/>
      <c r="T2815" s="112"/>
      <c r="U2815" t="s">
        <v>4284</v>
      </c>
      <c r="V2815" t="s">
        <v>6212</v>
      </c>
      <c r="W2815" t="s">
        <v>3958</v>
      </c>
      <c r="X2815" t="s">
        <v>4660</v>
      </c>
    </row>
    <row r="2816" spans="1:24" x14ac:dyDescent="0.2">
      <c r="A2816" t="s">
        <v>6211</v>
      </c>
      <c r="B2816" t="s">
        <v>2187</v>
      </c>
      <c r="C2816" t="s">
        <v>2188</v>
      </c>
      <c r="D2816" t="s">
        <v>56</v>
      </c>
      <c r="E2816" t="s">
        <v>1074</v>
      </c>
      <c r="F2816" t="s">
        <v>26</v>
      </c>
      <c r="G2816" s="202">
        <v>1131.723</v>
      </c>
      <c r="H2816">
        <v>3</v>
      </c>
      <c r="I2816" t="s">
        <v>3976</v>
      </c>
      <c r="J2816" t="s">
        <v>4850</v>
      </c>
      <c r="K2816" t="s">
        <v>1283</v>
      </c>
      <c r="L2816" s="204">
        <v>7.0000000000000007E-2</v>
      </c>
      <c r="M2816" s="112">
        <v>25.102499999999999</v>
      </c>
      <c r="N2816" s="112">
        <v>1.7571750000000002</v>
      </c>
      <c r="O2816" s="204"/>
      <c r="P2816" s="112"/>
      <c r="Q2816" s="112"/>
      <c r="R2816" s="112"/>
      <c r="S2816" s="112"/>
      <c r="T2816" s="112"/>
      <c r="U2816" t="s">
        <v>4284</v>
      </c>
      <c r="V2816" t="s">
        <v>6212</v>
      </c>
      <c r="W2816" t="s">
        <v>3958</v>
      </c>
      <c r="X2816" t="s">
        <v>4660</v>
      </c>
    </row>
    <row r="2817" spans="1:24" x14ac:dyDescent="0.2">
      <c r="A2817" t="s">
        <v>6211</v>
      </c>
      <c r="B2817" t="s">
        <v>2187</v>
      </c>
      <c r="C2817" t="s">
        <v>2188</v>
      </c>
      <c r="D2817" t="s">
        <v>56</v>
      </c>
      <c r="E2817" t="s">
        <v>1074</v>
      </c>
      <c r="F2817" t="s">
        <v>26</v>
      </c>
      <c r="G2817" s="202">
        <v>1131.723</v>
      </c>
      <c r="H2817">
        <v>4</v>
      </c>
      <c r="I2817" t="s">
        <v>4017</v>
      </c>
      <c r="J2817" t="s">
        <v>4851</v>
      </c>
      <c r="K2817" t="s">
        <v>1283</v>
      </c>
      <c r="L2817" s="204">
        <v>0.05</v>
      </c>
      <c r="M2817" s="112">
        <v>25.102499999999999</v>
      </c>
      <c r="N2817" s="112">
        <v>1.255125</v>
      </c>
      <c r="O2817" s="204"/>
      <c r="P2817" s="112"/>
      <c r="Q2817" s="112"/>
      <c r="R2817" s="112"/>
      <c r="S2817" s="112"/>
      <c r="T2817" s="112"/>
      <c r="U2817" t="s">
        <v>4284</v>
      </c>
      <c r="V2817" t="s">
        <v>6212</v>
      </c>
      <c r="W2817" t="s">
        <v>3958</v>
      </c>
      <c r="X2817" t="s">
        <v>4660</v>
      </c>
    </row>
    <row r="2818" spans="1:24" x14ac:dyDescent="0.2">
      <c r="A2818" t="s">
        <v>6211</v>
      </c>
      <c r="B2818" t="s">
        <v>2187</v>
      </c>
      <c r="C2818" t="s">
        <v>2188</v>
      </c>
      <c r="D2818" t="s">
        <v>56</v>
      </c>
      <c r="E2818" t="s">
        <v>1074</v>
      </c>
      <c r="F2818" t="s">
        <v>26</v>
      </c>
      <c r="G2818" s="202">
        <v>1131.723</v>
      </c>
      <c r="H2818">
        <v>5</v>
      </c>
      <c r="I2818" t="s">
        <v>3968</v>
      </c>
      <c r="J2818" t="s">
        <v>3969</v>
      </c>
      <c r="K2818" t="s">
        <v>26</v>
      </c>
      <c r="L2818" s="204">
        <v>1</v>
      </c>
      <c r="M2818" s="112"/>
      <c r="N2818" s="112">
        <v>25.102499999999999</v>
      </c>
      <c r="O2818" s="204">
        <v>0.22228858331962931</v>
      </c>
      <c r="P2818" s="112">
        <v>5.5799991627809966</v>
      </c>
      <c r="Q2818" s="112">
        <v>30.682499162780996</v>
      </c>
      <c r="R2818" s="112">
        <v>34724.089999999997</v>
      </c>
      <c r="S2818" s="112">
        <v>34724.089999999997</v>
      </c>
      <c r="T2818" s="112">
        <v>0</v>
      </c>
      <c r="U2818" t="s">
        <v>4284</v>
      </c>
      <c r="V2818" t="s">
        <v>6212</v>
      </c>
      <c r="W2818" t="s">
        <v>4666</v>
      </c>
      <c r="X2818" t="s">
        <v>4667</v>
      </c>
    </row>
    <row r="2819" spans="1:24" x14ac:dyDescent="0.2">
      <c r="A2819" t="s">
        <v>6213</v>
      </c>
      <c r="B2819" t="s">
        <v>2189</v>
      </c>
      <c r="C2819" t="s">
        <v>2190</v>
      </c>
      <c r="D2819" t="s">
        <v>56</v>
      </c>
      <c r="E2819" t="s">
        <v>1075</v>
      </c>
      <c r="F2819" t="s">
        <v>26</v>
      </c>
      <c r="G2819" s="202">
        <v>1131.723</v>
      </c>
      <c r="H2819">
        <v>1</v>
      </c>
      <c r="I2819" t="s">
        <v>3954</v>
      </c>
      <c r="J2819" t="s">
        <v>4847</v>
      </c>
      <c r="K2819" t="s">
        <v>1283</v>
      </c>
      <c r="L2819" s="204">
        <v>0.24</v>
      </c>
      <c r="M2819" s="112">
        <v>27.285000000000004</v>
      </c>
      <c r="N2819" s="112">
        <v>6.5484000000000009</v>
      </c>
      <c r="O2819" s="204"/>
      <c r="P2819" s="112"/>
      <c r="Q2819" s="112"/>
      <c r="R2819" s="112"/>
      <c r="S2819" s="112"/>
      <c r="T2819" s="112"/>
      <c r="U2819" t="s">
        <v>4268</v>
      </c>
      <c r="V2819" t="s">
        <v>6214</v>
      </c>
      <c r="W2819" t="s">
        <v>3958</v>
      </c>
      <c r="X2819" t="s">
        <v>4660</v>
      </c>
    </row>
    <row r="2820" spans="1:24" x14ac:dyDescent="0.2">
      <c r="A2820" t="s">
        <v>6213</v>
      </c>
      <c r="B2820" t="s">
        <v>2189</v>
      </c>
      <c r="C2820" t="s">
        <v>2190</v>
      </c>
      <c r="D2820" t="s">
        <v>56</v>
      </c>
      <c r="E2820" t="s">
        <v>1075</v>
      </c>
      <c r="F2820" t="s">
        <v>26</v>
      </c>
      <c r="G2820" s="202">
        <v>1131.723</v>
      </c>
      <c r="H2820">
        <v>2</v>
      </c>
      <c r="I2820" t="s">
        <v>3960</v>
      </c>
      <c r="J2820" t="s">
        <v>4849</v>
      </c>
      <c r="K2820" t="s">
        <v>1283</v>
      </c>
      <c r="L2820" s="204">
        <v>0.64</v>
      </c>
      <c r="M2820" s="112">
        <v>27.285000000000004</v>
      </c>
      <c r="N2820" s="112">
        <v>17.462400000000002</v>
      </c>
      <c r="O2820" s="204"/>
      <c r="P2820" s="112"/>
      <c r="Q2820" s="112"/>
      <c r="R2820" s="112"/>
      <c r="S2820" s="112"/>
      <c r="T2820" s="112"/>
      <c r="U2820" t="s">
        <v>4268</v>
      </c>
      <c r="V2820" t="s">
        <v>6214</v>
      </c>
      <c r="W2820" t="s">
        <v>3958</v>
      </c>
      <c r="X2820" t="s">
        <v>4660</v>
      </c>
    </row>
    <row r="2821" spans="1:24" x14ac:dyDescent="0.2">
      <c r="A2821" t="s">
        <v>6213</v>
      </c>
      <c r="B2821" t="s">
        <v>2189</v>
      </c>
      <c r="C2821" t="s">
        <v>2190</v>
      </c>
      <c r="D2821" t="s">
        <v>56</v>
      </c>
      <c r="E2821" t="s">
        <v>1075</v>
      </c>
      <c r="F2821" t="s">
        <v>26</v>
      </c>
      <c r="G2821" s="202">
        <v>1131.723</v>
      </c>
      <c r="H2821">
        <v>3</v>
      </c>
      <c r="I2821" t="s">
        <v>3976</v>
      </c>
      <c r="J2821" t="s">
        <v>4850</v>
      </c>
      <c r="K2821" t="s">
        <v>1283</v>
      </c>
      <c r="L2821" s="204">
        <v>7.0000000000000007E-2</v>
      </c>
      <c r="M2821" s="112">
        <v>27.285000000000004</v>
      </c>
      <c r="N2821" s="112">
        <v>1.9099500000000005</v>
      </c>
      <c r="O2821" s="204"/>
      <c r="P2821" s="112"/>
      <c r="Q2821" s="112"/>
      <c r="R2821" s="112"/>
      <c r="S2821" s="112"/>
      <c r="T2821" s="112"/>
      <c r="U2821" t="s">
        <v>4268</v>
      </c>
      <c r="V2821" t="s">
        <v>6214</v>
      </c>
      <c r="W2821" t="s">
        <v>3958</v>
      </c>
      <c r="X2821" t="s">
        <v>4660</v>
      </c>
    </row>
    <row r="2822" spans="1:24" x14ac:dyDescent="0.2">
      <c r="A2822" t="s">
        <v>6213</v>
      </c>
      <c r="B2822" t="s">
        <v>2189</v>
      </c>
      <c r="C2822" t="s">
        <v>2190</v>
      </c>
      <c r="D2822" t="s">
        <v>56</v>
      </c>
      <c r="E2822" t="s">
        <v>1075</v>
      </c>
      <c r="F2822" t="s">
        <v>26</v>
      </c>
      <c r="G2822" s="202">
        <v>1131.723</v>
      </c>
      <c r="H2822">
        <v>4</v>
      </c>
      <c r="I2822" t="s">
        <v>4017</v>
      </c>
      <c r="J2822" t="s">
        <v>4851</v>
      </c>
      <c r="K2822" t="s">
        <v>1283</v>
      </c>
      <c r="L2822" s="204">
        <v>0.05</v>
      </c>
      <c r="M2822" s="112">
        <v>27.285000000000004</v>
      </c>
      <c r="N2822" s="112">
        <v>1.3642500000000002</v>
      </c>
      <c r="O2822" s="204"/>
      <c r="P2822" s="112"/>
      <c r="Q2822" s="112"/>
      <c r="R2822" s="112"/>
      <c r="S2822" s="112"/>
      <c r="T2822" s="112"/>
      <c r="U2822" t="s">
        <v>4268</v>
      </c>
      <c r="V2822" t="s">
        <v>6214</v>
      </c>
      <c r="W2822" t="s">
        <v>3958</v>
      </c>
      <c r="X2822" t="s">
        <v>4660</v>
      </c>
    </row>
    <row r="2823" spans="1:24" x14ac:dyDescent="0.2">
      <c r="A2823" t="s">
        <v>6213</v>
      </c>
      <c r="B2823" t="s">
        <v>2189</v>
      </c>
      <c r="C2823" t="s">
        <v>2190</v>
      </c>
      <c r="D2823" t="s">
        <v>56</v>
      </c>
      <c r="E2823" t="s">
        <v>1075</v>
      </c>
      <c r="F2823" t="s">
        <v>26</v>
      </c>
      <c r="G2823" s="202">
        <v>1131.723</v>
      </c>
      <c r="H2823">
        <v>5</v>
      </c>
      <c r="I2823" t="s">
        <v>3968</v>
      </c>
      <c r="J2823" t="s">
        <v>3969</v>
      </c>
      <c r="K2823" t="s">
        <v>26</v>
      </c>
      <c r="L2823" s="204">
        <v>1</v>
      </c>
      <c r="M2823" s="112"/>
      <c r="N2823" s="112">
        <v>27.285000000000004</v>
      </c>
      <c r="O2823" s="204">
        <v>0.22209994373483588</v>
      </c>
      <c r="P2823" s="112">
        <v>6.0599969648049949</v>
      </c>
      <c r="Q2823" s="112">
        <v>33.344996964804999</v>
      </c>
      <c r="R2823" s="112">
        <v>37737.300000000003</v>
      </c>
      <c r="S2823" s="112">
        <v>37737.300000000003</v>
      </c>
      <c r="T2823" s="112">
        <v>0</v>
      </c>
      <c r="U2823" t="s">
        <v>4268</v>
      </c>
      <c r="V2823" t="s">
        <v>6214</v>
      </c>
      <c r="W2823" t="s">
        <v>4666</v>
      </c>
      <c r="X2823" t="s">
        <v>4667</v>
      </c>
    </row>
    <row r="2824" spans="1:24" x14ac:dyDescent="0.2">
      <c r="A2824" t="s">
        <v>6215</v>
      </c>
      <c r="B2824" t="s">
        <v>2191</v>
      </c>
      <c r="C2824" t="s">
        <v>2192</v>
      </c>
      <c r="D2824" t="s">
        <v>335</v>
      </c>
      <c r="E2824" t="s">
        <v>2193</v>
      </c>
      <c r="F2824" t="s">
        <v>26</v>
      </c>
      <c r="G2824" s="202">
        <v>38.488</v>
      </c>
      <c r="H2824">
        <v>1</v>
      </c>
      <c r="I2824" t="s">
        <v>3954</v>
      </c>
      <c r="J2824" t="s">
        <v>4847</v>
      </c>
      <c r="K2824" t="s">
        <v>1283</v>
      </c>
      <c r="L2824" s="204">
        <v>0.24</v>
      </c>
      <c r="M2824" s="112">
        <v>244.11750000000001</v>
      </c>
      <c r="N2824" s="112">
        <v>58.588200000000001</v>
      </c>
      <c r="O2824" s="204"/>
      <c r="P2824" s="112"/>
      <c r="Q2824" s="112"/>
      <c r="R2824" s="112"/>
      <c r="S2824" s="112"/>
      <c r="T2824" s="112"/>
      <c r="U2824" t="s">
        <v>6216</v>
      </c>
      <c r="V2824" t="s">
        <v>6217</v>
      </c>
      <c r="W2824" t="s">
        <v>3958</v>
      </c>
      <c r="X2824" t="s">
        <v>4660</v>
      </c>
    </row>
    <row r="2825" spans="1:24" x14ac:dyDescent="0.2">
      <c r="A2825" t="s">
        <v>6215</v>
      </c>
      <c r="B2825" t="s">
        <v>2191</v>
      </c>
      <c r="C2825" t="s">
        <v>2192</v>
      </c>
      <c r="D2825" t="s">
        <v>335</v>
      </c>
      <c r="E2825" t="s">
        <v>2193</v>
      </c>
      <c r="F2825" t="s">
        <v>26</v>
      </c>
      <c r="G2825" s="202">
        <v>38.488</v>
      </c>
      <c r="H2825">
        <v>2</v>
      </c>
      <c r="I2825" t="s">
        <v>3960</v>
      </c>
      <c r="J2825" t="s">
        <v>4849</v>
      </c>
      <c r="K2825" t="s">
        <v>1283</v>
      </c>
      <c r="L2825" s="204">
        <v>0.64</v>
      </c>
      <c r="M2825" s="112">
        <v>244.11750000000001</v>
      </c>
      <c r="N2825" s="112">
        <v>156.23520000000002</v>
      </c>
      <c r="O2825" s="204"/>
      <c r="P2825" s="112"/>
      <c r="Q2825" s="112"/>
      <c r="R2825" s="112"/>
      <c r="S2825" s="112"/>
      <c r="T2825" s="112"/>
      <c r="U2825" t="s">
        <v>6216</v>
      </c>
      <c r="V2825" t="s">
        <v>6217</v>
      </c>
      <c r="W2825" t="s">
        <v>3958</v>
      </c>
      <c r="X2825" t="s">
        <v>4660</v>
      </c>
    </row>
    <row r="2826" spans="1:24" x14ac:dyDescent="0.2">
      <c r="A2826" t="s">
        <v>6215</v>
      </c>
      <c r="B2826" t="s">
        <v>2191</v>
      </c>
      <c r="C2826" t="s">
        <v>2192</v>
      </c>
      <c r="D2826" t="s">
        <v>335</v>
      </c>
      <c r="E2826" t="s">
        <v>2193</v>
      </c>
      <c r="F2826" t="s">
        <v>26</v>
      </c>
      <c r="G2826" s="202">
        <v>38.488</v>
      </c>
      <c r="H2826">
        <v>3</v>
      </c>
      <c r="I2826" t="s">
        <v>3976</v>
      </c>
      <c r="J2826" t="s">
        <v>4850</v>
      </c>
      <c r="K2826" t="s">
        <v>1283</v>
      </c>
      <c r="L2826" s="204">
        <v>7.0000000000000007E-2</v>
      </c>
      <c r="M2826" s="112">
        <v>244.11750000000001</v>
      </c>
      <c r="N2826" s="112">
        <v>17.088225000000001</v>
      </c>
      <c r="O2826" s="204"/>
      <c r="P2826" s="112"/>
      <c r="Q2826" s="112"/>
      <c r="R2826" s="112"/>
      <c r="S2826" s="112"/>
      <c r="T2826" s="112"/>
      <c r="U2826" t="s">
        <v>6216</v>
      </c>
      <c r="V2826" t="s">
        <v>6217</v>
      </c>
      <c r="W2826" t="s">
        <v>3958</v>
      </c>
      <c r="X2826" t="s">
        <v>4660</v>
      </c>
    </row>
    <row r="2827" spans="1:24" x14ac:dyDescent="0.2">
      <c r="A2827" t="s">
        <v>6215</v>
      </c>
      <c r="B2827" t="s">
        <v>2191</v>
      </c>
      <c r="C2827" t="s">
        <v>2192</v>
      </c>
      <c r="D2827" t="s">
        <v>335</v>
      </c>
      <c r="E2827" t="s">
        <v>2193</v>
      </c>
      <c r="F2827" t="s">
        <v>26</v>
      </c>
      <c r="G2827" s="202">
        <v>38.488</v>
      </c>
      <c r="H2827">
        <v>4</v>
      </c>
      <c r="I2827" t="s">
        <v>4017</v>
      </c>
      <c r="J2827" t="s">
        <v>4851</v>
      </c>
      <c r="K2827" t="s">
        <v>1283</v>
      </c>
      <c r="L2827" s="204">
        <v>0.05</v>
      </c>
      <c r="M2827" s="112">
        <v>244.11750000000001</v>
      </c>
      <c r="N2827" s="112">
        <v>12.205875000000001</v>
      </c>
      <c r="O2827" s="204"/>
      <c r="P2827" s="112"/>
      <c r="Q2827" s="112"/>
      <c r="R2827" s="112"/>
      <c r="S2827" s="112"/>
      <c r="T2827" s="112"/>
      <c r="U2827" t="s">
        <v>6216</v>
      </c>
      <c r="V2827" t="s">
        <v>6217</v>
      </c>
      <c r="W2827" t="s">
        <v>3958</v>
      </c>
      <c r="X2827" t="s">
        <v>4660</v>
      </c>
    </row>
    <row r="2828" spans="1:24" x14ac:dyDescent="0.2">
      <c r="A2828" t="s">
        <v>6215</v>
      </c>
      <c r="B2828" t="s">
        <v>2191</v>
      </c>
      <c r="C2828" t="s">
        <v>2192</v>
      </c>
      <c r="D2828" t="s">
        <v>335</v>
      </c>
      <c r="E2828" t="s">
        <v>2193</v>
      </c>
      <c r="F2828" t="s">
        <v>26</v>
      </c>
      <c r="G2828" s="202">
        <v>38.488</v>
      </c>
      <c r="H2828">
        <v>5</v>
      </c>
      <c r="I2828" t="s">
        <v>3968</v>
      </c>
      <c r="J2828" t="s">
        <v>3969</v>
      </c>
      <c r="K2828" t="s">
        <v>26</v>
      </c>
      <c r="L2828" s="204">
        <v>1</v>
      </c>
      <c r="M2828" s="112"/>
      <c r="N2828" s="112">
        <v>244.11750000000001</v>
      </c>
      <c r="O2828" s="204">
        <v>0.2222792496594741</v>
      </c>
      <c r="P2828" s="112">
        <v>54.262254728746655</v>
      </c>
      <c r="Q2828" s="112">
        <v>298.37975472874666</v>
      </c>
      <c r="R2828" s="112">
        <v>11484.04</v>
      </c>
      <c r="S2828" s="112">
        <v>11484.04</v>
      </c>
      <c r="T2828" s="112">
        <v>0</v>
      </c>
      <c r="U2828" t="s">
        <v>6216</v>
      </c>
      <c r="V2828" t="s">
        <v>6217</v>
      </c>
      <c r="W2828" t="s">
        <v>4666</v>
      </c>
      <c r="X2828" t="s">
        <v>4667</v>
      </c>
    </row>
    <row r="2829" spans="1:24" x14ac:dyDescent="0.2">
      <c r="A2829" t="s">
        <v>6218</v>
      </c>
      <c r="B2829" t="s">
        <v>2194</v>
      </c>
      <c r="C2829" t="s">
        <v>2195</v>
      </c>
      <c r="D2829" t="s">
        <v>56</v>
      </c>
      <c r="E2829" t="s">
        <v>1077</v>
      </c>
      <c r="F2829" t="s">
        <v>26</v>
      </c>
      <c r="G2829" s="202">
        <v>1170.211</v>
      </c>
      <c r="H2829">
        <v>1</v>
      </c>
      <c r="I2829" t="s">
        <v>3954</v>
      </c>
      <c r="J2829" t="s">
        <v>4847</v>
      </c>
      <c r="K2829" t="s">
        <v>1283</v>
      </c>
      <c r="L2829" s="204">
        <v>0.24</v>
      </c>
      <c r="M2829" s="112">
        <v>133.29</v>
      </c>
      <c r="N2829" s="112">
        <v>31.989599999999996</v>
      </c>
      <c r="O2829" s="204"/>
      <c r="P2829" s="112"/>
      <c r="Q2829" s="112"/>
      <c r="R2829" s="112"/>
      <c r="S2829" s="112"/>
      <c r="T2829" s="112"/>
      <c r="U2829" t="s">
        <v>4013</v>
      </c>
      <c r="V2829" t="s">
        <v>6219</v>
      </c>
      <c r="W2829" t="s">
        <v>3958</v>
      </c>
      <c r="X2829" t="s">
        <v>4660</v>
      </c>
    </row>
    <row r="2830" spans="1:24" x14ac:dyDescent="0.2">
      <c r="A2830" t="s">
        <v>6218</v>
      </c>
      <c r="B2830" t="s">
        <v>2194</v>
      </c>
      <c r="C2830" t="s">
        <v>2195</v>
      </c>
      <c r="D2830" t="s">
        <v>56</v>
      </c>
      <c r="E2830" t="s">
        <v>1077</v>
      </c>
      <c r="F2830" t="s">
        <v>26</v>
      </c>
      <c r="G2830" s="202">
        <v>1170.211</v>
      </c>
      <c r="H2830">
        <v>2</v>
      </c>
      <c r="I2830" t="s">
        <v>3960</v>
      </c>
      <c r="J2830" t="s">
        <v>4849</v>
      </c>
      <c r="K2830" t="s">
        <v>1283</v>
      </c>
      <c r="L2830" s="204">
        <v>0.64</v>
      </c>
      <c r="M2830" s="112">
        <v>133.29</v>
      </c>
      <c r="N2830" s="112">
        <v>85.305599999999998</v>
      </c>
      <c r="O2830" s="204"/>
      <c r="P2830" s="112"/>
      <c r="Q2830" s="112"/>
      <c r="R2830" s="112"/>
      <c r="S2830" s="112"/>
      <c r="T2830" s="112"/>
      <c r="U2830" t="s">
        <v>4013</v>
      </c>
      <c r="V2830" t="s">
        <v>6219</v>
      </c>
      <c r="W2830" t="s">
        <v>3958</v>
      </c>
      <c r="X2830" t="s">
        <v>4660</v>
      </c>
    </row>
    <row r="2831" spans="1:24" x14ac:dyDescent="0.2">
      <c r="A2831" t="s">
        <v>6218</v>
      </c>
      <c r="B2831" t="s">
        <v>2194</v>
      </c>
      <c r="C2831" t="s">
        <v>2195</v>
      </c>
      <c r="D2831" t="s">
        <v>56</v>
      </c>
      <c r="E2831" t="s">
        <v>1077</v>
      </c>
      <c r="F2831" t="s">
        <v>26</v>
      </c>
      <c r="G2831" s="202">
        <v>1170.211</v>
      </c>
      <c r="H2831">
        <v>3</v>
      </c>
      <c r="I2831" t="s">
        <v>3976</v>
      </c>
      <c r="J2831" t="s">
        <v>4850</v>
      </c>
      <c r="K2831" t="s">
        <v>1283</v>
      </c>
      <c r="L2831" s="204">
        <v>7.0000000000000007E-2</v>
      </c>
      <c r="M2831" s="112">
        <v>133.29</v>
      </c>
      <c r="N2831" s="112">
        <v>9.3303000000000011</v>
      </c>
      <c r="O2831" s="204"/>
      <c r="P2831" s="112"/>
      <c r="Q2831" s="112"/>
      <c r="R2831" s="112"/>
      <c r="S2831" s="112"/>
      <c r="T2831" s="112"/>
      <c r="U2831" t="s">
        <v>4013</v>
      </c>
      <c r="V2831" t="s">
        <v>6219</v>
      </c>
      <c r="W2831" t="s">
        <v>3958</v>
      </c>
      <c r="X2831" t="s">
        <v>4660</v>
      </c>
    </row>
    <row r="2832" spans="1:24" x14ac:dyDescent="0.2">
      <c r="A2832" t="s">
        <v>6218</v>
      </c>
      <c r="B2832" t="s">
        <v>2194</v>
      </c>
      <c r="C2832" t="s">
        <v>2195</v>
      </c>
      <c r="D2832" t="s">
        <v>56</v>
      </c>
      <c r="E2832" t="s">
        <v>1077</v>
      </c>
      <c r="F2832" t="s">
        <v>26</v>
      </c>
      <c r="G2832" s="202">
        <v>1170.211</v>
      </c>
      <c r="H2832">
        <v>4</v>
      </c>
      <c r="I2832" t="s">
        <v>4017</v>
      </c>
      <c r="J2832" t="s">
        <v>4851</v>
      </c>
      <c r="K2832" t="s">
        <v>1283</v>
      </c>
      <c r="L2832" s="204">
        <v>0.05</v>
      </c>
      <c r="M2832" s="112">
        <v>133.29</v>
      </c>
      <c r="N2832" s="112">
        <v>6.6645000000000003</v>
      </c>
      <c r="O2832" s="204"/>
      <c r="P2832" s="112"/>
      <c r="Q2832" s="112"/>
      <c r="R2832" s="112"/>
      <c r="S2832" s="112"/>
      <c r="T2832" s="112"/>
      <c r="U2832" t="s">
        <v>4013</v>
      </c>
      <c r="V2832" t="s">
        <v>6219</v>
      </c>
      <c r="W2832" t="s">
        <v>3958</v>
      </c>
      <c r="X2832" t="s">
        <v>4660</v>
      </c>
    </row>
    <row r="2833" spans="1:24" x14ac:dyDescent="0.2">
      <c r="A2833" t="s">
        <v>6218</v>
      </c>
      <c r="B2833" t="s">
        <v>2194</v>
      </c>
      <c r="C2833" t="s">
        <v>2195</v>
      </c>
      <c r="D2833" t="s">
        <v>56</v>
      </c>
      <c r="E2833" t="s">
        <v>1077</v>
      </c>
      <c r="F2833" t="s">
        <v>26</v>
      </c>
      <c r="G2833" s="202">
        <v>1170.211</v>
      </c>
      <c r="H2833">
        <v>5</v>
      </c>
      <c r="I2833" t="s">
        <v>3968</v>
      </c>
      <c r="J2833" t="s">
        <v>3969</v>
      </c>
      <c r="K2833" t="s">
        <v>26</v>
      </c>
      <c r="L2833" s="204">
        <v>1</v>
      </c>
      <c r="M2833" s="112"/>
      <c r="N2833" s="112">
        <v>133.29</v>
      </c>
      <c r="O2833" s="204">
        <v>0.22225970194103661</v>
      </c>
      <c r="P2833" s="112">
        <v>29.624995671720768</v>
      </c>
      <c r="Q2833" s="112">
        <v>162.91499567172076</v>
      </c>
      <c r="R2833" s="112">
        <v>190644.92</v>
      </c>
      <c r="S2833" s="112">
        <v>190644.92</v>
      </c>
      <c r="T2833" s="112">
        <v>0</v>
      </c>
      <c r="U2833" t="s">
        <v>4013</v>
      </c>
      <c r="V2833" t="s">
        <v>6219</v>
      </c>
      <c r="W2833" t="s">
        <v>4666</v>
      </c>
      <c r="X2833" t="s">
        <v>4667</v>
      </c>
    </row>
    <row r="2834" spans="1:24" x14ac:dyDescent="0.2">
      <c r="A2834" t="s">
        <v>6220</v>
      </c>
      <c r="B2834" t="s">
        <v>2196</v>
      </c>
      <c r="C2834" t="s">
        <v>2197</v>
      </c>
      <c r="D2834" t="s">
        <v>24</v>
      </c>
      <c r="E2834" t="s">
        <v>1079</v>
      </c>
      <c r="F2834" t="s">
        <v>99</v>
      </c>
      <c r="G2834" s="202">
        <v>69.575000000000003</v>
      </c>
      <c r="H2834">
        <v>1</v>
      </c>
      <c r="I2834" t="s">
        <v>3954</v>
      </c>
      <c r="J2834" t="s">
        <v>4110</v>
      </c>
      <c r="K2834" t="s">
        <v>1283</v>
      </c>
      <c r="L2834" s="204">
        <v>0.3</v>
      </c>
      <c r="M2834" s="112">
        <v>81.06</v>
      </c>
      <c r="N2834" s="112">
        <v>24.318000000000001</v>
      </c>
      <c r="O2834" s="204"/>
      <c r="P2834" s="112"/>
      <c r="Q2834" s="112"/>
      <c r="R2834" s="112"/>
      <c r="S2834" s="112"/>
      <c r="T2834" s="112"/>
      <c r="U2834" t="s">
        <v>6221</v>
      </c>
      <c r="V2834" t="s">
        <v>6222</v>
      </c>
      <c r="W2834" t="s">
        <v>3958</v>
      </c>
      <c r="X2834" t="s">
        <v>4660</v>
      </c>
    </row>
    <row r="2835" spans="1:24" x14ac:dyDescent="0.2">
      <c r="A2835" t="s">
        <v>6220</v>
      </c>
      <c r="B2835" t="s">
        <v>2196</v>
      </c>
      <c r="C2835" t="s">
        <v>2197</v>
      </c>
      <c r="D2835" t="s">
        <v>24</v>
      </c>
      <c r="E2835" t="s">
        <v>1079</v>
      </c>
      <c r="F2835" t="s">
        <v>99</v>
      </c>
      <c r="G2835" s="202">
        <v>69.575000000000003</v>
      </c>
      <c r="H2835">
        <v>2</v>
      </c>
      <c r="I2835" t="s">
        <v>3960</v>
      </c>
      <c r="J2835" t="s">
        <v>4113</v>
      </c>
      <c r="K2835" t="s">
        <v>1283</v>
      </c>
      <c r="L2835" s="204">
        <v>0.55000000000000004</v>
      </c>
      <c r="M2835" s="112">
        <v>81.06</v>
      </c>
      <c r="N2835" s="112">
        <v>44.583000000000006</v>
      </c>
      <c r="O2835" s="204"/>
      <c r="P2835" s="112"/>
      <c r="Q2835" s="112"/>
      <c r="R2835" s="112"/>
      <c r="S2835" s="112"/>
      <c r="T2835" s="112"/>
      <c r="U2835" t="s">
        <v>6221</v>
      </c>
      <c r="V2835" t="s">
        <v>6222</v>
      </c>
      <c r="W2835" t="s">
        <v>3958</v>
      </c>
      <c r="X2835" t="s">
        <v>4660</v>
      </c>
    </row>
    <row r="2836" spans="1:24" x14ac:dyDescent="0.2">
      <c r="A2836" t="s">
        <v>6220</v>
      </c>
      <c r="B2836" t="s">
        <v>2196</v>
      </c>
      <c r="C2836" t="s">
        <v>2197</v>
      </c>
      <c r="D2836" t="s">
        <v>24</v>
      </c>
      <c r="E2836" t="s">
        <v>1079</v>
      </c>
      <c r="F2836" t="s">
        <v>99</v>
      </c>
      <c r="G2836" s="202">
        <v>69.575000000000003</v>
      </c>
      <c r="H2836">
        <v>3</v>
      </c>
      <c r="I2836" t="s">
        <v>3976</v>
      </c>
      <c r="J2836" t="s">
        <v>4114</v>
      </c>
      <c r="K2836" t="s">
        <v>1283</v>
      </c>
      <c r="L2836" s="204">
        <v>0.1</v>
      </c>
      <c r="M2836" s="112">
        <v>81.06</v>
      </c>
      <c r="N2836" s="112">
        <v>8.1059999999999999</v>
      </c>
      <c r="O2836" s="204"/>
      <c r="P2836" s="112"/>
      <c r="Q2836" s="112"/>
      <c r="R2836" s="112"/>
      <c r="S2836" s="112"/>
      <c r="T2836" s="112"/>
      <c r="U2836" t="s">
        <v>6221</v>
      </c>
      <c r="V2836" t="s">
        <v>6222</v>
      </c>
      <c r="W2836" t="s">
        <v>3958</v>
      </c>
      <c r="X2836" t="s">
        <v>4660</v>
      </c>
    </row>
    <row r="2837" spans="1:24" x14ac:dyDescent="0.2">
      <c r="A2837" t="s">
        <v>6220</v>
      </c>
      <c r="B2837" t="s">
        <v>2196</v>
      </c>
      <c r="C2837" t="s">
        <v>2197</v>
      </c>
      <c r="D2837" t="s">
        <v>24</v>
      </c>
      <c r="E2837" t="s">
        <v>1079</v>
      </c>
      <c r="F2837" t="s">
        <v>99</v>
      </c>
      <c r="G2837" s="202">
        <v>69.575000000000003</v>
      </c>
      <c r="H2837">
        <v>4</v>
      </c>
      <c r="I2837" t="s">
        <v>4017</v>
      </c>
      <c r="J2837" t="s">
        <v>4115</v>
      </c>
      <c r="K2837" t="s">
        <v>1283</v>
      </c>
      <c r="L2837" s="204">
        <v>0.05</v>
      </c>
      <c r="M2837" s="112">
        <v>81.06</v>
      </c>
      <c r="N2837" s="112">
        <v>4.0529999999999999</v>
      </c>
      <c r="O2837" s="204"/>
      <c r="P2837" s="112"/>
      <c r="Q2837" s="112"/>
      <c r="R2837" s="112"/>
      <c r="S2837" s="112"/>
      <c r="T2837" s="112"/>
      <c r="U2837" t="s">
        <v>6221</v>
      </c>
      <c r="V2837" t="s">
        <v>6222</v>
      </c>
      <c r="W2837" t="s">
        <v>3958</v>
      </c>
      <c r="X2837" t="s">
        <v>4660</v>
      </c>
    </row>
    <row r="2838" spans="1:24" x14ac:dyDescent="0.2">
      <c r="A2838" t="s">
        <v>6220</v>
      </c>
      <c r="B2838" t="s">
        <v>2196</v>
      </c>
      <c r="C2838" t="s">
        <v>2197</v>
      </c>
      <c r="D2838" t="s">
        <v>24</v>
      </c>
      <c r="E2838" t="s">
        <v>1079</v>
      </c>
      <c r="F2838" t="s">
        <v>99</v>
      </c>
      <c r="G2838" s="202">
        <v>69.575000000000003</v>
      </c>
      <c r="H2838">
        <v>5</v>
      </c>
      <c r="I2838" t="s">
        <v>3968</v>
      </c>
      <c r="J2838" t="s">
        <v>3969</v>
      </c>
      <c r="K2838" t="s">
        <v>99</v>
      </c>
      <c r="L2838" s="204">
        <v>1</v>
      </c>
      <c r="M2838" s="112"/>
      <c r="N2838" s="112">
        <v>81.06</v>
      </c>
      <c r="O2838" s="204">
        <v>0.22224222902098756</v>
      </c>
      <c r="P2838" s="112">
        <v>18.014955084441254</v>
      </c>
      <c r="Q2838" s="112">
        <v>99.074955084441257</v>
      </c>
      <c r="R2838" s="112">
        <v>6893.14</v>
      </c>
      <c r="S2838" s="112">
        <v>6893.14</v>
      </c>
      <c r="T2838" s="112">
        <v>0</v>
      </c>
      <c r="U2838" t="s">
        <v>6221</v>
      </c>
      <c r="V2838" t="s">
        <v>6222</v>
      </c>
      <c r="W2838" t="s">
        <v>4666</v>
      </c>
      <c r="X2838" t="s">
        <v>4667</v>
      </c>
    </row>
    <row r="2839" spans="1:24" x14ac:dyDescent="0.2">
      <c r="A2839" t="s">
        <v>6223</v>
      </c>
      <c r="B2839" t="s">
        <v>2198</v>
      </c>
      <c r="C2839" t="s">
        <v>2199</v>
      </c>
      <c r="D2839" t="s">
        <v>56</v>
      </c>
      <c r="E2839" t="s">
        <v>2200</v>
      </c>
      <c r="F2839" t="s">
        <v>99</v>
      </c>
      <c r="G2839" s="202">
        <v>166.459</v>
      </c>
      <c r="H2839">
        <v>1</v>
      </c>
      <c r="I2839" t="s">
        <v>3954</v>
      </c>
      <c r="J2839" t="s">
        <v>4823</v>
      </c>
      <c r="K2839" t="s">
        <v>1283</v>
      </c>
      <c r="L2839" s="204">
        <v>0.18</v>
      </c>
      <c r="M2839" s="112">
        <v>38.347500000000004</v>
      </c>
      <c r="N2839" s="112">
        <v>6.9025500000000006</v>
      </c>
      <c r="O2839" s="204"/>
      <c r="P2839" s="112"/>
      <c r="Q2839" s="112"/>
      <c r="R2839" s="112"/>
      <c r="S2839" s="112"/>
      <c r="T2839" s="112"/>
      <c r="U2839" t="s">
        <v>6224</v>
      </c>
      <c r="V2839" t="s">
        <v>6225</v>
      </c>
      <c r="W2839" t="s">
        <v>3958</v>
      </c>
      <c r="X2839" t="s">
        <v>4660</v>
      </c>
    </row>
    <row r="2840" spans="1:24" x14ac:dyDescent="0.2">
      <c r="A2840" t="s">
        <v>6223</v>
      </c>
      <c r="B2840" t="s">
        <v>2198</v>
      </c>
      <c r="C2840" t="s">
        <v>2199</v>
      </c>
      <c r="D2840" t="s">
        <v>56</v>
      </c>
      <c r="E2840" t="s">
        <v>2200</v>
      </c>
      <c r="F2840" t="s">
        <v>99</v>
      </c>
      <c r="G2840" s="202">
        <v>166.459</v>
      </c>
      <c r="H2840">
        <v>2</v>
      </c>
      <c r="I2840" t="s">
        <v>3960</v>
      </c>
      <c r="J2840" t="s">
        <v>4826</v>
      </c>
      <c r="K2840" t="s">
        <v>1283</v>
      </c>
      <c r="L2840" s="204">
        <v>0.72</v>
      </c>
      <c r="M2840" s="112">
        <v>38.347500000000004</v>
      </c>
      <c r="N2840" s="112">
        <v>27.610200000000003</v>
      </c>
      <c r="O2840" s="204"/>
      <c r="P2840" s="112"/>
      <c r="Q2840" s="112"/>
      <c r="R2840" s="112"/>
      <c r="S2840" s="112"/>
      <c r="T2840" s="112"/>
      <c r="U2840" t="s">
        <v>6224</v>
      </c>
      <c r="V2840" t="s">
        <v>6225</v>
      </c>
      <c r="W2840" t="s">
        <v>3958</v>
      </c>
      <c r="X2840" t="s">
        <v>4660</v>
      </c>
    </row>
    <row r="2841" spans="1:24" x14ac:dyDescent="0.2">
      <c r="A2841" t="s">
        <v>6223</v>
      </c>
      <c r="B2841" t="s">
        <v>2198</v>
      </c>
      <c r="C2841" t="s">
        <v>2199</v>
      </c>
      <c r="D2841" t="s">
        <v>56</v>
      </c>
      <c r="E2841" t="s">
        <v>2200</v>
      </c>
      <c r="F2841" t="s">
        <v>99</v>
      </c>
      <c r="G2841" s="202">
        <v>166.459</v>
      </c>
      <c r="H2841">
        <v>3</v>
      </c>
      <c r="I2841" t="s">
        <v>3976</v>
      </c>
      <c r="J2841" t="s">
        <v>4827</v>
      </c>
      <c r="K2841" t="s">
        <v>1283</v>
      </c>
      <c r="L2841" s="204">
        <v>0.05</v>
      </c>
      <c r="M2841" s="112">
        <v>38.347500000000004</v>
      </c>
      <c r="N2841" s="112">
        <v>1.9173750000000003</v>
      </c>
      <c r="O2841" s="204"/>
      <c r="P2841" s="112"/>
      <c r="Q2841" s="112"/>
      <c r="R2841" s="112"/>
      <c r="S2841" s="112"/>
      <c r="T2841" s="112"/>
      <c r="U2841" t="s">
        <v>6224</v>
      </c>
      <c r="V2841" t="s">
        <v>6225</v>
      </c>
      <c r="W2841" t="s">
        <v>3958</v>
      </c>
      <c r="X2841" t="s">
        <v>4660</v>
      </c>
    </row>
    <row r="2842" spans="1:24" x14ac:dyDescent="0.2">
      <c r="A2842" t="s">
        <v>6223</v>
      </c>
      <c r="B2842" t="s">
        <v>2198</v>
      </c>
      <c r="C2842" t="s">
        <v>2199</v>
      </c>
      <c r="D2842" t="s">
        <v>56</v>
      </c>
      <c r="E2842" t="s">
        <v>2200</v>
      </c>
      <c r="F2842" t="s">
        <v>99</v>
      </c>
      <c r="G2842" s="202">
        <v>166.459</v>
      </c>
      <c r="H2842">
        <v>4</v>
      </c>
      <c r="I2842" t="s">
        <v>4017</v>
      </c>
      <c r="J2842" t="s">
        <v>4809</v>
      </c>
      <c r="K2842" t="s">
        <v>1283</v>
      </c>
      <c r="L2842" s="204">
        <v>0.05</v>
      </c>
      <c r="M2842" s="112">
        <v>38.347500000000004</v>
      </c>
      <c r="N2842" s="112">
        <v>1.9173750000000003</v>
      </c>
      <c r="O2842" s="204"/>
      <c r="P2842" s="112"/>
      <c r="Q2842" s="112"/>
      <c r="R2842" s="112"/>
      <c r="S2842" s="112"/>
      <c r="T2842" s="112"/>
      <c r="U2842" t="s">
        <v>6224</v>
      </c>
      <c r="V2842" t="s">
        <v>6225</v>
      </c>
      <c r="W2842" t="s">
        <v>3958</v>
      </c>
      <c r="X2842" t="s">
        <v>4660</v>
      </c>
    </row>
    <row r="2843" spans="1:24" x14ac:dyDescent="0.2">
      <c r="A2843" t="s">
        <v>6223</v>
      </c>
      <c r="B2843" t="s">
        <v>2198</v>
      </c>
      <c r="C2843" t="s">
        <v>2199</v>
      </c>
      <c r="D2843" t="s">
        <v>56</v>
      </c>
      <c r="E2843" t="s">
        <v>2200</v>
      </c>
      <c r="F2843" t="s">
        <v>99</v>
      </c>
      <c r="G2843" s="202">
        <v>166.459</v>
      </c>
      <c r="H2843">
        <v>5</v>
      </c>
      <c r="I2843" t="s">
        <v>3968</v>
      </c>
      <c r="J2843" t="s">
        <v>3969</v>
      </c>
      <c r="K2843" t="s">
        <v>99</v>
      </c>
      <c r="L2843" s="204">
        <v>1</v>
      </c>
      <c r="M2843" s="112"/>
      <c r="N2843" s="112">
        <v>38.347500000000004</v>
      </c>
      <c r="O2843" s="204">
        <v>0.22217763481939201</v>
      </c>
      <c r="P2843" s="112">
        <v>8.5199568512366355</v>
      </c>
      <c r="Q2843" s="112">
        <v>46.867456851236639</v>
      </c>
      <c r="R2843" s="112">
        <v>7801.51</v>
      </c>
      <c r="S2843" s="112">
        <v>7801.51</v>
      </c>
      <c r="T2843" s="112">
        <v>0</v>
      </c>
      <c r="U2843" t="s">
        <v>6224</v>
      </c>
      <c r="V2843" t="s">
        <v>6225</v>
      </c>
      <c r="W2843" t="s">
        <v>4666</v>
      </c>
      <c r="X2843" t="s">
        <v>4667</v>
      </c>
    </row>
    <row r="2844" spans="1:24" x14ac:dyDescent="0.2">
      <c r="A2844" t="s">
        <v>6226</v>
      </c>
      <c r="B2844" t="s">
        <v>2201</v>
      </c>
      <c r="C2844" t="s">
        <v>1081</v>
      </c>
      <c r="D2844" t="s">
        <v>209</v>
      </c>
      <c r="E2844" t="s">
        <v>1082</v>
      </c>
      <c r="F2844" t="s">
        <v>99</v>
      </c>
      <c r="G2844" s="202">
        <v>43.436</v>
      </c>
      <c r="H2844">
        <v>1</v>
      </c>
      <c r="I2844" t="s">
        <v>3954</v>
      </c>
      <c r="J2844" t="s">
        <v>4110</v>
      </c>
      <c r="K2844" t="s">
        <v>1283</v>
      </c>
      <c r="L2844" s="204">
        <v>0.3</v>
      </c>
      <c r="M2844" s="112">
        <v>261.29999999999995</v>
      </c>
      <c r="N2844" s="112">
        <v>78.389999999999986</v>
      </c>
      <c r="O2844" s="204"/>
      <c r="P2844" s="112"/>
      <c r="Q2844" s="112"/>
      <c r="R2844" s="112"/>
      <c r="S2844" s="112"/>
      <c r="T2844" s="112"/>
      <c r="U2844" t="s">
        <v>4398</v>
      </c>
      <c r="V2844" t="s">
        <v>6227</v>
      </c>
      <c r="W2844" t="s">
        <v>3958</v>
      </c>
      <c r="X2844" t="s">
        <v>4660</v>
      </c>
    </row>
    <row r="2845" spans="1:24" x14ac:dyDescent="0.2">
      <c r="A2845" t="s">
        <v>6226</v>
      </c>
      <c r="B2845" t="s">
        <v>2201</v>
      </c>
      <c r="C2845" t="s">
        <v>1081</v>
      </c>
      <c r="D2845" t="s">
        <v>209</v>
      </c>
      <c r="E2845" t="s">
        <v>1082</v>
      </c>
      <c r="F2845" t="s">
        <v>99</v>
      </c>
      <c r="G2845" s="202">
        <v>43.436</v>
      </c>
      <c r="H2845">
        <v>2</v>
      </c>
      <c r="I2845" t="s">
        <v>3960</v>
      </c>
      <c r="J2845" t="s">
        <v>4113</v>
      </c>
      <c r="K2845" t="s">
        <v>1283</v>
      </c>
      <c r="L2845" s="204">
        <v>0.55000000000000004</v>
      </c>
      <c r="M2845" s="112">
        <v>261.29999999999995</v>
      </c>
      <c r="N2845" s="112">
        <v>143.71499999999997</v>
      </c>
      <c r="O2845" s="204"/>
      <c r="P2845" s="112"/>
      <c r="Q2845" s="112"/>
      <c r="R2845" s="112"/>
      <c r="S2845" s="112"/>
      <c r="T2845" s="112"/>
      <c r="U2845" t="s">
        <v>4398</v>
      </c>
      <c r="V2845" t="s">
        <v>6227</v>
      </c>
      <c r="W2845" t="s">
        <v>3958</v>
      </c>
      <c r="X2845" t="s">
        <v>4660</v>
      </c>
    </row>
    <row r="2846" spans="1:24" x14ac:dyDescent="0.2">
      <c r="A2846" t="s">
        <v>6226</v>
      </c>
      <c r="B2846" t="s">
        <v>2201</v>
      </c>
      <c r="C2846" t="s">
        <v>1081</v>
      </c>
      <c r="D2846" t="s">
        <v>209</v>
      </c>
      <c r="E2846" t="s">
        <v>1082</v>
      </c>
      <c r="F2846" t="s">
        <v>99</v>
      </c>
      <c r="G2846" s="202">
        <v>43.436</v>
      </c>
      <c r="H2846">
        <v>3</v>
      </c>
      <c r="I2846" t="s">
        <v>3976</v>
      </c>
      <c r="J2846" t="s">
        <v>4114</v>
      </c>
      <c r="K2846" t="s">
        <v>1283</v>
      </c>
      <c r="L2846" s="204">
        <v>0.1</v>
      </c>
      <c r="M2846" s="112">
        <v>261.29999999999995</v>
      </c>
      <c r="N2846" s="112">
        <v>26.129999999999995</v>
      </c>
      <c r="O2846" s="204"/>
      <c r="P2846" s="112"/>
      <c r="Q2846" s="112"/>
      <c r="R2846" s="112"/>
      <c r="S2846" s="112"/>
      <c r="T2846" s="112"/>
      <c r="U2846" t="s">
        <v>4398</v>
      </c>
      <c r="V2846" t="s">
        <v>6227</v>
      </c>
      <c r="W2846" t="s">
        <v>3958</v>
      </c>
      <c r="X2846" t="s">
        <v>4660</v>
      </c>
    </row>
    <row r="2847" spans="1:24" x14ac:dyDescent="0.2">
      <c r="A2847" t="s">
        <v>6226</v>
      </c>
      <c r="B2847" t="s">
        <v>2201</v>
      </c>
      <c r="C2847" t="s">
        <v>1081</v>
      </c>
      <c r="D2847" t="s">
        <v>209</v>
      </c>
      <c r="E2847" t="s">
        <v>1082</v>
      </c>
      <c r="F2847" t="s">
        <v>99</v>
      </c>
      <c r="G2847" s="202">
        <v>43.436</v>
      </c>
      <c r="H2847">
        <v>4</v>
      </c>
      <c r="I2847" t="s">
        <v>4017</v>
      </c>
      <c r="J2847" t="s">
        <v>4115</v>
      </c>
      <c r="K2847" t="s">
        <v>1283</v>
      </c>
      <c r="L2847" s="204">
        <v>0.05</v>
      </c>
      <c r="M2847" s="112">
        <v>261.29999999999995</v>
      </c>
      <c r="N2847" s="112">
        <v>13.064999999999998</v>
      </c>
      <c r="O2847" s="204"/>
      <c r="P2847" s="112"/>
      <c r="Q2847" s="112"/>
      <c r="R2847" s="112"/>
      <c r="S2847" s="112"/>
      <c r="T2847" s="112"/>
      <c r="U2847" t="s">
        <v>4398</v>
      </c>
      <c r="V2847" t="s">
        <v>6227</v>
      </c>
      <c r="W2847" t="s">
        <v>3958</v>
      </c>
      <c r="X2847" t="s">
        <v>4660</v>
      </c>
    </row>
    <row r="2848" spans="1:24" x14ac:dyDescent="0.2">
      <c r="A2848" t="s">
        <v>6226</v>
      </c>
      <c r="B2848" t="s">
        <v>2201</v>
      </c>
      <c r="C2848" t="s">
        <v>1081</v>
      </c>
      <c r="D2848" t="s">
        <v>209</v>
      </c>
      <c r="E2848" t="s">
        <v>1082</v>
      </c>
      <c r="F2848" t="s">
        <v>99</v>
      </c>
      <c r="G2848" s="202">
        <v>43.436</v>
      </c>
      <c r="H2848">
        <v>5</v>
      </c>
      <c r="I2848" t="s">
        <v>3968</v>
      </c>
      <c r="J2848" t="s">
        <v>3969</v>
      </c>
      <c r="K2848" t="s">
        <v>99</v>
      </c>
      <c r="L2848" s="204">
        <v>1</v>
      </c>
      <c r="M2848" s="112"/>
      <c r="N2848" s="112">
        <v>261.29999999999995</v>
      </c>
      <c r="O2848" s="204">
        <v>0.22227239626246997</v>
      </c>
      <c r="P2848" s="112">
        <v>58.07977714338341</v>
      </c>
      <c r="Q2848" s="112">
        <v>319.37977714338336</v>
      </c>
      <c r="R2848" s="112">
        <v>13872.58</v>
      </c>
      <c r="S2848" s="112">
        <v>13872.58</v>
      </c>
      <c r="T2848" s="112">
        <v>0</v>
      </c>
      <c r="U2848" t="s">
        <v>4398</v>
      </c>
      <c r="V2848" t="s">
        <v>6227</v>
      </c>
      <c r="W2848" t="s">
        <v>4666</v>
      </c>
      <c r="X2848" t="s">
        <v>4667</v>
      </c>
    </row>
    <row r="2849" spans="1:24" x14ac:dyDescent="0.2">
      <c r="A2849" t="s">
        <v>6228</v>
      </c>
      <c r="B2849" t="s">
        <v>2202</v>
      </c>
      <c r="C2849" t="s">
        <v>2203</v>
      </c>
      <c r="D2849" t="s">
        <v>24</v>
      </c>
      <c r="E2849" t="s">
        <v>1086</v>
      </c>
      <c r="F2849" t="s">
        <v>26</v>
      </c>
      <c r="G2849" s="202">
        <v>100.75</v>
      </c>
      <c r="H2849">
        <v>1</v>
      </c>
      <c r="I2849" t="s">
        <v>3954</v>
      </c>
      <c r="J2849" t="s">
        <v>4804</v>
      </c>
      <c r="K2849" t="s">
        <v>1283</v>
      </c>
      <c r="L2849" s="204">
        <v>0.28000000000000003</v>
      </c>
      <c r="M2849" s="112">
        <v>103.39500000000001</v>
      </c>
      <c r="N2849" s="112">
        <v>28.950600000000005</v>
      </c>
      <c r="O2849" s="204"/>
      <c r="P2849" s="112"/>
      <c r="Q2849" s="112"/>
      <c r="R2849" s="112"/>
      <c r="S2849" s="112"/>
      <c r="T2849" s="112"/>
      <c r="U2849" t="s">
        <v>6229</v>
      </c>
      <c r="V2849" t="s">
        <v>6230</v>
      </c>
      <c r="W2849" t="s">
        <v>3958</v>
      </c>
      <c r="X2849" t="s">
        <v>4660</v>
      </c>
    </row>
    <row r="2850" spans="1:24" x14ac:dyDescent="0.2">
      <c r="A2850" t="s">
        <v>6228</v>
      </c>
      <c r="B2850" t="s">
        <v>2202</v>
      </c>
      <c r="C2850" t="s">
        <v>2203</v>
      </c>
      <c r="D2850" t="s">
        <v>24</v>
      </c>
      <c r="E2850" t="s">
        <v>1086</v>
      </c>
      <c r="F2850" t="s">
        <v>26</v>
      </c>
      <c r="G2850" s="202">
        <v>100.75</v>
      </c>
      <c r="H2850">
        <v>2</v>
      </c>
      <c r="I2850" t="s">
        <v>3960</v>
      </c>
      <c r="J2850" t="s">
        <v>4807</v>
      </c>
      <c r="K2850" t="s">
        <v>1283</v>
      </c>
      <c r="L2850" s="204">
        <v>0.56000000000000005</v>
      </c>
      <c r="M2850" s="112">
        <v>103.39500000000001</v>
      </c>
      <c r="N2850" s="112">
        <v>57.90120000000001</v>
      </c>
      <c r="O2850" s="204"/>
      <c r="P2850" s="112"/>
      <c r="Q2850" s="112"/>
      <c r="R2850" s="112"/>
      <c r="S2850" s="112"/>
      <c r="T2850" s="112"/>
      <c r="U2850" t="s">
        <v>6229</v>
      </c>
      <c r="V2850" t="s">
        <v>6230</v>
      </c>
      <c r="W2850" t="s">
        <v>3958</v>
      </c>
      <c r="X2850" t="s">
        <v>4660</v>
      </c>
    </row>
    <row r="2851" spans="1:24" x14ac:dyDescent="0.2">
      <c r="A2851" t="s">
        <v>6228</v>
      </c>
      <c r="B2851" t="s">
        <v>2202</v>
      </c>
      <c r="C2851" t="s">
        <v>2203</v>
      </c>
      <c r="D2851" t="s">
        <v>24</v>
      </c>
      <c r="E2851" t="s">
        <v>1086</v>
      </c>
      <c r="F2851" t="s">
        <v>26</v>
      </c>
      <c r="G2851" s="202">
        <v>100.75</v>
      </c>
      <c r="H2851">
        <v>3</v>
      </c>
      <c r="I2851" t="s">
        <v>3962</v>
      </c>
      <c r="J2851" t="s">
        <v>4808</v>
      </c>
      <c r="K2851" t="s">
        <v>1283</v>
      </c>
      <c r="L2851" s="204">
        <v>0.1</v>
      </c>
      <c r="M2851" s="112">
        <v>103.39500000000001</v>
      </c>
      <c r="N2851" s="112">
        <v>10.339500000000001</v>
      </c>
      <c r="O2851" s="204"/>
      <c r="P2851" s="112"/>
      <c r="Q2851" s="112"/>
      <c r="R2851" s="112"/>
      <c r="S2851" s="112"/>
      <c r="T2851" s="112"/>
      <c r="U2851" t="s">
        <v>6229</v>
      </c>
      <c r="V2851" t="s">
        <v>6230</v>
      </c>
      <c r="W2851" t="s">
        <v>3958</v>
      </c>
      <c r="X2851" t="s">
        <v>4660</v>
      </c>
    </row>
    <row r="2852" spans="1:24" x14ac:dyDescent="0.2">
      <c r="A2852" t="s">
        <v>6228</v>
      </c>
      <c r="B2852" t="s">
        <v>2202</v>
      </c>
      <c r="C2852" t="s">
        <v>2203</v>
      </c>
      <c r="D2852" t="s">
        <v>24</v>
      </c>
      <c r="E2852" t="s">
        <v>1086</v>
      </c>
      <c r="F2852" t="s">
        <v>26</v>
      </c>
      <c r="G2852" s="202">
        <v>100.75</v>
      </c>
      <c r="H2852">
        <v>4</v>
      </c>
      <c r="I2852" t="s">
        <v>4017</v>
      </c>
      <c r="J2852" t="s">
        <v>4809</v>
      </c>
      <c r="K2852" t="s">
        <v>1283</v>
      </c>
      <c r="L2852" s="204">
        <v>0.06</v>
      </c>
      <c r="M2852" s="112">
        <v>103.39500000000001</v>
      </c>
      <c r="N2852" s="112">
        <v>6.2037000000000004</v>
      </c>
      <c r="O2852" s="204"/>
      <c r="P2852" s="112"/>
      <c r="Q2852" s="112"/>
      <c r="R2852" s="112"/>
      <c r="S2852" s="112"/>
      <c r="T2852" s="112"/>
      <c r="U2852" t="s">
        <v>6229</v>
      </c>
      <c r="V2852" t="s">
        <v>6230</v>
      </c>
      <c r="W2852" t="s">
        <v>3958</v>
      </c>
      <c r="X2852" t="s">
        <v>4660</v>
      </c>
    </row>
    <row r="2853" spans="1:24" x14ac:dyDescent="0.2">
      <c r="A2853" t="s">
        <v>6228</v>
      </c>
      <c r="B2853" t="s">
        <v>2202</v>
      </c>
      <c r="C2853" t="s">
        <v>2203</v>
      </c>
      <c r="D2853" t="s">
        <v>24</v>
      </c>
      <c r="E2853" t="s">
        <v>1086</v>
      </c>
      <c r="F2853" t="s">
        <v>26</v>
      </c>
      <c r="G2853" s="202">
        <v>100.75</v>
      </c>
      <c r="H2853">
        <v>5</v>
      </c>
      <c r="I2853" t="s">
        <v>3968</v>
      </c>
      <c r="J2853" t="s">
        <v>3969</v>
      </c>
      <c r="K2853" t="s">
        <v>26</v>
      </c>
      <c r="L2853" s="204">
        <v>1</v>
      </c>
      <c r="M2853" s="112"/>
      <c r="N2853" s="112">
        <v>103.39500000000001</v>
      </c>
      <c r="O2853" s="204">
        <v>0.22225434105181208</v>
      </c>
      <c r="P2853" s="112">
        <v>22.979987593052101</v>
      </c>
      <c r="Q2853" s="112">
        <v>126.37498759305211</v>
      </c>
      <c r="R2853" s="112">
        <v>12732.28</v>
      </c>
      <c r="S2853" s="112">
        <v>12732.28</v>
      </c>
      <c r="T2853" s="112">
        <v>0</v>
      </c>
      <c r="U2853" t="s">
        <v>6229</v>
      </c>
      <c r="V2853" t="s">
        <v>6230</v>
      </c>
      <c r="W2853" t="s">
        <v>4666</v>
      </c>
      <c r="X2853" t="s">
        <v>4667</v>
      </c>
    </row>
    <row r="2854" spans="1:24" x14ac:dyDescent="0.2">
      <c r="A2854" t="s">
        <v>6231</v>
      </c>
      <c r="B2854" t="s">
        <v>2204</v>
      </c>
      <c r="C2854" t="s">
        <v>2205</v>
      </c>
      <c r="D2854" t="s">
        <v>56</v>
      </c>
      <c r="E2854" t="s">
        <v>1087</v>
      </c>
      <c r="F2854" t="s">
        <v>26</v>
      </c>
      <c r="G2854" s="202">
        <v>400.49700000000001</v>
      </c>
      <c r="H2854">
        <v>1</v>
      </c>
      <c r="I2854" t="s">
        <v>3954</v>
      </c>
      <c r="J2854" t="s">
        <v>4804</v>
      </c>
      <c r="K2854" t="s">
        <v>1283</v>
      </c>
      <c r="L2854" s="204">
        <v>0.28000000000000003</v>
      </c>
      <c r="M2854" s="112">
        <v>29.017499999999998</v>
      </c>
      <c r="N2854" s="112">
        <v>8.1249000000000002</v>
      </c>
      <c r="O2854" s="204"/>
      <c r="P2854" s="112"/>
      <c r="Q2854" s="112"/>
      <c r="R2854" s="112"/>
      <c r="S2854" s="112"/>
      <c r="T2854" s="112"/>
      <c r="U2854" t="s">
        <v>6232</v>
      </c>
      <c r="V2854" t="s">
        <v>6233</v>
      </c>
      <c r="W2854" t="s">
        <v>3958</v>
      </c>
      <c r="X2854" t="s">
        <v>4660</v>
      </c>
    </row>
    <row r="2855" spans="1:24" x14ac:dyDescent="0.2">
      <c r="A2855" t="s">
        <v>6231</v>
      </c>
      <c r="B2855" t="s">
        <v>2204</v>
      </c>
      <c r="C2855" t="s">
        <v>2205</v>
      </c>
      <c r="D2855" t="s">
        <v>56</v>
      </c>
      <c r="E2855" t="s">
        <v>1087</v>
      </c>
      <c r="F2855" t="s">
        <v>26</v>
      </c>
      <c r="G2855" s="202">
        <v>400.49700000000001</v>
      </c>
      <c r="H2855">
        <v>2</v>
      </c>
      <c r="I2855" t="s">
        <v>3960</v>
      </c>
      <c r="J2855" t="s">
        <v>4807</v>
      </c>
      <c r="K2855" t="s">
        <v>1283</v>
      </c>
      <c r="L2855" s="204">
        <v>0.56000000000000005</v>
      </c>
      <c r="M2855" s="112">
        <v>29.017499999999998</v>
      </c>
      <c r="N2855" s="112">
        <v>16.2498</v>
      </c>
      <c r="O2855" s="204"/>
      <c r="P2855" s="112"/>
      <c r="Q2855" s="112"/>
      <c r="R2855" s="112"/>
      <c r="S2855" s="112"/>
      <c r="T2855" s="112"/>
      <c r="U2855" t="s">
        <v>6232</v>
      </c>
      <c r="V2855" t="s">
        <v>6233</v>
      </c>
      <c r="W2855" t="s">
        <v>3958</v>
      </c>
      <c r="X2855" t="s">
        <v>4660</v>
      </c>
    </row>
    <row r="2856" spans="1:24" x14ac:dyDescent="0.2">
      <c r="A2856" t="s">
        <v>6231</v>
      </c>
      <c r="B2856" t="s">
        <v>2204</v>
      </c>
      <c r="C2856" t="s">
        <v>2205</v>
      </c>
      <c r="D2856" t="s">
        <v>56</v>
      </c>
      <c r="E2856" t="s">
        <v>1087</v>
      </c>
      <c r="F2856" t="s">
        <v>26</v>
      </c>
      <c r="G2856" s="202">
        <v>400.49700000000001</v>
      </c>
      <c r="H2856">
        <v>3</v>
      </c>
      <c r="I2856" t="s">
        <v>3962</v>
      </c>
      <c r="J2856" t="s">
        <v>4808</v>
      </c>
      <c r="K2856" t="s">
        <v>1283</v>
      </c>
      <c r="L2856" s="204">
        <v>0.1</v>
      </c>
      <c r="M2856" s="112">
        <v>29.017499999999998</v>
      </c>
      <c r="N2856" s="112">
        <v>2.9017499999999998</v>
      </c>
      <c r="O2856" s="204"/>
      <c r="P2856" s="112"/>
      <c r="Q2856" s="112"/>
      <c r="R2856" s="112"/>
      <c r="S2856" s="112"/>
      <c r="T2856" s="112"/>
      <c r="U2856" t="s">
        <v>6232</v>
      </c>
      <c r="V2856" t="s">
        <v>6233</v>
      </c>
      <c r="W2856" t="s">
        <v>3958</v>
      </c>
      <c r="X2856" t="s">
        <v>4660</v>
      </c>
    </row>
    <row r="2857" spans="1:24" x14ac:dyDescent="0.2">
      <c r="A2857" t="s">
        <v>6231</v>
      </c>
      <c r="B2857" t="s">
        <v>2204</v>
      </c>
      <c r="C2857" t="s">
        <v>2205</v>
      </c>
      <c r="D2857" t="s">
        <v>56</v>
      </c>
      <c r="E2857" t="s">
        <v>1087</v>
      </c>
      <c r="F2857" t="s">
        <v>26</v>
      </c>
      <c r="G2857" s="202">
        <v>400.49700000000001</v>
      </c>
      <c r="H2857">
        <v>4</v>
      </c>
      <c r="I2857" t="s">
        <v>4017</v>
      </c>
      <c r="J2857" t="s">
        <v>4809</v>
      </c>
      <c r="K2857" t="s">
        <v>1283</v>
      </c>
      <c r="L2857" s="204">
        <v>0.06</v>
      </c>
      <c r="M2857" s="112">
        <v>29.017499999999998</v>
      </c>
      <c r="N2857" s="112">
        <v>1.7410499999999998</v>
      </c>
      <c r="O2857" s="204"/>
      <c r="P2857" s="112"/>
      <c r="Q2857" s="112"/>
      <c r="R2857" s="112"/>
      <c r="S2857" s="112"/>
      <c r="T2857" s="112"/>
      <c r="U2857" t="s">
        <v>6232</v>
      </c>
      <c r="V2857" t="s">
        <v>6233</v>
      </c>
      <c r="W2857" t="s">
        <v>3958</v>
      </c>
      <c r="X2857" t="s">
        <v>4660</v>
      </c>
    </row>
    <row r="2858" spans="1:24" x14ac:dyDescent="0.2">
      <c r="A2858" t="s">
        <v>6231</v>
      </c>
      <c r="B2858" t="s">
        <v>2204</v>
      </c>
      <c r="C2858" t="s">
        <v>2205</v>
      </c>
      <c r="D2858" t="s">
        <v>56</v>
      </c>
      <c r="E2858" t="s">
        <v>1087</v>
      </c>
      <c r="F2858" t="s">
        <v>26</v>
      </c>
      <c r="G2858" s="202">
        <v>400.49700000000001</v>
      </c>
      <c r="H2858">
        <v>5</v>
      </c>
      <c r="I2858" t="s">
        <v>3968</v>
      </c>
      <c r="J2858" t="s">
        <v>3969</v>
      </c>
      <c r="K2858" t="s">
        <v>26</v>
      </c>
      <c r="L2858" s="204">
        <v>1</v>
      </c>
      <c r="M2858" s="112"/>
      <c r="N2858" s="112">
        <v>29.017499999999998</v>
      </c>
      <c r="O2858" s="204">
        <v>0.22227902658895005</v>
      </c>
      <c r="P2858" s="112">
        <v>6.4499816540448549</v>
      </c>
      <c r="Q2858" s="112">
        <v>35.467481654044853</v>
      </c>
      <c r="R2858" s="112">
        <v>14204.62</v>
      </c>
      <c r="S2858" s="112">
        <v>14204.62</v>
      </c>
      <c r="T2858" s="112">
        <v>0</v>
      </c>
      <c r="U2858" t="s">
        <v>6232</v>
      </c>
      <c r="V2858" t="s">
        <v>6233</v>
      </c>
      <c r="W2858" t="s">
        <v>4666</v>
      </c>
      <c r="X2858" t="s">
        <v>4667</v>
      </c>
    </row>
    <row r="2859" spans="1:24" x14ac:dyDescent="0.2">
      <c r="A2859" t="s">
        <v>6234</v>
      </c>
      <c r="B2859" t="s">
        <v>2206</v>
      </c>
      <c r="C2859" t="s">
        <v>2207</v>
      </c>
      <c r="D2859" t="s">
        <v>56</v>
      </c>
      <c r="E2859" t="s">
        <v>2208</v>
      </c>
      <c r="F2859" t="s">
        <v>26</v>
      </c>
      <c r="G2859" s="202">
        <v>359.84500000000003</v>
      </c>
      <c r="H2859">
        <v>1</v>
      </c>
      <c r="I2859" t="s">
        <v>3954</v>
      </c>
      <c r="J2859" t="s">
        <v>4847</v>
      </c>
      <c r="K2859" t="s">
        <v>1283</v>
      </c>
      <c r="L2859" s="204">
        <v>0.24</v>
      </c>
      <c r="M2859" s="112">
        <v>212.54999999999998</v>
      </c>
      <c r="N2859" s="112">
        <v>51.011999999999993</v>
      </c>
      <c r="O2859" s="204"/>
      <c r="P2859" s="112"/>
      <c r="Q2859" s="112"/>
      <c r="R2859" s="112"/>
      <c r="S2859" s="112"/>
      <c r="T2859" s="112"/>
      <c r="U2859" t="s">
        <v>4111</v>
      </c>
      <c r="V2859" t="s">
        <v>6235</v>
      </c>
      <c r="W2859" t="s">
        <v>3958</v>
      </c>
      <c r="X2859" t="s">
        <v>4660</v>
      </c>
    </row>
    <row r="2860" spans="1:24" x14ac:dyDescent="0.2">
      <c r="A2860" t="s">
        <v>6234</v>
      </c>
      <c r="B2860" t="s">
        <v>2206</v>
      </c>
      <c r="C2860" t="s">
        <v>2207</v>
      </c>
      <c r="D2860" t="s">
        <v>56</v>
      </c>
      <c r="E2860" t="s">
        <v>2208</v>
      </c>
      <c r="F2860" t="s">
        <v>26</v>
      </c>
      <c r="G2860" s="202">
        <v>359.84500000000003</v>
      </c>
      <c r="H2860">
        <v>2</v>
      </c>
      <c r="I2860" t="s">
        <v>3960</v>
      </c>
      <c r="J2860" t="s">
        <v>4849</v>
      </c>
      <c r="K2860" t="s">
        <v>1283</v>
      </c>
      <c r="L2860" s="204">
        <v>0.64</v>
      </c>
      <c r="M2860" s="112">
        <v>212.54999999999998</v>
      </c>
      <c r="N2860" s="112">
        <v>136.03199999999998</v>
      </c>
      <c r="O2860" s="204"/>
      <c r="P2860" s="112"/>
      <c r="Q2860" s="112"/>
      <c r="R2860" s="112"/>
      <c r="S2860" s="112"/>
      <c r="T2860" s="112"/>
      <c r="U2860" t="s">
        <v>4111</v>
      </c>
      <c r="V2860" t="s">
        <v>6235</v>
      </c>
      <c r="W2860" t="s">
        <v>3958</v>
      </c>
      <c r="X2860" t="s">
        <v>4660</v>
      </c>
    </row>
    <row r="2861" spans="1:24" x14ac:dyDescent="0.2">
      <c r="A2861" t="s">
        <v>6234</v>
      </c>
      <c r="B2861" t="s">
        <v>2206</v>
      </c>
      <c r="C2861" t="s">
        <v>2207</v>
      </c>
      <c r="D2861" t="s">
        <v>56</v>
      </c>
      <c r="E2861" t="s">
        <v>2208</v>
      </c>
      <c r="F2861" t="s">
        <v>26</v>
      </c>
      <c r="G2861" s="202">
        <v>359.84500000000003</v>
      </c>
      <c r="H2861">
        <v>3</v>
      </c>
      <c r="I2861" t="s">
        <v>3976</v>
      </c>
      <c r="J2861" t="s">
        <v>4850</v>
      </c>
      <c r="K2861" t="s">
        <v>1283</v>
      </c>
      <c r="L2861" s="204">
        <v>7.0000000000000007E-2</v>
      </c>
      <c r="M2861" s="112">
        <v>212.54999999999998</v>
      </c>
      <c r="N2861" s="112">
        <v>14.878500000000001</v>
      </c>
      <c r="O2861" s="204"/>
      <c r="P2861" s="112"/>
      <c r="Q2861" s="112"/>
      <c r="R2861" s="112"/>
      <c r="S2861" s="112"/>
      <c r="T2861" s="112"/>
      <c r="U2861" t="s">
        <v>4111</v>
      </c>
      <c r="V2861" t="s">
        <v>6235</v>
      </c>
      <c r="W2861" t="s">
        <v>3958</v>
      </c>
      <c r="X2861" t="s">
        <v>4660</v>
      </c>
    </row>
    <row r="2862" spans="1:24" x14ac:dyDescent="0.2">
      <c r="A2862" t="s">
        <v>6234</v>
      </c>
      <c r="B2862" t="s">
        <v>2206</v>
      </c>
      <c r="C2862" t="s">
        <v>2207</v>
      </c>
      <c r="D2862" t="s">
        <v>56</v>
      </c>
      <c r="E2862" t="s">
        <v>2208</v>
      </c>
      <c r="F2862" t="s">
        <v>26</v>
      </c>
      <c r="G2862" s="202">
        <v>359.84500000000003</v>
      </c>
      <c r="H2862">
        <v>4</v>
      </c>
      <c r="I2862" t="s">
        <v>4017</v>
      </c>
      <c r="J2862" t="s">
        <v>4851</v>
      </c>
      <c r="K2862" t="s">
        <v>1283</v>
      </c>
      <c r="L2862" s="204">
        <v>0.05</v>
      </c>
      <c r="M2862" s="112">
        <v>212.54999999999998</v>
      </c>
      <c r="N2862" s="112">
        <v>10.6275</v>
      </c>
      <c r="O2862" s="204"/>
      <c r="P2862" s="112"/>
      <c r="Q2862" s="112"/>
      <c r="R2862" s="112"/>
      <c r="S2862" s="112"/>
      <c r="T2862" s="112"/>
      <c r="U2862" t="s">
        <v>4111</v>
      </c>
      <c r="V2862" t="s">
        <v>6235</v>
      </c>
      <c r="W2862" t="s">
        <v>3958</v>
      </c>
      <c r="X2862" t="s">
        <v>4660</v>
      </c>
    </row>
    <row r="2863" spans="1:24" x14ac:dyDescent="0.2">
      <c r="A2863" t="s">
        <v>6234</v>
      </c>
      <c r="B2863" t="s">
        <v>2206</v>
      </c>
      <c r="C2863" t="s">
        <v>2207</v>
      </c>
      <c r="D2863" t="s">
        <v>56</v>
      </c>
      <c r="E2863" t="s">
        <v>2208</v>
      </c>
      <c r="F2863" t="s">
        <v>26</v>
      </c>
      <c r="G2863" s="202">
        <v>359.84500000000003</v>
      </c>
      <c r="H2863">
        <v>5</v>
      </c>
      <c r="I2863" t="s">
        <v>3968</v>
      </c>
      <c r="J2863" t="s">
        <v>3969</v>
      </c>
      <c r="K2863" t="s">
        <v>26</v>
      </c>
      <c r="L2863" s="204">
        <v>1</v>
      </c>
      <c r="M2863" s="112"/>
      <c r="N2863" s="112">
        <v>212.54999999999998</v>
      </c>
      <c r="O2863" s="204">
        <v>0.22226532105607189</v>
      </c>
      <c r="P2863" s="112">
        <v>47.242493990468091</v>
      </c>
      <c r="Q2863" s="112">
        <v>259.79249399046807</v>
      </c>
      <c r="R2863" s="112">
        <v>93485.03</v>
      </c>
      <c r="S2863" s="112">
        <v>93485.03</v>
      </c>
      <c r="T2863" s="112">
        <v>0</v>
      </c>
      <c r="U2863" t="s">
        <v>4111</v>
      </c>
      <c r="V2863" t="s">
        <v>6235</v>
      </c>
      <c r="W2863" t="s">
        <v>4666</v>
      </c>
      <c r="X2863" t="s">
        <v>4667</v>
      </c>
    </row>
    <row r="2864" spans="1:24" x14ac:dyDescent="0.2">
      <c r="A2864" t="s">
        <v>6236</v>
      </c>
      <c r="B2864" t="s">
        <v>2209</v>
      </c>
      <c r="C2864" t="s">
        <v>2210</v>
      </c>
      <c r="D2864" t="s">
        <v>56</v>
      </c>
      <c r="E2864" t="s">
        <v>1089</v>
      </c>
      <c r="F2864" t="s">
        <v>26</v>
      </c>
      <c r="G2864" s="202">
        <v>67.165999999999997</v>
      </c>
      <c r="H2864">
        <v>1</v>
      </c>
      <c r="I2864" t="s">
        <v>3954</v>
      </c>
      <c r="J2864" t="s">
        <v>4804</v>
      </c>
      <c r="K2864" t="s">
        <v>1283</v>
      </c>
      <c r="L2864" s="204">
        <v>0.28000000000000003</v>
      </c>
      <c r="M2864" s="112">
        <v>90.292500000000004</v>
      </c>
      <c r="N2864" s="112">
        <v>25.281900000000004</v>
      </c>
      <c r="O2864" s="204"/>
      <c r="P2864" s="112"/>
      <c r="Q2864" s="112"/>
      <c r="R2864" s="112"/>
      <c r="S2864" s="112"/>
      <c r="T2864" s="112"/>
      <c r="U2864" t="s">
        <v>6237</v>
      </c>
      <c r="V2864" t="s">
        <v>6238</v>
      </c>
      <c r="W2864" t="s">
        <v>3958</v>
      </c>
      <c r="X2864" t="s">
        <v>4660</v>
      </c>
    </row>
    <row r="2865" spans="1:24" x14ac:dyDescent="0.2">
      <c r="A2865" t="s">
        <v>6236</v>
      </c>
      <c r="B2865" t="s">
        <v>2209</v>
      </c>
      <c r="C2865" t="s">
        <v>2210</v>
      </c>
      <c r="D2865" t="s">
        <v>56</v>
      </c>
      <c r="E2865" t="s">
        <v>1089</v>
      </c>
      <c r="F2865" t="s">
        <v>26</v>
      </c>
      <c r="G2865" s="202">
        <v>67.165999999999997</v>
      </c>
      <c r="H2865">
        <v>2</v>
      </c>
      <c r="I2865" t="s">
        <v>3960</v>
      </c>
      <c r="J2865" t="s">
        <v>4807</v>
      </c>
      <c r="K2865" t="s">
        <v>1283</v>
      </c>
      <c r="L2865" s="204">
        <v>0.56000000000000005</v>
      </c>
      <c r="M2865" s="112">
        <v>90.292500000000004</v>
      </c>
      <c r="N2865" s="112">
        <v>50.563800000000008</v>
      </c>
      <c r="O2865" s="204"/>
      <c r="P2865" s="112"/>
      <c r="Q2865" s="112"/>
      <c r="R2865" s="112"/>
      <c r="S2865" s="112"/>
      <c r="T2865" s="112"/>
      <c r="U2865" t="s">
        <v>6237</v>
      </c>
      <c r="V2865" t="s">
        <v>6238</v>
      </c>
      <c r="W2865" t="s">
        <v>3958</v>
      </c>
      <c r="X2865" t="s">
        <v>4660</v>
      </c>
    </row>
    <row r="2866" spans="1:24" x14ac:dyDescent="0.2">
      <c r="A2866" t="s">
        <v>6236</v>
      </c>
      <c r="B2866" t="s">
        <v>2209</v>
      </c>
      <c r="C2866" t="s">
        <v>2210</v>
      </c>
      <c r="D2866" t="s">
        <v>56</v>
      </c>
      <c r="E2866" t="s">
        <v>1089</v>
      </c>
      <c r="F2866" t="s">
        <v>26</v>
      </c>
      <c r="G2866" s="202">
        <v>67.165999999999997</v>
      </c>
      <c r="H2866">
        <v>3</v>
      </c>
      <c r="I2866" t="s">
        <v>3962</v>
      </c>
      <c r="J2866" t="s">
        <v>4808</v>
      </c>
      <c r="K2866" t="s">
        <v>1283</v>
      </c>
      <c r="L2866" s="204">
        <v>0.1</v>
      </c>
      <c r="M2866" s="112">
        <v>90.292500000000004</v>
      </c>
      <c r="N2866" s="112">
        <v>9.0292500000000011</v>
      </c>
      <c r="O2866" s="204"/>
      <c r="P2866" s="112"/>
      <c r="Q2866" s="112"/>
      <c r="R2866" s="112"/>
      <c r="S2866" s="112"/>
      <c r="T2866" s="112"/>
      <c r="U2866" t="s">
        <v>6237</v>
      </c>
      <c r="V2866" t="s">
        <v>6238</v>
      </c>
      <c r="W2866" t="s">
        <v>3958</v>
      </c>
      <c r="X2866" t="s">
        <v>4660</v>
      </c>
    </row>
    <row r="2867" spans="1:24" x14ac:dyDescent="0.2">
      <c r="A2867" t="s">
        <v>6236</v>
      </c>
      <c r="B2867" t="s">
        <v>2209</v>
      </c>
      <c r="C2867" t="s">
        <v>2210</v>
      </c>
      <c r="D2867" t="s">
        <v>56</v>
      </c>
      <c r="E2867" t="s">
        <v>1089</v>
      </c>
      <c r="F2867" t="s">
        <v>26</v>
      </c>
      <c r="G2867" s="202">
        <v>67.165999999999997</v>
      </c>
      <c r="H2867">
        <v>4</v>
      </c>
      <c r="I2867" t="s">
        <v>4017</v>
      </c>
      <c r="J2867" t="s">
        <v>4809</v>
      </c>
      <c r="K2867" t="s">
        <v>1283</v>
      </c>
      <c r="L2867" s="204">
        <v>0.06</v>
      </c>
      <c r="M2867" s="112">
        <v>90.292500000000004</v>
      </c>
      <c r="N2867" s="112">
        <v>5.4175500000000003</v>
      </c>
      <c r="O2867" s="204"/>
      <c r="P2867" s="112"/>
      <c r="Q2867" s="112"/>
      <c r="R2867" s="112"/>
      <c r="S2867" s="112"/>
      <c r="T2867" s="112"/>
      <c r="U2867" t="s">
        <v>6237</v>
      </c>
      <c r="V2867" t="s">
        <v>6238</v>
      </c>
      <c r="W2867" t="s">
        <v>3958</v>
      </c>
      <c r="X2867" t="s">
        <v>4660</v>
      </c>
    </row>
    <row r="2868" spans="1:24" x14ac:dyDescent="0.2">
      <c r="A2868" t="s">
        <v>6236</v>
      </c>
      <c r="B2868" t="s">
        <v>2209</v>
      </c>
      <c r="C2868" t="s">
        <v>2210</v>
      </c>
      <c r="D2868" t="s">
        <v>56</v>
      </c>
      <c r="E2868" t="s">
        <v>1089</v>
      </c>
      <c r="F2868" t="s">
        <v>26</v>
      </c>
      <c r="G2868" s="202">
        <v>67.165999999999997</v>
      </c>
      <c r="H2868">
        <v>5</v>
      </c>
      <c r="I2868" t="s">
        <v>3968</v>
      </c>
      <c r="J2868" t="s">
        <v>3969</v>
      </c>
      <c r="K2868" t="s">
        <v>26</v>
      </c>
      <c r="L2868" s="204">
        <v>1</v>
      </c>
      <c r="M2868" s="112"/>
      <c r="N2868" s="112">
        <v>90.292500000000004</v>
      </c>
      <c r="O2868" s="204">
        <v>0.22227633226320842</v>
      </c>
      <c r="P2868" s="112">
        <v>20.069885730875754</v>
      </c>
      <c r="Q2868" s="112">
        <v>110.36238573087576</v>
      </c>
      <c r="R2868" s="112">
        <v>7412.6</v>
      </c>
      <c r="S2868" s="112">
        <v>7412.6</v>
      </c>
      <c r="T2868" s="112">
        <v>0</v>
      </c>
      <c r="U2868" t="s">
        <v>6237</v>
      </c>
      <c r="V2868" t="s">
        <v>6238</v>
      </c>
      <c r="W2868" t="s">
        <v>4666</v>
      </c>
      <c r="X2868" t="s">
        <v>4667</v>
      </c>
    </row>
    <row r="2869" spans="1:24" x14ac:dyDescent="0.2">
      <c r="A2869" t="s">
        <v>6239</v>
      </c>
      <c r="B2869" t="s">
        <v>2211</v>
      </c>
      <c r="C2869" t="s">
        <v>2212</v>
      </c>
      <c r="D2869" t="s">
        <v>56</v>
      </c>
      <c r="E2869" t="s">
        <v>1090</v>
      </c>
      <c r="F2869" t="s">
        <v>26</v>
      </c>
      <c r="G2869" s="202">
        <v>292.67899999999997</v>
      </c>
      <c r="H2869">
        <v>1</v>
      </c>
      <c r="I2869" t="s">
        <v>3954</v>
      </c>
      <c r="J2869" t="s">
        <v>4804</v>
      </c>
      <c r="K2869" t="s">
        <v>1283</v>
      </c>
      <c r="L2869" s="204">
        <v>0.28000000000000003</v>
      </c>
      <c r="M2869" s="112">
        <v>64.754999999999995</v>
      </c>
      <c r="N2869" s="112">
        <v>18.131399999999999</v>
      </c>
      <c r="O2869" s="204"/>
      <c r="P2869" s="112"/>
      <c r="Q2869" s="112"/>
      <c r="R2869" s="112"/>
      <c r="S2869" s="112"/>
      <c r="T2869" s="112"/>
      <c r="U2869" t="s">
        <v>4352</v>
      </c>
      <c r="V2869" t="s">
        <v>6240</v>
      </c>
      <c r="W2869" t="s">
        <v>3958</v>
      </c>
      <c r="X2869" t="s">
        <v>4660</v>
      </c>
    </row>
    <row r="2870" spans="1:24" x14ac:dyDescent="0.2">
      <c r="A2870" t="s">
        <v>6239</v>
      </c>
      <c r="B2870" t="s">
        <v>2211</v>
      </c>
      <c r="C2870" t="s">
        <v>2212</v>
      </c>
      <c r="D2870" t="s">
        <v>56</v>
      </c>
      <c r="E2870" t="s">
        <v>1090</v>
      </c>
      <c r="F2870" t="s">
        <v>26</v>
      </c>
      <c r="G2870" s="202">
        <v>292.67899999999997</v>
      </c>
      <c r="H2870">
        <v>2</v>
      </c>
      <c r="I2870" t="s">
        <v>3960</v>
      </c>
      <c r="J2870" t="s">
        <v>4807</v>
      </c>
      <c r="K2870" t="s">
        <v>1283</v>
      </c>
      <c r="L2870" s="204">
        <v>0.56000000000000005</v>
      </c>
      <c r="M2870" s="112">
        <v>64.754999999999995</v>
      </c>
      <c r="N2870" s="112">
        <v>36.262799999999999</v>
      </c>
      <c r="O2870" s="204"/>
      <c r="P2870" s="112"/>
      <c r="Q2870" s="112"/>
      <c r="R2870" s="112"/>
      <c r="S2870" s="112"/>
      <c r="T2870" s="112"/>
      <c r="U2870" t="s">
        <v>4352</v>
      </c>
      <c r="V2870" t="s">
        <v>6240</v>
      </c>
      <c r="W2870" t="s">
        <v>3958</v>
      </c>
      <c r="X2870" t="s">
        <v>4660</v>
      </c>
    </row>
    <row r="2871" spans="1:24" x14ac:dyDescent="0.2">
      <c r="A2871" t="s">
        <v>6239</v>
      </c>
      <c r="B2871" t="s">
        <v>2211</v>
      </c>
      <c r="C2871" t="s">
        <v>2212</v>
      </c>
      <c r="D2871" t="s">
        <v>56</v>
      </c>
      <c r="E2871" t="s">
        <v>1090</v>
      </c>
      <c r="F2871" t="s">
        <v>26</v>
      </c>
      <c r="G2871" s="202">
        <v>292.67899999999997</v>
      </c>
      <c r="H2871">
        <v>3</v>
      </c>
      <c r="I2871" t="s">
        <v>3962</v>
      </c>
      <c r="J2871" t="s">
        <v>4808</v>
      </c>
      <c r="K2871" t="s">
        <v>1283</v>
      </c>
      <c r="L2871" s="204">
        <v>0.1</v>
      </c>
      <c r="M2871" s="112">
        <v>64.754999999999995</v>
      </c>
      <c r="N2871" s="112">
        <v>6.4755000000000003</v>
      </c>
      <c r="O2871" s="204"/>
      <c r="P2871" s="112"/>
      <c r="Q2871" s="112"/>
      <c r="R2871" s="112"/>
      <c r="S2871" s="112"/>
      <c r="T2871" s="112"/>
      <c r="U2871" t="s">
        <v>4352</v>
      </c>
      <c r="V2871" t="s">
        <v>6240</v>
      </c>
      <c r="W2871" t="s">
        <v>3958</v>
      </c>
      <c r="X2871" t="s">
        <v>4660</v>
      </c>
    </row>
    <row r="2872" spans="1:24" x14ac:dyDescent="0.2">
      <c r="A2872" t="s">
        <v>6239</v>
      </c>
      <c r="B2872" t="s">
        <v>2211</v>
      </c>
      <c r="C2872" t="s">
        <v>2212</v>
      </c>
      <c r="D2872" t="s">
        <v>56</v>
      </c>
      <c r="E2872" t="s">
        <v>1090</v>
      </c>
      <c r="F2872" t="s">
        <v>26</v>
      </c>
      <c r="G2872" s="202">
        <v>292.67899999999997</v>
      </c>
      <c r="H2872">
        <v>4</v>
      </c>
      <c r="I2872" t="s">
        <v>4017</v>
      </c>
      <c r="J2872" t="s">
        <v>4809</v>
      </c>
      <c r="K2872" t="s">
        <v>1283</v>
      </c>
      <c r="L2872" s="204">
        <v>0.06</v>
      </c>
      <c r="M2872" s="112">
        <v>64.754999999999995</v>
      </c>
      <c r="N2872" s="112">
        <v>3.8852999999999995</v>
      </c>
      <c r="O2872" s="204"/>
      <c r="P2872" s="112"/>
      <c r="Q2872" s="112"/>
      <c r="R2872" s="112"/>
      <c r="S2872" s="112"/>
      <c r="T2872" s="112"/>
      <c r="U2872" t="s">
        <v>4352</v>
      </c>
      <c r="V2872" t="s">
        <v>6240</v>
      </c>
      <c r="W2872" t="s">
        <v>3958</v>
      </c>
      <c r="X2872" t="s">
        <v>4660</v>
      </c>
    </row>
    <row r="2873" spans="1:24" x14ac:dyDescent="0.2">
      <c r="A2873" t="s">
        <v>6239</v>
      </c>
      <c r="B2873" t="s">
        <v>2211</v>
      </c>
      <c r="C2873" t="s">
        <v>2212</v>
      </c>
      <c r="D2873" t="s">
        <v>56</v>
      </c>
      <c r="E2873" t="s">
        <v>1090</v>
      </c>
      <c r="F2873" t="s">
        <v>26</v>
      </c>
      <c r="G2873" s="202">
        <v>292.67899999999997</v>
      </c>
      <c r="H2873">
        <v>5</v>
      </c>
      <c r="I2873" t="s">
        <v>3968</v>
      </c>
      <c r="J2873" t="s">
        <v>3969</v>
      </c>
      <c r="K2873" t="s">
        <v>26</v>
      </c>
      <c r="L2873" s="204">
        <v>1</v>
      </c>
      <c r="M2873" s="112"/>
      <c r="N2873" s="112">
        <v>64.754999999999995</v>
      </c>
      <c r="O2873" s="204">
        <v>0.22226076846944398</v>
      </c>
      <c r="P2873" s="112">
        <v>14.392496062238848</v>
      </c>
      <c r="Q2873" s="112">
        <v>79.147496062238844</v>
      </c>
      <c r="R2873" s="112">
        <v>23164.81</v>
      </c>
      <c r="S2873" s="112">
        <v>23164.81</v>
      </c>
      <c r="T2873" s="112">
        <v>0</v>
      </c>
      <c r="U2873" t="s">
        <v>4352</v>
      </c>
      <c r="V2873" t="s">
        <v>6240</v>
      </c>
      <c r="W2873" t="s">
        <v>4666</v>
      </c>
      <c r="X2873" t="s">
        <v>4667</v>
      </c>
    </row>
    <row r="2874" spans="1:24" x14ac:dyDescent="0.2">
      <c r="A2874" t="s">
        <v>6241</v>
      </c>
      <c r="B2874" t="s">
        <v>2213</v>
      </c>
      <c r="C2874" t="s">
        <v>2214</v>
      </c>
      <c r="D2874" t="s">
        <v>24</v>
      </c>
      <c r="E2874" t="s">
        <v>2215</v>
      </c>
      <c r="F2874" t="s">
        <v>84</v>
      </c>
      <c r="G2874" s="202">
        <v>2</v>
      </c>
      <c r="H2874">
        <v>1</v>
      </c>
      <c r="I2874" t="s">
        <v>3954</v>
      </c>
      <c r="J2874" t="s">
        <v>5227</v>
      </c>
      <c r="K2874" t="s">
        <v>1283</v>
      </c>
      <c r="L2874" s="204">
        <v>0.26</v>
      </c>
      <c r="M2874" s="112">
        <v>1596.9675</v>
      </c>
      <c r="N2874" s="112">
        <v>415.21154999999999</v>
      </c>
      <c r="O2874" s="204"/>
      <c r="P2874" s="112"/>
      <c r="Q2874" s="112"/>
      <c r="R2874" s="112"/>
      <c r="S2874" s="112"/>
      <c r="T2874" s="112"/>
      <c r="U2874" t="s">
        <v>6242</v>
      </c>
      <c r="V2874" t="s">
        <v>6243</v>
      </c>
      <c r="W2874" t="s">
        <v>3958</v>
      </c>
      <c r="X2874" t="s">
        <v>4660</v>
      </c>
    </row>
    <row r="2875" spans="1:24" x14ac:dyDescent="0.2">
      <c r="A2875" t="s">
        <v>6241</v>
      </c>
      <c r="B2875" t="s">
        <v>2213</v>
      </c>
      <c r="C2875" t="s">
        <v>2214</v>
      </c>
      <c r="D2875" t="s">
        <v>24</v>
      </c>
      <c r="E2875" t="s">
        <v>2215</v>
      </c>
      <c r="F2875" t="s">
        <v>84</v>
      </c>
      <c r="G2875" s="202">
        <v>2</v>
      </c>
      <c r="H2875">
        <v>2</v>
      </c>
      <c r="I2875" t="s">
        <v>3960</v>
      </c>
      <c r="J2875" t="s">
        <v>5229</v>
      </c>
      <c r="K2875" t="s">
        <v>1283</v>
      </c>
      <c r="L2875" s="204">
        <v>0.64</v>
      </c>
      <c r="M2875" s="112">
        <v>1596.9675</v>
      </c>
      <c r="N2875" s="112">
        <v>1022.0592</v>
      </c>
      <c r="O2875" s="204"/>
      <c r="P2875" s="112"/>
      <c r="Q2875" s="112"/>
      <c r="R2875" s="112"/>
      <c r="S2875" s="112"/>
      <c r="T2875" s="112"/>
      <c r="U2875" t="s">
        <v>6242</v>
      </c>
      <c r="V2875" t="s">
        <v>6243</v>
      </c>
      <c r="W2875" t="s">
        <v>3958</v>
      </c>
      <c r="X2875" t="s">
        <v>4660</v>
      </c>
    </row>
    <row r="2876" spans="1:24" x14ac:dyDescent="0.2">
      <c r="A2876" t="s">
        <v>6241</v>
      </c>
      <c r="B2876" t="s">
        <v>2213</v>
      </c>
      <c r="C2876" t="s">
        <v>2214</v>
      </c>
      <c r="D2876" t="s">
        <v>24</v>
      </c>
      <c r="E2876" t="s">
        <v>2215</v>
      </c>
      <c r="F2876" t="s">
        <v>84</v>
      </c>
      <c r="G2876" s="202">
        <v>2</v>
      </c>
      <c r="H2876">
        <v>3</v>
      </c>
      <c r="I2876" t="s">
        <v>3976</v>
      </c>
      <c r="J2876" t="s">
        <v>5230</v>
      </c>
      <c r="K2876" t="s">
        <v>1283</v>
      </c>
      <c r="L2876" s="204">
        <v>0.04</v>
      </c>
      <c r="M2876" s="112">
        <v>1596.9675</v>
      </c>
      <c r="N2876" s="112">
        <v>63.878700000000002</v>
      </c>
      <c r="O2876" s="204"/>
      <c r="P2876" s="112"/>
      <c r="Q2876" s="112"/>
      <c r="R2876" s="112"/>
      <c r="S2876" s="112"/>
      <c r="T2876" s="112"/>
      <c r="U2876" t="s">
        <v>6242</v>
      </c>
      <c r="V2876" t="s">
        <v>6243</v>
      </c>
      <c r="W2876" t="s">
        <v>3958</v>
      </c>
      <c r="X2876" t="s">
        <v>4660</v>
      </c>
    </row>
    <row r="2877" spans="1:24" x14ac:dyDescent="0.2">
      <c r="A2877" t="s">
        <v>6241</v>
      </c>
      <c r="B2877" t="s">
        <v>2213</v>
      </c>
      <c r="C2877" t="s">
        <v>2214</v>
      </c>
      <c r="D2877" t="s">
        <v>24</v>
      </c>
      <c r="E2877" t="s">
        <v>2215</v>
      </c>
      <c r="F2877" t="s">
        <v>84</v>
      </c>
      <c r="G2877" s="202">
        <v>2</v>
      </c>
      <c r="H2877">
        <v>4</v>
      </c>
      <c r="I2877" t="s">
        <v>4017</v>
      </c>
      <c r="J2877" t="s">
        <v>4851</v>
      </c>
      <c r="K2877" t="s">
        <v>1283</v>
      </c>
      <c r="L2877" s="204">
        <v>0.06</v>
      </c>
      <c r="M2877" s="112">
        <v>1596.9675</v>
      </c>
      <c r="N2877" s="112">
        <v>95.818049999999999</v>
      </c>
      <c r="O2877" s="204"/>
      <c r="P2877" s="112"/>
      <c r="Q2877" s="112"/>
      <c r="R2877" s="112"/>
      <c r="S2877" s="112"/>
      <c r="T2877" s="112"/>
      <c r="U2877" t="s">
        <v>6242</v>
      </c>
      <c r="V2877" t="s">
        <v>6243</v>
      </c>
      <c r="W2877" t="s">
        <v>3958</v>
      </c>
      <c r="X2877" t="s">
        <v>4660</v>
      </c>
    </row>
    <row r="2878" spans="1:24" x14ac:dyDescent="0.2">
      <c r="A2878" t="s">
        <v>6241</v>
      </c>
      <c r="B2878" t="s">
        <v>2213</v>
      </c>
      <c r="C2878" t="s">
        <v>2214</v>
      </c>
      <c r="D2878" t="s">
        <v>24</v>
      </c>
      <c r="E2878" t="s">
        <v>2215</v>
      </c>
      <c r="F2878" t="s">
        <v>84</v>
      </c>
      <c r="G2878" s="202">
        <v>2</v>
      </c>
      <c r="H2878">
        <v>5</v>
      </c>
      <c r="I2878" t="s">
        <v>3968</v>
      </c>
      <c r="J2878" t="s">
        <v>3969</v>
      </c>
      <c r="K2878" t="s">
        <v>84</v>
      </c>
      <c r="L2878" s="204">
        <v>1</v>
      </c>
      <c r="M2878" s="112"/>
      <c r="N2878" s="112">
        <v>1596.9675</v>
      </c>
      <c r="O2878" s="204">
        <v>0.2222978864629368</v>
      </c>
      <c r="P2878" s="112">
        <v>355.00250000000005</v>
      </c>
      <c r="Q2878" s="112">
        <v>1951.97</v>
      </c>
      <c r="R2878" s="112">
        <v>3903.94</v>
      </c>
      <c r="S2878" s="112">
        <v>3903.94</v>
      </c>
      <c r="T2878" s="112">
        <v>0</v>
      </c>
      <c r="U2878" t="s">
        <v>6242</v>
      </c>
      <c r="V2878" t="s">
        <v>6243</v>
      </c>
      <c r="W2878" t="s">
        <v>4666</v>
      </c>
      <c r="X2878" t="s">
        <v>4667</v>
      </c>
    </row>
    <row r="2879" spans="1:24" x14ac:dyDescent="0.2">
      <c r="A2879" t="s">
        <v>6244</v>
      </c>
      <c r="B2879" t="s">
        <v>2216</v>
      </c>
      <c r="C2879" t="s">
        <v>1096</v>
      </c>
      <c r="D2879" t="s">
        <v>24</v>
      </c>
      <c r="E2879" t="s">
        <v>2217</v>
      </c>
      <c r="F2879" t="s">
        <v>84</v>
      </c>
      <c r="G2879" s="202">
        <v>1</v>
      </c>
      <c r="H2879">
        <v>1</v>
      </c>
      <c r="I2879" t="s">
        <v>3954</v>
      </c>
      <c r="J2879" t="s">
        <v>4110</v>
      </c>
      <c r="K2879" t="s">
        <v>1283</v>
      </c>
      <c r="L2879" s="204">
        <v>0.3</v>
      </c>
      <c r="M2879" s="112">
        <v>370.35</v>
      </c>
      <c r="N2879" s="112">
        <v>111.105</v>
      </c>
      <c r="O2879" s="204"/>
      <c r="P2879" s="112"/>
      <c r="Q2879" s="112"/>
      <c r="R2879" s="112"/>
      <c r="S2879" s="112"/>
      <c r="T2879" s="112"/>
      <c r="U2879" t="s">
        <v>6245</v>
      </c>
      <c r="V2879" t="s">
        <v>6246</v>
      </c>
      <c r="W2879" t="s">
        <v>3958</v>
      </c>
      <c r="X2879" t="s">
        <v>4660</v>
      </c>
    </row>
    <row r="2880" spans="1:24" x14ac:dyDescent="0.2">
      <c r="A2880" t="s">
        <v>6244</v>
      </c>
      <c r="B2880" t="s">
        <v>2216</v>
      </c>
      <c r="C2880" t="s">
        <v>1096</v>
      </c>
      <c r="D2880" t="s">
        <v>24</v>
      </c>
      <c r="E2880" t="s">
        <v>2217</v>
      </c>
      <c r="F2880" t="s">
        <v>84</v>
      </c>
      <c r="G2880" s="202">
        <v>1</v>
      </c>
      <c r="H2880">
        <v>2</v>
      </c>
      <c r="I2880" t="s">
        <v>3960</v>
      </c>
      <c r="J2880" t="s">
        <v>4113</v>
      </c>
      <c r="K2880" t="s">
        <v>1283</v>
      </c>
      <c r="L2880" s="204">
        <v>0.55000000000000004</v>
      </c>
      <c r="M2880" s="112">
        <v>370.35</v>
      </c>
      <c r="N2880" s="112">
        <v>203.69250000000002</v>
      </c>
      <c r="O2880" s="204"/>
      <c r="P2880" s="112"/>
      <c r="Q2880" s="112"/>
      <c r="R2880" s="112"/>
      <c r="S2880" s="112"/>
      <c r="T2880" s="112"/>
      <c r="U2880" t="s">
        <v>6245</v>
      </c>
      <c r="V2880" t="s">
        <v>6246</v>
      </c>
      <c r="W2880" t="s">
        <v>3958</v>
      </c>
      <c r="X2880" t="s">
        <v>4660</v>
      </c>
    </row>
    <row r="2881" spans="1:24" x14ac:dyDescent="0.2">
      <c r="A2881" t="s">
        <v>6244</v>
      </c>
      <c r="B2881" t="s">
        <v>2216</v>
      </c>
      <c r="C2881" t="s">
        <v>1096</v>
      </c>
      <c r="D2881" t="s">
        <v>24</v>
      </c>
      <c r="E2881" t="s">
        <v>2217</v>
      </c>
      <c r="F2881" t="s">
        <v>84</v>
      </c>
      <c r="G2881" s="202">
        <v>1</v>
      </c>
      <c r="H2881">
        <v>3</v>
      </c>
      <c r="I2881" t="s">
        <v>3976</v>
      </c>
      <c r="J2881" t="s">
        <v>4114</v>
      </c>
      <c r="K2881" t="s">
        <v>1283</v>
      </c>
      <c r="L2881" s="204">
        <v>0.1</v>
      </c>
      <c r="M2881" s="112">
        <v>370.35</v>
      </c>
      <c r="N2881" s="112">
        <v>37.035000000000004</v>
      </c>
      <c r="O2881" s="204"/>
      <c r="P2881" s="112"/>
      <c r="Q2881" s="112"/>
      <c r="R2881" s="112"/>
      <c r="S2881" s="112"/>
      <c r="T2881" s="112"/>
      <c r="U2881" t="s">
        <v>6245</v>
      </c>
      <c r="V2881" t="s">
        <v>6246</v>
      </c>
      <c r="W2881" t="s">
        <v>3958</v>
      </c>
      <c r="X2881" t="s">
        <v>4660</v>
      </c>
    </row>
    <row r="2882" spans="1:24" x14ac:dyDescent="0.2">
      <c r="A2882" t="s">
        <v>6244</v>
      </c>
      <c r="B2882" t="s">
        <v>2216</v>
      </c>
      <c r="C2882" t="s">
        <v>1096</v>
      </c>
      <c r="D2882" t="s">
        <v>24</v>
      </c>
      <c r="E2882" t="s">
        <v>2217</v>
      </c>
      <c r="F2882" t="s">
        <v>84</v>
      </c>
      <c r="G2882" s="202">
        <v>1</v>
      </c>
      <c r="H2882">
        <v>4</v>
      </c>
      <c r="I2882" t="s">
        <v>4017</v>
      </c>
      <c r="J2882" t="s">
        <v>4115</v>
      </c>
      <c r="K2882" t="s">
        <v>1283</v>
      </c>
      <c r="L2882" s="204">
        <v>0.05</v>
      </c>
      <c r="M2882" s="112">
        <v>370.35</v>
      </c>
      <c r="N2882" s="112">
        <v>18.517500000000002</v>
      </c>
      <c r="O2882" s="204"/>
      <c r="P2882" s="112"/>
      <c r="Q2882" s="112"/>
      <c r="R2882" s="112"/>
      <c r="S2882" s="112"/>
      <c r="T2882" s="112"/>
      <c r="U2882" t="s">
        <v>6245</v>
      </c>
      <c r="V2882" t="s">
        <v>6246</v>
      </c>
      <c r="W2882" t="s">
        <v>3958</v>
      </c>
      <c r="X2882" t="s">
        <v>4660</v>
      </c>
    </row>
    <row r="2883" spans="1:24" x14ac:dyDescent="0.2">
      <c r="A2883" t="s">
        <v>6244</v>
      </c>
      <c r="B2883" t="s">
        <v>2216</v>
      </c>
      <c r="C2883" t="s">
        <v>1096</v>
      </c>
      <c r="D2883" t="s">
        <v>24</v>
      </c>
      <c r="E2883" t="s">
        <v>2217</v>
      </c>
      <c r="F2883" t="s">
        <v>84</v>
      </c>
      <c r="G2883" s="202">
        <v>1</v>
      </c>
      <c r="H2883">
        <v>5</v>
      </c>
      <c r="I2883" t="s">
        <v>3968</v>
      </c>
      <c r="J2883" t="s">
        <v>3969</v>
      </c>
      <c r="K2883" t="s">
        <v>84</v>
      </c>
      <c r="L2883" s="204">
        <v>1</v>
      </c>
      <c r="M2883" s="112"/>
      <c r="N2883" s="112">
        <v>370.35</v>
      </c>
      <c r="O2883" s="204">
        <v>0.22227622519238555</v>
      </c>
      <c r="P2883" s="112">
        <v>82.32</v>
      </c>
      <c r="Q2883" s="112">
        <v>452.67</v>
      </c>
      <c r="R2883" s="112">
        <v>452.67</v>
      </c>
      <c r="S2883" s="112">
        <v>452.67</v>
      </c>
      <c r="T2883" s="112">
        <v>0</v>
      </c>
      <c r="U2883" t="s">
        <v>6245</v>
      </c>
      <c r="V2883" t="s">
        <v>6246</v>
      </c>
      <c r="W2883" t="s">
        <v>4666</v>
      </c>
      <c r="X2883" t="s">
        <v>4667</v>
      </c>
    </row>
    <row r="2884" spans="1:24" x14ac:dyDescent="0.2">
      <c r="A2884" t="s">
        <v>6247</v>
      </c>
      <c r="B2884" t="s">
        <v>2218</v>
      </c>
      <c r="C2884" t="s">
        <v>2219</v>
      </c>
      <c r="D2884" t="s">
        <v>24</v>
      </c>
      <c r="E2884" t="s">
        <v>1098</v>
      </c>
      <c r="F2884" t="s">
        <v>84</v>
      </c>
      <c r="G2884" s="202">
        <v>1</v>
      </c>
      <c r="H2884">
        <v>1</v>
      </c>
      <c r="I2884" t="s">
        <v>3954</v>
      </c>
      <c r="J2884" t="s">
        <v>4823</v>
      </c>
      <c r="K2884" t="s">
        <v>1283</v>
      </c>
      <c r="L2884" s="204">
        <v>0.18</v>
      </c>
      <c r="M2884" s="112">
        <v>896.25</v>
      </c>
      <c r="N2884" s="112">
        <v>161.32499999999999</v>
      </c>
      <c r="O2884" s="204"/>
      <c r="P2884" s="112"/>
      <c r="Q2884" s="112"/>
      <c r="R2884" s="112"/>
      <c r="S2884" s="112"/>
      <c r="T2884" s="112"/>
      <c r="U2884" t="s">
        <v>6248</v>
      </c>
      <c r="V2884" t="s">
        <v>6249</v>
      </c>
      <c r="W2884" t="s">
        <v>3958</v>
      </c>
      <c r="X2884" t="s">
        <v>4660</v>
      </c>
    </row>
    <row r="2885" spans="1:24" x14ac:dyDescent="0.2">
      <c r="A2885" t="s">
        <v>6247</v>
      </c>
      <c r="B2885" t="s">
        <v>2218</v>
      </c>
      <c r="C2885" t="s">
        <v>2219</v>
      </c>
      <c r="D2885" t="s">
        <v>24</v>
      </c>
      <c r="E2885" t="s">
        <v>1098</v>
      </c>
      <c r="F2885" t="s">
        <v>84</v>
      </c>
      <c r="G2885" s="202">
        <v>1</v>
      </c>
      <c r="H2885">
        <v>2</v>
      </c>
      <c r="I2885" t="s">
        <v>3960</v>
      </c>
      <c r="J2885" t="s">
        <v>4826</v>
      </c>
      <c r="K2885" t="s">
        <v>1283</v>
      </c>
      <c r="L2885" s="204">
        <v>0.72</v>
      </c>
      <c r="M2885" s="112">
        <v>896.25</v>
      </c>
      <c r="N2885" s="112">
        <v>645.29999999999995</v>
      </c>
      <c r="O2885" s="204"/>
      <c r="P2885" s="112"/>
      <c r="Q2885" s="112"/>
      <c r="R2885" s="112"/>
      <c r="S2885" s="112"/>
      <c r="T2885" s="112"/>
      <c r="U2885" t="s">
        <v>6248</v>
      </c>
      <c r="V2885" t="s">
        <v>6249</v>
      </c>
      <c r="W2885" t="s">
        <v>3958</v>
      </c>
      <c r="X2885" t="s">
        <v>4660</v>
      </c>
    </row>
    <row r="2886" spans="1:24" x14ac:dyDescent="0.2">
      <c r="A2886" t="s">
        <v>6247</v>
      </c>
      <c r="B2886" t="s">
        <v>2218</v>
      </c>
      <c r="C2886" t="s">
        <v>2219</v>
      </c>
      <c r="D2886" t="s">
        <v>24</v>
      </c>
      <c r="E2886" t="s">
        <v>1098</v>
      </c>
      <c r="F2886" t="s">
        <v>84</v>
      </c>
      <c r="G2886" s="202">
        <v>1</v>
      </c>
      <c r="H2886">
        <v>3</v>
      </c>
      <c r="I2886" t="s">
        <v>3976</v>
      </c>
      <c r="J2886" t="s">
        <v>4827</v>
      </c>
      <c r="K2886" t="s">
        <v>1283</v>
      </c>
      <c r="L2886" s="204">
        <v>0.05</v>
      </c>
      <c r="M2886" s="112">
        <v>896.25</v>
      </c>
      <c r="N2886" s="112">
        <v>44.8125</v>
      </c>
      <c r="O2886" s="204"/>
      <c r="P2886" s="112"/>
      <c r="Q2886" s="112"/>
      <c r="R2886" s="112"/>
      <c r="S2886" s="112"/>
      <c r="T2886" s="112"/>
      <c r="U2886" t="s">
        <v>6248</v>
      </c>
      <c r="V2886" t="s">
        <v>6249</v>
      </c>
      <c r="W2886" t="s">
        <v>3958</v>
      </c>
      <c r="X2886" t="s">
        <v>4660</v>
      </c>
    </row>
    <row r="2887" spans="1:24" x14ac:dyDescent="0.2">
      <c r="A2887" t="s">
        <v>6247</v>
      </c>
      <c r="B2887" t="s">
        <v>2218</v>
      </c>
      <c r="C2887" t="s">
        <v>2219</v>
      </c>
      <c r="D2887" t="s">
        <v>24</v>
      </c>
      <c r="E2887" t="s">
        <v>1098</v>
      </c>
      <c r="F2887" t="s">
        <v>84</v>
      </c>
      <c r="G2887" s="202">
        <v>1</v>
      </c>
      <c r="H2887">
        <v>4</v>
      </c>
      <c r="I2887" t="s">
        <v>4017</v>
      </c>
      <c r="J2887" t="s">
        <v>4809</v>
      </c>
      <c r="K2887" t="s">
        <v>1283</v>
      </c>
      <c r="L2887" s="204">
        <v>0.05</v>
      </c>
      <c r="M2887" s="112">
        <v>896.25</v>
      </c>
      <c r="N2887" s="112">
        <v>44.8125</v>
      </c>
      <c r="O2887" s="204"/>
      <c r="P2887" s="112"/>
      <c r="Q2887" s="112"/>
      <c r="R2887" s="112"/>
      <c r="S2887" s="112"/>
      <c r="T2887" s="112"/>
      <c r="U2887" t="s">
        <v>6248</v>
      </c>
      <c r="V2887" t="s">
        <v>6249</v>
      </c>
      <c r="W2887" t="s">
        <v>3958</v>
      </c>
      <c r="X2887" t="s">
        <v>4660</v>
      </c>
    </row>
    <row r="2888" spans="1:24" x14ac:dyDescent="0.2">
      <c r="A2888" t="s">
        <v>6247</v>
      </c>
      <c r="B2888" t="s">
        <v>2218</v>
      </c>
      <c r="C2888" t="s">
        <v>2219</v>
      </c>
      <c r="D2888" t="s">
        <v>24</v>
      </c>
      <c r="E2888" t="s">
        <v>1098</v>
      </c>
      <c r="F2888" t="s">
        <v>84</v>
      </c>
      <c r="G2888" s="202">
        <v>1</v>
      </c>
      <c r="H2888">
        <v>5</v>
      </c>
      <c r="I2888" t="s">
        <v>3968</v>
      </c>
      <c r="J2888" t="s">
        <v>3969</v>
      </c>
      <c r="K2888" t="s">
        <v>84</v>
      </c>
      <c r="L2888" s="204">
        <v>1</v>
      </c>
      <c r="M2888" s="112"/>
      <c r="N2888" s="112">
        <v>896.25</v>
      </c>
      <c r="O2888" s="204">
        <v>0.22229288702928862</v>
      </c>
      <c r="P2888" s="112">
        <v>199.23000000000002</v>
      </c>
      <c r="Q2888" s="112">
        <v>1095.48</v>
      </c>
      <c r="R2888" s="112">
        <v>1095.48</v>
      </c>
      <c r="S2888" s="112">
        <v>1095.48</v>
      </c>
      <c r="T2888" s="112">
        <v>0</v>
      </c>
      <c r="U2888" t="s">
        <v>6248</v>
      </c>
      <c r="V2888" t="s">
        <v>6249</v>
      </c>
      <c r="W2888" t="s">
        <v>4666</v>
      </c>
      <c r="X2888" t="s">
        <v>4667</v>
      </c>
    </row>
    <row r="2889" spans="1:24" x14ac:dyDescent="0.2">
      <c r="A2889" t="s">
        <v>6250</v>
      </c>
      <c r="B2889" t="s">
        <v>2220</v>
      </c>
      <c r="C2889" t="s">
        <v>2221</v>
      </c>
      <c r="D2889" t="s">
        <v>335</v>
      </c>
      <c r="E2889" t="s">
        <v>1099</v>
      </c>
      <c r="F2889" t="s">
        <v>84</v>
      </c>
      <c r="G2889" s="202">
        <v>1</v>
      </c>
      <c r="H2889">
        <v>1</v>
      </c>
      <c r="I2889" t="s">
        <v>3954</v>
      </c>
      <c r="J2889" t="s">
        <v>4110</v>
      </c>
      <c r="K2889" t="s">
        <v>1283</v>
      </c>
      <c r="L2889" s="204">
        <v>0.3</v>
      </c>
      <c r="M2889" s="112">
        <v>130.10249999999999</v>
      </c>
      <c r="N2889" s="112">
        <v>39.030749999999998</v>
      </c>
      <c r="O2889" s="204"/>
      <c r="P2889" s="112"/>
      <c r="Q2889" s="112"/>
      <c r="R2889" s="112"/>
      <c r="S2889" s="112"/>
      <c r="T2889" s="112"/>
      <c r="U2889" t="s">
        <v>6251</v>
      </c>
      <c r="V2889" t="s">
        <v>6252</v>
      </c>
      <c r="W2889" t="s">
        <v>3958</v>
      </c>
      <c r="X2889" t="s">
        <v>4660</v>
      </c>
    </row>
    <row r="2890" spans="1:24" x14ac:dyDescent="0.2">
      <c r="A2890" t="s">
        <v>6250</v>
      </c>
      <c r="B2890" t="s">
        <v>2220</v>
      </c>
      <c r="C2890" t="s">
        <v>2221</v>
      </c>
      <c r="D2890" t="s">
        <v>335</v>
      </c>
      <c r="E2890" t="s">
        <v>1099</v>
      </c>
      <c r="F2890" t="s">
        <v>84</v>
      </c>
      <c r="G2890" s="202">
        <v>1</v>
      </c>
      <c r="H2890">
        <v>2</v>
      </c>
      <c r="I2890" t="s">
        <v>3960</v>
      </c>
      <c r="J2890" t="s">
        <v>4113</v>
      </c>
      <c r="K2890" t="s">
        <v>1283</v>
      </c>
      <c r="L2890" s="204">
        <v>0.55000000000000004</v>
      </c>
      <c r="M2890" s="112">
        <v>130.10249999999999</v>
      </c>
      <c r="N2890" s="112">
        <v>71.556375000000003</v>
      </c>
      <c r="O2890" s="204"/>
      <c r="P2890" s="112"/>
      <c r="Q2890" s="112"/>
      <c r="R2890" s="112"/>
      <c r="S2890" s="112"/>
      <c r="T2890" s="112"/>
      <c r="U2890" t="s">
        <v>6251</v>
      </c>
      <c r="V2890" t="s">
        <v>6252</v>
      </c>
      <c r="W2890" t="s">
        <v>3958</v>
      </c>
      <c r="X2890" t="s">
        <v>4660</v>
      </c>
    </row>
    <row r="2891" spans="1:24" x14ac:dyDescent="0.2">
      <c r="A2891" t="s">
        <v>6250</v>
      </c>
      <c r="B2891" t="s">
        <v>2220</v>
      </c>
      <c r="C2891" t="s">
        <v>2221</v>
      </c>
      <c r="D2891" t="s">
        <v>335</v>
      </c>
      <c r="E2891" t="s">
        <v>1099</v>
      </c>
      <c r="F2891" t="s">
        <v>84</v>
      </c>
      <c r="G2891" s="202">
        <v>1</v>
      </c>
      <c r="H2891">
        <v>3</v>
      </c>
      <c r="I2891" t="s">
        <v>3976</v>
      </c>
      <c r="J2891" t="s">
        <v>4114</v>
      </c>
      <c r="K2891" t="s">
        <v>1283</v>
      </c>
      <c r="L2891" s="204">
        <v>0.1</v>
      </c>
      <c r="M2891" s="112">
        <v>130.10249999999999</v>
      </c>
      <c r="N2891" s="112">
        <v>13.010249999999999</v>
      </c>
      <c r="O2891" s="204"/>
      <c r="P2891" s="112"/>
      <c r="Q2891" s="112"/>
      <c r="R2891" s="112"/>
      <c r="S2891" s="112"/>
      <c r="T2891" s="112"/>
      <c r="U2891" t="s">
        <v>6251</v>
      </c>
      <c r="V2891" t="s">
        <v>6252</v>
      </c>
      <c r="W2891" t="s">
        <v>3958</v>
      </c>
      <c r="X2891" t="s">
        <v>4660</v>
      </c>
    </row>
    <row r="2892" spans="1:24" x14ac:dyDescent="0.2">
      <c r="A2892" t="s">
        <v>6250</v>
      </c>
      <c r="B2892" t="s">
        <v>2220</v>
      </c>
      <c r="C2892" t="s">
        <v>2221</v>
      </c>
      <c r="D2892" t="s">
        <v>335</v>
      </c>
      <c r="E2892" t="s">
        <v>1099</v>
      </c>
      <c r="F2892" t="s">
        <v>84</v>
      </c>
      <c r="G2892" s="202">
        <v>1</v>
      </c>
      <c r="H2892">
        <v>4</v>
      </c>
      <c r="I2892" t="s">
        <v>4017</v>
      </c>
      <c r="J2892" t="s">
        <v>4115</v>
      </c>
      <c r="K2892" t="s">
        <v>1283</v>
      </c>
      <c r="L2892" s="204">
        <v>0.05</v>
      </c>
      <c r="M2892" s="112">
        <v>130.10249999999999</v>
      </c>
      <c r="N2892" s="112">
        <v>6.5051249999999996</v>
      </c>
      <c r="O2892" s="204"/>
      <c r="P2892" s="112"/>
      <c r="Q2892" s="112"/>
      <c r="R2892" s="112"/>
      <c r="S2892" s="112"/>
      <c r="T2892" s="112"/>
      <c r="U2892" t="s">
        <v>6251</v>
      </c>
      <c r="V2892" t="s">
        <v>6252</v>
      </c>
      <c r="W2892" t="s">
        <v>3958</v>
      </c>
      <c r="X2892" t="s">
        <v>4660</v>
      </c>
    </row>
    <row r="2893" spans="1:24" x14ac:dyDescent="0.2">
      <c r="A2893" t="s">
        <v>6250</v>
      </c>
      <c r="B2893" t="s">
        <v>2220</v>
      </c>
      <c r="C2893" t="s">
        <v>2221</v>
      </c>
      <c r="D2893" t="s">
        <v>335</v>
      </c>
      <c r="E2893" t="s">
        <v>1099</v>
      </c>
      <c r="F2893" t="s">
        <v>84</v>
      </c>
      <c r="G2893" s="202">
        <v>1</v>
      </c>
      <c r="H2893">
        <v>5</v>
      </c>
      <c r="I2893" t="s">
        <v>3968</v>
      </c>
      <c r="J2893" t="s">
        <v>3969</v>
      </c>
      <c r="K2893" t="s">
        <v>84</v>
      </c>
      <c r="L2893" s="204">
        <v>1</v>
      </c>
      <c r="M2893" s="112"/>
      <c r="N2893" s="112">
        <v>130.10249999999999</v>
      </c>
      <c r="O2893" s="204">
        <v>0.22226705866528329</v>
      </c>
      <c r="P2893" s="112">
        <v>28.917500000000018</v>
      </c>
      <c r="Q2893" s="112">
        <v>159.02000000000001</v>
      </c>
      <c r="R2893" s="112">
        <v>159.02000000000001</v>
      </c>
      <c r="S2893" s="112">
        <v>159.02000000000001</v>
      </c>
      <c r="T2893" s="112">
        <v>0</v>
      </c>
      <c r="U2893" t="s">
        <v>6251</v>
      </c>
      <c r="V2893" t="s">
        <v>6252</v>
      </c>
      <c r="W2893" t="s">
        <v>4666</v>
      </c>
      <c r="X2893" t="s">
        <v>4667</v>
      </c>
    </row>
    <row r="2894" spans="1:24" x14ac:dyDescent="0.2">
      <c r="A2894" t="s">
        <v>6253</v>
      </c>
      <c r="B2894" t="s">
        <v>2222</v>
      </c>
      <c r="C2894" t="s">
        <v>2223</v>
      </c>
      <c r="D2894" t="s">
        <v>56</v>
      </c>
      <c r="E2894" t="s">
        <v>1100</v>
      </c>
      <c r="F2894" t="s">
        <v>84</v>
      </c>
      <c r="G2894" s="202">
        <v>1</v>
      </c>
      <c r="H2894">
        <v>1</v>
      </c>
      <c r="I2894" t="s">
        <v>3954</v>
      </c>
      <c r="J2894" t="s">
        <v>4110</v>
      </c>
      <c r="K2894" t="s">
        <v>1283</v>
      </c>
      <c r="L2894" s="204">
        <v>0.3</v>
      </c>
      <c r="M2894" s="112">
        <v>141.1275</v>
      </c>
      <c r="N2894" s="112">
        <v>42.338249999999995</v>
      </c>
      <c r="O2894" s="204"/>
      <c r="P2894" s="112"/>
      <c r="Q2894" s="112"/>
      <c r="R2894" s="112"/>
      <c r="S2894" s="112"/>
      <c r="T2894" s="112"/>
      <c r="U2894" t="s">
        <v>6254</v>
      </c>
      <c r="V2894" t="s">
        <v>6255</v>
      </c>
      <c r="W2894" t="s">
        <v>3958</v>
      </c>
      <c r="X2894" t="s">
        <v>4660</v>
      </c>
    </row>
    <row r="2895" spans="1:24" x14ac:dyDescent="0.2">
      <c r="A2895" t="s">
        <v>6253</v>
      </c>
      <c r="B2895" t="s">
        <v>2222</v>
      </c>
      <c r="C2895" t="s">
        <v>2223</v>
      </c>
      <c r="D2895" t="s">
        <v>56</v>
      </c>
      <c r="E2895" t="s">
        <v>1100</v>
      </c>
      <c r="F2895" t="s">
        <v>84</v>
      </c>
      <c r="G2895" s="202">
        <v>1</v>
      </c>
      <c r="H2895">
        <v>2</v>
      </c>
      <c r="I2895" t="s">
        <v>3960</v>
      </c>
      <c r="J2895" t="s">
        <v>4113</v>
      </c>
      <c r="K2895" t="s">
        <v>1283</v>
      </c>
      <c r="L2895" s="204">
        <v>0.55000000000000004</v>
      </c>
      <c r="M2895" s="112">
        <v>141.1275</v>
      </c>
      <c r="N2895" s="112">
        <v>77.620125000000002</v>
      </c>
      <c r="O2895" s="204"/>
      <c r="P2895" s="112"/>
      <c r="Q2895" s="112"/>
      <c r="R2895" s="112"/>
      <c r="S2895" s="112"/>
      <c r="T2895" s="112"/>
      <c r="U2895" t="s">
        <v>6254</v>
      </c>
      <c r="V2895" t="s">
        <v>6255</v>
      </c>
      <c r="W2895" t="s">
        <v>3958</v>
      </c>
      <c r="X2895" t="s">
        <v>4660</v>
      </c>
    </row>
    <row r="2896" spans="1:24" x14ac:dyDescent="0.2">
      <c r="A2896" t="s">
        <v>6253</v>
      </c>
      <c r="B2896" t="s">
        <v>2222</v>
      </c>
      <c r="C2896" t="s">
        <v>2223</v>
      </c>
      <c r="D2896" t="s">
        <v>56</v>
      </c>
      <c r="E2896" t="s">
        <v>1100</v>
      </c>
      <c r="F2896" t="s">
        <v>84</v>
      </c>
      <c r="G2896" s="202">
        <v>1</v>
      </c>
      <c r="H2896">
        <v>3</v>
      </c>
      <c r="I2896" t="s">
        <v>3976</v>
      </c>
      <c r="J2896" t="s">
        <v>4114</v>
      </c>
      <c r="K2896" t="s">
        <v>1283</v>
      </c>
      <c r="L2896" s="204">
        <v>0.1</v>
      </c>
      <c r="M2896" s="112">
        <v>141.1275</v>
      </c>
      <c r="N2896" s="112">
        <v>14.11275</v>
      </c>
      <c r="O2896" s="204"/>
      <c r="P2896" s="112"/>
      <c r="Q2896" s="112"/>
      <c r="R2896" s="112"/>
      <c r="S2896" s="112"/>
      <c r="T2896" s="112"/>
      <c r="U2896" t="s">
        <v>6254</v>
      </c>
      <c r="V2896" t="s">
        <v>6255</v>
      </c>
      <c r="W2896" t="s">
        <v>3958</v>
      </c>
      <c r="X2896" t="s">
        <v>4660</v>
      </c>
    </row>
    <row r="2897" spans="1:24" x14ac:dyDescent="0.2">
      <c r="A2897" t="s">
        <v>6253</v>
      </c>
      <c r="B2897" t="s">
        <v>2222</v>
      </c>
      <c r="C2897" t="s">
        <v>2223</v>
      </c>
      <c r="D2897" t="s">
        <v>56</v>
      </c>
      <c r="E2897" t="s">
        <v>1100</v>
      </c>
      <c r="F2897" t="s">
        <v>84</v>
      </c>
      <c r="G2897" s="202">
        <v>1</v>
      </c>
      <c r="H2897">
        <v>4</v>
      </c>
      <c r="I2897" t="s">
        <v>4017</v>
      </c>
      <c r="J2897" t="s">
        <v>4115</v>
      </c>
      <c r="K2897" t="s">
        <v>1283</v>
      </c>
      <c r="L2897" s="204">
        <v>0.05</v>
      </c>
      <c r="M2897" s="112">
        <v>141.1275</v>
      </c>
      <c r="N2897" s="112">
        <v>7.0563750000000001</v>
      </c>
      <c r="O2897" s="204"/>
      <c r="P2897" s="112"/>
      <c r="Q2897" s="112"/>
      <c r="R2897" s="112"/>
      <c r="S2897" s="112"/>
      <c r="T2897" s="112"/>
      <c r="U2897" t="s">
        <v>6254</v>
      </c>
      <c r="V2897" t="s">
        <v>6255</v>
      </c>
      <c r="W2897" t="s">
        <v>3958</v>
      </c>
      <c r="X2897" t="s">
        <v>4660</v>
      </c>
    </row>
    <row r="2898" spans="1:24" x14ac:dyDescent="0.2">
      <c r="A2898" t="s">
        <v>6253</v>
      </c>
      <c r="B2898" t="s">
        <v>2222</v>
      </c>
      <c r="C2898" t="s">
        <v>2223</v>
      </c>
      <c r="D2898" t="s">
        <v>56</v>
      </c>
      <c r="E2898" t="s">
        <v>1100</v>
      </c>
      <c r="F2898" t="s">
        <v>84</v>
      </c>
      <c r="G2898" s="202">
        <v>1</v>
      </c>
      <c r="H2898">
        <v>5</v>
      </c>
      <c r="I2898" t="s">
        <v>3968</v>
      </c>
      <c r="J2898" t="s">
        <v>3969</v>
      </c>
      <c r="K2898" t="s">
        <v>84</v>
      </c>
      <c r="L2898" s="204">
        <v>1</v>
      </c>
      <c r="M2898" s="112"/>
      <c r="N2898" s="112">
        <v>141.1275</v>
      </c>
      <c r="O2898" s="204">
        <v>0.22229898496040823</v>
      </c>
      <c r="P2898" s="112">
        <v>31.372500000000002</v>
      </c>
      <c r="Q2898" s="112">
        <v>172.5</v>
      </c>
      <c r="R2898" s="112">
        <v>172.5</v>
      </c>
      <c r="S2898" s="112">
        <v>172.5</v>
      </c>
      <c r="T2898" s="112">
        <v>0</v>
      </c>
      <c r="U2898" t="s">
        <v>6254</v>
      </c>
      <c r="V2898" t="s">
        <v>6255</v>
      </c>
      <c r="W2898" t="s">
        <v>4666</v>
      </c>
      <c r="X2898" t="s">
        <v>4667</v>
      </c>
    </row>
    <row r="2899" spans="1:24" x14ac:dyDescent="0.2">
      <c r="A2899" t="s">
        <v>6256</v>
      </c>
      <c r="B2899" t="s">
        <v>2224</v>
      </c>
      <c r="C2899" t="s">
        <v>2225</v>
      </c>
      <c r="D2899" t="s">
        <v>335</v>
      </c>
      <c r="E2899" t="s">
        <v>1101</v>
      </c>
      <c r="F2899" t="s">
        <v>84</v>
      </c>
      <c r="G2899" s="202">
        <v>2</v>
      </c>
      <c r="H2899">
        <v>1</v>
      </c>
      <c r="I2899" t="s">
        <v>3954</v>
      </c>
      <c r="J2899" t="s">
        <v>4804</v>
      </c>
      <c r="K2899" t="s">
        <v>1283</v>
      </c>
      <c r="L2899" s="204">
        <v>0.28000000000000003</v>
      </c>
      <c r="M2899" s="112">
        <v>155.58749999999998</v>
      </c>
      <c r="N2899" s="112">
        <v>43.564499999999995</v>
      </c>
      <c r="O2899" s="204"/>
      <c r="P2899" s="112"/>
      <c r="Q2899" s="112"/>
      <c r="R2899" s="112"/>
      <c r="S2899" s="112"/>
      <c r="T2899" s="112"/>
      <c r="U2899" t="s">
        <v>6257</v>
      </c>
      <c r="V2899" t="s">
        <v>6258</v>
      </c>
      <c r="W2899" t="s">
        <v>3958</v>
      </c>
      <c r="X2899" t="s">
        <v>4660</v>
      </c>
    </row>
    <row r="2900" spans="1:24" x14ac:dyDescent="0.2">
      <c r="A2900" t="s">
        <v>6256</v>
      </c>
      <c r="B2900" t="s">
        <v>2224</v>
      </c>
      <c r="C2900" t="s">
        <v>2225</v>
      </c>
      <c r="D2900" t="s">
        <v>335</v>
      </c>
      <c r="E2900" t="s">
        <v>1101</v>
      </c>
      <c r="F2900" t="s">
        <v>84</v>
      </c>
      <c r="G2900" s="202">
        <v>2</v>
      </c>
      <c r="H2900">
        <v>2</v>
      </c>
      <c r="I2900" t="s">
        <v>3960</v>
      </c>
      <c r="J2900" t="s">
        <v>4807</v>
      </c>
      <c r="K2900" t="s">
        <v>1283</v>
      </c>
      <c r="L2900" s="204">
        <v>0.56000000000000005</v>
      </c>
      <c r="M2900" s="112">
        <v>155.58749999999998</v>
      </c>
      <c r="N2900" s="112">
        <v>87.128999999999991</v>
      </c>
      <c r="O2900" s="204"/>
      <c r="P2900" s="112"/>
      <c r="Q2900" s="112"/>
      <c r="R2900" s="112"/>
      <c r="S2900" s="112"/>
      <c r="T2900" s="112"/>
      <c r="U2900" t="s">
        <v>6257</v>
      </c>
      <c r="V2900" t="s">
        <v>6258</v>
      </c>
      <c r="W2900" t="s">
        <v>3958</v>
      </c>
      <c r="X2900" t="s">
        <v>4660</v>
      </c>
    </row>
    <row r="2901" spans="1:24" x14ac:dyDescent="0.2">
      <c r="A2901" t="s">
        <v>6256</v>
      </c>
      <c r="B2901" t="s">
        <v>2224</v>
      </c>
      <c r="C2901" t="s">
        <v>2225</v>
      </c>
      <c r="D2901" t="s">
        <v>335</v>
      </c>
      <c r="E2901" t="s">
        <v>1101</v>
      </c>
      <c r="F2901" t="s">
        <v>84</v>
      </c>
      <c r="G2901" s="202">
        <v>2</v>
      </c>
      <c r="H2901">
        <v>3</v>
      </c>
      <c r="I2901" t="s">
        <v>3962</v>
      </c>
      <c r="J2901" t="s">
        <v>4808</v>
      </c>
      <c r="K2901" t="s">
        <v>1283</v>
      </c>
      <c r="L2901" s="204">
        <v>0.1</v>
      </c>
      <c r="M2901" s="112">
        <v>155.58749999999998</v>
      </c>
      <c r="N2901" s="112">
        <v>15.558749999999998</v>
      </c>
      <c r="O2901" s="204"/>
      <c r="P2901" s="112"/>
      <c r="Q2901" s="112"/>
      <c r="R2901" s="112"/>
      <c r="S2901" s="112"/>
      <c r="T2901" s="112"/>
      <c r="U2901" t="s">
        <v>6257</v>
      </c>
      <c r="V2901" t="s">
        <v>6258</v>
      </c>
      <c r="W2901" t="s">
        <v>3958</v>
      </c>
      <c r="X2901" t="s">
        <v>4660</v>
      </c>
    </row>
    <row r="2902" spans="1:24" x14ac:dyDescent="0.2">
      <c r="A2902" t="s">
        <v>6256</v>
      </c>
      <c r="B2902" t="s">
        <v>2224</v>
      </c>
      <c r="C2902" t="s">
        <v>2225</v>
      </c>
      <c r="D2902" t="s">
        <v>335</v>
      </c>
      <c r="E2902" t="s">
        <v>1101</v>
      </c>
      <c r="F2902" t="s">
        <v>84</v>
      </c>
      <c r="G2902" s="202">
        <v>2</v>
      </c>
      <c r="H2902">
        <v>4</v>
      </c>
      <c r="I2902" t="s">
        <v>4017</v>
      </c>
      <c r="J2902" t="s">
        <v>4809</v>
      </c>
      <c r="K2902" t="s">
        <v>1283</v>
      </c>
      <c r="L2902" s="204">
        <v>0.06</v>
      </c>
      <c r="M2902" s="112">
        <v>155.58749999999998</v>
      </c>
      <c r="N2902" s="112">
        <v>9.3352499999999985</v>
      </c>
      <c r="O2902" s="204"/>
      <c r="P2902" s="112"/>
      <c r="Q2902" s="112"/>
      <c r="R2902" s="112"/>
      <c r="S2902" s="112"/>
      <c r="T2902" s="112"/>
      <c r="U2902" t="s">
        <v>6257</v>
      </c>
      <c r="V2902" t="s">
        <v>6258</v>
      </c>
      <c r="W2902" t="s">
        <v>3958</v>
      </c>
      <c r="X2902" t="s">
        <v>4660</v>
      </c>
    </row>
    <row r="2903" spans="1:24" x14ac:dyDescent="0.2">
      <c r="A2903" t="s">
        <v>6256</v>
      </c>
      <c r="B2903" t="s">
        <v>2224</v>
      </c>
      <c r="C2903" t="s">
        <v>2225</v>
      </c>
      <c r="D2903" t="s">
        <v>335</v>
      </c>
      <c r="E2903" t="s">
        <v>1101</v>
      </c>
      <c r="F2903" t="s">
        <v>84</v>
      </c>
      <c r="G2903" s="202">
        <v>2</v>
      </c>
      <c r="H2903">
        <v>5</v>
      </c>
      <c r="I2903" t="s">
        <v>3968</v>
      </c>
      <c r="J2903" t="s">
        <v>3969</v>
      </c>
      <c r="K2903" t="s">
        <v>84</v>
      </c>
      <c r="L2903" s="204">
        <v>1</v>
      </c>
      <c r="M2903" s="112"/>
      <c r="N2903" s="112">
        <v>155.58749999999998</v>
      </c>
      <c r="O2903" s="204">
        <v>0.22227042660882157</v>
      </c>
      <c r="P2903" s="112">
        <v>34.58250000000001</v>
      </c>
      <c r="Q2903" s="112">
        <v>190.17</v>
      </c>
      <c r="R2903" s="112">
        <v>380.34</v>
      </c>
      <c r="S2903" s="112">
        <v>380.34</v>
      </c>
      <c r="T2903" s="112">
        <v>0</v>
      </c>
      <c r="U2903" t="s">
        <v>6257</v>
      </c>
      <c r="V2903" t="s">
        <v>6258</v>
      </c>
      <c r="W2903" t="s">
        <v>4666</v>
      </c>
      <c r="X2903" t="s">
        <v>4667</v>
      </c>
    </row>
    <row r="2904" spans="1:24" x14ac:dyDescent="0.2">
      <c r="A2904" t="s">
        <v>6259</v>
      </c>
      <c r="B2904" t="s">
        <v>2226</v>
      </c>
      <c r="C2904" t="s">
        <v>2227</v>
      </c>
      <c r="D2904" t="s">
        <v>56</v>
      </c>
      <c r="E2904" t="s">
        <v>1102</v>
      </c>
      <c r="F2904" t="s">
        <v>84</v>
      </c>
      <c r="G2904" s="202">
        <v>2</v>
      </c>
      <c r="H2904">
        <v>1</v>
      </c>
      <c r="I2904" t="s">
        <v>3954</v>
      </c>
      <c r="J2904" t="s">
        <v>5227</v>
      </c>
      <c r="K2904" t="s">
        <v>1283</v>
      </c>
      <c r="L2904" s="204">
        <v>0.26</v>
      </c>
      <c r="M2904" s="112">
        <v>342.495</v>
      </c>
      <c r="N2904" s="112">
        <v>89.048700000000011</v>
      </c>
      <c r="O2904" s="204"/>
      <c r="P2904" s="112"/>
      <c r="Q2904" s="112"/>
      <c r="R2904" s="112"/>
      <c r="S2904" s="112"/>
      <c r="T2904" s="112"/>
      <c r="U2904" t="s">
        <v>6260</v>
      </c>
      <c r="V2904" t="s">
        <v>6261</v>
      </c>
      <c r="W2904" t="s">
        <v>3958</v>
      </c>
      <c r="X2904" t="s">
        <v>4660</v>
      </c>
    </row>
    <row r="2905" spans="1:24" x14ac:dyDescent="0.2">
      <c r="A2905" t="s">
        <v>6259</v>
      </c>
      <c r="B2905" t="s">
        <v>2226</v>
      </c>
      <c r="C2905" t="s">
        <v>2227</v>
      </c>
      <c r="D2905" t="s">
        <v>56</v>
      </c>
      <c r="E2905" t="s">
        <v>1102</v>
      </c>
      <c r="F2905" t="s">
        <v>84</v>
      </c>
      <c r="G2905" s="202">
        <v>2</v>
      </c>
      <c r="H2905">
        <v>2</v>
      </c>
      <c r="I2905" t="s">
        <v>3960</v>
      </c>
      <c r="J2905" t="s">
        <v>5229</v>
      </c>
      <c r="K2905" t="s">
        <v>1283</v>
      </c>
      <c r="L2905" s="204">
        <v>0.64</v>
      </c>
      <c r="M2905" s="112">
        <v>342.495</v>
      </c>
      <c r="N2905" s="112">
        <v>219.1968</v>
      </c>
      <c r="O2905" s="204"/>
      <c r="P2905" s="112"/>
      <c r="Q2905" s="112"/>
      <c r="R2905" s="112"/>
      <c r="S2905" s="112"/>
      <c r="T2905" s="112"/>
      <c r="U2905" t="s">
        <v>6260</v>
      </c>
      <c r="V2905" t="s">
        <v>6261</v>
      </c>
      <c r="W2905" t="s">
        <v>3958</v>
      </c>
      <c r="X2905" t="s">
        <v>4660</v>
      </c>
    </row>
    <row r="2906" spans="1:24" x14ac:dyDescent="0.2">
      <c r="A2906" t="s">
        <v>6259</v>
      </c>
      <c r="B2906" t="s">
        <v>2226</v>
      </c>
      <c r="C2906" t="s">
        <v>2227</v>
      </c>
      <c r="D2906" t="s">
        <v>56</v>
      </c>
      <c r="E2906" t="s">
        <v>1102</v>
      </c>
      <c r="F2906" t="s">
        <v>84</v>
      </c>
      <c r="G2906" s="202">
        <v>2</v>
      </c>
      <c r="H2906">
        <v>3</v>
      </c>
      <c r="I2906" t="s">
        <v>3976</v>
      </c>
      <c r="J2906" t="s">
        <v>5230</v>
      </c>
      <c r="K2906" t="s">
        <v>1283</v>
      </c>
      <c r="L2906" s="204">
        <v>0.04</v>
      </c>
      <c r="M2906" s="112">
        <v>342.495</v>
      </c>
      <c r="N2906" s="112">
        <v>13.6998</v>
      </c>
      <c r="O2906" s="204"/>
      <c r="P2906" s="112"/>
      <c r="Q2906" s="112"/>
      <c r="R2906" s="112"/>
      <c r="S2906" s="112"/>
      <c r="T2906" s="112"/>
      <c r="U2906" t="s">
        <v>6260</v>
      </c>
      <c r="V2906" t="s">
        <v>6261</v>
      </c>
      <c r="W2906" t="s">
        <v>3958</v>
      </c>
      <c r="X2906" t="s">
        <v>4660</v>
      </c>
    </row>
    <row r="2907" spans="1:24" x14ac:dyDescent="0.2">
      <c r="A2907" t="s">
        <v>6259</v>
      </c>
      <c r="B2907" t="s">
        <v>2226</v>
      </c>
      <c r="C2907" t="s">
        <v>2227</v>
      </c>
      <c r="D2907" t="s">
        <v>56</v>
      </c>
      <c r="E2907" t="s">
        <v>1102</v>
      </c>
      <c r="F2907" t="s">
        <v>84</v>
      </c>
      <c r="G2907" s="202">
        <v>2</v>
      </c>
      <c r="H2907">
        <v>4</v>
      </c>
      <c r="I2907" t="s">
        <v>4017</v>
      </c>
      <c r="J2907" t="s">
        <v>4851</v>
      </c>
      <c r="K2907" t="s">
        <v>1283</v>
      </c>
      <c r="L2907" s="204">
        <v>0.06</v>
      </c>
      <c r="M2907" s="112">
        <v>342.495</v>
      </c>
      <c r="N2907" s="112">
        <v>20.549699999999998</v>
      </c>
      <c r="O2907" s="204"/>
      <c r="P2907" s="112"/>
      <c r="Q2907" s="112"/>
      <c r="R2907" s="112"/>
      <c r="S2907" s="112"/>
      <c r="T2907" s="112"/>
      <c r="U2907" t="s">
        <v>6260</v>
      </c>
      <c r="V2907" t="s">
        <v>6261</v>
      </c>
      <c r="W2907" t="s">
        <v>3958</v>
      </c>
      <c r="X2907" t="s">
        <v>4660</v>
      </c>
    </row>
    <row r="2908" spans="1:24" x14ac:dyDescent="0.2">
      <c r="A2908" t="s">
        <v>6259</v>
      </c>
      <c r="B2908" t="s">
        <v>2226</v>
      </c>
      <c r="C2908" t="s">
        <v>2227</v>
      </c>
      <c r="D2908" t="s">
        <v>56</v>
      </c>
      <c r="E2908" t="s">
        <v>1102</v>
      </c>
      <c r="F2908" t="s">
        <v>84</v>
      </c>
      <c r="G2908" s="202">
        <v>2</v>
      </c>
      <c r="H2908">
        <v>5</v>
      </c>
      <c r="I2908" t="s">
        <v>3968</v>
      </c>
      <c r="J2908" t="s">
        <v>3969</v>
      </c>
      <c r="K2908" t="s">
        <v>84</v>
      </c>
      <c r="L2908" s="204">
        <v>1</v>
      </c>
      <c r="M2908" s="112"/>
      <c r="N2908" s="112">
        <v>342.495</v>
      </c>
      <c r="O2908" s="204">
        <v>0.22228061723528802</v>
      </c>
      <c r="P2908" s="112">
        <v>76.13</v>
      </c>
      <c r="Q2908" s="112">
        <v>418.625</v>
      </c>
      <c r="R2908" s="112">
        <v>837.25</v>
      </c>
      <c r="S2908" s="112">
        <v>837.25</v>
      </c>
      <c r="T2908" s="112">
        <v>0</v>
      </c>
      <c r="U2908" t="s">
        <v>6260</v>
      </c>
      <c r="V2908" t="s">
        <v>6261</v>
      </c>
      <c r="W2908" t="s">
        <v>4666</v>
      </c>
      <c r="X2908" t="s">
        <v>4667</v>
      </c>
    </row>
    <row r="2909" spans="1:24" x14ac:dyDescent="0.2">
      <c r="A2909" t="s">
        <v>6262</v>
      </c>
      <c r="B2909" t="s">
        <v>2228</v>
      </c>
      <c r="C2909" t="s">
        <v>2229</v>
      </c>
      <c r="D2909" t="s">
        <v>56</v>
      </c>
      <c r="E2909" t="s">
        <v>1103</v>
      </c>
      <c r="F2909" t="s">
        <v>84</v>
      </c>
      <c r="G2909" s="202">
        <v>1</v>
      </c>
      <c r="H2909">
        <v>1</v>
      </c>
      <c r="I2909" t="s">
        <v>3954</v>
      </c>
      <c r="J2909" t="s">
        <v>5227</v>
      </c>
      <c r="K2909" t="s">
        <v>1283</v>
      </c>
      <c r="L2909" s="204">
        <v>0.26</v>
      </c>
      <c r="M2909" s="112">
        <v>536.99250000000006</v>
      </c>
      <c r="N2909" s="112">
        <v>139.61805000000001</v>
      </c>
      <c r="O2909" s="204"/>
      <c r="P2909" s="112"/>
      <c r="Q2909" s="112"/>
      <c r="R2909" s="112"/>
      <c r="S2909" s="112"/>
      <c r="T2909" s="112"/>
      <c r="U2909" t="s">
        <v>6263</v>
      </c>
      <c r="V2909" t="s">
        <v>6264</v>
      </c>
      <c r="W2909" t="s">
        <v>3958</v>
      </c>
      <c r="X2909" t="s">
        <v>4660</v>
      </c>
    </row>
    <row r="2910" spans="1:24" x14ac:dyDescent="0.2">
      <c r="A2910" t="s">
        <v>6262</v>
      </c>
      <c r="B2910" t="s">
        <v>2228</v>
      </c>
      <c r="C2910" t="s">
        <v>2229</v>
      </c>
      <c r="D2910" t="s">
        <v>56</v>
      </c>
      <c r="E2910" t="s">
        <v>1103</v>
      </c>
      <c r="F2910" t="s">
        <v>84</v>
      </c>
      <c r="G2910" s="202">
        <v>1</v>
      </c>
      <c r="H2910">
        <v>2</v>
      </c>
      <c r="I2910" t="s">
        <v>3960</v>
      </c>
      <c r="J2910" t="s">
        <v>5229</v>
      </c>
      <c r="K2910" t="s">
        <v>1283</v>
      </c>
      <c r="L2910" s="204">
        <v>0.64</v>
      </c>
      <c r="M2910" s="112">
        <v>536.99250000000006</v>
      </c>
      <c r="N2910" s="112">
        <v>343.67520000000007</v>
      </c>
      <c r="O2910" s="204"/>
      <c r="P2910" s="112"/>
      <c r="Q2910" s="112"/>
      <c r="R2910" s="112"/>
      <c r="S2910" s="112"/>
      <c r="T2910" s="112"/>
      <c r="U2910" t="s">
        <v>6263</v>
      </c>
      <c r="V2910" t="s">
        <v>6264</v>
      </c>
      <c r="W2910" t="s">
        <v>3958</v>
      </c>
      <c r="X2910" t="s">
        <v>4660</v>
      </c>
    </row>
    <row r="2911" spans="1:24" x14ac:dyDescent="0.2">
      <c r="A2911" t="s">
        <v>6262</v>
      </c>
      <c r="B2911" t="s">
        <v>2228</v>
      </c>
      <c r="C2911" t="s">
        <v>2229</v>
      </c>
      <c r="D2911" t="s">
        <v>56</v>
      </c>
      <c r="E2911" t="s">
        <v>1103</v>
      </c>
      <c r="F2911" t="s">
        <v>84</v>
      </c>
      <c r="G2911" s="202">
        <v>1</v>
      </c>
      <c r="H2911">
        <v>3</v>
      </c>
      <c r="I2911" t="s">
        <v>3976</v>
      </c>
      <c r="J2911" t="s">
        <v>5230</v>
      </c>
      <c r="K2911" t="s">
        <v>1283</v>
      </c>
      <c r="L2911" s="204">
        <v>0.04</v>
      </c>
      <c r="M2911" s="112">
        <v>536.99250000000006</v>
      </c>
      <c r="N2911" s="112">
        <v>21.479700000000005</v>
      </c>
      <c r="O2911" s="204"/>
      <c r="P2911" s="112"/>
      <c r="Q2911" s="112"/>
      <c r="R2911" s="112"/>
      <c r="S2911" s="112"/>
      <c r="T2911" s="112"/>
      <c r="U2911" t="s">
        <v>6263</v>
      </c>
      <c r="V2911" t="s">
        <v>6264</v>
      </c>
      <c r="W2911" t="s">
        <v>3958</v>
      </c>
      <c r="X2911" t="s">
        <v>4660</v>
      </c>
    </row>
    <row r="2912" spans="1:24" x14ac:dyDescent="0.2">
      <c r="A2912" t="s">
        <v>6262</v>
      </c>
      <c r="B2912" t="s">
        <v>2228</v>
      </c>
      <c r="C2912" t="s">
        <v>2229</v>
      </c>
      <c r="D2912" t="s">
        <v>56</v>
      </c>
      <c r="E2912" t="s">
        <v>1103</v>
      </c>
      <c r="F2912" t="s">
        <v>84</v>
      </c>
      <c r="G2912" s="202">
        <v>1</v>
      </c>
      <c r="H2912">
        <v>4</v>
      </c>
      <c r="I2912" t="s">
        <v>4017</v>
      </c>
      <c r="J2912" t="s">
        <v>4851</v>
      </c>
      <c r="K2912" t="s">
        <v>1283</v>
      </c>
      <c r="L2912" s="204">
        <v>0.06</v>
      </c>
      <c r="M2912" s="112">
        <v>536.99250000000006</v>
      </c>
      <c r="N2912" s="112">
        <v>32.219550000000005</v>
      </c>
      <c r="O2912" s="204"/>
      <c r="P2912" s="112"/>
      <c r="Q2912" s="112"/>
      <c r="R2912" s="112"/>
      <c r="S2912" s="112"/>
      <c r="T2912" s="112"/>
      <c r="U2912" t="s">
        <v>6263</v>
      </c>
      <c r="V2912" t="s">
        <v>6264</v>
      </c>
      <c r="W2912" t="s">
        <v>3958</v>
      </c>
      <c r="X2912" t="s">
        <v>4660</v>
      </c>
    </row>
    <row r="2913" spans="1:24" x14ac:dyDescent="0.2">
      <c r="A2913" t="s">
        <v>6262</v>
      </c>
      <c r="B2913" t="s">
        <v>2228</v>
      </c>
      <c r="C2913" t="s">
        <v>2229</v>
      </c>
      <c r="D2913" t="s">
        <v>56</v>
      </c>
      <c r="E2913" t="s">
        <v>1103</v>
      </c>
      <c r="F2913" t="s">
        <v>84</v>
      </c>
      <c r="G2913" s="202">
        <v>1</v>
      </c>
      <c r="H2913">
        <v>5</v>
      </c>
      <c r="I2913" t="s">
        <v>3968</v>
      </c>
      <c r="J2913" t="s">
        <v>3969</v>
      </c>
      <c r="K2913" t="s">
        <v>84</v>
      </c>
      <c r="L2913" s="204">
        <v>1</v>
      </c>
      <c r="M2913" s="112"/>
      <c r="N2913" s="112">
        <v>536.99250000000006</v>
      </c>
      <c r="O2913" s="204">
        <v>0.2222889518941138</v>
      </c>
      <c r="P2913" s="112">
        <v>119.36749999999995</v>
      </c>
      <c r="Q2913" s="112">
        <v>656.36</v>
      </c>
      <c r="R2913" s="112">
        <v>656.36</v>
      </c>
      <c r="S2913" s="112">
        <v>656.36</v>
      </c>
      <c r="T2913" s="112">
        <v>0</v>
      </c>
      <c r="U2913" t="s">
        <v>6263</v>
      </c>
      <c r="V2913" t="s">
        <v>6264</v>
      </c>
      <c r="W2913" t="s">
        <v>4666</v>
      </c>
      <c r="X2913" t="s">
        <v>4667</v>
      </c>
    </row>
    <row r="2914" spans="1:24" x14ac:dyDescent="0.2">
      <c r="A2914" t="s">
        <v>6265</v>
      </c>
      <c r="B2914" t="s">
        <v>2230</v>
      </c>
      <c r="C2914" t="s">
        <v>2231</v>
      </c>
      <c r="D2914" t="s">
        <v>56</v>
      </c>
      <c r="E2914" t="s">
        <v>2232</v>
      </c>
      <c r="F2914" t="s">
        <v>84</v>
      </c>
      <c r="G2914" s="202">
        <v>6</v>
      </c>
      <c r="H2914">
        <v>1</v>
      </c>
      <c r="I2914" t="s">
        <v>3954</v>
      </c>
      <c r="J2914" t="s">
        <v>5227</v>
      </c>
      <c r="K2914" t="s">
        <v>1283</v>
      </c>
      <c r="L2914" s="204">
        <v>0.26</v>
      </c>
      <c r="M2914" s="112">
        <v>182.60249999999999</v>
      </c>
      <c r="N2914" s="112">
        <v>47.476649999999999</v>
      </c>
      <c r="O2914" s="204"/>
      <c r="P2914" s="112"/>
      <c r="Q2914" s="112"/>
      <c r="R2914" s="112"/>
      <c r="S2914" s="112"/>
      <c r="T2914" s="112"/>
      <c r="U2914" t="s">
        <v>6266</v>
      </c>
      <c r="V2914" t="s">
        <v>6267</v>
      </c>
      <c r="W2914" t="s">
        <v>3958</v>
      </c>
      <c r="X2914" t="s">
        <v>4660</v>
      </c>
    </row>
    <row r="2915" spans="1:24" x14ac:dyDescent="0.2">
      <c r="A2915" t="s">
        <v>6265</v>
      </c>
      <c r="B2915" t="s">
        <v>2230</v>
      </c>
      <c r="C2915" t="s">
        <v>2231</v>
      </c>
      <c r="D2915" t="s">
        <v>56</v>
      </c>
      <c r="E2915" t="s">
        <v>2232</v>
      </c>
      <c r="F2915" t="s">
        <v>84</v>
      </c>
      <c r="G2915" s="202">
        <v>6</v>
      </c>
      <c r="H2915">
        <v>2</v>
      </c>
      <c r="I2915" t="s">
        <v>3960</v>
      </c>
      <c r="J2915" t="s">
        <v>5229</v>
      </c>
      <c r="K2915" t="s">
        <v>1283</v>
      </c>
      <c r="L2915" s="204">
        <v>0.64</v>
      </c>
      <c r="M2915" s="112">
        <v>182.60249999999999</v>
      </c>
      <c r="N2915" s="112">
        <v>116.8656</v>
      </c>
      <c r="O2915" s="204"/>
      <c r="P2915" s="112"/>
      <c r="Q2915" s="112"/>
      <c r="R2915" s="112"/>
      <c r="S2915" s="112"/>
      <c r="T2915" s="112"/>
      <c r="U2915" t="s">
        <v>6266</v>
      </c>
      <c r="V2915" t="s">
        <v>6267</v>
      </c>
      <c r="W2915" t="s">
        <v>3958</v>
      </c>
      <c r="X2915" t="s">
        <v>4660</v>
      </c>
    </row>
    <row r="2916" spans="1:24" x14ac:dyDescent="0.2">
      <c r="A2916" t="s">
        <v>6265</v>
      </c>
      <c r="B2916" t="s">
        <v>2230</v>
      </c>
      <c r="C2916" t="s">
        <v>2231</v>
      </c>
      <c r="D2916" t="s">
        <v>56</v>
      </c>
      <c r="E2916" t="s">
        <v>2232</v>
      </c>
      <c r="F2916" t="s">
        <v>84</v>
      </c>
      <c r="G2916" s="202">
        <v>6</v>
      </c>
      <c r="H2916">
        <v>3</v>
      </c>
      <c r="I2916" t="s">
        <v>3976</v>
      </c>
      <c r="J2916" t="s">
        <v>5230</v>
      </c>
      <c r="K2916" t="s">
        <v>1283</v>
      </c>
      <c r="L2916" s="204">
        <v>0.04</v>
      </c>
      <c r="M2916" s="112">
        <v>182.60249999999999</v>
      </c>
      <c r="N2916" s="112">
        <v>7.3041</v>
      </c>
      <c r="O2916" s="204"/>
      <c r="P2916" s="112"/>
      <c r="Q2916" s="112"/>
      <c r="R2916" s="112"/>
      <c r="S2916" s="112"/>
      <c r="T2916" s="112"/>
      <c r="U2916" t="s">
        <v>6266</v>
      </c>
      <c r="V2916" t="s">
        <v>6267</v>
      </c>
      <c r="W2916" t="s">
        <v>3958</v>
      </c>
      <c r="X2916" t="s">
        <v>4660</v>
      </c>
    </row>
    <row r="2917" spans="1:24" x14ac:dyDescent="0.2">
      <c r="A2917" t="s">
        <v>6265</v>
      </c>
      <c r="B2917" t="s">
        <v>2230</v>
      </c>
      <c r="C2917" t="s">
        <v>2231</v>
      </c>
      <c r="D2917" t="s">
        <v>56</v>
      </c>
      <c r="E2917" t="s">
        <v>2232</v>
      </c>
      <c r="F2917" t="s">
        <v>84</v>
      </c>
      <c r="G2917" s="202">
        <v>6</v>
      </c>
      <c r="H2917">
        <v>4</v>
      </c>
      <c r="I2917" t="s">
        <v>4017</v>
      </c>
      <c r="J2917" t="s">
        <v>4851</v>
      </c>
      <c r="K2917" t="s">
        <v>1283</v>
      </c>
      <c r="L2917" s="204">
        <v>0.06</v>
      </c>
      <c r="M2917" s="112">
        <v>182.60249999999999</v>
      </c>
      <c r="N2917" s="112">
        <v>10.956149999999999</v>
      </c>
      <c r="O2917" s="204"/>
      <c r="P2917" s="112"/>
      <c r="Q2917" s="112"/>
      <c r="R2917" s="112"/>
      <c r="S2917" s="112"/>
      <c r="T2917" s="112"/>
      <c r="U2917" t="s">
        <v>6266</v>
      </c>
      <c r="V2917" t="s">
        <v>6267</v>
      </c>
      <c r="W2917" t="s">
        <v>3958</v>
      </c>
      <c r="X2917" t="s">
        <v>4660</v>
      </c>
    </row>
    <row r="2918" spans="1:24" x14ac:dyDescent="0.2">
      <c r="A2918" t="s">
        <v>6265</v>
      </c>
      <c r="B2918" t="s">
        <v>2230</v>
      </c>
      <c r="C2918" t="s">
        <v>2231</v>
      </c>
      <c r="D2918" t="s">
        <v>56</v>
      </c>
      <c r="E2918" t="s">
        <v>2232</v>
      </c>
      <c r="F2918" t="s">
        <v>84</v>
      </c>
      <c r="G2918" s="202">
        <v>6</v>
      </c>
      <c r="H2918">
        <v>5</v>
      </c>
      <c r="I2918" t="s">
        <v>3968</v>
      </c>
      <c r="J2918" t="s">
        <v>3969</v>
      </c>
      <c r="K2918" t="s">
        <v>84</v>
      </c>
      <c r="L2918" s="204">
        <v>1</v>
      </c>
      <c r="M2918" s="112"/>
      <c r="N2918" s="112">
        <v>182.60249999999999</v>
      </c>
      <c r="O2918" s="204">
        <v>0.22228154963194213</v>
      </c>
      <c r="P2918" s="112">
        <v>40.589166666666699</v>
      </c>
      <c r="Q2918" s="112">
        <v>223.19166666666669</v>
      </c>
      <c r="R2918" s="112">
        <v>1339.15</v>
      </c>
      <c r="S2918" s="112">
        <v>1339.15</v>
      </c>
      <c r="T2918" s="112">
        <v>0</v>
      </c>
      <c r="U2918" t="s">
        <v>6266</v>
      </c>
      <c r="V2918" t="s">
        <v>6267</v>
      </c>
      <c r="W2918" t="s">
        <v>4666</v>
      </c>
      <c r="X2918" t="s">
        <v>4667</v>
      </c>
    </row>
    <row r="2919" spans="1:24" x14ac:dyDescent="0.2">
      <c r="A2919" t="s">
        <v>6268</v>
      </c>
      <c r="B2919" t="s">
        <v>2233</v>
      </c>
      <c r="C2919" t="s">
        <v>2234</v>
      </c>
      <c r="D2919" t="s">
        <v>56</v>
      </c>
      <c r="E2919" t="s">
        <v>1105</v>
      </c>
      <c r="F2919" t="s">
        <v>84</v>
      </c>
      <c r="G2919" s="202">
        <v>15</v>
      </c>
      <c r="H2919">
        <v>1</v>
      </c>
      <c r="I2919" t="s">
        <v>3954</v>
      </c>
      <c r="J2919" t="s">
        <v>5227</v>
      </c>
      <c r="K2919" t="s">
        <v>1283</v>
      </c>
      <c r="L2919" s="204">
        <v>0.26</v>
      </c>
      <c r="M2919" s="112">
        <v>130.64999999999998</v>
      </c>
      <c r="N2919" s="112">
        <v>33.968999999999994</v>
      </c>
      <c r="O2919" s="204"/>
      <c r="P2919" s="112"/>
      <c r="Q2919" s="112"/>
      <c r="R2919" s="112"/>
      <c r="S2919" s="112"/>
      <c r="T2919" s="112"/>
      <c r="U2919" t="s">
        <v>6269</v>
      </c>
      <c r="V2919" t="s">
        <v>6270</v>
      </c>
      <c r="W2919" t="s">
        <v>3958</v>
      </c>
      <c r="X2919" t="s">
        <v>4660</v>
      </c>
    </row>
    <row r="2920" spans="1:24" x14ac:dyDescent="0.2">
      <c r="A2920" t="s">
        <v>6268</v>
      </c>
      <c r="B2920" t="s">
        <v>2233</v>
      </c>
      <c r="C2920" t="s">
        <v>2234</v>
      </c>
      <c r="D2920" t="s">
        <v>56</v>
      </c>
      <c r="E2920" t="s">
        <v>1105</v>
      </c>
      <c r="F2920" t="s">
        <v>84</v>
      </c>
      <c r="G2920" s="202">
        <v>15</v>
      </c>
      <c r="H2920">
        <v>2</v>
      </c>
      <c r="I2920" t="s">
        <v>3960</v>
      </c>
      <c r="J2920" t="s">
        <v>5229</v>
      </c>
      <c r="K2920" t="s">
        <v>1283</v>
      </c>
      <c r="L2920" s="204">
        <v>0.64</v>
      </c>
      <c r="M2920" s="112">
        <v>130.64999999999998</v>
      </c>
      <c r="N2920" s="112">
        <v>83.615999999999985</v>
      </c>
      <c r="O2920" s="204"/>
      <c r="P2920" s="112"/>
      <c r="Q2920" s="112"/>
      <c r="R2920" s="112"/>
      <c r="S2920" s="112"/>
      <c r="T2920" s="112"/>
      <c r="U2920" t="s">
        <v>6269</v>
      </c>
      <c r="V2920" t="s">
        <v>6270</v>
      </c>
      <c r="W2920" t="s">
        <v>3958</v>
      </c>
      <c r="X2920" t="s">
        <v>4660</v>
      </c>
    </row>
    <row r="2921" spans="1:24" x14ac:dyDescent="0.2">
      <c r="A2921" t="s">
        <v>6268</v>
      </c>
      <c r="B2921" t="s">
        <v>2233</v>
      </c>
      <c r="C2921" t="s">
        <v>2234</v>
      </c>
      <c r="D2921" t="s">
        <v>56</v>
      </c>
      <c r="E2921" t="s">
        <v>1105</v>
      </c>
      <c r="F2921" t="s">
        <v>84</v>
      </c>
      <c r="G2921" s="202">
        <v>15</v>
      </c>
      <c r="H2921">
        <v>3</v>
      </c>
      <c r="I2921" t="s">
        <v>3976</v>
      </c>
      <c r="J2921" t="s">
        <v>5230</v>
      </c>
      <c r="K2921" t="s">
        <v>1283</v>
      </c>
      <c r="L2921" s="204">
        <v>0.04</v>
      </c>
      <c r="M2921" s="112">
        <v>130.64999999999998</v>
      </c>
      <c r="N2921" s="112">
        <v>5.2259999999999991</v>
      </c>
      <c r="O2921" s="204"/>
      <c r="P2921" s="112"/>
      <c r="Q2921" s="112"/>
      <c r="R2921" s="112"/>
      <c r="S2921" s="112"/>
      <c r="T2921" s="112"/>
      <c r="U2921" t="s">
        <v>6269</v>
      </c>
      <c r="V2921" t="s">
        <v>6270</v>
      </c>
      <c r="W2921" t="s">
        <v>3958</v>
      </c>
      <c r="X2921" t="s">
        <v>4660</v>
      </c>
    </row>
    <row r="2922" spans="1:24" x14ac:dyDescent="0.2">
      <c r="A2922" t="s">
        <v>6268</v>
      </c>
      <c r="B2922" t="s">
        <v>2233</v>
      </c>
      <c r="C2922" t="s">
        <v>2234</v>
      </c>
      <c r="D2922" t="s">
        <v>56</v>
      </c>
      <c r="E2922" t="s">
        <v>1105</v>
      </c>
      <c r="F2922" t="s">
        <v>84</v>
      </c>
      <c r="G2922" s="202">
        <v>15</v>
      </c>
      <c r="H2922">
        <v>4</v>
      </c>
      <c r="I2922" t="s">
        <v>4017</v>
      </c>
      <c r="J2922" t="s">
        <v>4851</v>
      </c>
      <c r="K2922" t="s">
        <v>1283</v>
      </c>
      <c r="L2922" s="204">
        <v>0.06</v>
      </c>
      <c r="M2922" s="112">
        <v>130.64999999999998</v>
      </c>
      <c r="N2922" s="112">
        <v>7.8389999999999986</v>
      </c>
      <c r="O2922" s="204"/>
      <c r="P2922" s="112"/>
      <c r="Q2922" s="112"/>
      <c r="R2922" s="112"/>
      <c r="S2922" s="112"/>
      <c r="T2922" s="112"/>
      <c r="U2922" t="s">
        <v>6269</v>
      </c>
      <c r="V2922" t="s">
        <v>6270</v>
      </c>
      <c r="W2922" t="s">
        <v>3958</v>
      </c>
      <c r="X2922" t="s">
        <v>4660</v>
      </c>
    </row>
    <row r="2923" spans="1:24" x14ac:dyDescent="0.2">
      <c r="A2923" t="s">
        <v>6268</v>
      </c>
      <c r="B2923" t="s">
        <v>2233</v>
      </c>
      <c r="C2923" t="s">
        <v>2234</v>
      </c>
      <c r="D2923" t="s">
        <v>56</v>
      </c>
      <c r="E2923" t="s">
        <v>1105</v>
      </c>
      <c r="F2923" t="s">
        <v>84</v>
      </c>
      <c r="G2923" s="202">
        <v>15</v>
      </c>
      <c r="H2923">
        <v>5</v>
      </c>
      <c r="I2923" t="s">
        <v>3968</v>
      </c>
      <c r="J2923" t="s">
        <v>3969</v>
      </c>
      <c r="K2923" t="s">
        <v>84</v>
      </c>
      <c r="L2923" s="204">
        <v>1</v>
      </c>
      <c r="M2923" s="112"/>
      <c r="N2923" s="112">
        <v>130.64999999999998</v>
      </c>
      <c r="O2923" s="204">
        <v>0.22227324913892099</v>
      </c>
      <c r="P2923" s="112">
        <v>29.04000000000002</v>
      </c>
      <c r="Q2923" s="112">
        <v>159.69</v>
      </c>
      <c r="R2923" s="112">
        <v>2395.35</v>
      </c>
      <c r="S2923" s="112">
        <v>2395.35</v>
      </c>
      <c r="T2923" s="112">
        <v>0</v>
      </c>
      <c r="U2923" t="s">
        <v>6269</v>
      </c>
      <c r="V2923" t="s">
        <v>6270</v>
      </c>
      <c r="W2923" t="s">
        <v>4666</v>
      </c>
      <c r="X2923" t="s">
        <v>4667</v>
      </c>
    </row>
    <row r="2924" spans="1:24" x14ac:dyDescent="0.2">
      <c r="A2924" t="s">
        <v>6271</v>
      </c>
      <c r="B2924" t="s">
        <v>2235</v>
      </c>
      <c r="C2924" t="s">
        <v>2236</v>
      </c>
      <c r="D2924" t="s">
        <v>56</v>
      </c>
      <c r="E2924" t="s">
        <v>2237</v>
      </c>
      <c r="F2924" t="s">
        <v>84</v>
      </c>
      <c r="G2924" s="202">
        <v>1</v>
      </c>
      <c r="H2924">
        <v>1</v>
      </c>
      <c r="I2924" t="s">
        <v>3954</v>
      </c>
      <c r="J2924" t="s">
        <v>4823</v>
      </c>
      <c r="K2924" t="s">
        <v>1283</v>
      </c>
      <c r="L2924" s="204">
        <v>0.18</v>
      </c>
      <c r="M2924" s="112">
        <v>260.73749999999995</v>
      </c>
      <c r="N2924" s="112">
        <v>46.932749999999992</v>
      </c>
      <c r="O2924" s="204"/>
      <c r="P2924" s="112"/>
      <c r="Q2924" s="112"/>
      <c r="R2924" s="112"/>
      <c r="S2924" s="112"/>
      <c r="T2924" s="112"/>
      <c r="U2924" t="s">
        <v>6272</v>
      </c>
      <c r="V2924" t="s">
        <v>6273</v>
      </c>
      <c r="W2924" t="s">
        <v>3958</v>
      </c>
      <c r="X2924" t="s">
        <v>4660</v>
      </c>
    </row>
    <row r="2925" spans="1:24" x14ac:dyDescent="0.2">
      <c r="A2925" t="s">
        <v>6271</v>
      </c>
      <c r="B2925" t="s">
        <v>2235</v>
      </c>
      <c r="C2925" t="s">
        <v>2236</v>
      </c>
      <c r="D2925" t="s">
        <v>56</v>
      </c>
      <c r="E2925" t="s">
        <v>2237</v>
      </c>
      <c r="F2925" t="s">
        <v>84</v>
      </c>
      <c r="G2925" s="202">
        <v>1</v>
      </c>
      <c r="H2925">
        <v>2</v>
      </c>
      <c r="I2925" t="s">
        <v>3960</v>
      </c>
      <c r="J2925" t="s">
        <v>4826</v>
      </c>
      <c r="K2925" t="s">
        <v>1283</v>
      </c>
      <c r="L2925" s="204">
        <v>0.72</v>
      </c>
      <c r="M2925" s="112">
        <v>260.73749999999995</v>
      </c>
      <c r="N2925" s="112">
        <v>187.73099999999997</v>
      </c>
      <c r="O2925" s="204"/>
      <c r="P2925" s="112"/>
      <c r="Q2925" s="112"/>
      <c r="R2925" s="112"/>
      <c r="S2925" s="112"/>
      <c r="T2925" s="112"/>
      <c r="U2925" t="s">
        <v>6272</v>
      </c>
      <c r="V2925" t="s">
        <v>6273</v>
      </c>
      <c r="W2925" t="s">
        <v>3958</v>
      </c>
      <c r="X2925" t="s">
        <v>4660</v>
      </c>
    </row>
    <row r="2926" spans="1:24" x14ac:dyDescent="0.2">
      <c r="A2926" t="s">
        <v>6271</v>
      </c>
      <c r="B2926" t="s">
        <v>2235</v>
      </c>
      <c r="C2926" t="s">
        <v>2236</v>
      </c>
      <c r="D2926" t="s">
        <v>56</v>
      </c>
      <c r="E2926" t="s">
        <v>2237</v>
      </c>
      <c r="F2926" t="s">
        <v>84</v>
      </c>
      <c r="G2926" s="202">
        <v>1</v>
      </c>
      <c r="H2926">
        <v>3</v>
      </c>
      <c r="I2926" t="s">
        <v>3976</v>
      </c>
      <c r="J2926" t="s">
        <v>4827</v>
      </c>
      <c r="K2926" t="s">
        <v>1283</v>
      </c>
      <c r="L2926" s="204">
        <v>0.05</v>
      </c>
      <c r="M2926" s="112">
        <v>260.73749999999995</v>
      </c>
      <c r="N2926" s="112">
        <v>13.036874999999998</v>
      </c>
      <c r="O2926" s="204"/>
      <c r="P2926" s="112"/>
      <c r="Q2926" s="112"/>
      <c r="R2926" s="112"/>
      <c r="S2926" s="112"/>
      <c r="T2926" s="112"/>
      <c r="U2926" t="s">
        <v>6272</v>
      </c>
      <c r="V2926" t="s">
        <v>6273</v>
      </c>
      <c r="W2926" t="s">
        <v>3958</v>
      </c>
      <c r="X2926" t="s">
        <v>4660</v>
      </c>
    </row>
    <row r="2927" spans="1:24" x14ac:dyDescent="0.2">
      <c r="A2927" t="s">
        <v>6271</v>
      </c>
      <c r="B2927" t="s">
        <v>2235</v>
      </c>
      <c r="C2927" t="s">
        <v>2236</v>
      </c>
      <c r="D2927" t="s">
        <v>56</v>
      </c>
      <c r="E2927" t="s">
        <v>2237</v>
      </c>
      <c r="F2927" t="s">
        <v>84</v>
      </c>
      <c r="G2927" s="202">
        <v>1</v>
      </c>
      <c r="H2927">
        <v>4</v>
      </c>
      <c r="I2927" t="s">
        <v>4017</v>
      </c>
      <c r="J2927" t="s">
        <v>4809</v>
      </c>
      <c r="K2927" t="s">
        <v>1283</v>
      </c>
      <c r="L2927" s="204">
        <v>0.05</v>
      </c>
      <c r="M2927" s="112">
        <v>260.73749999999995</v>
      </c>
      <c r="N2927" s="112">
        <v>13.036874999999998</v>
      </c>
      <c r="O2927" s="204"/>
      <c r="P2927" s="112"/>
      <c r="Q2927" s="112"/>
      <c r="R2927" s="112"/>
      <c r="S2927" s="112"/>
      <c r="T2927" s="112"/>
      <c r="U2927" t="s">
        <v>6272</v>
      </c>
      <c r="V2927" t="s">
        <v>6273</v>
      </c>
      <c r="W2927" t="s">
        <v>3958</v>
      </c>
      <c r="X2927" t="s">
        <v>4660</v>
      </c>
    </row>
    <row r="2928" spans="1:24" x14ac:dyDescent="0.2">
      <c r="A2928" t="s">
        <v>6271</v>
      </c>
      <c r="B2928" t="s">
        <v>2235</v>
      </c>
      <c r="C2928" t="s">
        <v>2236</v>
      </c>
      <c r="D2928" t="s">
        <v>56</v>
      </c>
      <c r="E2928" t="s">
        <v>2237</v>
      </c>
      <c r="F2928" t="s">
        <v>84</v>
      </c>
      <c r="G2928" s="202">
        <v>1</v>
      </c>
      <c r="H2928">
        <v>5</v>
      </c>
      <c r="I2928" t="s">
        <v>3968</v>
      </c>
      <c r="J2928" t="s">
        <v>3969</v>
      </c>
      <c r="K2928" t="s">
        <v>84</v>
      </c>
      <c r="L2928" s="204">
        <v>1</v>
      </c>
      <c r="M2928" s="112"/>
      <c r="N2928" s="112">
        <v>260.73749999999995</v>
      </c>
      <c r="O2928" s="204">
        <v>0.22226377103408623</v>
      </c>
      <c r="P2928" s="112">
        <v>57.952500000000043</v>
      </c>
      <c r="Q2928" s="112">
        <v>318.69</v>
      </c>
      <c r="R2928" s="112">
        <v>318.69</v>
      </c>
      <c r="S2928" s="112">
        <v>318.69</v>
      </c>
      <c r="T2928" s="112">
        <v>0</v>
      </c>
      <c r="U2928" t="s">
        <v>6272</v>
      </c>
      <c r="V2928" t="s">
        <v>6273</v>
      </c>
      <c r="W2928" t="s">
        <v>4666</v>
      </c>
      <c r="X2928" t="s">
        <v>4667</v>
      </c>
    </row>
    <row r="2929" spans="1:24" x14ac:dyDescent="0.2">
      <c r="A2929" t="s">
        <v>6274</v>
      </c>
      <c r="B2929" t="s">
        <v>2238</v>
      </c>
      <c r="C2929" t="s">
        <v>2239</v>
      </c>
      <c r="D2929" t="s">
        <v>56</v>
      </c>
      <c r="E2929" t="s">
        <v>1107</v>
      </c>
      <c r="F2929" t="s">
        <v>84</v>
      </c>
      <c r="G2929" s="202">
        <v>3</v>
      </c>
      <c r="H2929">
        <v>1</v>
      </c>
      <c r="I2929" t="s">
        <v>3954</v>
      </c>
      <c r="J2929" t="s">
        <v>5227</v>
      </c>
      <c r="K2929" t="s">
        <v>1283</v>
      </c>
      <c r="L2929" s="204">
        <v>0.26</v>
      </c>
      <c r="M2929" s="112">
        <v>90.052499999999995</v>
      </c>
      <c r="N2929" s="112">
        <v>23.413650000000001</v>
      </c>
      <c r="O2929" s="204"/>
      <c r="P2929" s="112"/>
      <c r="Q2929" s="112"/>
      <c r="R2929" s="112"/>
      <c r="S2929" s="112"/>
      <c r="T2929" s="112"/>
      <c r="U2929" t="s">
        <v>6275</v>
      </c>
      <c r="V2929" t="s">
        <v>6276</v>
      </c>
      <c r="W2929" t="s">
        <v>3958</v>
      </c>
      <c r="X2929" t="s">
        <v>4660</v>
      </c>
    </row>
    <row r="2930" spans="1:24" x14ac:dyDescent="0.2">
      <c r="A2930" t="s">
        <v>6274</v>
      </c>
      <c r="B2930" t="s">
        <v>2238</v>
      </c>
      <c r="C2930" t="s">
        <v>2239</v>
      </c>
      <c r="D2930" t="s">
        <v>56</v>
      </c>
      <c r="E2930" t="s">
        <v>1107</v>
      </c>
      <c r="F2930" t="s">
        <v>84</v>
      </c>
      <c r="G2930" s="202">
        <v>3</v>
      </c>
      <c r="H2930">
        <v>2</v>
      </c>
      <c r="I2930" t="s">
        <v>3960</v>
      </c>
      <c r="J2930" t="s">
        <v>5229</v>
      </c>
      <c r="K2930" t="s">
        <v>1283</v>
      </c>
      <c r="L2930" s="204">
        <v>0.64</v>
      </c>
      <c r="M2930" s="112">
        <v>90.052499999999995</v>
      </c>
      <c r="N2930" s="112">
        <v>57.633600000000001</v>
      </c>
      <c r="O2930" s="204"/>
      <c r="P2930" s="112"/>
      <c r="Q2930" s="112"/>
      <c r="R2930" s="112"/>
      <c r="S2930" s="112"/>
      <c r="T2930" s="112"/>
      <c r="U2930" t="s">
        <v>6275</v>
      </c>
      <c r="V2930" t="s">
        <v>6276</v>
      </c>
      <c r="W2930" t="s">
        <v>3958</v>
      </c>
      <c r="X2930" t="s">
        <v>4660</v>
      </c>
    </row>
    <row r="2931" spans="1:24" x14ac:dyDescent="0.2">
      <c r="A2931" t="s">
        <v>6274</v>
      </c>
      <c r="B2931" t="s">
        <v>2238</v>
      </c>
      <c r="C2931" t="s">
        <v>2239</v>
      </c>
      <c r="D2931" t="s">
        <v>56</v>
      </c>
      <c r="E2931" t="s">
        <v>1107</v>
      </c>
      <c r="F2931" t="s">
        <v>84</v>
      </c>
      <c r="G2931" s="202">
        <v>3</v>
      </c>
      <c r="H2931">
        <v>3</v>
      </c>
      <c r="I2931" t="s">
        <v>3976</v>
      </c>
      <c r="J2931" t="s">
        <v>5230</v>
      </c>
      <c r="K2931" t="s">
        <v>1283</v>
      </c>
      <c r="L2931" s="204">
        <v>0.04</v>
      </c>
      <c r="M2931" s="112">
        <v>90.052499999999995</v>
      </c>
      <c r="N2931" s="112">
        <v>3.6021000000000001</v>
      </c>
      <c r="O2931" s="204"/>
      <c r="P2931" s="112"/>
      <c r="Q2931" s="112"/>
      <c r="R2931" s="112"/>
      <c r="S2931" s="112"/>
      <c r="T2931" s="112"/>
      <c r="U2931" t="s">
        <v>6275</v>
      </c>
      <c r="V2931" t="s">
        <v>6276</v>
      </c>
      <c r="W2931" t="s">
        <v>3958</v>
      </c>
      <c r="X2931" t="s">
        <v>4660</v>
      </c>
    </row>
    <row r="2932" spans="1:24" x14ac:dyDescent="0.2">
      <c r="A2932" t="s">
        <v>6274</v>
      </c>
      <c r="B2932" t="s">
        <v>2238</v>
      </c>
      <c r="C2932" t="s">
        <v>2239</v>
      </c>
      <c r="D2932" t="s">
        <v>56</v>
      </c>
      <c r="E2932" t="s">
        <v>1107</v>
      </c>
      <c r="F2932" t="s">
        <v>84</v>
      </c>
      <c r="G2932" s="202">
        <v>3</v>
      </c>
      <c r="H2932">
        <v>4</v>
      </c>
      <c r="I2932" t="s">
        <v>4017</v>
      </c>
      <c r="J2932" t="s">
        <v>4851</v>
      </c>
      <c r="K2932" t="s">
        <v>1283</v>
      </c>
      <c r="L2932" s="204">
        <v>0.06</v>
      </c>
      <c r="M2932" s="112">
        <v>90.052499999999995</v>
      </c>
      <c r="N2932" s="112">
        <v>5.4031499999999992</v>
      </c>
      <c r="O2932" s="204"/>
      <c r="P2932" s="112"/>
      <c r="Q2932" s="112"/>
      <c r="R2932" s="112"/>
      <c r="S2932" s="112"/>
      <c r="T2932" s="112"/>
      <c r="U2932" t="s">
        <v>6275</v>
      </c>
      <c r="V2932" t="s">
        <v>6276</v>
      </c>
      <c r="W2932" t="s">
        <v>3958</v>
      </c>
      <c r="X2932" t="s">
        <v>4660</v>
      </c>
    </row>
    <row r="2933" spans="1:24" x14ac:dyDescent="0.2">
      <c r="A2933" t="s">
        <v>6274</v>
      </c>
      <c r="B2933" t="s">
        <v>2238</v>
      </c>
      <c r="C2933" t="s">
        <v>2239</v>
      </c>
      <c r="D2933" t="s">
        <v>56</v>
      </c>
      <c r="E2933" t="s">
        <v>1107</v>
      </c>
      <c r="F2933" t="s">
        <v>84</v>
      </c>
      <c r="G2933" s="202">
        <v>3</v>
      </c>
      <c r="H2933">
        <v>5</v>
      </c>
      <c r="I2933" t="s">
        <v>3968</v>
      </c>
      <c r="J2933" t="s">
        <v>3969</v>
      </c>
      <c r="K2933" t="s">
        <v>84</v>
      </c>
      <c r="L2933" s="204">
        <v>1</v>
      </c>
      <c r="M2933" s="112"/>
      <c r="N2933" s="112">
        <v>90.052499999999995</v>
      </c>
      <c r="O2933" s="204">
        <v>0.22228699925043727</v>
      </c>
      <c r="P2933" s="112">
        <v>20.017499999999998</v>
      </c>
      <c r="Q2933" s="112">
        <v>110.07</v>
      </c>
      <c r="R2933" s="112">
        <v>330.21</v>
      </c>
      <c r="S2933" s="112">
        <v>330.21</v>
      </c>
      <c r="T2933" s="112">
        <v>0</v>
      </c>
      <c r="U2933" t="s">
        <v>6275</v>
      </c>
      <c r="V2933" t="s">
        <v>6276</v>
      </c>
      <c r="W2933" t="s">
        <v>4666</v>
      </c>
      <c r="X2933" t="s">
        <v>4667</v>
      </c>
    </row>
    <row r="2934" spans="1:24" x14ac:dyDescent="0.2">
      <c r="A2934" t="s">
        <v>6277</v>
      </c>
      <c r="B2934" t="s">
        <v>2240</v>
      </c>
      <c r="C2934" t="s">
        <v>2241</v>
      </c>
      <c r="D2934" t="s">
        <v>56</v>
      </c>
      <c r="E2934" t="s">
        <v>1108</v>
      </c>
      <c r="F2934" t="s">
        <v>84</v>
      </c>
      <c r="G2934" s="202">
        <v>14</v>
      </c>
      <c r="H2934">
        <v>1</v>
      </c>
      <c r="I2934" t="s">
        <v>3954</v>
      </c>
      <c r="J2934" t="s">
        <v>4110</v>
      </c>
      <c r="K2934" t="s">
        <v>1283</v>
      </c>
      <c r="L2934" s="204">
        <v>0.3</v>
      </c>
      <c r="M2934" s="112">
        <v>82.02</v>
      </c>
      <c r="N2934" s="112">
        <v>24.605999999999998</v>
      </c>
      <c r="O2934" s="204"/>
      <c r="P2934" s="112"/>
      <c r="Q2934" s="112"/>
      <c r="R2934" s="112"/>
      <c r="S2934" s="112"/>
      <c r="T2934" s="112"/>
      <c r="U2934" t="s">
        <v>6278</v>
      </c>
      <c r="V2934" t="s">
        <v>6279</v>
      </c>
      <c r="W2934" t="s">
        <v>3958</v>
      </c>
      <c r="X2934" t="s">
        <v>4660</v>
      </c>
    </row>
    <row r="2935" spans="1:24" x14ac:dyDescent="0.2">
      <c r="A2935" t="s">
        <v>6277</v>
      </c>
      <c r="B2935" t="s">
        <v>2240</v>
      </c>
      <c r="C2935" t="s">
        <v>2241</v>
      </c>
      <c r="D2935" t="s">
        <v>56</v>
      </c>
      <c r="E2935" t="s">
        <v>1108</v>
      </c>
      <c r="F2935" t="s">
        <v>84</v>
      </c>
      <c r="G2935" s="202">
        <v>14</v>
      </c>
      <c r="H2935">
        <v>2</v>
      </c>
      <c r="I2935" t="s">
        <v>3960</v>
      </c>
      <c r="J2935" t="s">
        <v>4113</v>
      </c>
      <c r="K2935" t="s">
        <v>1283</v>
      </c>
      <c r="L2935" s="204">
        <v>0.55000000000000004</v>
      </c>
      <c r="M2935" s="112">
        <v>82.02</v>
      </c>
      <c r="N2935" s="112">
        <v>45.111000000000004</v>
      </c>
      <c r="O2935" s="204"/>
      <c r="P2935" s="112"/>
      <c r="Q2935" s="112"/>
      <c r="R2935" s="112"/>
      <c r="S2935" s="112"/>
      <c r="T2935" s="112"/>
      <c r="U2935" t="s">
        <v>6278</v>
      </c>
      <c r="V2935" t="s">
        <v>6279</v>
      </c>
      <c r="W2935" t="s">
        <v>3958</v>
      </c>
      <c r="X2935" t="s">
        <v>4660</v>
      </c>
    </row>
    <row r="2936" spans="1:24" x14ac:dyDescent="0.2">
      <c r="A2936" t="s">
        <v>6277</v>
      </c>
      <c r="B2936" t="s">
        <v>2240</v>
      </c>
      <c r="C2936" t="s">
        <v>2241</v>
      </c>
      <c r="D2936" t="s">
        <v>56</v>
      </c>
      <c r="E2936" t="s">
        <v>1108</v>
      </c>
      <c r="F2936" t="s">
        <v>84</v>
      </c>
      <c r="G2936" s="202">
        <v>14</v>
      </c>
      <c r="H2936">
        <v>3</v>
      </c>
      <c r="I2936" t="s">
        <v>3976</v>
      </c>
      <c r="J2936" t="s">
        <v>4114</v>
      </c>
      <c r="K2936" t="s">
        <v>1283</v>
      </c>
      <c r="L2936" s="204">
        <v>0.1</v>
      </c>
      <c r="M2936" s="112">
        <v>82.02</v>
      </c>
      <c r="N2936" s="112">
        <v>8.202</v>
      </c>
      <c r="O2936" s="204"/>
      <c r="P2936" s="112"/>
      <c r="Q2936" s="112"/>
      <c r="R2936" s="112"/>
      <c r="S2936" s="112"/>
      <c r="T2936" s="112"/>
      <c r="U2936" t="s">
        <v>6278</v>
      </c>
      <c r="V2936" t="s">
        <v>6279</v>
      </c>
      <c r="W2936" t="s">
        <v>3958</v>
      </c>
      <c r="X2936" t="s">
        <v>4660</v>
      </c>
    </row>
    <row r="2937" spans="1:24" x14ac:dyDescent="0.2">
      <c r="A2937" t="s">
        <v>6277</v>
      </c>
      <c r="B2937" t="s">
        <v>2240</v>
      </c>
      <c r="C2937" t="s">
        <v>2241</v>
      </c>
      <c r="D2937" t="s">
        <v>56</v>
      </c>
      <c r="E2937" t="s">
        <v>1108</v>
      </c>
      <c r="F2937" t="s">
        <v>84</v>
      </c>
      <c r="G2937" s="202">
        <v>14</v>
      </c>
      <c r="H2937">
        <v>4</v>
      </c>
      <c r="I2937" t="s">
        <v>4017</v>
      </c>
      <c r="J2937" t="s">
        <v>4115</v>
      </c>
      <c r="K2937" t="s">
        <v>1283</v>
      </c>
      <c r="L2937" s="204">
        <v>0.05</v>
      </c>
      <c r="M2937" s="112">
        <v>82.02</v>
      </c>
      <c r="N2937" s="112">
        <v>4.101</v>
      </c>
      <c r="O2937" s="204"/>
      <c r="P2937" s="112"/>
      <c r="Q2937" s="112"/>
      <c r="R2937" s="112"/>
      <c r="S2937" s="112"/>
      <c r="T2937" s="112"/>
      <c r="U2937" t="s">
        <v>6278</v>
      </c>
      <c r="V2937" t="s">
        <v>6279</v>
      </c>
      <c r="W2937" t="s">
        <v>3958</v>
      </c>
      <c r="X2937" t="s">
        <v>4660</v>
      </c>
    </row>
    <row r="2938" spans="1:24" x14ac:dyDescent="0.2">
      <c r="A2938" t="s">
        <v>6277</v>
      </c>
      <c r="B2938" t="s">
        <v>2240</v>
      </c>
      <c r="C2938" t="s">
        <v>2241</v>
      </c>
      <c r="D2938" t="s">
        <v>56</v>
      </c>
      <c r="E2938" t="s">
        <v>1108</v>
      </c>
      <c r="F2938" t="s">
        <v>84</v>
      </c>
      <c r="G2938" s="202">
        <v>14</v>
      </c>
      <c r="H2938">
        <v>5</v>
      </c>
      <c r="I2938" t="s">
        <v>3968</v>
      </c>
      <c r="J2938" t="s">
        <v>3969</v>
      </c>
      <c r="K2938" t="s">
        <v>84</v>
      </c>
      <c r="L2938" s="204">
        <v>1</v>
      </c>
      <c r="M2938" s="112"/>
      <c r="N2938" s="112">
        <v>82.02</v>
      </c>
      <c r="O2938" s="204">
        <v>0.22228898874838898</v>
      </c>
      <c r="P2938" s="112">
        <v>18.232142857142861</v>
      </c>
      <c r="Q2938" s="112">
        <v>100.25214285714286</v>
      </c>
      <c r="R2938" s="112">
        <v>1403.53</v>
      </c>
      <c r="S2938" s="112">
        <v>1403.53</v>
      </c>
      <c r="T2938" s="112">
        <v>0</v>
      </c>
      <c r="U2938" t="s">
        <v>6278</v>
      </c>
      <c r="V2938" t="s">
        <v>6279</v>
      </c>
      <c r="W2938" t="s">
        <v>4666</v>
      </c>
      <c r="X2938" t="s">
        <v>4667</v>
      </c>
    </row>
    <row r="2939" spans="1:24" x14ac:dyDescent="0.2">
      <c r="A2939" t="s">
        <v>6280</v>
      </c>
      <c r="B2939" t="s">
        <v>2242</v>
      </c>
      <c r="C2939" t="s">
        <v>2243</v>
      </c>
      <c r="D2939" t="s">
        <v>56</v>
      </c>
      <c r="E2939" t="s">
        <v>1109</v>
      </c>
      <c r="F2939" t="s">
        <v>84</v>
      </c>
      <c r="G2939" s="202">
        <v>10</v>
      </c>
      <c r="H2939">
        <v>1</v>
      </c>
      <c r="I2939" t="s">
        <v>3954</v>
      </c>
      <c r="J2939" t="s">
        <v>4110</v>
      </c>
      <c r="K2939" t="s">
        <v>1283</v>
      </c>
      <c r="L2939" s="204">
        <v>0.3</v>
      </c>
      <c r="M2939" s="112">
        <v>171.70499999999998</v>
      </c>
      <c r="N2939" s="112">
        <v>51.511499999999991</v>
      </c>
      <c r="O2939" s="204"/>
      <c r="P2939" s="112"/>
      <c r="Q2939" s="112"/>
      <c r="R2939" s="112"/>
      <c r="S2939" s="112"/>
      <c r="T2939" s="112"/>
      <c r="U2939" t="s">
        <v>6281</v>
      </c>
      <c r="V2939" t="s">
        <v>6282</v>
      </c>
      <c r="W2939" t="s">
        <v>3958</v>
      </c>
      <c r="X2939" t="s">
        <v>4660</v>
      </c>
    </row>
    <row r="2940" spans="1:24" x14ac:dyDescent="0.2">
      <c r="A2940" t="s">
        <v>6280</v>
      </c>
      <c r="B2940" t="s">
        <v>2242</v>
      </c>
      <c r="C2940" t="s">
        <v>2243</v>
      </c>
      <c r="D2940" t="s">
        <v>56</v>
      </c>
      <c r="E2940" t="s">
        <v>1109</v>
      </c>
      <c r="F2940" t="s">
        <v>84</v>
      </c>
      <c r="G2940" s="202">
        <v>10</v>
      </c>
      <c r="H2940">
        <v>2</v>
      </c>
      <c r="I2940" t="s">
        <v>3960</v>
      </c>
      <c r="J2940" t="s">
        <v>4113</v>
      </c>
      <c r="K2940" t="s">
        <v>1283</v>
      </c>
      <c r="L2940" s="204">
        <v>0.55000000000000004</v>
      </c>
      <c r="M2940" s="112">
        <v>171.70499999999998</v>
      </c>
      <c r="N2940" s="112">
        <v>94.437749999999994</v>
      </c>
      <c r="O2940" s="204"/>
      <c r="P2940" s="112"/>
      <c r="Q2940" s="112"/>
      <c r="R2940" s="112"/>
      <c r="S2940" s="112"/>
      <c r="T2940" s="112"/>
      <c r="U2940" t="s">
        <v>6281</v>
      </c>
      <c r="V2940" t="s">
        <v>6282</v>
      </c>
      <c r="W2940" t="s">
        <v>3958</v>
      </c>
      <c r="X2940" t="s">
        <v>4660</v>
      </c>
    </row>
    <row r="2941" spans="1:24" x14ac:dyDescent="0.2">
      <c r="A2941" t="s">
        <v>6280</v>
      </c>
      <c r="B2941" t="s">
        <v>2242</v>
      </c>
      <c r="C2941" t="s">
        <v>2243</v>
      </c>
      <c r="D2941" t="s">
        <v>56</v>
      </c>
      <c r="E2941" t="s">
        <v>1109</v>
      </c>
      <c r="F2941" t="s">
        <v>84</v>
      </c>
      <c r="G2941" s="202">
        <v>10</v>
      </c>
      <c r="H2941">
        <v>3</v>
      </c>
      <c r="I2941" t="s">
        <v>3976</v>
      </c>
      <c r="J2941" t="s">
        <v>4114</v>
      </c>
      <c r="K2941" t="s">
        <v>1283</v>
      </c>
      <c r="L2941" s="204">
        <v>0.1</v>
      </c>
      <c r="M2941" s="112">
        <v>171.70499999999998</v>
      </c>
      <c r="N2941" s="112">
        <v>17.170500000000001</v>
      </c>
      <c r="O2941" s="204"/>
      <c r="P2941" s="112"/>
      <c r="Q2941" s="112"/>
      <c r="R2941" s="112"/>
      <c r="S2941" s="112"/>
      <c r="T2941" s="112"/>
      <c r="U2941" t="s">
        <v>6281</v>
      </c>
      <c r="V2941" t="s">
        <v>6282</v>
      </c>
      <c r="W2941" t="s">
        <v>3958</v>
      </c>
      <c r="X2941" t="s">
        <v>4660</v>
      </c>
    </row>
    <row r="2942" spans="1:24" x14ac:dyDescent="0.2">
      <c r="A2942" t="s">
        <v>6280</v>
      </c>
      <c r="B2942" t="s">
        <v>2242</v>
      </c>
      <c r="C2942" t="s">
        <v>2243</v>
      </c>
      <c r="D2942" t="s">
        <v>56</v>
      </c>
      <c r="E2942" t="s">
        <v>1109</v>
      </c>
      <c r="F2942" t="s">
        <v>84</v>
      </c>
      <c r="G2942" s="202">
        <v>10</v>
      </c>
      <c r="H2942">
        <v>4</v>
      </c>
      <c r="I2942" t="s">
        <v>4017</v>
      </c>
      <c r="J2942" t="s">
        <v>4115</v>
      </c>
      <c r="K2942" t="s">
        <v>1283</v>
      </c>
      <c r="L2942" s="204">
        <v>0.05</v>
      </c>
      <c r="M2942" s="112">
        <v>171.70499999999998</v>
      </c>
      <c r="N2942" s="112">
        <v>8.5852500000000003</v>
      </c>
      <c r="O2942" s="204"/>
      <c r="P2942" s="112"/>
      <c r="Q2942" s="112"/>
      <c r="R2942" s="112"/>
      <c r="S2942" s="112"/>
      <c r="T2942" s="112"/>
      <c r="U2942" t="s">
        <v>6281</v>
      </c>
      <c r="V2942" t="s">
        <v>6282</v>
      </c>
      <c r="W2942" t="s">
        <v>3958</v>
      </c>
      <c r="X2942" t="s">
        <v>4660</v>
      </c>
    </row>
    <row r="2943" spans="1:24" x14ac:dyDescent="0.2">
      <c r="A2943" t="s">
        <v>6280</v>
      </c>
      <c r="B2943" t="s">
        <v>2242</v>
      </c>
      <c r="C2943" t="s">
        <v>2243</v>
      </c>
      <c r="D2943" t="s">
        <v>56</v>
      </c>
      <c r="E2943" t="s">
        <v>1109</v>
      </c>
      <c r="F2943" t="s">
        <v>84</v>
      </c>
      <c r="G2943" s="202">
        <v>10</v>
      </c>
      <c r="H2943">
        <v>5</v>
      </c>
      <c r="I2943" t="s">
        <v>3968</v>
      </c>
      <c r="J2943" t="s">
        <v>3969</v>
      </c>
      <c r="K2943" t="s">
        <v>84</v>
      </c>
      <c r="L2943" s="204">
        <v>1</v>
      </c>
      <c r="M2943" s="112"/>
      <c r="N2943" s="112">
        <v>171.70499999999998</v>
      </c>
      <c r="O2943" s="204">
        <v>0.22228240295856261</v>
      </c>
      <c r="P2943" s="112">
        <v>38.167000000000002</v>
      </c>
      <c r="Q2943" s="112">
        <v>209.87199999999999</v>
      </c>
      <c r="R2943" s="112">
        <v>2098.7199999999998</v>
      </c>
      <c r="S2943" s="112">
        <v>2098.7199999999998</v>
      </c>
      <c r="T2943" s="112">
        <v>0</v>
      </c>
      <c r="U2943" t="s">
        <v>6281</v>
      </c>
      <c r="V2943" t="s">
        <v>6282</v>
      </c>
      <c r="W2943" t="s">
        <v>4666</v>
      </c>
      <c r="X2943" t="s">
        <v>4667</v>
      </c>
    </row>
    <row r="2944" spans="1:24" x14ac:dyDescent="0.2">
      <c r="A2944" t="s">
        <v>6283</v>
      </c>
      <c r="B2944" t="s">
        <v>2244</v>
      </c>
      <c r="C2944" t="s">
        <v>2245</v>
      </c>
      <c r="D2944" t="s">
        <v>56</v>
      </c>
      <c r="E2944" t="s">
        <v>1110</v>
      </c>
      <c r="F2944" t="s">
        <v>84</v>
      </c>
      <c r="G2944" s="202">
        <v>9</v>
      </c>
      <c r="H2944">
        <v>1</v>
      </c>
      <c r="I2944" t="s">
        <v>3954</v>
      </c>
      <c r="J2944" t="s">
        <v>5227</v>
      </c>
      <c r="K2944" t="s">
        <v>1283</v>
      </c>
      <c r="L2944" s="204">
        <v>0.26</v>
      </c>
      <c r="M2944" s="112">
        <v>178.08749999999998</v>
      </c>
      <c r="N2944" s="112">
        <v>46.302749999999996</v>
      </c>
      <c r="O2944" s="204"/>
      <c r="P2944" s="112"/>
      <c r="Q2944" s="112"/>
      <c r="R2944" s="112"/>
      <c r="S2944" s="112"/>
      <c r="T2944" s="112"/>
      <c r="U2944" t="s">
        <v>6284</v>
      </c>
      <c r="V2944" t="s">
        <v>6285</v>
      </c>
      <c r="W2944" t="s">
        <v>3958</v>
      </c>
      <c r="X2944" t="s">
        <v>4660</v>
      </c>
    </row>
    <row r="2945" spans="1:24" x14ac:dyDescent="0.2">
      <c r="A2945" t="s">
        <v>6283</v>
      </c>
      <c r="B2945" t="s">
        <v>2244</v>
      </c>
      <c r="C2945" t="s">
        <v>2245</v>
      </c>
      <c r="D2945" t="s">
        <v>56</v>
      </c>
      <c r="E2945" t="s">
        <v>1110</v>
      </c>
      <c r="F2945" t="s">
        <v>84</v>
      </c>
      <c r="G2945" s="202">
        <v>9</v>
      </c>
      <c r="H2945">
        <v>2</v>
      </c>
      <c r="I2945" t="s">
        <v>3960</v>
      </c>
      <c r="J2945" t="s">
        <v>5229</v>
      </c>
      <c r="K2945" t="s">
        <v>1283</v>
      </c>
      <c r="L2945" s="204">
        <v>0.64</v>
      </c>
      <c r="M2945" s="112">
        <v>178.08749999999998</v>
      </c>
      <c r="N2945" s="112">
        <v>113.97599999999998</v>
      </c>
      <c r="O2945" s="204"/>
      <c r="P2945" s="112"/>
      <c r="Q2945" s="112"/>
      <c r="R2945" s="112"/>
      <c r="S2945" s="112"/>
      <c r="T2945" s="112"/>
      <c r="U2945" t="s">
        <v>6284</v>
      </c>
      <c r="V2945" t="s">
        <v>6285</v>
      </c>
      <c r="W2945" t="s">
        <v>3958</v>
      </c>
      <c r="X2945" t="s">
        <v>4660</v>
      </c>
    </row>
    <row r="2946" spans="1:24" x14ac:dyDescent="0.2">
      <c r="A2946" t="s">
        <v>6283</v>
      </c>
      <c r="B2946" t="s">
        <v>2244</v>
      </c>
      <c r="C2946" t="s">
        <v>2245</v>
      </c>
      <c r="D2946" t="s">
        <v>56</v>
      </c>
      <c r="E2946" t="s">
        <v>1110</v>
      </c>
      <c r="F2946" t="s">
        <v>84</v>
      </c>
      <c r="G2946" s="202">
        <v>9</v>
      </c>
      <c r="H2946">
        <v>3</v>
      </c>
      <c r="I2946" t="s">
        <v>3976</v>
      </c>
      <c r="J2946" t="s">
        <v>5230</v>
      </c>
      <c r="K2946" t="s">
        <v>1283</v>
      </c>
      <c r="L2946" s="204">
        <v>0.04</v>
      </c>
      <c r="M2946" s="112">
        <v>178.08749999999998</v>
      </c>
      <c r="N2946" s="112">
        <v>7.1234999999999991</v>
      </c>
      <c r="O2946" s="204"/>
      <c r="P2946" s="112"/>
      <c r="Q2946" s="112"/>
      <c r="R2946" s="112"/>
      <c r="S2946" s="112"/>
      <c r="T2946" s="112"/>
      <c r="U2946" t="s">
        <v>6284</v>
      </c>
      <c r="V2946" t="s">
        <v>6285</v>
      </c>
      <c r="W2946" t="s">
        <v>3958</v>
      </c>
      <c r="X2946" t="s">
        <v>4660</v>
      </c>
    </row>
    <row r="2947" spans="1:24" x14ac:dyDescent="0.2">
      <c r="A2947" t="s">
        <v>6283</v>
      </c>
      <c r="B2947" t="s">
        <v>2244</v>
      </c>
      <c r="C2947" t="s">
        <v>2245</v>
      </c>
      <c r="D2947" t="s">
        <v>56</v>
      </c>
      <c r="E2947" t="s">
        <v>1110</v>
      </c>
      <c r="F2947" t="s">
        <v>84</v>
      </c>
      <c r="G2947" s="202">
        <v>9</v>
      </c>
      <c r="H2947">
        <v>4</v>
      </c>
      <c r="I2947" t="s">
        <v>4017</v>
      </c>
      <c r="J2947" t="s">
        <v>4851</v>
      </c>
      <c r="K2947" t="s">
        <v>1283</v>
      </c>
      <c r="L2947" s="204">
        <v>0.06</v>
      </c>
      <c r="M2947" s="112">
        <v>178.08749999999998</v>
      </c>
      <c r="N2947" s="112">
        <v>10.685249999999998</v>
      </c>
      <c r="O2947" s="204"/>
      <c r="P2947" s="112"/>
      <c r="Q2947" s="112"/>
      <c r="R2947" s="112"/>
      <c r="S2947" s="112"/>
      <c r="T2947" s="112"/>
      <c r="U2947" t="s">
        <v>6284</v>
      </c>
      <c r="V2947" t="s">
        <v>6285</v>
      </c>
      <c r="W2947" t="s">
        <v>3958</v>
      </c>
      <c r="X2947" t="s">
        <v>4660</v>
      </c>
    </row>
    <row r="2948" spans="1:24" x14ac:dyDescent="0.2">
      <c r="A2948" t="s">
        <v>6283</v>
      </c>
      <c r="B2948" t="s">
        <v>2244</v>
      </c>
      <c r="C2948" t="s">
        <v>2245</v>
      </c>
      <c r="D2948" t="s">
        <v>56</v>
      </c>
      <c r="E2948" t="s">
        <v>1110</v>
      </c>
      <c r="F2948" t="s">
        <v>84</v>
      </c>
      <c r="G2948" s="202">
        <v>9</v>
      </c>
      <c r="H2948">
        <v>5</v>
      </c>
      <c r="I2948" t="s">
        <v>3968</v>
      </c>
      <c r="J2948" t="s">
        <v>3969</v>
      </c>
      <c r="K2948" t="s">
        <v>84</v>
      </c>
      <c r="L2948" s="204">
        <v>1</v>
      </c>
      <c r="M2948" s="112"/>
      <c r="N2948" s="112">
        <v>178.08749999999998</v>
      </c>
      <c r="O2948" s="204">
        <v>0.22227681461204329</v>
      </c>
      <c r="P2948" s="112">
        <v>39.58472222222224</v>
      </c>
      <c r="Q2948" s="112">
        <v>217.67222222222222</v>
      </c>
      <c r="R2948" s="112">
        <v>1959.05</v>
      </c>
      <c r="S2948" s="112">
        <v>1959.05</v>
      </c>
      <c r="T2948" s="112">
        <v>0</v>
      </c>
      <c r="U2948" t="s">
        <v>6284</v>
      </c>
      <c r="V2948" t="s">
        <v>6285</v>
      </c>
      <c r="W2948" t="s">
        <v>4666</v>
      </c>
      <c r="X2948" t="s">
        <v>4667</v>
      </c>
    </row>
    <row r="2949" spans="1:24" x14ac:dyDescent="0.2">
      <c r="A2949" t="s">
        <v>6286</v>
      </c>
      <c r="B2949" t="s">
        <v>2246</v>
      </c>
      <c r="C2949" t="s">
        <v>2247</v>
      </c>
      <c r="D2949" t="s">
        <v>56</v>
      </c>
      <c r="E2949" t="s">
        <v>2248</v>
      </c>
      <c r="F2949" t="s">
        <v>84</v>
      </c>
      <c r="G2949" s="202">
        <v>2</v>
      </c>
      <c r="H2949">
        <v>1</v>
      </c>
      <c r="I2949" t="s">
        <v>3954</v>
      </c>
      <c r="J2949" t="s">
        <v>5227</v>
      </c>
      <c r="K2949" t="s">
        <v>1283</v>
      </c>
      <c r="L2949" s="204">
        <v>0.26</v>
      </c>
      <c r="M2949" s="112">
        <v>91.627499999999998</v>
      </c>
      <c r="N2949" s="112">
        <v>23.823150000000002</v>
      </c>
      <c r="O2949" s="204"/>
      <c r="P2949" s="112"/>
      <c r="Q2949" s="112"/>
      <c r="R2949" s="112"/>
      <c r="S2949" s="112"/>
      <c r="T2949" s="112"/>
      <c r="U2949" t="s">
        <v>6287</v>
      </c>
      <c r="V2949" t="s">
        <v>6288</v>
      </c>
      <c r="W2949" t="s">
        <v>3958</v>
      </c>
      <c r="X2949" t="s">
        <v>4660</v>
      </c>
    </row>
    <row r="2950" spans="1:24" x14ac:dyDescent="0.2">
      <c r="A2950" t="s">
        <v>6286</v>
      </c>
      <c r="B2950" t="s">
        <v>2246</v>
      </c>
      <c r="C2950" t="s">
        <v>2247</v>
      </c>
      <c r="D2950" t="s">
        <v>56</v>
      </c>
      <c r="E2950" t="s">
        <v>2248</v>
      </c>
      <c r="F2950" t="s">
        <v>84</v>
      </c>
      <c r="G2950" s="202">
        <v>2</v>
      </c>
      <c r="H2950">
        <v>2</v>
      </c>
      <c r="I2950" t="s">
        <v>3960</v>
      </c>
      <c r="J2950" t="s">
        <v>5229</v>
      </c>
      <c r="K2950" t="s">
        <v>1283</v>
      </c>
      <c r="L2950" s="204">
        <v>0.64</v>
      </c>
      <c r="M2950" s="112">
        <v>91.627499999999998</v>
      </c>
      <c r="N2950" s="112">
        <v>58.641599999999997</v>
      </c>
      <c r="O2950" s="204"/>
      <c r="P2950" s="112"/>
      <c r="Q2950" s="112"/>
      <c r="R2950" s="112"/>
      <c r="S2950" s="112"/>
      <c r="T2950" s="112"/>
      <c r="U2950" t="s">
        <v>6287</v>
      </c>
      <c r="V2950" t="s">
        <v>6288</v>
      </c>
      <c r="W2950" t="s">
        <v>3958</v>
      </c>
      <c r="X2950" t="s">
        <v>4660</v>
      </c>
    </row>
    <row r="2951" spans="1:24" x14ac:dyDescent="0.2">
      <c r="A2951" t="s">
        <v>6286</v>
      </c>
      <c r="B2951" t="s">
        <v>2246</v>
      </c>
      <c r="C2951" t="s">
        <v>2247</v>
      </c>
      <c r="D2951" t="s">
        <v>56</v>
      </c>
      <c r="E2951" t="s">
        <v>2248</v>
      </c>
      <c r="F2951" t="s">
        <v>84</v>
      </c>
      <c r="G2951" s="202">
        <v>2</v>
      </c>
      <c r="H2951">
        <v>3</v>
      </c>
      <c r="I2951" t="s">
        <v>3976</v>
      </c>
      <c r="J2951" t="s">
        <v>5230</v>
      </c>
      <c r="K2951" t="s">
        <v>1283</v>
      </c>
      <c r="L2951" s="204">
        <v>0.04</v>
      </c>
      <c r="M2951" s="112">
        <v>91.627499999999998</v>
      </c>
      <c r="N2951" s="112">
        <v>3.6650999999999998</v>
      </c>
      <c r="O2951" s="204"/>
      <c r="P2951" s="112"/>
      <c r="Q2951" s="112"/>
      <c r="R2951" s="112"/>
      <c r="S2951" s="112"/>
      <c r="T2951" s="112"/>
      <c r="U2951" t="s">
        <v>6287</v>
      </c>
      <c r="V2951" t="s">
        <v>6288</v>
      </c>
      <c r="W2951" t="s">
        <v>3958</v>
      </c>
      <c r="X2951" t="s">
        <v>4660</v>
      </c>
    </row>
    <row r="2952" spans="1:24" x14ac:dyDescent="0.2">
      <c r="A2952" t="s">
        <v>6286</v>
      </c>
      <c r="B2952" t="s">
        <v>2246</v>
      </c>
      <c r="C2952" t="s">
        <v>2247</v>
      </c>
      <c r="D2952" t="s">
        <v>56</v>
      </c>
      <c r="E2952" t="s">
        <v>2248</v>
      </c>
      <c r="F2952" t="s">
        <v>84</v>
      </c>
      <c r="G2952" s="202">
        <v>2</v>
      </c>
      <c r="H2952">
        <v>4</v>
      </c>
      <c r="I2952" t="s">
        <v>4017</v>
      </c>
      <c r="J2952" t="s">
        <v>4851</v>
      </c>
      <c r="K2952" t="s">
        <v>1283</v>
      </c>
      <c r="L2952" s="204">
        <v>0.06</v>
      </c>
      <c r="M2952" s="112">
        <v>91.627499999999998</v>
      </c>
      <c r="N2952" s="112">
        <v>5.4976499999999993</v>
      </c>
      <c r="O2952" s="204"/>
      <c r="P2952" s="112"/>
      <c r="Q2952" s="112"/>
      <c r="R2952" s="112"/>
      <c r="S2952" s="112"/>
      <c r="T2952" s="112"/>
      <c r="U2952" t="s">
        <v>6287</v>
      </c>
      <c r="V2952" t="s">
        <v>6288</v>
      </c>
      <c r="W2952" t="s">
        <v>3958</v>
      </c>
      <c r="X2952" t="s">
        <v>4660</v>
      </c>
    </row>
    <row r="2953" spans="1:24" x14ac:dyDescent="0.2">
      <c r="A2953" t="s">
        <v>6286</v>
      </c>
      <c r="B2953" t="s">
        <v>2246</v>
      </c>
      <c r="C2953" t="s">
        <v>2247</v>
      </c>
      <c r="D2953" t="s">
        <v>56</v>
      </c>
      <c r="E2953" t="s">
        <v>2248</v>
      </c>
      <c r="F2953" t="s">
        <v>84</v>
      </c>
      <c r="G2953" s="202">
        <v>2</v>
      </c>
      <c r="H2953">
        <v>5</v>
      </c>
      <c r="I2953" t="s">
        <v>3968</v>
      </c>
      <c r="J2953" t="s">
        <v>3969</v>
      </c>
      <c r="K2953" t="s">
        <v>84</v>
      </c>
      <c r="L2953" s="204">
        <v>1</v>
      </c>
      <c r="M2953" s="112"/>
      <c r="N2953" s="112">
        <v>91.627499999999998</v>
      </c>
      <c r="O2953" s="204">
        <v>0.22223131701727095</v>
      </c>
      <c r="P2953" s="112">
        <v>20.362499999999997</v>
      </c>
      <c r="Q2953" s="112">
        <v>111.99</v>
      </c>
      <c r="R2953" s="112">
        <v>223.98</v>
      </c>
      <c r="S2953" s="112">
        <v>223.98</v>
      </c>
      <c r="T2953" s="112">
        <v>0</v>
      </c>
      <c r="U2953" t="s">
        <v>6287</v>
      </c>
      <c r="V2953" t="s">
        <v>6288</v>
      </c>
      <c r="W2953" t="s">
        <v>4666</v>
      </c>
      <c r="X2953" t="s">
        <v>4667</v>
      </c>
    </row>
    <row r="2954" spans="1:24" x14ac:dyDescent="0.2">
      <c r="A2954" t="s">
        <v>6289</v>
      </c>
      <c r="B2954" t="s">
        <v>2249</v>
      </c>
      <c r="C2954" t="s">
        <v>2250</v>
      </c>
      <c r="D2954" t="s">
        <v>56</v>
      </c>
      <c r="E2954" t="s">
        <v>1112</v>
      </c>
      <c r="F2954" t="s">
        <v>84</v>
      </c>
      <c r="G2954" s="202">
        <v>2</v>
      </c>
      <c r="H2954">
        <v>1</v>
      </c>
      <c r="I2954" t="s">
        <v>3954</v>
      </c>
      <c r="J2954" t="s">
        <v>5227</v>
      </c>
      <c r="K2954" t="s">
        <v>1283</v>
      </c>
      <c r="L2954" s="204">
        <v>0.26</v>
      </c>
      <c r="M2954" s="112">
        <v>50.564999999999998</v>
      </c>
      <c r="N2954" s="112">
        <v>13.1469</v>
      </c>
      <c r="O2954" s="204"/>
      <c r="P2954" s="112"/>
      <c r="Q2954" s="112"/>
      <c r="R2954" s="112"/>
      <c r="S2954" s="112"/>
      <c r="T2954" s="112"/>
      <c r="U2954" t="s">
        <v>6290</v>
      </c>
      <c r="V2954" t="s">
        <v>6291</v>
      </c>
      <c r="W2954" t="s">
        <v>3958</v>
      </c>
      <c r="X2954" t="s">
        <v>4660</v>
      </c>
    </row>
    <row r="2955" spans="1:24" x14ac:dyDescent="0.2">
      <c r="A2955" t="s">
        <v>6289</v>
      </c>
      <c r="B2955" t="s">
        <v>2249</v>
      </c>
      <c r="C2955" t="s">
        <v>2250</v>
      </c>
      <c r="D2955" t="s">
        <v>56</v>
      </c>
      <c r="E2955" t="s">
        <v>1112</v>
      </c>
      <c r="F2955" t="s">
        <v>84</v>
      </c>
      <c r="G2955" s="202">
        <v>2</v>
      </c>
      <c r="H2955">
        <v>2</v>
      </c>
      <c r="I2955" t="s">
        <v>3960</v>
      </c>
      <c r="J2955" t="s">
        <v>5229</v>
      </c>
      <c r="K2955" t="s">
        <v>1283</v>
      </c>
      <c r="L2955" s="204">
        <v>0.64</v>
      </c>
      <c r="M2955" s="112">
        <v>50.564999999999998</v>
      </c>
      <c r="N2955" s="112">
        <v>32.361599999999996</v>
      </c>
      <c r="O2955" s="204"/>
      <c r="P2955" s="112"/>
      <c r="Q2955" s="112"/>
      <c r="R2955" s="112"/>
      <c r="S2955" s="112"/>
      <c r="T2955" s="112"/>
      <c r="U2955" t="s">
        <v>6290</v>
      </c>
      <c r="V2955" t="s">
        <v>6291</v>
      </c>
      <c r="W2955" t="s">
        <v>3958</v>
      </c>
      <c r="X2955" t="s">
        <v>4660</v>
      </c>
    </row>
    <row r="2956" spans="1:24" x14ac:dyDescent="0.2">
      <c r="A2956" t="s">
        <v>6289</v>
      </c>
      <c r="B2956" t="s">
        <v>2249</v>
      </c>
      <c r="C2956" t="s">
        <v>2250</v>
      </c>
      <c r="D2956" t="s">
        <v>56</v>
      </c>
      <c r="E2956" t="s">
        <v>1112</v>
      </c>
      <c r="F2956" t="s">
        <v>84</v>
      </c>
      <c r="G2956" s="202">
        <v>2</v>
      </c>
      <c r="H2956">
        <v>3</v>
      </c>
      <c r="I2956" t="s">
        <v>3976</v>
      </c>
      <c r="J2956" t="s">
        <v>5230</v>
      </c>
      <c r="K2956" t="s">
        <v>1283</v>
      </c>
      <c r="L2956" s="204">
        <v>0.04</v>
      </c>
      <c r="M2956" s="112">
        <v>50.564999999999998</v>
      </c>
      <c r="N2956" s="112">
        <v>2.0225999999999997</v>
      </c>
      <c r="O2956" s="204"/>
      <c r="P2956" s="112"/>
      <c r="Q2956" s="112"/>
      <c r="R2956" s="112"/>
      <c r="S2956" s="112"/>
      <c r="T2956" s="112"/>
      <c r="U2956" t="s">
        <v>6290</v>
      </c>
      <c r="V2956" t="s">
        <v>6291</v>
      </c>
      <c r="W2956" t="s">
        <v>3958</v>
      </c>
      <c r="X2956" t="s">
        <v>4660</v>
      </c>
    </row>
    <row r="2957" spans="1:24" x14ac:dyDescent="0.2">
      <c r="A2957" t="s">
        <v>6289</v>
      </c>
      <c r="B2957" t="s">
        <v>2249</v>
      </c>
      <c r="C2957" t="s">
        <v>2250</v>
      </c>
      <c r="D2957" t="s">
        <v>56</v>
      </c>
      <c r="E2957" t="s">
        <v>1112</v>
      </c>
      <c r="F2957" t="s">
        <v>84</v>
      </c>
      <c r="G2957" s="202">
        <v>2</v>
      </c>
      <c r="H2957">
        <v>4</v>
      </c>
      <c r="I2957" t="s">
        <v>4017</v>
      </c>
      <c r="J2957" t="s">
        <v>4851</v>
      </c>
      <c r="K2957" t="s">
        <v>1283</v>
      </c>
      <c r="L2957" s="204">
        <v>0.06</v>
      </c>
      <c r="M2957" s="112">
        <v>50.564999999999998</v>
      </c>
      <c r="N2957" s="112">
        <v>3.0338999999999996</v>
      </c>
      <c r="O2957" s="204"/>
      <c r="P2957" s="112"/>
      <c r="Q2957" s="112"/>
      <c r="R2957" s="112"/>
      <c r="S2957" s="112"/>
      <c r="T2957" s="112"/>
      <c r="U2957" t="s">
        <v>6290</v>
      </c>
      <c r="V2957" t="s">
        <v>6291</v>
      </c>
      <c r="W2957" t="s">
        <v>3958</v>
      </c>
      <c r="X2957" t="s">
        <v>4660</v>
      </c>
    </row>
    <row r="2958" spans="1:24" x14ac:dyDescent="0.2">
      <c r="A2958" t="s">
        <v>6289</v>
      </c>
      <c r="B2958" t="s">
        <v>2249</v>
      </c>
      <c r="C2958" t="s">
        <v>2250</v>
      </c>
      <c r="D2958" t="s">
        <v>56</v>
      </c>
      <c r="E2958" t="s">
        <v>1112</v>
      </c>
      <c r="F2958" t="s">
        <v>84</v>
      </c>
      <c r="G2958" s="202">
        <v>2</v>
      </c>
      <c r="H2958">
        <v>5</v>
      </c>
      <c r="I2958" t="s">
        <v>3968</v>
      </c>
      <c r="J2958" t="s">
        <v>3969</v>
      </c>
      <c r="K2958" t="s">
        <v>84</v>
      </c>
      <c r="L2958" s="204">
        <v>1</v>
      </c>
      <c r="M2958" s="112"/>
      <c r="N2958" s="112">
        <v>50.564999999999998</v>
      </c>
      <c r="O2958" s="204">
        <v>0.2221892613467813</v>
      </c>
      <c r="P2958" s="112">
        <v>11.234999999999999</v>
      </c>
      <c r="Q2958" s="112">
        <v>61.8</v>
      </c>
      <c r="R2958" s="112">
        <v>123.6</v>
      </c>
      <c r="S2958" s="112">
        <v>123.6</v>
      </c>
      <c r="T2958" s="112">
        <v>0</v>
      </c>
      <c r="U2958" t="s">
        <v>6290</v>
      </c>
      <c r="V2958" t="s">
        <v>6291</v>
      </c>
      <c r="W2958" t="s">
        <v>4666</v>
      </c>
      <c r="X2958" t="s">
        <v>4667</v>
      </c>
    </row>
    <row r="2959" spans="1:24" x14ac:dyDescent="0.2">
      <c r="A2959" t="s">
        <v>6292</v>
      </c>
      <c r="B2959" t="s">
        <v>2251</v>
      </c>
      <c r="C2959" t="s">
        <v>2252</v>
      </c>
      <c r="D2959" t="s">
        <v>56</v>
      </c>
      <c r="E2959" t="s">
        <v>1113</v>
      </c>
      <c r="F2959" t="s">
        <v>99</v>
      </c>
      <c r="G2959" s="202">
        <v>81.8</v>
      </c>
      <c r="H2959">
        <v>1</v>
      </c>
      <c r="I2959" t="s">
        <v>3954</v>
      </c>
      <c r="J2959" t="s">
        <v>4823</v>
      </c>
      <c r="K2959" t="s">
        <v>1283</v>
      </c>
      <c r="L2959" s="204">
        <v>0.18</v>
      </c>
      <c r="M2959" s="112">
        <v>84.307500000000005</v>
      </c>
      <c r="N2959" s="112">
        <v>15.17535</v>
      </c>
      <c r="O2959" s="204"/>
      <c r="P2959" s="112"/>
      <c r="Q2959" s="112"/>
      <c r="R2959" s="112"/>
      <c r="S2959" s="112"/>
      <c r="T2959" s="112"/>
      <c r="U2959" t="s">
        <v>6293</v>
      </c>
      <c r="V2959" t="s">
        <v>6294</v>
      </c>
      <c r="W2959" t="s">
        <v>3958</v>
      </c>
      <c r="X2959" t="s">
        <v>4660</v>
      </c>
    </row>
    <row r="2960" spans="1:24" x14ac:dyDescent="0.2">
      <c r="A2960" t="s">
        <v>6292</v>
      </c>
      <c r="B2960" t="s">
        <v>2251</v>
      </c>
      <c r="C2960" t="s">
        <v>2252</v>
      </c>
      <c r="D2960" t="s">
        <v>56</v>
      </c>
      <c r="E2960" t="s">
        <v>1113</v>
      </c>
      <c r="F2960" t="s">
        <v>99</v>
      </c>
      <c r="G2960" s="202">
        <v>81.8</v>
      </c>
      <c r="H2960">
        <v>2</v>
      </c>
      <c r="I2960" t="s">
        <v>3960</v>
      </c>
      <c r="J2960" t="s">
        <v>4826</v>
      </c>
      <c r="K2960" t="s">
        <v>1283</v>
      </c>
      <c r="L2960" s="204">
        <v>0.72</v>
      </c>
      <c r="M2960" s="112">
        <v>84.307500000000005</v>
      </c>
      <c r="N2960" s="112">
        <v>60.7014</v>
      </c>
      <c r="O2960" s="204"/>
      <c r="P2960" s="112"/>
      <c r="Q2960" s="112"/>
      <c r="R2960" s="112"/>
      <c r="S2960" s="112"/>
      <c r="T2960" s="112"/>
      <c r="U2960" t="s">
        <v>6293</v>
      </c>
      <c r="V2960" t="s">
        <v>6294</v>
      </c>
      <c r="W2960" t="s">
        <v>3958</v>
      </c>
      <c r="X2960" t="s">
        <v>4660</v>
      </c>
    </row>
    <row r="2961" spans="1:24" x14ac:dyDescent="0.2">
      <c r="A2961" t="s">
        <v>6292</v>
      </c>
      <c r="B2961" t="s">
        <v>2251</v>
      </c>
      <c r="C2961" t="s">
        <v>2252</v>
      </c>
      <c r="D2961" t="s">
        <v>56</v>
      </c>
      <c r="E2961" t="s">
        <v>1113</v>
      </c>
      <c r="F2961" t="s">
        <v>99</v>
      </c>
      <c r="G2961" s="202">
        <v>81.8</v>
      </c>
      <c r="H2961">
        <v>3</v>
      </c>
      <c r="I2961" t="s">
        <v>3976</v>
      </c>
      <c r="J2961" t="s">
        <v>4827</v>
      </c>
      <c r="K2961" t="s">
        <v>1283</v>
      </c>
      <c r="L2961" s="204">
        <v>0.05</v>
      </c>
      <c r="M2961" s="112">
        <v>84.307500000000005</v>
      </c>
      <c r="N2961" s="112">
        <v>4.2153750000000008</v>
      </c>
      <c r="O2961" s="204"/>
      <c r="P2961" s="112"/>
      <c r="Q2961" s="112"/>
      <c r="R2961" s="112"/>
      <c r="S2961" s="112"/>
      <c r="T2961" s="112"/>
      <c r="U2961" t="s">
        <v>6293</v>
      </c>
      <c r="V2961" t="s">
        <v>6294</v>
      </c>
      <c r="W2961" t="s">
        <v>3958</v>
      </c>
      <c r="X2961" t="s">
        <v>4660</v>
      </c>
    </row>
    <row r="2962" spans="1:24" x14ac:dyDescent="0.2">
      <c r="A2962" t="s">
        <v>6292</v>
      </c>
      <c r="B2962" t="s">
        <v>2251</v>
      </c>
      <c r="C2962" t="s">
        <v>2252</v>
      </c>
      <c r="D2962" t="s">
        <v>56</v>
      </c>
      <c r="E2962" t="s">
        <v>1113</v>
      </c>
      <c r="F2962" t="s">
        <v>99</v>
      </c>
      <c r="G2962" s="202">
        <v>81.8</v>
      </c>
      <c r="H2962">
        <v>4</v>
      </c>
      <c r="I2962" t="s">
        <v>4017</v>
      </c>
      <c r="J2962" t="s">
        <v>4809</v>
      </c>
      <c r="K2962" t="s">
        <v>1283</v>
      </c>
      <c r="L2962" s="204">
        <v>0.05</v>
      </c>
      <c r="M2962" s="112">
        <v>84.307500000000005</v>
      </c>
      <c r="N2962" s="112">
        <v>4.2153750000000008</v>
      </c>
      <c r="O2962" s="204"/>
      <c r="P2962" s="112"/>
      <c r="Q2962" s="112"/>
      <c r="R2962" s="112"/>
      <c r="S2962" s="112"/>
      <c r="T2962" s="112"/>
      <c r="U2962" t="s">
        <v>6293</v>
      </c>
      <c r="V2962" t="s">
        <v>6294</v>
      </c>
      <c r="W2962" t="s">
        <v>3958</v>
      </c>
      <c r="X2962" t="s">
        <v>4660</v>
      </c>
    </row>
    <row r="2963" spans="1:24" x14ac:dyDescent="0.2">
      <c r="A2963" t="s">
        <v>6292</v>
      </c>
      <c r="B2963" t="s">
        <v>2251</v>
      </c>
      <c r="C2963" t="s">
        <v>2252</v>
      </c>
      <c r="D2963" t="s">
        <v>56</v>
      </c>
      <c r="E2963" t="s">
        <v>1113</v>
      </c>
      <c r="F2963" t="s">
        <v>99</v>
      </c>
      <c r="G2963" s="202">
        <v>81.8</v>
      </c>
      <c r="H2963">
        <v>5</v>
      </c>
      <c r="I2963" t="s">
        <v>3968</v>
      </c>
      <c r="J2963" t="s">
        <v>3969</v>
      </c>
      <c r="K2963" t="s">
        <v>99</v>
      </c>
      <c r="L2963" s="204">
        <v>1</v>
      </c>
      <c r="M2963" s="112"/>
      <c r="N2963" s="112">
        <v>84.307500000000005</v>
      </c>
      <c r="O2963" s="204">
        <v>0.22222127969513172</v>
      </c>
      <c r="P2963" s="112">
        <v>18.734920537897324</v>
      </c>
      <c r="Q2963" s="112">
        <v>103.04242053789733</v>
      </c>
      <c r="R2963" s="112">
        <v>8428.8700000000008</v>
      </c>
      <c r="S2963" s="112">
        <v>8428.8700000000008</v>
      </c>
      <c r="T2963" s="112">
        <v>0</v>
      </c>
      <c r="U2963" t="s">
        <v>6293</v>
      </c>
      <c r="V2963" t="s">
        <v>6294</v>
      </c>
      <c r="W2963" t="s">
        <v>4666</v>
      </c>
      <c r="X2963" t="s">
        <v>4667</v>
      </c>
    </row>
    <row r="2964" spans="1:24" x14ac:dyDescent="0.2">
      <c r="A2964" t="s">
        <v>6295</v>
      </c>
      <c r="B2964" t="s">
        <v>2253</v>
      </c>
      <c r="C2964" t="s">
        <v>2254</v>
      </c>
      <c r="D2964" t="s">
        <v>56</v>
      </c>
      <c r="E2964" t="s">
        <v>1114</v>
      </c>
      <c r="F2964" t="s">
        <v>99</v>
      </c>
      <c r="G2964" s="202">
        <v>0.1</v>
      </c>
      <c r="H2964">
        <v>1</v>
      </c>
      <c r="I2964" t="s">
        <v>3954</v>
      </c>
      <c r="J2964" t="s">
        <v>4823</v>
      </c>
      <c r="K2964" t="s">
        <v>1283</v>
      </c>
      <c r="L2964" s="204">
        <v>0.18</v>
      </c>
      <c r="M2964" s="112">
        <v>35.872500000000002</v>
      </c>
      <c r="N2964" s="112">
        <v>6.4570499999999997</v>
      </c>
      <c r="O2964" s="204"/>
      <c r="P2964" s="112"/>
      <c r="Q2964" s="112"/>
      <c r="R2964" s="112"/>
      <c r="S2964" s="112"/>
      <c r="T2964" s="112"/>
      <c r="U2964" t="s">
        <v>6296</v>
      </c>
      <c r="V2964" t="s">
        <v>6297</v>
      </c>
      <c r="W2964" t="s">
        <v>3958</v>
      </c>
      <c r="X2964" t="s">
        <v>4660</v>
      </c>
    </row>
    <row r="2965" spans="1:24" x14ac:dyDescent="0.2">
      <c r="A2965" t="s">
        <v>6295</v>
      </c>
      <c r="B2965" t="s">
        <v>2253</v>
      </c>
      <c r="C2965" t="s">
        <v>2254</v>
      </c>
      <c r="D2965" t="s">
        <v>56</v>
      </c>
      <c r="E2965" t="s">
        <v>1114</v>
      </c>
      <c r="F2965" t="s">
        <v>99</v>
      </c>
      <c r="G2965" s="202">
        <v>0.1</v>
      </c>
      <c r="H2965">
        <v>2</v>
      </c>
      <c r="I2965" t="s">
        <v>3960</v>
      </c>
      <c r="J2965" t="s">
        <v>4826</v>
      </c>
      <c r="K2965" t="s">
        <v>1283</v>
      </c>
      <c r="L2965" s="204">
        <v>0.72</v>
      </c>
      <c r="M2965" s="112">
        <v>35.872500000000002</v>
      </c>
      <c r="N2965" s="112">
        <v>25.828199999999999</v>
      </c>
      <c r="O2965" s="204"/>
      <c r="P2965" s="112"/>
      <c r="Q2965" s="112"/>
      <c r="R2965" s="112"/>
      <c r="S2965" s="112"/>
      <c r="T2965" s="112"/>
      <c r="U2965" t="s">
        <v>6296</v>
      </c>
      <c r="V2965" t="s">
        <v>6297</v>
      </c>
      <c r="W2965" t="s">
        <v>3958</v>
      </c>
      <c r="X2965" t="s">
        <v>4660</v>
      </c>
    </row>
    <row r="2966" spans="1:24" x14ac:dyDescent="0.2">
      <c r="A2966" t="s">
        <v>6295</v>
      </c>
      <c r="B2966" t="s">
        <v>2253</v>
      </c>
      <c r="C2966" t="s">
        <v>2254</v>
      </c>
      <c r="D2966" t="s">
        <v>56</v>
      </c>
      <c r="E2966" t="s">
        <v>1114</v>
      </c>
      <c r="F2966" t="s">
        <v>99</v>
      </c>
      <c r="G2966" s="202">
        <v>0.1</v>
      </c>
      <c r="H2966">
        <v>3</v>
      </c>
      <c r="I2966" t="s">
        <v>3976</v>
      </c>
      <c r="J2966" t="s">
        <v>4827</v>
      </c>
      <c r="K2966" t="s">
        <v>1283</v>
      </c>
      <c r="L2966" s="204">
        <v>0.05</v>
      </c>
      <c r="M2966" s="112">
        <v>35.872500000000002</v>
      </c>
      <c r="N2966" s="112">
        <v>1.7936250000000002</v>
      </c>
      <c r="O2966" s="204"/>
      <c r="P2966" s="112"/>
      <c r="Q2966" s="112"/>
      <c r="R2966" s="112"/>
      <c r="S2966" s="112"/>
      <c r="T2966" s="112"/>
      <c r="U2966" t="s">
        <v>6296</v>
      </c>
      <c r="V2966" t="s">
        <v>6297</v>
      </c>
      <c r="W2966" t="s">
        <v>3958</v>
      </c>
      <c r="X2966" t="s">
        <v>4660</v>
      </c>
    </row>
    <row r="2967" spans="1:24" x14ac:dyDescent="0.2">
      <c r="A2967" t="s">
        <v>6295</v>
      </c>
      <c r="B2967" t="s">
        <v>2253</v>
      </c>
      <c r="C2967" t="s">
        <v>2254</v>
      </c>
      <c r="D2967" t="s">
        <v>56</v>
      </c>
      <c r="E2967" t="s">
        <v>1114</v>
      </c>
      <c r="F2967" t="s">
        <v>99</v>
      </c>
      <c r="G2967" s="202">
        <v>0.1</v>
      </c>
      <c r="H2967">
        <v>4</v>
      </c>
      <c r="I2967" t="s">
        <v>4017</v>
      </c>
      <c r="J2967" t="s">
        <v>4809</v>
      </c>
      <c r="K2967" t="s">
        <v>1283</v>
      </c>
      <c r="L2967" s="204">
        <v>0.05</v>
      </c>
      <c r="M2967" s="112">
        <v>35.872500000000002</v>
      </c>
      <c r="N2967" s="112">
        <v>1.7936250000000002</v>
      </c>
      <c r="O2967" s="204"/>
      <c r="P2967" s="112"/>
      <c r="Q2967" s="112"/>
      <c r="R2967" s="112"/>
      <c r="S2967" s="112"/>
      <c r="T2967" s="112"/>
      <c r="U2967" t="s">
        <v>6296</v>
      </c>
      <c r="V2967" t="s">
        <v>6297</v>
      </c>
      <c r="W2967" t="s">
        <v>3958</v>
      </c>
      <c r="X2967" t="s">
        <v>4660</v>
      </c>
    </row>
    <row r="2968" spans="1:24" x14ac:dyDescent="0.2">
      <c r="A2968" t="s">
        <v>6295</v>
      </c>
      <c r="B2968" t="s">
        <v>2253</v>
      </c>
      <c r="C2968" t="s">
        <v>2254</v>
      </c>
      <c r="D2968" t="s">
        <v>56</v>
      </c>
      <c r="E2968" t="s">
        <v>1114</v>
      </c>
      <c r="F2968" t="s">
        <v>99</v>
      </c>
      <c r="G2968" s="202">
        <v>0.1</v>
      </c>
      <c r="H2968">
        <v>5</v>
      </c>
      <c r="I2968" t="s">
        <v>3968</v>
      </c>
      <c r="J2968" t="s">
        <v>3969</v>
      </c>
      <c r="K2968" t="s">
        <v>99</v>
      </c>
      <c r="L2968" s="204">
        <v>1</v>
      </c>
      <c r="M2968" s="112"/>
      <c r="N2968" s="112">
        <v>35.872500000000002</v>
      </c>
      <c r="O2968" s="204">
        <v>0.22099100982646869</v>
      </c>
      <c r="P2968" s="112">
        <v>7.9274999999999949</v>
      </c>
      <c r="Q2968" s="112">
        <v>43.8</v>
      </c>
      <c r="R2968" s="112">
        <v>4.38</v>
      </c>
      <c r="S2968" s="112">
        <v>4.38</v>
      </c>
      <c r="T2968" s="112">
        <v>0</v>
      </c>
      <c r="U2968" t="s">
        <v>6296</v>
      </c>
      <c r="V2968" t="s">
        <v>6297</v>
      </c>
      <c r="W2968" t="s">
        <v>4666</v>
      </c>
      <c r="X2968" t="s">
        <v>4667</v>
      </c>
    </row>
    <row r="2969" spans="1:24" x14ac:dyDescent="0.2">
      <c r="A2969" t="s">
        <v>6298</v>
      </c>
      <c r="B2969" t="s">
        <v>2255</v>
      </c>
      <c r="C2969" t="s">
        <v>2256</v>
      </c>
      <c r="D2969" t="s">
        <v>56</v>
      </c>
      <c r="E2969" t="s">
        <v>1115</v>
      </c>
      <c r="F2969" t="s">
        <v>84</v>
      </c>
      <c r="G2969" s="202">
        <v>1</v>
      </c>
      <c r="H2969">
        <v>1</v>
      </c>
      <c r="I2969" t="s">
        <v>3954</v>
      </c>
      <c r="J2969" t="s">
        <v>5227</v>
      </c>
      <c r="K2969" t="s">
        <v>1283</v>
      </c>
      <c r="L2969" s="204">
        <v>0.26</v>
      </c>
      <c r="M2969" s="112">
        <v>2670.6150000000002</v>
      </c>
      <c r="N2969" s="112">
        <v>694.35990000000004</v>
      </c>
      <c r="O2969" s="204"/>
      <c r="P2969" s="112"/>
      <c r="Q2969" s="112"/>
      <c r="R2969" s="112"/>
      <c r="S2969" s="112"/>
      <c r="T2969" s="112"/>
      <c r="U2969" t="s">
        <v>6299</v>
      </c>
      <c r="V2969" t="s">
        <v>6300</v>
      </c>
      <c r="W2969" t="s">
        <v>3958</v>
      </c>
      <c r="X2969" t="s">
        <v>4660</v>
      </c>
    </row>
    <row r="2970" spans="1:24" x14ac:dyDescent="0.2">
      <c r="A2970" t="s">
        <v>6298</v>
      </c>
      <c r="B2970" t="s">
        <v>2255</v>
      </c>
      <c r="C2970" t="s">
        <v>2256</v>
      </c>
      <c r="D2970" t="s">
        <v>56</v>
      </c>
      <c r="E2970" t="s">
        <v>1115</v>
      </c>
      <c r="F2970" t="s">
        <v>84</v>
      </c>
      <c r="G2970" s="202">
        <v>1</v>
      </c>
      <c r="H2970">
        <v>2</v>
      </c>
      <c r="I2970" t="s">
        <v>3960</v>
      </c>
      <c r="J2970" t="s">
        <v>5229</v>
      </c>
      <c r="K2970" t="s">
        <v>1283</v>
      </c>
      <c r="L2970" s="204">
        <v>0.64</v>
      </c>
      <c r="M2970" s="112">
        <v>2670.6150000000002</v>
      </c>
      <c r="N2970" s="112">
        <v>1709.1936000000003</v>
      </c>
      <c r="O2970" s="204"/>
      <c r="P2970" s="112"/>
      <c r="Q2970" s="112"/>
      <c r="R2970" s="112"/>
      <c r="S2970" s="112"/>
      <c r="T2970" s="112"/>
      <c r="U2970" t="s">
        <v>6299</v>
      </c>
      <c r="V2970" t="s">
        <v>6300</v>
      </c>
      <c r="W2970" t="s">
        <v>3958</v>
      </c>
      <c r="X2970" t="s">
        <v>4660</v>
      </c>
    </row>
    <row r="2971" spans="1:24" x14ac:dyDescent="0.2">
      <c r="A2971" t="s">
        <v>6298</v>
      </c>
      <c r="B2971" t="s">
        <v>2255</v>
      </c>
      <c r="C2971" t="s">
        <v>2256</v>
      </c>
      <c r="D2971" t="s">
        <v>56</v>
      </c>
      <c r="E2971" t="s">
        <v>1115</v>
      </c>
      <c r="F2971" t="s">
        <v>84</v>
      </c>
      <c r="G2971" s="202">
        <v>1</v>
      </c>
      <c r="H2971">
        <v>3</v>
      </c>
      <c r="I2971" t="s">
        <v>3976</v>
      </c>
      <c r="J2971" t="s">
        <v>5230</v>
      </c>
      <c r="K2971" t="s">
        <v>1283</v>
      </c>
      <c r="L2971" s="204">
        <v>0.04</v>
      </c>
      <c r="M2971" s="112">
        <v>2670.6150000000002</v>
      </c>
      <c r="N2971" s="112">
        <v>106.82460000000002</v>
      </c>
      <c r="O2971" s="204"/>
      <c r="P2971" s="112"/>
      <c r="Q2971" s="112"/>
      <c r="R2971" s="112"/>
      <c r="S2971" s="112"/>
      <c r="T2971" s="112"/>
      <c r="U2971" t="s">
        <v>6299</v>
      </c>
      <c r="V2971" t="s">
        <v>6300</v>
      </c>
      <c r="W2971" t="s">
        <v>3958</v>
      </c>
      <c r="X2971" t="s">
        <v>4660</v>
      </c>
    </row>
    <row r="2972" spans="1:24" x14ac:dyDescent="0.2">
      <c r="A2972" t="s">
        <v>6298</v>
      </c>
      <c r="B2972" t="s">
        <v>2255</v>
      </c>
      <c r="C2972" t="s">
        <v>2256</v>
      </c>
      <c r="D2972" t="s">
        <v>56</v>
      </c>
      <c r="E2972" t="s">
        <v>1115</v>
      </c>
      <c r="F2972" t="s">
        <v>84</v>
      </c>
      <c r="G2972" s="202">
        <v>1</v>
      </c>
      <c r="H2972">
        <v>4</v>
      </c>
      <c r="I2972" t="s">
        <v>4017</v>
      </c>
      <c r="J2972" t="s">
        <v>4851</v>
      </c>
      <c r="K2972" t="s">
        <v>1283</v>
      </c>
      <c r="L2972" s="204">
        <v>0.06</v>
      </c>
      <c r="M2972" s="112">
        <v>2670.6150000000002</v>
      </c>
      <c r="N2972" s="112">
        <v>160.23690000000002</v>
      </c>
      <c r="O2972" s="204"/>
      <c r="P2972" s="112"/>
      <c r="Q2972" s="112"/>
      <c r="R2972" s="112"/>
      <c r="S2972" s="112"/>
      <c r="T2972" s="112"/>
      <c r="U2972" t="s">
        <v>6299</v>
      </c>
      <c r="V2972" t="s">
        <v>6300</v>
      </c>
      <c r="W2972" t="s">
        <v>3958</v>
      </c>
      <c r="X2972" t="s">
        <v>4660</v>
      </c>
    </row>
    <row r="2973" spans="1:24" x14ac:dyDescent="0.2">
      <c r="A2973" t="s">
        <v>6298</v>
      </c>
      <c r="B2973" t="s">
        <v>2255</v>
      </c>
      <c r="C2973" t="s">
        <v>2256</v>
      </c>
      <c r="D2973" t="s">
        <v>56</v>
      </c>
      <c r="E2973" t="s">
        <v>1115</v>
      </c>
      <c r="F2973" t="s">
        <v>84</v>
      </c>
      <c r="G2973" s="202">
        <v>1</v>
      </c>
      <c r="H2973">
        <v>5</v>
      </c>
      <c r="I2973" t="s">
        <v>3968</v>
      </c>
      <c r="J2973" t="s">
        <v>3969</v>
      </c>
      <c r="K2973" t="s">
        <v>84</v>
      </c>
      <c r="L2973" s="204">
        <v>1</v>
      </c>
      <c r="M2973" s="112"/>
      <c r="N2973" s="112">
        <v>2670.6150000000002</v>
      </c>
      <c r="O2973" s="204">
        <v>0.22229898356745537</v>
      </c>
      <c r="P2973" s="112">
        <v>593.67499999999973</v>
      </c>
      <c r="Q2973" s="112">
        <v>3264.29</v>
      </c>
      <c r="R2973" s="112">
        <v>3264.29</v>
      </c>
      <c r="S2973" s="112">
        <v>3264.29</v>
      </c>
      <c r="T2973" s="112">
        <v>0</v>
      </c>
      <c r="U2973" t="s">
        <v>6299</v>
      </c>
      <c r="V2973" t="s">
        <v>6300</v>
      </c>
      <c r="W2973" t="s">
        <v>4666</v>
      </c>
      <c r="X2973" t="s">
        <v>4667</v>
      </c>
    </row>
    <row r="2974" spans="1:24" x14ac:dyDescent="0.2">
      <c r="A2974" t="s">
        <v>6301</v>
      </c>
      <c r="B2974" t="s">
        <v>2257</v>
      </c>
      <c r="C2974" t="s">
        <v>2258</v>
      </c>
      <c r="D2974" t="s">
        <v>56</v>
      </c>
      <c r="E2974" t="s">
        <v>1116</v>
      </c>
      <c r="F2974" t="s">
        <v>84</v>
      </c>
      <c r="G2974" s="202">
        <v>2</v>
      </c>
      <c r="H2974">
        <v>1</v>
      </c>
      <c r="I2974" t="s">
        <v>3954</v>
      </c>
      <c r="J2974" t="s">
        <v>5227</v>
      </c>
      <c r="K2974" t="s">
        <v>1283</v>
      </c>
      <c r="L2974" s="204">
        <v>0.26</v>
      </c>
      <c r="M2974" s="112">
        <v>1309.0875000000001</v>
      </c>
      <c r="N2974" s="112">
        <v>340.36275000000006</v>
      </c>
      <c r="O2974" s="204"/>
      <c r="P2974" s="112"/>
      <c r="Q2974" s="112"/>
      <c r="R2974" s="112"/>
      <c r="S2974" s="112"/>
      <c r="T2974" s="112"/>
      <c r="U2974" t="s">
        <v>6302</v>
      </c>
      <c r="V2974" t="s">
        <v>6303</v>
      </c>
      <c r="W2974" t="s">
        <v>3958</v>
      </c>
      <c r="X2974" t="s">
        <v>4660</v>
      </c>
    </row>
    <row r="2975" spans="1:24" x14ac:dyDescent="0.2">
      <c r="A2975" t="s">
        <v>6301</v>
      </c>
      <c r="B2975" t="s">
        <v>2257</v>
      </c>
      <c r="C2975" t="s">
        <v>2258</v>
      </c>
      <c r="D2975" t="s">
        <v>56</v>
      </c>
      <c r="E2975" t="s">
        <v>1116</v>
      </c>
      <c r="F2975" t="s">
        <v>84</v>
      </c>
      <c r="G2975" s="202">
        <v>2</v>
      </c>
      <c r="H2975">
        <v>2</v>
      </c>
      <c r="I2975" t="s">
        <v>3960</v>
      </c>
      <c r="J2975" t="s">
        <v>5229</v>
      </c>
      <c r="K2975" t="s">
        <v>1283</v>
      </c>
      <c r="L2975" s="204">
        <v>0.64</v>
      </c>
      <c r="M2975" s="112">
        <v>1309.0875000000001</v>
      </c>
      <c r="N2975" s="112">
        <v>837.81600000000003</v>
      </c>
      <c r="O2975" s="204"/>
      <c r="P2975" s="112"/>
      <c r="Q2975" s="112"/>
      <c r="R2975" s="112"/>
      <c r="S2975" s="112"/>
      <c r="T2975" s="112"/>
      <c r="U2975" t="s">
        <v>6302</v>
      </c>
      <c r="V2975" t="s">
        <v>6303</v>
      </c>
      <c r="W2975" t="s">
        <v>3958</v>
      </c>
      <c r="X2975" t="s">
        <v>4660</v>
      </c>
    </row>
    <row r="2976" spans="1:24" x14ac:dyDescent="0.2">
      <c r="A2976" t="s">
        <v>6301</v>
      </c>
      <c r="B2976" t="s">
        <v>2257</v>
      </c>
      <c r="C2976" t="s">
        <v>2258</v>
      </c>
      <c r="D2976" t="s">
        <v>56</v>
      </c>
      <c r="E2976" t="s">
        <v>1116</v>
      </c>
      <c r="F2976" t="s">
        <v>84</v>
      </c>
      <c r="G2976" s="202">
        <v>2</v>
      </c>
      <c r="H2976">
        <v>3</v>
      </c>
      <c r="I2976" t="s">
        <v>3976</v>
      </c>
      <c r="J2976" t="s">
        <v>5230</v>
      </c>
      <c r="K2976" t="s">
        <v>1283</v>
      </c>
      <c r="L2976" s="204">
        <v>0.04</v>
      </c>
      <c r="M2976" s="112">
        <v>1309.0875000000001</v>
      </c>
      <c r="N2976" s="112">
        <v>52.363500000000002</v>
      </c>
      <c r="O2976" s="204"/>
      <c r="P2976" s="112"/>
      <c r="Q2976" s="112"/>
      <c r="R2976" s="112"/>
      <c r="S2976" s="112"/>
      <c r="T2976" s="112"/>
      <c r="U2976" t="s">
        <v>6302</v>
      </c>
      <c r="V2976" t="s">
        <v>6303</v>
      </c>
      <c r="W2976" t="s">
        <v>3958</v>
      </c>
      <c r="X2976" t="s">
        <v>4660</v>
      </c>
    </row>
    <row r="2977" spans="1:24" x14ac:dyDescent="0.2">
      <c r="A2977" t="s">
        <v>6301</v>
      </c>
      <c r="B2977" t="s">
        <v>2257</v>
      </c>
      <c r="C2977" t="s">
        <v>2258</v>
      </c>
      <c r="D2977" t="s">
        <v>56</v>
      </c>
      <c r="E2977" t="s">
        <v>1116</v>
      </c>
      <c r="F2977" t="s">
        <v>84</v>
      </c>
      <c r="G2977" s="202">
        <v>2</v>
      </c>
      <c r="H2977">
        <v>4</v>
      </c>
      <c r="I2977" t="s">
        <v>4017</v>
      </c>
      <c r="J2977" t="s">
        <v>4851</v>
      </c>
      <c r="K2977" t="s">
        <v>1283</v>
      </c>
      <c r="L2977" s="204">
        <v>0.06</v>
      </c>
      <c r="M2977" s="112">
        <v>1309.0875000000001</v>
      </c>
      <c r="N2977" s="112">
        <v>78.545249999999996</v>
      </c>
      <c r="O2977" s="204"/>
      <c r="P2977" s="112"/>
      <c r="Q2977" s="112"/>
      <c r="R2977" s="112"/>
      <c r="S2977" s="112"/>
      <c r="T2977" s="112"/>
      <c r="U2977" t="s">
        <v>6302</v>
      </c>
      <c r="V2977" t="s">
        <v>6303</v>
      </c>
      <c r="W2977" t="s">
        <v>3958</v>
      </c>
      <c r="X2977" t="s">
        <v>4660</v>
      </c>
    </row>
    <row r="2978" spans="1:24" x14ac:dyDescent="0.2">
      <c r="A2978" t="s">
        <v>6301</v>
      </c>
      <c r="B2978" t="s">
        <v>2257</v>
      </c>
      <c r="C2978" t="s">
        <v>2258</v>
      </c>
      <c r="D2978" t="s">
        <v>56</v>
      </c>
      <c r="E2978" t="s">
        <v>1116</v>
      </c>
      <c r="F2978" t="s">
        <v>84</v>
      </c>
      <c r="G2978" s="202">
        <v>2</v>
      </c>
      <c r="H2978">
        <v>5</v>
      </c>
      <c r="I2978" t="s">
        <v>3968</v>
      </c>
      <c r="J2978" t="s">
        <v>3969</v>
      </c>
      <c r="K2978" t="s">
        <v>84</v>
      </c>
      <c r="L2978" s="204">
        <v>1</v>
      </c>
      <c r="M2978" s="112"/>
      <c r="N2978" s="112">
        <v>1309.0875000000001</v>
      </c>
      <c r="O2978" s="204">
        <v>0.22229797473430923</v>
      </c>
      <c r="P2978" s="112">
        <v>291.00749999999994</v>
      </c>
      <c r="Q2978" s="112">
        <v>1600.095</v>
      </c>
      <c r="R2978" s="112">
        <v>3200.19</v>
      </c>
      <c r="S2978" s="112">
        <v>3200.19</v>
      </c>
      <c r="T2978" s="112">
        <v>0</v>
      </c>
      <c r="U2978" t="s">
        <v>6302</v>
      </c>
      <c r="V2978" t="s">
        <v>6303</v>
      </c>
      <c r="W2978" t="s">
        <v>4666</v>
      </c>
      <c r="X2978" t="s">
        <v>4667</v>
      </c>
    </row>
    <row r="2979" spans="1:24" x14ac:dyDescent="0.2">
      <c r="A2979" t="s">
        <v>6304</v>
      </c>
      <c r="B2979" t="s">
        <v>2259</v>
      </c>
      <c r="C2979" t="s">
        <v>2260</v>
      </c>
      <c r="D2979" t="s">
        <v>56</v>
      </c>
      <c r="E2979" t="s">
        <v>1117</v>
      </c>
      <c r="F2979" t="s">
        <v>84</v>
      </c>
      <c r="G2979" s="202">
        <v>2</v>
      </c>
      <c r="H2979">
        <v>1</v>
      </c>
      <c r="I2979" t="s">
        <v>3954</v>
      </c>
      <c r="J2979" t="s">
        <v>5227</v>
      </c>
      <c r="K2979" t="s">
        <v>1283</v>
      </c>
      <c r="L2979" s="204">
        <v>0.26</v>
      </c>
      <c r="M2979" s="112">
        <v>307.5675</v>
      </c>
      <c r="N2979" s="112">
        <v>79.967550000000003</v>
      </c>
      <c r="O2979" s="204"/>
      <c r="P2979" s="112"/>
      <c r="Q2979" s="112"/>
      <c r="R2979" s="112"/>
      <c r="S2979" s="112"/>
      <c r="T2979" s="112"/>
      <c r="U2979" t="s">
        <v>6305</v>
      </c>
      <c r="V2979" t="s">
        <v>6306</v>
      </c>
      <c r="W2979" t="s">
        <v>3958</v>
      </c>
      <c r="X2979" t="s">
        <v>4660</v>
      </c>
    </row>
    <row r="2980" spans="1:24" x14ac:dyDescent="0.2">
      <c r="A2980" t="s">
        <v>6304</v>
      </c>
      <c r="B2980" t="s">
        <v>2259</v>
      </c>
      <c r="C2980" t="s">
        <v>2260</v>
      </c>
      <c r="D2980" t="s">
        <v>56</v>
      </c>
      <c r="E2980" t="s">
        <v>1117</v>
      </c>
      <c r="F2980" t="s">
        <v>84</v>
      </c>
      <c r="G2980" s="202">
        <v>2</v>
      </c>
      <c r="H2980">
        <v>2</v>
      </c>
      <c r="I2980" t="s">
        <v>3960</v>
      </c>
      <c r="J2980" t="s">
        <v>5229</v>
      </c>
      <c r="K2980" t="s">
        <v>1283</v>
      </c>
      <c r="L2980" s="204">
        <v>0.64</v>
      </c>
      <c r="M2980" s="112">
        <v>307.5675</v>
      </c>
      <c r="N2980" s="112">
        <v>196.8432</v>
      </c>
      <c r="O2980" s="204"/>
      <c r="P2980" s="112"/>
      <c r="Q2980" s="112"/>
      <c r="R2980" s="112"/>
      <c r="S2980" s="112"/>
      <c r="T2980" s="112"/>
      <c r="U2980" t="s">
        <v>6305</v>
      </c>
      <c r="V2980" t="s">
        <v>6306</v>
      </c>
      <c r="W2980" t="s">
        <v>3958</v>
      </c>
      <c r="X2980" t="s">
        <v>4660</v>
      </c>
    </row>
    <row r="2981" spans="1:24" x14ac:dyDescent="0.2">
      <c r="A2981" t="s">
        <v>6304</v>
      </c>
      <c r="B2981" t="s">
        <v>2259</v>
      </c>
      <c r="C2981" t="s">
        <v>2260</v>
      </c>
      <c r="D2981" t="s">
        <v>56</v>
      </c>
      <c r="E2981" t="s">
        <v>1117</v>
      </c>
      <c r="F2981" t="s">
        <v>84</v>
      </c>
      <c r="G2981" s="202">
        <v>2</v>
      </c>
      <c r="H2981">
        <v>3</v>
      </c>
      <c r="I2981" t="s">
        <v>3976</v>
      </c>
      <c r="J2981" t="s">
        <v>5230</v>
      </c>
      <c r="K2981" t="s">
        <v>1283</v>
      </c>
      <c r="L2981" s="204">
        <v>0.04</v>
      </c>
      <c r="M2981" s="112">
        <v>307.5675</v>
      </c>
      <c r="N2981" s="112">
        <v>12.3027</v>
      </c>
      <c r="O2981" s="204"/>
      <c r="P2981" s="112"/>
      <c r="Q2981" s="112"/>
      <c r="R2981" s="112"/>
      <c r="S2981" s="112"/>
      <c r="T2981" s="112"/>
      <c r="U2981" t="s">
        <v>6305</v>
      </c>
      <c r="V2981" t="s">
        <v>6306</v>
      </c>
      <c r="W2981" t="s">
        <v>3958</v>
      </c>
      <c r="X2981" t="s">
        <v>4660</v>
      </c>
    </row>
    <row r="2982" spans="1:24" x14ac:dyDescent="0.2">
      <c r="A2982" t="s">
        <v>6304</v>
      </c>
      <c r="B2982" t="s">
        <v>2259</v>
      </c>
      <c r="C2982" t="s">
        <v>2260</v>
      </c>
      <c r="D2982" t="s">
        <v>56</v>
      </c>
      <c r="E2982" t="s">
        <v>1117</v>
      </c>
      <c r="F2982" t="s">
        <v>84</v>
      </c>
      <c r="G2982" s="202">
        <v>2</v>
      </c>
      <c r="H2982">
        <v>4</v>
      </c>
      <c r="I2982" t="s">
        <v>4017</v>
      </c>
      <c r="J2982" t="s">
        <v>4851</v>
      </c>
      <c r="K2982" t="s">
        <v>1283</v>
      </c>
      <c r="L2982" s="204">
        <v>0.06</v>
      </c>
      <c r="M2982" s="112">
        <v>307.5675</v>
      </c>
      <c r="N2982" s="112">
        <v>18.454049999999999</v>
      </c>
      <c r="O2982" s="204"/>
      <c r="P2982" s="112"/>
      <c r="Q2982" s="112"/>
      <c r="R2982" s="112"/>
      <c r="S2982" s="112"/>
      <c r="T2982" s="112"/>
      <c r="U2982" t="s">
        <v>6305</v>
      </c>
      <c r="V2982" t="s">
        <v>6306</v>
      </c>
      <c r="W2982" t="s">
        <v>3958</v>
      </c>
      <c r="X2982" t="s">
        <v>4660</v>
      </c>
    </row>
    <row r="2983" spans="1:24" x14ac:dyDescent="0.2">
      <c r="A2983" t="s">
        <v>6304</v>
      </c>
      <c r="B2983" t="s">
        <v>2259</v>
      </c>
      <c r="C2983" t="s">
        <v>2260</v>
      </c>
      <c r="D2983" t="s">
        <v>56</v>
      </c>
      <c r="E2983" t="s">
        <v>1117</v>
      </c>
      <c r="F2983" t="s">
        <v>84</v>
      </c>
      <c r="G2983" s="202">
        <v>2</v>
      </c>
      <c r="H2983">
        <v>5</v>
      </c>
      <c r="I2983" t="s">
        <v>3968</v>
      </c>
      <c r="J2983" t="s">
        <v>3969</v>
      </c>
      <c r="K2983" t="s">
        <v>84</v>
      </c>
      <c r="L2983" s="204">
        <v>1</v>
      </c>
      <c r="M2983" s="112"/>
      <c r="N2983" s="112">
        <v>307.5675</v>
      </c>
      <c r="O2983" s="204">
        <v>0.22228453916619939</v>
      </c>
      <c r="P2983" s="112">
        <v>68.367500000000007</v>
      </c>
      <c r="Q2983" s="112">
        <v>375.935</v>
      </c>
      <c r="R2983" s="112">
        <v>751.87</v>
      </c>
      <c r="S2983" s="112">
        <v>751.87</v>
      </c>
      <c r="T2983" s="112">
        <v>0</v>
      </c>
      <c r="U2983" t="s">
        <v>6305</v>
      </c>
      <c r="V2983" t="s">
        <v>6306</v>
      </c>
      <c r="W2983" t="s">
        <v>4666</v>
      </c>
      <c r="X2983" t="s">
        <v>4667</v>
      </c>
    </row>
    <row r="2984" spans="1:24" x14ac:dyDescent="0.2">
      <c r="A2984" t="s">
        <v>6307</v>
      </c>
      <c r="B2984" t="s">
        <v>2261</v>
      </c>
      <c r="C2984" t="s">
        <v>2262</v>
      </c>
      <c r="D2984" t="s">
        <v>56</v>
      </c>
      <c r="E2984" t="s">
        <v>1118</v>
      </c>
      <c r="F2984" t="s">
        <v>99</v>
      </c>
      <c r="G2984" s="202">
        <v>81.8</v>
      </c>
      <c r="H2984">
        <v>1</v>
      </c>
      <c r="I2984" t="s">
        <v>3954</v>
      </c>
      <c r="J2984" t="s">
        <v>4823</v>
      </c>
      <c r="K2984" t="s">
        <v>1283</v>
      </c>
      <c r="L2984" s="204">
        <v>0.18</v>
      </c>
      <c r="M2984" s="112">
        <v>6.5774999999999997</v>
      </c>
      <c r="N2984" s="112">
        <v>1.1839499999999998</v>
      </c>
      <c r="O2984" s="204"/>
      <c r="P2984" s="112"/>
      <c r="Q2984" s="112"/>
      <c r="R2984" s="112"/>
      <c r="S2984" s="112"/>
      <c r="T2984" s="112"/>
      <c r="U2984" t="s">
        <v>6308</v>
      </c>
      <c r="V2984" t="s">
        <v>6309</v>
      </c>
      <c r="W2984" t="s">
        <v>3958</v>
      </c>
      <c r="X2984" t="s">
        <v>4660</v>
      </c>
    </row>
    <row r="2985" spans="1:24" x14ac:dyDescent="0.2">
      <c r="A2985" t="s">
        <v>6307</v>
      </c>
      <c r="B2985" t="s">
        <v>2261</v>
      </c>
      <c r="C2985" t="s">
        <v>2262</v>
      </c>
      <c r="D2985" t="s">
        <v>56</v>
      </c>
      <c r="E2985" t="s">
        <v>1118</v>
      </c>
      <c r="F2985" t="s">
        <v>99</v>
      </c>
      <c r="G2985" s="202">
        <v>81.8</v>
      </c>
      <c r="H2985">
        <v>2</v>
      </c>
      <c r="I2985" t="s">
        <v>3960</v>
      </c>
      <c r="J2985" t="s">
        <v>4826</v>
      </c>
      <c r="K2985" t="s">
        <v>1283</v>
      </c>
      <c r="L2985" s="204">
        <v>0.72</v>
      </c>
      <c r="M2985" s="112">
        <v>6.5774999999999997</v>
      </c>
      <c r="N2985" s="112">
        <v>4.7357999999999993</v>
      </c>
      <c r="O2985" s="204"/>
      <c r="P2985" s="112"/>
      <c r="Q2985" s="112"/>
      <c r="R2985" s="112"/>
      <c r="S2985" s="112"/>
      <c r="T2985" s="112"/>
      <c r="U2985" t="s">
        <v>6308</v>
      </c>
      <c r="V2985" t="s">
        <v>6309</v>
      </c>
      <c r="W2985" t="s">
        <v>3958</v>
      </c>
      <c r="X2985" t="s">
        <v>4660</v>
      </c>
    </row>
    <row r="2986" spans="1:24" x14ac:dyDescent="0.2">
      <c r="A2986" t="s">
        <v>6307</v>
      </c>
      <c r="B2986" t="s">
        <v>2261</v>
      </c>
      <c r="C2986" t="s">
        <v>2262</v>
      </c>
      <c r="D2986" t="s">
        <v>56</v>
      </c>
      <c r="E2986" t="s">
        <v>1118</v>
      </c>
      <c r="F2986" t="s">
        <v>99</v>
      </c>
      <c r="G2986" s="202">
        <v>81.8</v>
      </c>
      <c r="H2986">
        <v>3</v>
      </c>
      <c r="I2986" t="s">
        <v>3976</v>
      </c>
      <c r="J2986" t="s">
        <v>4827</v>
      </c>
      <c r="K2986" t="s">
        <v>1283</v>
      </c>
      <c r="L2986" s="204">
        <v>0.05</v>
      </c>
      <c r="M2986" s="112">
        <v>6.5774999999999997</v>
      </c>
      <c r="N2986" s="112">
        <v>0.32887500000000003</v>
      </c>
      <c r="O2986" s="204"/>
      <c r="P2986" s="112"/>
      <c r="Q2986" s="112"/>
      <c r="R2986" s="112"/>
      <c r="S2986" s="112"/>
      <c r="T2986" s="112"/>
      <c r="U2986" t="s">
        <v>6308</v>
      </c>
      <c r="V2986" t="s">
        <v>6309</v>
      </c>
      <c r="W2986" t="s">
        <v>3958</v>
      </c>
      <c r="X2986" t="s">
        <v>4660</v>
      </c>
    </row>
    <row r="2987" spans="1:24" x14ac:dyDescent="0.2">
      <c r="A2987" t="s">
        <v>6307</v>
      </c>
      <c r="B2987" t="s">
        <v>2261</v>
      </c>
      <c r="C2987" t="s">
        <v>2262</v>
      </c>
      <c r="D2987" t="s">
        <v>56</v>
      </c>
      <c r="E2987" t="s">
        <v>1118</v>
      </c>
      <c r="F2987" t="s">
        <v>99</v>
      </c>
      <c r="G2987" s="202">
        <v>81.8</v>
      </c>
      <c r="H2987">
        <v>4</v>
      </c>
      <c r="I2987" t="s">
        <v>4017</v>
      </c>
      <c r="J2987" t="s">
        <v>4809</v>
      </c>
      <c r="K2987" t="s">
        <v>1283</v>
      </c>
      <c r="L2987" s="204">
        <v>0.05</v>
      </c>
      <c r="M2987" s="112">
        <v>6.5774999999999997</v>
      </c>
      <c r="N2987" s="112">
        <v>0.32887500000000003</v>
      </c>
      <c r="O2987" s="204"/>
      <c r="P2987" s="112"/>
      <c r="Q2987" s="112"/>
      <c r="R2987" s="112"/>
      <c r="S2987" s="112"/>
      <c r="T2987" s="112"/>
      <c r="U2987" t="s">
        <v>6308</v>
      </c>
      <c r="V2987" t="s">
        <v>6309</v>
      </c>
      <c r="W2987" t="s">
        <v>3958</v>
      </c>
      <c r="X2987" t="s">
        <v>4660</v>
      </c>
    </row>
    <row r="2988" spans="1:24" x14ac:dyDescent="0.2">
      <c r="A2988" t="s">
        <v>6307</v>
      </c>
      <c r="B2988" t="s">
        <v>2261</v>
      </c>
      <c r="C2988" t="s">
        <v>2262</v>
      </c>
      <c r="D2988" t="s">
        <v>56</v>
      </c>
      <c r="E2988" t="s">
        <v>1118</v>
      </c>
      <c r="F2988" t="s">
        <v>99</v>
      </c>
      <c r="G2988" s="202">
        <v>81.8</v>
      </c>
      <c r="H2988">
        <v>5</v>
      </c>
      <c r="I2988" t="s">
        <v>3968</v>
      </c>
      <c r="J2988" t="s">
        <v>3969</v>
      </c>
      <c r="K2988" t="s">
        <v>99</v>
      </c>
      <c r="L2988" s="204">
        <v>1</v>
      </c>
      <c r="M2988" s="112"/>
      <c r="N2988" s="112">
        <v>6.5774999999999997</v>
      </c>
      <c r="O2988" s="204">
        <v>0.22119286780989134</v>
      </c>
      <c r="P2988" s="112">
        <v>1.4548960880195603</v>
      </c>
      <c r="Q2988" s="112">
        <v>8.03239608801956</v>
      </c>
      <c r="R2988" s="112">
        <v>657.05</v>
      </c>
      <c r="S2988" s="112">
        <v>657.05</v>
      </c>
      <c r="T2988" s="112">
        <v>0</v>
      </c>
      <c r="U2988" t="s">
        <v>6308</v>
      </c>
      <c r="V2988" t="s">
        <v>6309</v>
      </c>
      <c r="W2988" t="s">
        <v>4666</v>
      </c>
      <c r="X2988" t="s">
        <v>4667</v>
      </c>
    </row>
    <row r="2989" spans="1:24" x14ac:dyDescent="0.2">
      <c r="A2989" t="s">
        <v>6310</v>
      </c>
      <c r="B2989" t="s">
        <v>2263</v>
      </c>
      <c r="C2989" t="s">
        <v>2264</v>
      </c>
      <c r="D2989" t="s">
        <v>56</v>
      </c>
      <c r="E2989" t="s">
        <v>1121</v>
      </c>
      <c r="F2989" t="s">
        <v>84</v>
      </c>
      <c r="G2989" s="202">
        <v>19</v>
      </c>
      <c r="H2989">
        <v>1</v>
      </c>
      <c r="I2989" t="s">
        <v>3954</v>
      </c>
      <c r="J2989" t="s">
        <v>4734</v>
      </c>
      <c r="K2989" t="s">
        <v>1283</v>
      </c>
      <c r="L2989" s="204">
        <v>0.24</v>
      </c>
      <c r="M2989" s="112">
        <v>239.41500000000002</v>
      </c>
      <c r="N2989" s="112">
        <v>57.459600000000002</v>
      </c>
      <c r="O2989" s="204"/>
      <c r="P2989" s="112"/>
      <c r="Q2989" s="112"/>
      <c r="R2989" s="112"/>
      <c r="S2989" s="112"/>
      <c r="T2989" s="112"/>
      <c r="U2989" t="s">
        <v>6311</v>
      </c>
      <c r="V2989" t="s">
        <v>6312</v>
      </c>
      <c r="W2989" t="s">
        <v>3958</v>
      </c>
      <c r="X2989" t="s">
        <v>4660</v>
      </c>
    </row>
    <row r="2990" spans="1:24" x14ac:dyDescent="0.2">
      <c r="A2990" t="s">
        <v>6310</v>
      </c>
      <c r="B2990" t="s">
        <v>2263</v>
      </c>
      <c r="C2990" t="s">
        <v>2264</v>
      </c>
      <c r="D2990" t="s">
        <v>56</v>
      </c>
      <c r="E2990" t="s">
        <v>1121</v>
      </c>
      <c r="F2990" t="s">
        <v>84</v>
      </c>
      <c r="G2990" s="202">
        <v>19</v>
      </c>
      <c r="H2990">
        <v>2</v>
      </c>
      <c r="I2990" t="s">
        <v>3962</v>
      </c>
      <c r="J2990" t="s">
        <v>4737</v>
      </c>
      <c r="K2990" t="s">
        <v>1283</v>
      </c>
      <c r="L2990" s="204">
        <v>0.46</v>
      </c>
      <c r="M2990" s="112">
        <v>239.41500000000002</v>
      </c>
      <c r="N2990" s="112">
        <v>110.13090000000001</v>
      </c>
      <c r="O2990" s="204"/>
      <c r="P2990" s="112"/>
      <c r="Q2990" s="112"/>
      <c r="R2990" s="112"/>
      <c r="S2990" s="112"/>
      <c r="T2990" s="112"/>
      <c r="U2990" t="s">
        <v>6311</v>
      </c>
      <c r="V2990" t="s">
        <v>6312</v>
      </c>
      <c r="W2990" t="s">
        <v>3958</v>
      </c>
      <c r="X2990" t="s">
        <v>4660</v>
      </c>
    </row>
    <row r="2991" spans="1:24" x14ac:dyDescent="0.2">
      <c r="A2991" t="s">
        <v>6310</v>
      </c>
      <c r="B2991" t="s">
        <v>2263</v>
      </c>
      <c r="C2991" t="s">
        <v>2264</v>
      </c>
      <c r="D2991" t="s">
        <v>56</v>
      </c>
      <c r="E2991" t="s">
        <v>1121</v>
      </c>
      <c r="F2991" t="s">
        <v>84</v>
      </c>
      <c r="G2991" s="202">
        <v>19</v>
      </c>
      <c r="H2991">
        <v>3</v>
      </c>
      <c r="I2991" t="s">
        <v>4738</v>
      </c>
      <c r="J2991" t="s">
        <v>4739</v>
      </c>
      <c r="K2991" t="s">
        <v>1283</v>
      </c>
      <c r="L2991" s="204">
        <v>0.22</v>
      </c>
      <c r="M2991" s="112">
        <v>239.41500000000002</v>
      </c>
      <c r="N2991" s="112">
        <v>52.671300000000002</v>
      </c>
      <c r="O2991" s="204"/>
      <c r="P2991" s="112"/>
      <c r="Q2991" s="112"/>
      <c r="R2991" s="112"/>
      <c r="S2991" s="112"/>
      <c r="T2991" s="112"/>
      <c r="U2991" t="s">
        <v>6311</v>
      </c>
      <c r="V2991" t="s">
        <v>6312</v>
      </c>
      <c r="W2991" t="s">
        <v>3958</v>
      </c>
      <c r="X2991" t="s">
        <v>4660</v>
      </c>
    </row>
    <row r="2992" spans="1:24" x14ac:dyDescent="0.2">
      <c r="A2992" t="s">
        <v>6310</v>
      </c>
      <c r="B2992" t="s">
        <v>2263</v>
      </c>
      <c r="C2992" t="s">
        <v>2264</v>
      </c>
      <c r="D2992" t="s">
        <v>56</v>
      </c>
      <c r="E2992" t="s">
        <v>1121</v>
      </c>
      <c r="F2992" t="s">
        <v>84</v>
      </c>
      <c r="G2992" s="202">
        <v>19</v>
      </c>
      <c r="H2992">
        <v>4</v>
      </c>
      <c r="I2992" t="s">
        <v>4740</v>
      </c>
      <c r="J2992" t="s">
        <v>4741</v>
      </c>
      <c r="K2992" t="s">
        <v>1283</v>
      </c>
      <c r="L2992" s="204">
        <v>0.08</v>
      </c>
      <c r="M2992" s="112">
        <v>239.41500000000002</v>
      </c>
      <c r="N2992" s="112">
        <v>19.153200000000002</v>
      </c>
      <c r="O2992" s="204"/>
      <c r="P2992" s="112"/>
      <c r="Q2992" s="112"/>
      <c r="R2992" s="112"/>
      <c r="S2992" s="112"/>
      <c r="T2992" s="112"/>
      <c r="U2992" t="s">
        <v>6311</v>
      </c>
      <c r="V2992" t="s">
        <v>6312</v>
      </c>
      <c r="W2992" t="s">
        <v>3958</v>
      </c>
      <c r="X2992" t="s">
        <v>4660</v>
      </c>
    </row>
    <row r="2993" spans="1:24" x14ac:dyDescent="0.2">
      <c r="A2993" t="s">
        <v>6310</v>
      </c>
      <c r="B2993" t="s">
        <v>2263</v>
      </c>
      <c r="C2993" t="s">
        <v>2264</v>
      </c>
      <c r="D2993" t="s">
        <v>56</v>
      </c>
      <c r="E2993" t="s">
        <v>1121</v>
      </c>
      <c r="F2993" t="s">
        <v>84</v>
      </c>
      <c r="G2993" s="202">
        <v>19</v>
      </c>
      <c r="H2993">
        <v>5</v>
      </c>
      <c r="I2993" t="s">
        <v>3968</v>
      </c>
      <c r="J2993" t="s">
        <v>3969</v>
      </c>
      <c r="K2993" t="s">
        <v>84</v>
      </c>
      <c r="L2993" s="204">
        <v>1</v>
      </c>
      <c r="M2993" s="112"/>
      <c r="N2993" s="112">
        <v>239.41500000000002</v>
      </c>
      <c r="O2993" s="204">
        <v>0.22229073718064973</v>
      </c>
      <c r="P2993" s="112">
        <v>53.219736842105249</v>
      </c>
      <c r="Q2993" s="112">
        <v>292.63473684210527</v>
      </c>
      <c r="R2993" s="112">
        <v>5560.06</v>
      </c>
      <c r="S2993" s="112">
        <v>5560.06</v>
      </c>
      <c r="T2993" s="112">
        <v>0</v>
      </c>
      <c r="U2993" t="s">
        <v>6311</v>
      </c>
      <c r="V2993" t="s">
        <v>6312</v>
      </c>
      <c r="W2993" t="s">
        <v>4666</v>
      </c>
      <c r="X2993" t="s">
        <v>4667</v>
      </c>
    </row>
    <row r="2994" spans="1:24" x14ac:dyDescent="0.2">
      <c r="A2994" t="s">
        <v>6313</v>
      </c>
      <c r="B2994" t="s">
        <v>2265</v>
      </c>
      <c r="C2994" t="s">
        <v>2266</v>
      </c>
      <c r="D2994" t="s">
        <v>24</v>
      </c>
      <c r="E2994" t="s">
        <v>1123</v>
      </c>
      <c r="F2994" t="s">
        <v>84</v>
      </c>
      <c r="G2994" s="202">
        <v>19</v>
      </c>
      <c r="H2994">
        <v>1</v>
      </c>
      <c r="I2994" t="s">
        <v>3954</v>
      </c>
      <c r="J2994" t="s">
        <v>5094</v>
      </c>
      <c r="K2994" t="s">
        <v>1283</v>
      </c>
      <c r="L2994" s="204">
        <v>0.45</v>
      </c>
      <c r="M2994" s="112">
        <v>34.695</v>
      </c>
      <c r="N2994" s="112">
        <v>15.61275</v>
      </c>
      <c r="O2994" s="204"/>
      <c r="P2994" s="112"/>
      <c r="Q2994" s="112"/>
      <c r="R2994" s="112"/>
      <c r="S2994" s="112"/>
      <c r="T2994" s="112"/>
      <c r="U2994" t="s">
        <v>6314</v>
      </c>
      <c r="V2994" t="s">
        <v>6315</v>
      </c>
      <c r="W2994" t="s">
        <v>3958</v>
      </c>
      <c r="X2994" t="s">
        <v>4660</v>
      </c>
    </row>
    <row r="2995" spans="1:24" x14ac:dyDescent="0.2">
      <c r="A2995" t="s">
        <v>6313</v>
      </c>
      <c r="B2995" t="s">
        <v>2265</v>
      </c>
      <c r="C2995" t="s">
        <v>2266</v>
      </c>
      <c r="D2995" t="s">
        <v>24</v>
      </c>
      <c r="E2995" t="s">
        <v>1123</v>
      </c>
      <c r="F2995" t="s">
        <v>84</v>
      </c>
      <c r="G2995" s="202">
        <v>19</v>
      </c>
      <c r="H2995">
        <v>2</v>
      </c>
      <c r="I2995" t="s">
        <v>3960</v>
      </c>
      <c r="J2995" t="s">
        <v>5097</v>
      </c>
      <c r="K2995" t="s">
        <v>1283</v>
      </c>
      <c r="L2995" s="204">
        <v>0.45</v>
      </c>
      <c r="M2995" s="112">
        <v>34.695</v>
      </c>
      <c r="N2995" s="112">
        <v>15.61275</v>
      </c>
      <c r="O2995" s="204"/>
      <c r="P2995" s="112"/>
      <c r="Q2995" s="112"/>
      <c r="R2995" s="112"/>
      <c r="S2995" s="112"/>
      <c r="T2995" s="112"/>
      <c r="U2995" t="s">
        <v>6314</v>
      </c>
      <c r="V2995" t="s">
        <v>6315</v>
      </c>
      <c r="W2995" t="s">
        <v>3958</v>
      </c>
      <c r="X2995" t="s">
        <v>4660</v>
      </c>
    </row>
    <row r="2996" spans="1:24" x14ac:dyDescent="0.2">
      <c r="A2996" t="s">
        <v>6313</v>
      </c>
      <c r="B2996" t="s">
        <v>2265</v>
      </c>
      <c r="C2996" t="s">
        <v>2266</v>
      </c>
      <c r="D2996" t="s">
        <v>24</v>
      </c>
      <c r="E2996" t="s">
        <v>1123</v>
      </c>
      <c r="F2996" t="s">
        <v>84</v>
      </c>
      <c r="G2996" s="202">
        <v>19</v>
      </c>
      <c r="H2996">
        <v>3</v>
      </c>
      <c r="I2996" t="s">
        <v>3976</v>
      </c>
      <c r="J2996" t="s">
        <v>5098</v>
      </c>
      <c r="K2996" t="s">
        <v>1283</v>
      </c>
      <c r="L2996" s="204">
        <v>0.05</v>
      </c>
      <c r="M2996" s="112">
        <v>34.695</v>
      </c>
      <c r="N2996" s="112">
        <v>1.73475</v>
      </c>
      <c r="O2996" s="204"/>
      <c r="P2996" s="112"/>
      <c r="Q2996" s="112"/>
      <c r="R2996" s="112"/>
      <c r="S2996" s="112"/>
      <c r="T2996" s="112"/>
      <c r="U2996" t="s">
        <v>6314</v>
      </c>
      <c r="V2996" t="s">
        <v>6315</v>
      </c>
      <c r="W2996" t="s">
        <v>3958</v>
      </c>
      <c r="X2996" t="s">
        <v>4660</v>
      </c>
    </row>
    <row r="2997" spans="1:24" x14ac:dyDescent="0.2">
      <c r="A2997" t="s">
        <v>6313</v>
      </c>
      <c r="B2997" t="s">
        <v>2265</v>
      </c>
      <c r="C2997" t="s">
        <v>2266</v>
      </c>
      <c r="D2997" t="s">
        <v>24</v>
      </c>
      <c r="E2997" t="s">
        <v>1123</v>
      </c>
      <c r="F2997" t="s">
        <v>84</v>
      </c>
      <c r="G2997" s="202">
        <v>19</v>
      </c>
      <c r="H2997">
        <v>4</v>
      </c>
      <c r="I2997" t="s">
        <v>4017</v>
      </c>
      <c r="J2997" t="s">
        <v>4851</v>
      </c>
      <c r="K2997" t="s">
        <v>1283</v>
      </c>
      <c r="L2997" s="204">
        <v>0.05</v>
      </c>
      <c r="M2997" s="112">
        <v>34.695</v>
      </c>
      <c r="N2997" s="112">
        <v>1.73475</v>
      </c>
      <c r="O2997" s="204"/>
      <c r="P2997" s="112"/>
      <c r="Q2997" s="112"/>
      <c r="R2997" s="112"/>
      <c r="S2997" s="112"/>
      <c r="T2997" s="112"/>
      <c r="U2997" t="s">
        <v>6314</v>
      </c>
      <c r="V2997" t="s">
        <v>6315</v>
      </c>
      <c r="W2997" t="s">
        <v>3958</v>
      </c>
      <c r="X2997" t="s">
        <v>4660</v>
      </c>
    </row>
    <row r="2998" spans="1:24" x14ac:dyDescent="0.2">
      <c r="A2998" t="s">
        <v>6313</v>
      </c>
      <c r="B2998" t="s">
        <v>2265</v>
      </c>
      <c r="C2998" t="s">
        <v>2266</v>
      </c>
      <c r="D2998" t="s">
        <v>24</v>
      </c>
      <c r="E2998" t="s">
        <v>1123</v>
      </c>
      <c r="F2998" t="s">
        <v>84</v>
      </c>
      <c r="G2998" s="202">
        <v>19</v>
      </c>
      <c r="H2998">
        <v>5</v>
      </c>
      <c r="I2998" t="s">
        <v>3968</v>
      </c>
      <c r="J2998" t="s">
        <v>3969</v>
      </c>
      <c r="K2998" t="s">
        <v>84</v>
      </c>
      <c r="L2998" s="204">
        <v>1</v>
      </c>
      <c r="M2998" s="112"/>
      <c r="N2998" s="112">
        <v>34.695</v>
      </c>
      <c r="O2998" s="204">
        <v>0.22221463732829694</v>
      </c>
      <c r="P2998" s="112">
        <v>7.709736842105265</v>
      </c>
      <c r="Q2998" s="112">
        <v>42.404736842105265</v>
      </c>
      <c r="R2998" s="112">
        <v>805.69</v>
      </c>
      <c r="S2998" s="112">
        <v>805.69</v>
      </c>
      <c r="T2998" s="112">
        <v>0</v>
      </c>
      <c r="U2998" t="s">
        <v>6314</v>
      </c>
      <c r="V2998" t="s">
        <v>6315</v>
      </c>
      <c r="W2998" t="s">
        <v>4666</v>
      </c>
      <c r="X2998" t="s">
        <v>4667</v>
      </c>
    </row>
    <row r="2999" spans="1:24" x14ac:dyDescent="0.2">
      <c r="A2999" t="s">
        <v>6316</v>
      </c>
      <c r="B2999" t="s">
        <v>2267</v>
      </c>
      <c r="C2999" t="s">
        <v>2268</v>
      </c>
      <c r="D2999" t="s">
        <v>24</v>
      </c>
      <c r="E2999" t="s">
        <v>1125</v>
      </c>
      <c r="F2999" t="s">
        <v>84</v>
      </c>
      <c r="G2999" s="202">
        <v>3</v>
      </c>
      <c r="H2999">
        <v>1</v>
      </c>
      <c r="I2999" t="s">
        <v>3954</v>
      </c>
      <c r="J2999" t="s">
        <v>5112</v>
      </c>
      <c r="K2999" t="s">
        <v>1283</v>
      </c>
      <c r="L2999" s="204">
        <v>0.22</v>
      </c>
      <c r="M2999" s="112">
        <v>17.984999999999999</v>
      </c>
      <c r="N2999" s="112">
        <v>3.9567000000000001</v>
      </c>
      <c r="O2999" s="204"/>
      <c r="P2999" s="112"/>
      <c r="Q2999" s="112"/>
      <c r="R2999" s="112"/>
      <c r="S2999" s="112"/>
      <c r="T2999" s="112"/>
      <c r="U2999" t="s">
        <v>6317</v>
      </c>
      <c r="V2999" t="s">
        <v>6318</v>
      </c>
      <c r="W2999" t="s">
        <v>3958</v>
      </c>
      <c r="X2999" t="s">
        <v>4660</v>
      </c>
    </row>
    <row r="3000" spans="1:24" x14ac:dyDescent="0.2">
      <c r="A3000" t="s">
        <v>6316</v>
      </c>
      <c r="B3000" t="s">
        <v>2267</v>
      </c>
      <c r="C3000" t="s">
        <v>2268</v>
      </c>
      <c r="D3000" t="s">
        <v>24</v>
      </c>
      <c r="E3000" t="s">
        <v>1125</v>
      </c>
      <c r="F3000" t="s">
        <v>84</v>
      </c>
      <c r="G3000" s="202">
        <v>3</v>
      </c>
      <c r="H3000">
        <v>2</v>
      </c>
      <c r="I3000" t="s">
        <v>3960</v>
      </c>
      <c r="J3000" t="s">
        <v>5115</v>
      </c>
      <c r="K3000" t="s">
        <v>1283</v>
      </c>
      <c r="L3000" s="204">
        <v>0.68</v>
      </c>
      <c r="M3000" s="112">
        <v>17.984999999999999</v>
      </c>
      <c r="N3000" s="112">
        <v>12.229800000000001</v>
      </c>
      <c r="O3000" s="204"/>
      <c r="P3000" s="112"/>
      <c r="Q3000" s="112"/>
      <c r="R3000" s="112"/>
      <c r="S3000" s="112"/>
      <c r="T3000" s="112"/>
      <c r="U3000" t="s">
        <v>6317</v>
      </c>
      <c r="V3000" t="s">
        <v>6318</v>
      </c>
      <c r="W3000" t="s">
        <v>3958</v>
      </c>
      <c r="X3000" t="s">
        <v>4660</v>
      </c>
    </row>
    <row r="3001" spans="1:24" x14ac:dyDescent="0.2">
      <c r="A3001" t="s">
        <v>6316</v>
      </c>
      <c r="B3001" t="s">
        <v>2267</v>
      </c>
      <c r="C3001" t="s">
        <v>2268</v>
      </c>
      <c r="D3001" t="s">
        <v>24</v>
      </c>
      <c r="E3001" t="s">
        <v>1125</v>
      </c>
      <c r="F3001" t="s">
        <v>84</v>
      </c>
      <c r="G3001" s="202">
        <v>3</v>
      </c>
      <c r="H3001">
        <v>3</v>
      </c>
      <c r="I3001" t="s">
        <v>3976</v>
      </c>
      <c r="J3001" t="s">
        <v>5116</v>
      </c>
      <c r="K3001" t="s">
        <v>1283</v>
      </c>
      <c r="L3001" s="204">
        <v>0.05</v>
      </c>
      <c r="M3001" s="112">
        <v>17.984999999999999</v>
      </c>
      <c r="N3001" s="112">
        <v>0.89924999999999999</v>
      </c>
      <c r="O3001" s="204"/>
      <c r="P3001" s="112"/>
      <c r="Q3001" s="112"/>
      <c r="R3001" s="112"/>
      <c r="S3001" s="112"/>
      <c r="T3001" s="112"/>
      <c r="U3001" t="s">
        <v>6317</v>
      </c>
      <c r="V3001" t="s">
        <v>6318</v>
      </c>
      <c r="W3001" t="s">
        <v>3958</v>
      </c>
      <c r="X3001" t="s">
        <v>4660</v>
      </c>
    </row>
    <row r="3002" spans="1:24" x14ac:dyDescent="0.2">
      <c r="A3002" t="s">
        <v>6316</v>
      </c>
      <c r="B3002" t="s">
        <v>2267</v>
      </c>
      <c r="C3002" t="s">
        <v>2268</v>
      </c>
      <c r="D3002" t="s">
        <v>24</v>
      </c>
      <c r="E3002" t="s">
        <v>1125</v>
      </c>
      <c r="F3002" t="s">
        <v>84</v>
      </c>
      <c r="G3002" s="202">
        <v>3</v>
      </c>
      <c r="H3002">
        <v>4</v>
      </c>
      <c r="I3002" t="s">
        <v>4017</v>
      </c>
      <c r="J3002" t="s">
        <v>5117</v>
      </c>
      <c r="K3002" t="s">
        <v>1283</v>
      </c>
      <c r="L3002" s="204">
        <v>0.05</v>
      </c>
      <c r="M3002" s="112">
        <v>17.984999999999999</v>
      </c>
      <c r="N3002" s="112">
        <v>0.89924999999999999</v>
      </c>
      <c r="O3002" s="204"/>
      <c r="P3002" s="112"/>
      <c r="Q3002" s="112"/>
      <c r="R3002" s="112"/>
      <c r="S3002" s="112"/>
      <c r="T3002" s="112"/>
      <c r="U3002" t="s">
        <v>6317</v>
      </c>
      <c r="V3002" t="s">
        <v>6318</v>
      </c>
      <c r="W3002" t="s">
        <v>3958</v>
      </c>
      <c r="X3002" t="s">
        <v>4660</v>
      </c>
    </row>
    <row r="3003" spans="1:24" x14ac:dyDescent="0.2">
      <c r="A3003" t="s">
        <v>6316</v>
      </c>
      <c r="B3003" t="s">
        <v>2267</v>
      </c>
      <c r="C3003" t="s">
        <v>2268</v>
      </c>
      <c r="D3003" t="s">
        <v>24</v>
      </c>
      <c r="E3003" t="s">
        <v>1125</v>
      </c>
      <c r="F3003" t="s">
        <v>84</v>
      </c>
      <c r="G3003" s="202">
        <v>3</v>
      </c>
      <c r="H3003">
        <v>5</v>
      </c>
      <c r="I3003" t="s">
        <v>3968</v>
      </c>
      <c r="J3003" t="s">
        <v>3969</v>
      </c>
      <c r="K3003" t="s">
        <v>84</v>
      </c>
      <c r="L3003" s="204">
        <v>1</v>
      </c>
      <c r="M3003" s="112"/>
      <c r="N3003" s="112">
        <v>17.984999999999999</v>
      </c>
      <c r="O3003" s="204">
        <v>0.22212955240478172</v>
      </c>
      <c r="P3003" s="112">
        <v>3.995000000000001</v>
      </c>
      <c r="Q3003" s="112">
        <v>21.98</v>
      </c>
      <c r="R3003" s="112">
        <v>65.94</v>
      </c>
      <c r="S3003" s="112">
        <v>65.94</v>
      </c>
      <c r="T3003" s="112">
        <v>0</v>
      </c>
      <c r="U3003" t="s">
        <v>6317</v>
      </c>
      <c r="V3003" t="s">
        <v>6318</v>
      </c>
      <c r="W3003" t="s">
        <v>4666</v>
      </c>
      <c r="X3003" t="s">
        <v>4667</v>
      </c>
    </row>
    <row r="3004" spans="1:24" x14ac:dyDescent="0.2">
      <c r="A3004" t="s">
        <v>6319</v>
      </c>
      <c r="B3004" t="s">
        <v>2269</v>
      </c>
      <c r="C3004" t="s">
        <v>2270</v>
      </c>
      <c r="D3004" t="s">
        <v>56</v>
      </c>
      <c r="E3004" t="s">
        <v>1128</v>
      </c>
      <c r="F3004" t="s">
        <v>84</v>
      </c>
      <c r="G3004" s="202">
        <v>43</v>
      </c>
      <c r="H3004">
        <v>1</v>
      </c>
      <c r="I3004" t="s">
        <v>3954</v>
      </c>
      <c r="J3004" t="s">
        <v>4823</v>
      </c>
      <c r="K3004" t="s">
        <v>1283</v>
      </c>
      <c r="L3004" s="204">
        <v>0.18</v>
      </c>
      <c r="M3004" s="112">
        <v>14.115</v>
      </c>
      <c r="N3004" s="112">
        <v>2.5406999999999997</v>
      </c>
      <c r="O3004" s="204"/>
      <c r="P3004" s="112"/>
      <c r="Q3004" s="112"/>
      <c r="R3004" s="112"/>
      <c r="S3004" s="112"/>
      <c r="T3004" s="112"/>
      <c r="U3004" t="s">
        <v>6320</v>
      </c>
      <c r="V3004" t="s">
        <v>6321</v>
      </c>
      <c r="W3004" t="s">
        <v>3958</v>
      </c>
      <c r="X3004" t="s">
        <v>4660</v>
      </c>
    </row>
    <row r="3005" spans="1:24" x14ac:dyDescent="0.2">
      <c r="A3005" t="s">
        <v>6319</v>
      </c>
      <c r="B3005" t="s">
        <v>2269</v>
      </c>
      <c r="C3005" t="s">
        <v>2270</v>
      </c>
      <c r="D3005" t="s">
        <v>56</v>
      </c>
      <c r="E3005" t="s">
        <v>1128</v>
      </c>
      <c r="F3005" t="s">
        <v>84</v>
      </c>
      <c r="G3005" s="202">
        <v>43</v>
      </c>
      <c r="H3005">
        <v>2</v>
      </c>
      <c r="I3005" t="s">
        <v>3960</v>
      </c>
      <c r="J3005" t="s">
        <v>4826</v>
      </c>
      <c r="K3005" t="s">
        <v>1283</v>
      </c>
      <c r="L3005" s="204">
        <v>0.72</v>
      </c>
      <c r="M3005" s="112">
        <v>14.115</v>
      </c>
      <c r="N3005" s="112">
        <v>10.162799999999999</v>
      </c>
      <c r="O3005" s="204"/>
      <c r="P3005" s="112"/>
      <c r="Q3005" s="112"/>
      <c r="R3005" s="112"/>
      <c r="S3005" s="112"/>
      <c r="T3005" s="112"/>
      <c r="U3005" t="s">
        <v>6320</v>
      </c>
      <c r="V3005" t="s">
        <v>6321</v>
      </c>
      <c r="W3005" t="s">
        <v>3958</v>
      </c>
      <c r="X3005" t="s">
        <v>4660</v>
      </c>
    </row>
    <row r="3006" spans="1:24" x14ac:dyDescent="0.2">
      <c r="A3006" t="s">
        <v>6319</v>
      </c>
      <c r="B3006" t="s">
        <v>2269</v>
      </c>
      <c r="C3006" t="s">
        <v>2270</v>
      </c>
      <c r="D3006" t="s">
        <v>56</v>
      </c>
      <c r="E3006" t="s">
        <v>1128</v>
      </c>
      <c r="F3006" t="s">
        <v>84</v>
      </c>
      <c r="G3006" s="202">
        <v>43</v>
      </c>
      <c r="H3006">
        <v>3</v>
      </c>
      <c r="I3006" t="s">
        <v>3976</v>
      </c>
      <c r="J3006" t="s">
        <v>4827</v>
      </c>
      <c r="K3006" t="s">
        <v>1283</v>
      </c>
      <c r="L3006" s="204">
        <v>0.05</v>
      </c>
      <c r="M3006" s="112">
        <v>14.115</v>
      </c>
      <c r="N3006" s="112">
        <v>0.7057500000000001</v>
      </c>
      <c r="O3006" s="204"/>
      <c r="P3006" s="112"/>
      <c r="Q3006" s="112"/>
      <c r="R3006" s="112"/>
      <c r="S3006" s="112"/>
      <c r="T3006" s="112"/>
      <c r="U3006" t="s">
        <v>6320</v>
      </c>
      <c r="V3006" t="s">
        <v>6321</v>
      </c>
      <c r="W3006" t="s">
        <v>3958</v>
      </c>
      <c r="X3006" t="s">
        <v>4660</v>
      </c>
    </row>
    <row r="3007" spans="1:24" x14ac:dyDescent="0.2">
      <c r="A3007" t="s">
        <v>6319</v>
      </c>
      <c r="B3007" t="s">
        <v>2269</v>
      </c>
      <c r="C3007" t="s">
        <v>2270</v>
      </c>
      <c r="D3007" t="s">
        <v>56</v>
      </c>
      <c r="E3007" t="s">
        <v>1128</v>
      </c>
      <c r="F3007" t="s">
        <v>84</v>
      </c>
      <c r="G3007" s="202">
        <v>43</v>
      </c>
      <c r="H3007">
        <v>4</v>
      </c>
      <c r="I3007" t="s">
        <v>4017</v>
      </c>
      <c r="J3007" t="s">
        <v>4809</v>
      </c>
      <c r="K3007" t="s">
        <v>1283</v>
      </c>
      <c r="L3007" s="204">
        <v>0.05</v>
      </c>
      <c r="M3007" s="112">
        <v>14.115</v>
      </c>
      <c r="N3007" s="112">
        <v>0.7057500000000001</v>
      </c>
      <c r="O3007" s="204"/>
      <c r="P3007" s="112"/>
      <c r="Q3007" s="112"/>
      <c r="R3007" s="112"/>
      <c r="S3007" s="112"/>
      <c r="T3007" s="112"/>
      <c r="U3007" t="s">
        <v>6320</v>
      </c>
      <c r="V3007" t="s">
        <v>6321</v>
      </c>
      <c r="W3007" t="s">
        <v>3958</v>
      </c>
      <c r="X3007" t="s">
        <v>4660</v>
      </c>
    </row>
    <row r="3008" spans="1:24" x14ac:dyDescent="0.2">
      <c r="A3008" t="s">
        <v>6319</v>
      </c>
      <c r="B3008" t="s">
        <v>2269</v>
      </c>
      <c r="C3008" t="s">
        <v>2270</v>
      </c>
      <c r="D3008" t="s">
        <v>56</v>
      </c>
      <c r="E3008" t="s">
        <v>1128</v>
      </c>
      <c r="F3008" t="s">
        <v>84</v>
      </c>
      <c r="G3008" s="202">
        <v>43</v>
      </c>
      <c r="H3008">
        <v>5</v>
      </c>
      <c r="I3008" t="s">
        <v>3968</v>
      </c>
      <c r="J3008" t="s">
        <v>3969</v>
      </c>
      <c r="K3008" t="s">
        <v>84</v>
      </c>
      <c r="L3008" s="204">
        <v>1</v>
      </c>
      <c r="M3008" s="112"/>
      <c r="N3008" s="112">
        <v>14.115</v>
      </c>
      <c r="O3008" s="204">
        <v>0.22210414452709881</v>
      </c>
      <c r="P3008" s="112">
        <v>3.1349999999999998</v>
      </c>
      <c r="Q3008" s="112">
        <v>17.25</v>
      </c>
      <c r="R3008" s="112">
        <v>741.75</v>
      </c>
      <c r="S3008" s="112">
        <v>741.75</v>
      </c>
      <c r="T3008" s="112">
        <v>0</v>
      </c>
      <c r="U3008" t="s">
        <v>6320</v>
      </c>
      <c r="V3008" t="s">
        <v>6321</v>
      </c>
      <c r="W3008" t="s">
        <v>4666</v>
      </c>
      <c r="X3008" t="s">
        <v>4667</v>
      </c>
    </row>
    <row r="3009" spans="1:24" x14ac:dyDescent="0.2">
      <c r="A3009" t="s">
        <v>6322</v>
      </c>
      <c r="B3009" t="s">
        <v>2271</v>
      </c>
      <c r="C3009" t="s">
        <v>2272</v>
      </c>
      <c r="D3009" t="s">
        <v>24</v>
      </c>
      <c r="E3009" t="s">
        <v>1130</v>
      </c>
      <c r="F3009" t="s">
        <v>84</v>
      </c>
      <c r="G3009" s="202">
        <v>17</v>
      </c>
      <c r="H3009">
        <v>1</v>
      </c>
      <c r="I3009" t="s">
        <v>3954</v>
      </c>
      <c r="J3009" t="s">
        <v>5227</v>
      </c>
      <c r="K3009" t="s">
        <v>1283</v>
      </c>
      <c r="L3009" s="204">
        <v>0.26</v>
      </c>
      <c r="M3009" s="112">
        <v>22.32</v>
      </c>
      <c r="N3009" s="112">
        <v>5.8032000000000004</v>
      </c>
      <c r="O3009" s="204"/>
      <c r="P3009" s="112"/>
      <c r="Q3009" s="112"/>
      <c r="R3009" s="112"/>
      <c r="S3009" s="112"/>
      <c r="T3009" s="112"/>
      <c r="U3009" t="s">
        <v>6323</v>
      </c>
      <c r="V3009" t="s">
        <v>6324</v>
      </c>
      <c r="W3009" t="s">
        <v>3958</v>
      </c>
      <c r="X3009" t="s">
        <v>4660</v>
      </c>
    </row>
    <row r="3010" spans="1:24" x14ac:dyDescent="0.2">
      <c r="A3010" t="s">
        <v>6322</v>
      </c>
      <c r="B3010" t="s">
        <v>2271</v>
      </c>
      <c r="C3010" t="s">
        <v>2272</v>
      </c>
      <c r="D3010" t="s">
        <v>24</v>
      </c>
      <c r="E3010" t="s">
        <v>1130</v>
      </c>
      <c r="F3010" t="s">
        <v>84</v>
      </c>
      <c r="G3010" s="202">
        <v>17</v>
      </c>
      <c r="H3010">
        <v>2</v>
      </c>
      <c r="I3010" t="s">
        <v>3960</v>
      </c>
      <c r="J3010" t="s">
        <v>5229</v>
      </c>
      <c r="K3010" t="s">
        <v>1283</v>
      </c>
      <c r="L3010" s="204">
        <v>0.64</v>
      </c>
      <c r="M3010" s="112">
        <v>22.32</v>
      </c>
      <c r="N3010" s="112">
        <v>14.284800000000001</v>
      </c>
      <c r="O3010" s="204"/>
      <c r="P3010" s="112"/>
      <c r="Q3010" s="112"/>
      <c r="R3010" s="112"/>
      <c r="S3010" s="112"/>
      <c r="T3010" s="112"/>
      <c r="U3010" t="s">
        <v>6323</v>
      </c>
      <c r="V3010" t="s">
        <v>6324</v>
      </c>
      <c r="W3010" t="s">
        <v>3958</v>
      </c>
      <c r="X3010" t="s">
        <v>4660</v>
      </c>
    </row>
    <row r="3011" spans="1:24" x14ac:dyDescent="0.2">
      <c r="A3011" t="s">
        <v>6322</v>
      </c>
      <c r="B3011" t="s">
        <v>2271</v>
      </c>
      <c r="C3011" t="s">
        <v>2272</v>
      </c>
      <c r="D3011" t="s">
        <v>24</v>
      </c>
      <c r="E3011" t="s">
        <v>1130</v>
      </c>
      <c r="F3011" t="s">
        <v>84</v>
      </c>
      <c r="G3011" s="202">
        <v>17</v>
      </c>
      <c r="H3011">
        <v>3</v>
      </c>
      <c r="I3011" t="s">
        <v>3976</v>
      </c>
      <c r="J3011" t="s">
        <v>5230</v>
      </c>
      <c r="K3011" t="s">
        <v>1283</v>
      </c>
      <c r="L3011" s="204">
        <v>0.04</v>
      </c>
      <c r="M3011" s="112">
        <v>22.32</v>
      </c>
      <c r="N3011" s="112">
        <v>0.89280000000000004</v>
      </c>
      <c r="O3011" s="204"/>
      <c r="P3011" s="112"/>
      <c r="Q3011" s="112"/>
      <c r="R3011" s="112"/>
      <c r="S3011" s="112"/>
      <c r="T3011" s="112"/>
      <c r="U3011" t="s">
        <v>6323</v>
      </c>
      <c r="V3011" t="s">
        <v>6324</v>
      </c>
      <c r="W3011" t="s">
        <v>3958</v>
      </c>
      <c r="X3011" t="s">
        <v>4660</v>
      </c>
    </row>
    <row r="3012" spans="1:24" x14ac:dyDescent="0.2">
      <c r="A3012" t="s">
        <v>6322</v>
      </c>
      <c r="B3012" t="s">
        <v>2271</v>
      </c>
      <c r="C3012" t="s">
        <v>2272</v>
      </c>
      <c r="D3012" t="s">
        <v>24</v>
      </c>
      <c r="E3012" t="s">
        <v>1130</v>
      </c>
      <c r="F3012" t="s">
        <v>84</v>
      </c>
      <c r="G3012" s="202">
        <v>17</v>
      </c>
      <c r="H3012">
        <v>4</v>
      </c>
      <c r="I3012" t="s">
        <v>4017</v>
      </c>
      <c r="J3012" t="s">
        <v>4851</v>
      </c>
      <c r="K3012" t="s">
        <v>1283</v>
      </c>
      <c r="L3012" s="204">
        <v>0.06</v>
      </c>
      <c r="M3012" s="112">
        <v>22.32</v>
      </c>
      <c r="N3012" s="112">
        <v>1.3391999999999999</v>
      </c>
      <c r="O3012" s="204"/>
      <c r="P3012" s="112"/>
      <c r="Q3012" s="112"/>
      <c r="R3012" s="112"/>
      <c r="S3012" s="112"/>
      <c r="T3012" s="112"/>
      <c r="U3012" t="s">
        <v>6323</v>
      </c>
      <c r="V3012" t="s">
        <v>6324</v>
      </c>
      <c r="W3012" t="s">
        <v>3958</v>
      </c>
      <c r="X3012" t="s">
        <v>4660</v>
      </c>
    </row>
    <row r="3013" spans="1:24" x14ac:dyDescent="0.2">
      <c r="A3013" t="s">
        <v>6322</v>
      </c>
      <c r="B3013" t="s">
        <v>2271</v>
      </c>
      <c r="C3013" t="s">
        <v>2272</v>
      </c>
      <c r="D3013" t="s">
        <v>24</v>
      </c>
      <c r="E3013" t="s">
        <v>1130</v>
      </c>
      <c r="F3013" t="s">
        <v>84</v>
      </c>
      <c r="G3013" s="202">
        <v>17</v>
      </c>
      <c r="H3013">
        <v>5</v>
      </c>
      <c r="I3013" t="s">
        <v>3968</v>
      </c>
      <c r="J3013" t="s">
        <v>3969</v>
      </c>
      <c r="K3013" t="s">
        <v>84</v>
      </c>
      <c r="L3013" s="204">
        <v>1</v>
      </c>
      <c r="M3013" s="112"/>
      <c r="N3013" s="112">
        <v>22.32</v>
      </c>
      <c r="O3013" s="204">
        <v>0.22209044908285902</v>
      </c>
      <c r="P3013" s="112">
        <v>4.9570588235294117</v>
      </c>
      <c r="Q3013" s="112">
        <v>27.277058823529412</v>
      </c>
      <c r="R3013" s="112">
        <v>463.71</v>
      </c>
      <c r="S3013" s="112">
        <v>463.71</v>
      </c>
      <c r="T3013" s="112">
        <v>0</v>
      </c>
      <c r="U3013" t="s">
        <v>6323</v>
      </c>
      <c r="V3013" t="s">
        <v>6324</v>
      </c>
      <c r="W3013" t="s">
        <v>4666</v>
      </c>
      <c r="X3013" t="s">
        <v>4667</v>
      </c>
    </row>
    <row r="3014" spans="1:24" x14ac:dyDescent="0.2">
      <c r="A3014" t="s">
        <v>6325</v>
      </c>
      <c r="B3014" t="s">
        <v>2273</v>
      </c>
      <c r="C3014" t="s">
        <v>2274</v>
      </c>
      <c r="D3014" t="s">
        <v>24</v>
      </c>
      <c r="E3014" t="s">
        <v>1132</v>
      </c>
      <c r="F3014" t="s">
        <v>84</v>
      </c>
      <c r="G3014" s="202">
        <v>21</v>
      </c>
      <c r="H3014">
        <v>1</v>
      </c>
      <c r="I3014" t="s">
        <v>3954</v>
      </c>
      <c r="J3014" t="s">
        <v>4110</v>
      </c>
      <c r="K3014" t="s">
        <v>1283</v>
      </c>
      <c r="L3014" s="204">
        <v>0.3</v>
      </c>
      <c r="M3014" s="112">
        <v>8.9924999999999997</v>
      </c>
      <c r="N3014" s="112">
        <v>2.6977499999999996</v>
      </c>
      <c r="O3014" s="204"/>
      <c r="P3014" s="112"/>
      <c r="Q3014" s="112"/>
      <c r="R3014" s="112"/>
      <c r="S3014" s="112"/>
      <c r="T3014" s="112"/>
      <c r="U3014" t="s">
        <v>6326</v>
      </c>
      <c r="V3014" t="s">
        <v>6327</v>
      </c>
      <c r="W3014" t="s">
        <v>3958</v>
      </c>
      <c r="X3014" t="s">
        <v>4660</v>
      </c>
    </row>
    <row r="3015" spans="1:24" x14ac:dyDescent="0.2">
      <c r="A3015" t="s">
        <v>6325</v>
      </c>
      <c r="B3015" t="s">
        <v>2273</v>
      </c>
      <c r="C3015" t="s">
        <v>2274</v>
      </c>
      <c r="D3015" t="s">
        <v>24</v>
      </c>
      <c r="E3015" t="s">
        <v>1132</v>
      </c>
      <c r="F3015" t="s">
        <v>84</v>
      </c>
      <c r="G3015" s="202">
        <v>21</v>
      </c>
      <c r="H3015">
        <v>2</v>
      </c>
      <c r="I3015" t="s">
        <v>3960</v>
      </c>
      <c r="J3015" t="s">
        <v>4113</v>
      </c>
      <c r="K3015" t="s">
        <v>1283</v>
      </c>
      <c r="L3015" s="204">
        <v>0.55000000000000004</v>
      </c>
      <c r="M3015" s="112">
        <v>8.9924999999999997</v>
      </c>
      <c r="N3015" s="112">
        <v>4.945875</v>
      </c>
      <c r="O3015" s="204"/>
      <c r="P3015" s="112"/>
      <c r="Q3015" s="112"/>
      <c r="R3015" s="112"/>
      <c r="S3015" s="112"/>
      <c r="T3015" s="112"/>
      <c r="U3015" t="s">
        <v>6326</v>
      </c>
      <c r="V3015" t="s">
        <v>6327</v>
      </c>
      <c r="W3015" t="s">
        <v>3958</v>
      </c>
      <c r="X3015" t="s">
        <v>4660</v>
      </c>
    </row>
    <row r="3016" spans="1:24" x14ac:dyDescent="0.2">
      <c r="A3016" t="s">
        <v>6325</v>
      </c>
      <c r="B3016" t="s">
        <v>2273</v>
      </c>
      <c r="C3016" t="s">
        <v>2274</v>
      </c>
      <c r="D3016" t="s">
        <v>24</v>
      </c>
      <c r="E3016" t="s">
        <v>1132</v>
      </c>
      <c r="F3016" t="s">
        <v>84</v>
      </c>
      <c r="G3016" s="202">
        <v>21</v>
      </c>
      <c r="H3016">
        <v>3</v>
      </c>
      <c r="I3016" t="s">
        <v>3976</v>
      </c>
      <c r="J3016" t="s">
        <v>4114</v>
      </c>
      <c r="K3016" t="s">
        <v>1283</v>
      </c>
      <c r="L3016" s="204">
        <v>0.1</v>
      </c>
      <c r="M3016" s="112">
        <v>8.9924999999999997</v>
      </c>
      <c r="N3016" s="112">
        <v>0.89924999999999999</v>
      </c>
      <c r="O3016" s="204"/>
      <c r="P3016" s="112"/>
      <c r="Q3016" s="112"/>
      <c r="R3016" s="112"/>
      <c r="S3016" s="112"/>
      <c r="T3016" s="112"/>
      <c r="U3016" t="s">
        <v>6326</v>
      </c>
      <c r="V3016" t="s">
        <v>6327</v>
      </c>
      <c r="W3016" t="s">
        <v>3958</v>
      </c>
      <c r="X3016" t="s">
        <v>4660</v>
      </c>
    </row>
    <row r="3017" spans="1:24" x14ac:dyDescent="0.2">
      <c r="A3017" t="s">
        <v>6325</v>
      </c>
      <c r="B3017" t="s">
        <v>2273</v>
      </c>
      <c r="C3017" t="s">
        <v>2274</v>
      </c>
      <c r="D3017" t="s">
        <v>24</v>
      </c>
      <c r="E3017" t="s">
        <v>1132</v>
      </c>
      <c r="F3017" t="s">
        <v>84</v>
      </c>
      <c r="G3017" s="202">
        <v>21</v>
      </c>
      <c r="H3017">
        <v>4</v>
      </c>
      <c r="I3017" t="s">
        <v>4017</v>
      </c>
      <c r="J3017" t="s">
        <v>4115</v>
      </c>
      <c r="K3017" t="s">
        <v>1283</v>
      </c>
      <c r="L3017" s="204">
        <v>0.05</v>
      </c>
      <c r="M3017" s="112">
        <v>8.9924999999999997</v>
      </c>
      <c r="N3017" s="112">
        <v>0.449625</v>
      </c>
      <c r="O3017" s="204"/>
      <c r="P3017" s="112"/>
      <c r="Q3017" s="112"/>
      <c r="R3017" s="112"/>
      <c r="S3017" s="112"/>
      <c r="T3017" s="112"/>
      <c r="U3017" t="s">
        <v>6326</v>
      </c>
      <c r="V3017" t="s">
        <v>6327</v>
      </c>
      <c r="W3017" t="s">
        <v>3958</v>
      </c>
      <c r="X3017" t="s">
        <v>4660</v>
      </c>
    </row>
    <row r="3018" spans="1:24" x14ac:dyDescent="0.2">
      <c r="A3018" t="s">
        <v>6325</v>
      </c>
      <c r="B3018" t="s">
        <v>2273</v>
      </c>
      <c r="C3018" t="s">
        <v>2274</v>
      </c>
      <c r="D3018" t="s">
        <v>24</v>
      </c>
      <c r="E3018" t="s">
        <v>1132</v>
      </c>
      <c r="F3018" t="s">
        <v>84</v>
      </c>
      <c r="G3018" s="202">
        <v>21</v>
      </c>
      <c r="H3018">
        <v>5</v>
      </c>
      <c r="I3018" t="s">
        <v>3968</v>
      </c>
      <c r="J3018" t="s">
        <v>3969</v>
      </c>
      <c r="K3018" t="s">
        <v>84</v>
      </c>
      <c r="L3018" s="204">
        <v>1</v>
      </c>
      <c r="M3018" s="112"/>
      <c r="N3018" s="112">
        <v>8.9924999999999997</v>
      </c>
      <c r="O3018" s="204">
        <v>0.22181182731641447</v>
      </c>
      <c r="P3018" s="112">
        <v>1.9946428571428569</v>
      </c>
      <c r="Q3018" s="112">
        <v>10.987142857142857</v>
      </c>
      <c r="R3018" s="112">
        <v>230.73</v>
      </c>
      <c r="S3018" s="112">
        <v>230.73</v>
      </c>
      <c r="T3018" s="112">
        <v>0</v>
      </c>
      <c r="U3018" t="s">
        <v>6326</v>
      </c>
      <c r="V3018" t="s">
        <v>6327</v>
      </c>
      <c r="W3018" t="s">
        <v>4666</v>
      </c>
      <c r="X3018" t="s">
        <v>4667</v>
      </c>
    </row>
    <row r="3019" spans="1:24" x14ac:dyDescent="0.2">
      <c r="A3019" t="s">
        <v>6328</v>
      </c>
      <c r="B3019" t="s">
        <v>2275</v>
      </c>
      <c r="C3019" t="s">
        <v>2276</v>
      </c>
      <c r="D3019" t="s">
        <v>24</v>
      </c>
      <c r="E3019" t="s">
        <v>1134</v>
      </c>
      <c r="F3019" t="s">
        <v>84</v>
      </c>
      <c r="G3019" s="202">
        <v>5</v>
      </c>
      <c r="H3019">
        <v>1</v>
      </c>
      <c r="I3019" t="s">
        <v>3954</v>
      </c>
      <c r="J3019" t="s">
        <v>5227</v>
      </c>
      <c r="K3019" t="s">
        <v>1283</v>
      </c>
      <c r="L3019" s="204">
        <v>0.26</v>
      </c>
      <c r="M3019" s="112">
        <v>9.36</v>
      </c>
      <c r="N3019" s="112">
        <v>2.4335999999999998</v>
      </c>
      <c r="O3019" s="204"/>
      <c r="P3019" s="112"/>
      <c r="Q3019" s="112"/>
      <c r="R3019" s="112"/>
      <c r="S3019" s="112"/>
      <c r="T3019" s="112"/>
      <c r="U3019" t="s">
        <v>6329</v>
      </c>
      <c r="V3019" t="s">
        <v>6330</v>
      </c>
      <c r="W3019" t="s">
        <v>3958</v>
      </c>
      <c r="X3019" t="s">
        <v>4660</v>
      </c>
    </row>
    <row r="3020" spans="1:24" x14ac:dyDescent="0.2">
      <c r="A3020" t="s">
        <v>6328</v>
      </c>
      <c r="B3020" t="s">
        <v>2275</v>
      </c>
      <c r="C3020" t="s">
        <v>2276</v>
      </c>
      <c r="D3020" t="s">
        <v>24</v>
      </c>
      <c r="E3020" t="s">
        <v>1134</v>
      </c>
      <c r="F3020" t="s">
        <v>84</v>
      </c>
      <c r="G3020" s="202">
        <v>5</v>
      </c>
      <c r="H3020">
        <v>2</v>
      </c>
      <c r="I3020" t="s">
        <v>3960</v>
      </c>
      <c r="J3020" t="s">
        <v>5229</v>
      </c>
      <c r="K3020" t="s">
        <v>1283</v>
      </c>
      <c r="L3020" s="204">
        <v>0.64</v>
      </c>
      <c r="M3020" s="112">
        <v>9.36</v>
      </c>
      <c r="N3020" s="112">
        <v>5.9904000000000002</v>
      </c>
      <c r="O3020" s="204"/>
      <c r="P3020" s="112"/>
      <c r="Q3020" s="112"/>
      <c r="R3020" s="112"/>
      <c r="S3020" s="112"/>
      <c r="T3020" s="112"/>
      <c r="U3020" t="s">
        <v>6329</v>
      </c>
      <c r="V3020" t="s">
        <v>6330</v>
      </c>
      <c r="W3020" t="s">
        <v>3958</v>
      </c>
      <c r="X3020" t="s">
        <v>4660</v>
      </c>
    </row>
    <row r="3021" spans="1:24" x14ac:dyDescent="0.2">
      <c r="A3021" t="s">
        <v>6328</v>
      </c>
      <c r="B3021" t="s">
        <v>2275</v>
      </c>
      <c r="C3021" t="s">
        <v>2276</v>
      </c>
      <c r="D3021" t="s">
        <v>24</v>
      </c>
      <c r="E3021" t="s">
        <v>1134</v>
      </c>
      <c r="F3021" t="s">
        <v>84</v>
      </c>
      <c r="G3021" s="202">
        <v>5</v>
      </c>
      <c r="H3021">
        <v>3</v>
      </c>
      <c r="I3021" t="s">
        <v>3976</v>
      </c>
      <c r="J3021" t="s">
        <v>5230</v>
      </c>
      <c r="K3021" t="s">
        <v>1283</v>
      </c>
      <c r="L3021" s="204">
        <v>0.04</v>
      </c>
      <c r="M3021" s="112">
        <v>9.36</v>
      </c>
      <c r="N3021" s="112">
        <v>0.37440000000000001</v>
      </c>
      <c r="O3021" s="204"/>
      <c r="P3021" s="112"/>
      <c r="Q3021" s="112"/>
      <c r="R3021" s="112"/>
      <c r="S3021" s="112"/>
      <c r="T3021" s="112"/>
      <c r="U3021" t="s">
        <v>6329</v>
      </c>
      <c r="V3021" t="s">
        <v>6330</v>
      </c>
      <c r="W3021" t="s">
        <v>3958</v>
      </c>
      <c r="X3021" t="s">
        <v>4660</v>
      </c>
    </row>
    <row r="3022" spans="1:24" x14ac:dyDescent="0.2">
      <c r="A3022" t="s">
        <v>6328</v>
      </c>
      <c r="B3022" t="s">
        <v>2275</v>
      </c>
      <c r="C3022" t="s">
        <v>2276</v>
      </c>
      <c r="D3022" t="s">
        <v>24</v>
      </c>
      <c r="E3022" t="s">
        <v>1134</v>
      </c>
      <c r="F3022" t="s">
        <v>84</v>
      </c>
      <c r="G3022" s="202">
        <v>5</v>
      </c>
      <c r="H3022">
        <v>4</v>
      </c>
      <c r="I3022" t="s">
        <v>4017</v>
      </c>
      <c r="J3022" t="s">
        <v>4851</v>
      </c>
      <c r="K3022" t="s">
        <v>1283</v>
      </c>
      <c r="L3022" s="204">
        <v>0.06</v>
      </c>
      <c r="M3022" s="112">
        <v>9.36</v>
      </c>
      <c r="N3022" s="112">
        <v>0.56159999999999999</v>
      </c>
      <c r="O3022" s="204"/>
      <c r="P3022" s="112"/>
      <c r="Q3022" s="112"/>
      <c r="R3022" s="112"/>
      <c r="S3022" s="112"/>
      <c r="T3022" s="112"/>
      <c r="U3022" t="s">
        <v>6329</v>
      </c>
      <c r="V3022" t="s">
        <v>6330</v>
      </c>
      <c r="W3022" t="s">
        <v>3958</v>
      </c>
      <c r="X3022" t="s">
        <v>4660</v>
      </c>
    </row>
    <row r="3023" spans="1:24" x14ac:dyDescent="0.2">
      <c r="A3023" t="s">
        <v>6328</v>
      </c>
      <c r="B3023" t="s">
        <v>2275</v>
      </c>
      <c r="C3023" t="s">
        <v>2276</v>
      </c>
      <c r="D3023" t="s">
        <v>24</v>
      </c>
      <c r="E3023" t="s">
        <v>1134</v>
      </c>
      <c r="F3023" t="s">
        <v>84</v>
      </c>
      <c r="G3023" s="202">
        <v>5</v>
      </c>
      <c r="H3023">
        <v>5</v>
      </c>
      <c r="I3023" t="s">
        <v>3968</v>
      </c>
      <c r="J3023" t="s">
        <v>3969</v>
      </c>
      <c r="K3023" t="s">
        <v>84</v>
      </c>
      <c r="L3023" s="204">
        <v>1</v>
      </c>
      <c r="M3023" s="112"/>
      <c r="N3023" s="112">
        <v>9.36</v>
      </c>
      <c r="O3023" s="204">
        <v>0.2217948717948719</v>
      </c>
      <c r="P3023" s="112">
        <v>2.0760000000000005</v>
      </c>
      <c r="Q3023" s="112">
        <v>11.436</v>
      </c>
      <c r="R3023" s="112">
        <v>57.18</v>
      </c>
      <c r="S3023" s="112">
        <v>57.18</v>
      </c>
      <c r="T3023" s="112">
        <v>0</v>
      </c>
      <c r="U3023" t="s">
        <v>6329</v>
      </c>
      <c r="V3023" t="s">
        <v>6330</v>
      </c>
      <c r="W3023" t="s">
        <v>4666</v>
      </c>
      <c r="X3023" t="s">
        <v>4667</v>
      </c>
    </row>
    <row r="3024" spans="1:24" x14ac:dyDescent="0.2">
      <c r="A3024" t="s">
        <v>6331</v>
      </c>
      <c r="B3024" t="s">
        <v>2277</v>
      </c>
      <c r="C3024" t="s">
        <v>2278</v>
      </c>
      <c r="D3024" t="s">
        <v>24</v>
      </c>
      <c r="E3024" t="s">
        <v>1138</v>
      </c>
      <c r="F3024" t="s">
        <v>84</v>
      </c>
      <c r="G3024" s="202">
        <v>2</v>
      </c>
      <c r="H3024">
        <v>1</v>
      </c>
      <c r="I3024" t="s">
        <v>3954</v>
      </c>
      <c r="J3024" t="s">
        <v>4110</v>
      </c>
      <c r="K3024" t="s">
        <v>1283</v>
      </c>
      <c r="L3024" s="204">
        <v>0.3</v>
      </c>
      <c r="M3024" s="112">
        <v>46.477499999999999</v>
      </c>
      <c r="N3024" s="112">
        <v>13.943249999999999</v>
      </c>
      <c r="O3024" s="204"/>
      <c r="P3024" s="112"/>
      <c r="Q3024" s="112"/>
      <c r="R3024" s="112"/>
      <c r="S3024" s="112"/>
      <c r="T3024" s="112"/>
      <c r="U3024" t="s">
        <v>6332</v>
      </c>
      <c r="V3024" t="s">
        <v>6333</v>
      </c>
      <c r="W3024" t="s">
        <v>3958</v>
      </c>
      <c r="X3024" t="s">
        <v>4660</v>
      </c>
    </row>
    <row r="3025" spans="1:24" x14ac:dyDescent="0.2">
      <c r="A3025" t="s">
        <v>6331</v>
      </c>
      <c r="B3025" t="s">
        <v>2277</v>
      </c>
      <c r="C3025" t="s">
        <v>2278</v>
      </c>
      <c r="D3025" t="s">
        <v>24</v>
      </c>
      <c r="E3025" t="s">
        <v>1138</v>
      </c>
      <c r="F3025" t="s">
        <v>84</v>
      </c>
      <c r="G3025" s="202">
        <v>2</v>
      </c>
      <c r="H3025">
        <v>2</v>
      </c>
      <c r="I3025" t="s">
        <v>3960</v>
      </c>
      <c r="J3025" t="s">
        <v>4113</v>
      </c>
      <c r="K3025" t="s">
        <v>1283</v>
      </c>
      <c r="L3025" s="204">
        <v>0.55000000000000004</v>
      </c>
      <c r="M3025" s="112">
        <v>46.477499999999999</v>
      </c>
      <c r="N3025" s="112">
        <v>25.562625000000001</v>
      </c>
      <c r="O3025" s="204"/>
      <c r="P3025" s="112"/>
      <c r="Q3025" s="112"/>
      <c r="R3025" s="112"/>
      <c r="S3025" s="112"/>
      <c r="T3025" s="112"/>
      <c r="U3025" t="s">
        <v>6332</v>
      </c>
      <c r="V3025" t="s">
        <v>6333</v>
      </c>
      <c r="W3025" t="s">
        <v>3958</v>
      </c>
      <c r="X3025" t="s">
        <v>4660</v>
      </c>
    </row>
    <row r="3026" spans="1:24" x14ac:dyDescent="0.2">
      <c r="A3026" t="s">
        <v>6331</v>
      </c>
      <c r="B3026" t="s">
        <v>2277</v>
      </c>
      <c r="C3026" t="s">
        <v>2278</v>
      </c>
      <c r="D3026" t="s">
        <v>24</v>
      </c>
      <c r="E3026" t="s">
        <v>1138</v>
      </c>
      <c r="F3026" t="s">
        <v>84</v>
      </c>
      <c r="G3026" s="202">
        <v>2</v>
      </c>
      <c r="H3026">
        <v>3</v>
      </c>
      <c r="I3026" t="s">
        <v>3976</v>
      </c>
      <c r="J3026" t="s">
        <v>4114</v>
      </c>
      <c r="K3026" t="s">
        <v>1283</v>
      </c>
      <c r="L3026" s="204">
        <v>0.1</v>
      </c>
      <c r="M3026" s="112">
        <v>46.477499999999999</v>
      </c>
      <c r="N3026" s="112">
        <v>4.6477500000000003</v>
      </c>
      <c r="O3026" s="204"/>
      <c r="P3026" s="112"/>
      <c r="Q3026" s="112"/>
      <c r="R3026" s="112"/>
      <c r="S3026" s="112"/>
      <c r="T3026" s="112"/>
      <c r="U3026" t="s">
        <v>6332</v>
      </c>
      <c r="V3026" t="s">
        <v>6333</v>
      </c>
      <c r="W3026" t="s">
        <v>3958</v>
      </c>
      <c r="X3026" t="s">
        <v>4660</v>
      </c>
    </row>
    <row r="3027" spans="1:24" x14ac:dyDescent="0.2">
      <c r="A3027" t="s">
        <v>6331</v>
      </c>
      <c r="B3027" t="s">
        <v>2277</v>
      </c>
      <c r="C3027" t="s">
        <v>2278</v>
      </c>
      <c r="D3027" t="s">
        <v>24</v>
      </c>
      <c r="E3027" t="s">
        <v>1138</v>
      </c>
      <c r="F3027" t="s">
        <v>84</v>
      </c>
      <c r="G3027" s="202">
        <v>2</v>
      </c>
      <c r="H3027">
        <v>4</v>
      </c>
      <c r="I3027" t="s">
        <v>4017</v>
      </c>
      <c r="J3027" t="s">
        <v>4115</v>
      </c>
      <c r="K3027" t="s">
        <v>1283</v>
      </c>
      <c r="L3027" s="204">
        <v>0.05</v>
      </c>
      <c r="M3027" s="112">
        <v>46.477499999999999</v>
      </c>
      <c r="N3027" s="112">
        <v>2.3238750000000001</v>
      </c>
      <c r="O3027" s="204"/>
      <c r="P3027" s="112"/>
      <c r="Q3027" s="112"/>
      <c r="R3027" s="112"/>
      <c r="S3027" s="112"/>
      <c r="T3027" s="112"/>
      <c r="U3027" t="s">
        <v>6332</v>
      </c>
      <c r="V3027" t="s">
        <v>6333</v>
      </c>
      <c r="W3027" t="s">
        <v>3958</v>
      </c>
      <c r="X3027" t="s">
        <v>4660</v>
      </c>
    </row>
    <row r="3028" spans="1:24" x14ac:dyDescent="0.2">
      <c r="A3028" t="s">
        <v>6331</v>
      </c>
      <c r="B3028" t="s">
        <v>2277</v>
      </c>
      <c r="C3028" t="s">
        <v>2278</v>
      </c>
      <c r="D3028" t="s">
        <v>24</v>
      </c>
      <c r="E3028" t="s">
        <v>1138</v>
      </c>
      <c r="F3028" t="s">
        <v>84</v>
      </c>
      <c r="G3028" s="202">
        <v>2</v>
      </c>
      <c r="H3028">
        <v>5</v>
      </c>
      <c r="I3028" t="s">
        <v>3968</v>
      </c>
      <c r="J3028" t="s">
        <v>3969</v>
      </c>
      <c r="K3028" t="s">
        <v>84</v>
      </c>
      <c r="L3028" s="204">
        <v>1</v>
      </c>
      <c r="M3028" s="112"/>
      <c r="N3028" s="112">
        <v>46.477499999999999</v>
      </c>
      <c r="O3028" s="204">
        <v>0.2222042923995482</v>
      </c>
      <c r="P3028" s="112">
        <v>10.327500000000001</v>
      </c>
      <c r="Q3028" s="112">
        <v>56.805</v>
      </c>
      <c r="R3028" s="112">
        <v>113.61</v>
      </c>
      <c r="S3028" s="112">
        <v>113.61</v>
      </c>
      <c r="T3028" s="112">
        <v>0</v>
      </c>
      <c r="U3028" t="s">
        <v>6332</v>
      </c>
      <c r="V3028" t="s">
        <v>6333</v>
      </c>
      <c r="W3028" t="s">
        <v>4666</v>
      </c>
      <c r="X3028" t="s">
        <v>4667</v>
      </c>
    </row>
    <row r="3029" spans="1:24" x14ac:dyDescent="0.2">
      <c r="A3029" t="s">
        <v>6334</v>
      </c>
      <c r="B3029" t="s">
        <v>2279</v>
      </c>
      <c r="C3029" t="s">
        <v>2280</v>
      </c>
      <c r="D3029" t="s">
        <v>24</v>
      </c>
      <c r="E3029" t="s">
        <v>1140</v>
      </c>
      <c r="F3029" t="s">
        <v>84</v>
      </c>
      <c r="G3029" s="202">
        <v>2</v>
      </c>
      <c r="H3029">
        <v>1</v>
      </c>
      <c r="I3029" t="s">
        <v>3954</v>
      </c>
      <c r="J3029" t="s">
        <v>5112</v>
      </c>
      <c r="K3029" t="s">
        <v>1283</v>
      </c>
      <c r="L3029" s="204">
        <v>0.22</v>
      </c>
      <c r="M3029" s="112">
        <v>63.554999999999993</v>
      </c>
      <c r="N3029" s="112">
        <v>13.982099999999999</v>
      </c>
      <c r="O3029" s="204"/>
      <c r="P3029" s="112"/>
      <c r="Q3029" s="112"/>
      <c r="R3029" s="112"/>
      <c r="S3029" s="112"/>
      <c r="T3029" s="112"/>
      <c r="U3029" t="s">
        <v>6335</v>
      </c>
      <c r="V3029" t="s">
        <v>6336</v>
      </c>
      <c r="W3029" t="s">
        <v>3958</v>
      </c>
      <c r="X3029" t="s">
        <v>4660</v>
      </c>
    </row>
    <row r="3030" spans="1:24" x14ac:dyDescent="0.2">
      <c r="A3030" t="s">
        <v>6334</v>
      </c>
      <c r="B3030" t="s">
        <v>2279</v>
      </c>
      <c r="C3030" t="s">
        <v>2280</v>
      </c>
      <c r="D3030" t="s">
        <v>24</v>
      </c>
      <c r="E3030" t="s">
        <v>1140</v>
      </c>
      <c r="F3030" t="s">
        <v>84</v>
      </c>
      <c r="G3030" s="202">
        <v>2</v>
      </c>
      <c r="H3030">
        <v>2</v>
      </c>
      <c r="I3030" t="s">
        <v>3960</v>
      </c>
      <c r="J3030" t="s">
        <v>5115</v>
      </c>
      <c r="K3030" t="s">
        <v>1283</v>
      </c>
      <c r="L3030" s="204">
        <v>0.68</v>
      </c>
      <c r="M3030" s="112">
        <v>63.554999999999993</v>
      </c>
      <c r="N3030" s="112">
        <v>43.217399999999998</v>
      </c>
      <c r="O3030" s="204"/>
      <c r="P3030" s="112"/>
      <c r="Q3030" s="112"/>
      <c r="R3030" s="112"/>
      <c r="S3030" s="112"/>
      <c r="T3030" s="112"/>
      <c r="U3030" t="s">
        <v>6335</v>
      </c>
      <c r="V3030" t="s">
        <v>6336</v>
      </c>
      <c r="W3030" t="s">
        <v>3958</v>
      </c>
      <c r="X3030" t="s">
        <v>4660</v>
      </c>
    </row>
    <row r="3031" spans="1:24" x14ac:dyDescent="0.2">
      <c r="A3031" t="s">
        <v>6334</v>
      </c>
      <c r="B3031" t="s">
        <v>2279</v>
      </c>
      <c r="C3031" t="s">
        <v>2280</v>
      </c>
      <c r="D3031" t="s">
        <v>24</v>
      </c>
      <c r="E3031" t="s">
        <v>1140</v>
      </c>
      <c r="F3031" t="s">
        <v>84</v>
      </c>
      <c r="G3031" s="202">
        <v>2</v>
      </c>
      <c r="H3031">
        <v>3</v>
      </c>
      <c r="I3031" t="s">
        <v>3976</v>
      </c>
      <c r="J3031" t="s">
        <v>5116</v>
      </c>
      <c r="K3031" t="s">
        <v>1283</v>
      </c>
      <c r="L3031" s="204">
        <v>0.05</v>
      </c>
      <c r="M3031" s="112">
        <v>63.554999999999993</v>
      </c>
      <c r="N3031" s="112">
        <v>3.1777499999999996</v>
      </c>
      <c r="O3031" s="204"/>
      <c r="P3031" s="112"/>
      <c r="Q3031" s="112"/>
      <c r="R3031" s="112"/>
      <c r="S3031" s="112"/>
      <c r="T3031" s="112"/>
      <c r="U3031" t="s">
        <v>6335</v>
      </c>
      <c r="V3031" t="s">
        <v>6336</v>
      </c>
      <c r="W3031" t="s">
        <v>3958</v>
      </c>
      <c r="X3031" t="s">
        <v>4660</v>
      </c>
    </row>
    <row r="3032" spans="1:24" x14ac:dyDescent="0.2">
      <c r="A3032" t="s">
        <v>6334</v>
      </c>
      <c r="B3032" t="s">
        <v>2279</v>
      </c>
      <c r="C3032" t="s">
        <v>2280</v>
      </c>
      <c r="D3032" t="s">
        <v>24</v>
      </c>
      <c r="E3032" t="s">
        <v>1140</v>
      </c>
      <c r="F3032" t="s">
        <v>84</v>
      </c>
      <c r="G3032" s="202">
        <v>2</v>
      </c>
      <c r="H3032">
        <v>4</v>
      </c>
      <c r="I3032" t="s">
        <v>4017</v>
      </c>
      <c r="J3032" t="s">
        <v>5117</v>
      </c>
      <c r="K3032" t="s">
        <v>1283</v>
      </c>
      <c r="L3032" s="204">
        <v>0.05</v>
      </c>
      <c r="M3032" s="112">
        <v>63.554999999999993</v>
      </c>
      <c r="N3032" s="112">
        <v>3.1777499999999996</v>
      </c>
      <c r="O3032" s="204"/>
      <c r="P3032" s="112"/>
      <c r="Q3032" s="112"/>
      <c r="R3032" s="112"/>
      <c r="S3032" s="112"/>
      <c r="T3032" s="112"/>
      <c r="U3032" t="s">
        <v>6335</v>
      </c>
      <c r="V3032" t="s">
        <v>6336</v>
      </c>
      <c r="W3032" t="s">
        <v>3958</v>
      </c>
      <c r="X3032" t="s">
        <v>4660</v>
      </c>
    </row>
    <row r="3033" spans="1:24" x14ac:dyDescent="0.2">
      <c r="A3033" t="s">
        <v>6334</v>
      </c>
      <c r="B3033" t="s">
        <v>2279</v>
      </c>
      <c r="C3033" t="s">
        <v>2280</v>
      </c>
      <c r="D3033" t="s">
        <v>24</v>
      </c>
      <c r="E3033" t="s">
        <v>1140</v>
      </c>
      <c r="F3033" t="s">
        <v>84</v>
      </c>
      <c r="G3033" s="202">
        <v>2</v>
      </c>
      <c r="H3033">
        <v>5</v>
      </c>
      <c r="I3033" t="s">
        <v>3968</v>
      </c>
      <c r="J3033" t="s">
        <v>3969</v>
      </c>
      <c r="K3033" t="s">
        <v>84</v>
      </c>
      <c r="L3033" s="204">
        <v>1</v>
      </c>
      <c r="M3033" s="112"/>
      <c r="N3033" s="112">
        <v>63.554999999999993</v>
      </c>
      <c r="O3033" s="204">
        <v>0.22216977421131312</v>
      </c>
      <c r="P3033" s="112">
        <v>14.120000000000005</v>
      </c>
      <c r="Q3033" s="112">
        <v>77.674999999999997</v>
      </c>
      <c r="R3033" s="112">
        <v>155.35</v>
      </c>
      <c r="S3033" s="112">
        <v>155.35</v>
      </c>
      <c r="T3033" s="112">
        <v>0</v>
      </c>
      <c r="U3033" t="s">
        <v>6335</v>
      </c>
      <c r="V3033" t="s">
        <v>6336</v>
      </c>
      <c r="W3033" t="s">
        <v>4666</v>
      </c>
      <c r="X3033" t="s">
        <v>4667</v>
      </c>
    </row>
    <row r="3034" spans="1:24" x14ac:dyDescent="0.2">
      <c r="A3034" t="s">
        <v>6337</v>
      </c>
      <c r="B3034" t="s">
        <v>2281</v>
      </c>
      <c r="C3034" t="s">
        <v>2282</v>
      </c>
      <c r="D3034" t="s">
        <v>335</v>
      </c>
      <c r="E3034" t="s">
        <v>1141</v>
      </c>
      <c r="F3034" t="s">
        <v>84</v>
      </c>
      <c r="G3034" s="202">
        <v>1</v>
      </c>
      <c r="H3034">
        <v>1</v>
      </c>
      <c r="I3034" t="s">
        <v>3954</v>
      </c>
      <c r="J3034" t="s">
        <v>4110</v>
      </c>
      <c r="K3034" t="s">
        <v>1283</v>
      </c>
      <c r="L3034" s="204">
        <v>0.3</v>
      </c>
      <c r="M3034" s="112">
        <v>1407.165</v>
      </c>
      <c r="N3034" s="112">
        <v>422.14949999999999</v>
      </c>
      <c r="O3034" s="204"/>
      <c r="P3034" s="112"/>
      <c r="Q3034" s="112"/>
      <c r="R3034" s="112"/>
      <c r="S3034" s="112"/>
      <c r="T3034" s="112"/>
      <c r="U3034" t="s">
        <v>6338</v>
      </c>
      <c r="V3034" t="s">
        <v>6339</v>
      </c>
      <c r="W3034" t="s">
        <v>3958</v>
      </c>
      <c r="X3034" t="s">
        <v>4660</v>
      </c>
    </row>
    <row r="3035" spans="1:24" x14ac:dyDescent="0.2">
      <c r="A3035" t="s">
        <v>6337</v>
      </c>
      <c r="B3035" t="s">
        <v>2281</v>
      </c>
      <c r="C3035" t="s">
        <v>2282</v>
      </c>
      <c r="D3035" t="s">
        <v>335</v>
      </c>
      <c r="E3035" t="s">
        <v>1141</v>
      </c>
      <c r="F3035" t="s">
        <v>84</v>
      </c>
      <c r="G3035" s="202">
        <v>1</v>
      </c>
      <c r="H3035">
        <v>2</v>
      </c>
      <c r="I3035" t="s">
        <v>3960</v>
      </c>
      <c r="J3035" t="s">
        <v>4113</v>
      </c>
      <c r="K3035" t="s">
        <v>1283</v>
      </c>
      <c r="L3035" s="204">
        <v>0.55000000000000004</v>
      </c>
      <c r="M3035" s="112">
        <v>1407.165</v>
      </c>
      <c r="N3035" s="112">
        <v>773.94075000000009</v>
      </c>
      <c r="O3035" s="204"/>
      <c r="P3035" s="112"/>
      <c r="Q3035" s="112"/>
      <c r="R3035" s="112"/>
      <c r="S3035" s="112"/>
      <c r="T3035" s="112"/>
      <c r="U3035" t="s">
        <v>6338</v>
      </c>
      <c r="V3035" t="s">
        <v>6339</v>
      </c>
      <c r="W3035" t="s">
        <v>3958</v>
      </c>
      <c r="X3035" t="s">
        <v>4660</v>
      </c>
    </row>
    <row r="3036" spans="1:24" x14ac:dyDescent="0.2">
      <c r="A3036" t="s">
        <v>6337</v>
      </c>
      <c r="B3036" t="s">
        <v>2281</v>
      </c>
      <c r="C3036" t="s">
        <v>2282</v>
      </c>
      <c r="D3036" t="s">
        <v>335</v>
      </c>
      <c r="E3036" t="s">
        <v>1141</v>
      </c>
      <c r="F3036" t="s">
        <v>84</v>
      </c>
      <c r="G3036" s="202">
        <v>1</v>
      </c>
      <c r="H3036">
        <v>3</v>
      </c>
      <c r="I3036" t="s">
        <v>3976</v>
      </c>
      <c r="J3036" t="s">
        <v>4114</v>
      </c>
      <c r="K3036" t="s">
        <v>1283</v>
      </c>
      <c r="L3036" s="204">
        <v>0.1</v>
      </c>
      <c r="M3036" s="112">
        <v>1407.165</v>
      </c>
      <c r="N3036" s="112">
        <v>140.7165</v>
      </c>
      <c r="O3036" s="204"/>
      <c r="P3036" s="112"/>
      <c r="Q3036" s="112"/>
      <c r="R3036" s="112"/>
      <c r="S3036" s="112"/>
      <c r="T3036" s="112"/>
      <c r="U3036" t="s">
        <v>6338</v>
      </c>
      <c r="V3036" t="s">
        <v>6339</v>
      </c>
      <c r="W3036" t="s">
        <v>3958</v>
      </c>
      <c r="X3036" t="s">
        <v>4660</v>
      </c>
    </row>
    <row r="3037" spans="1:24" x14ac:dyDescent="0.2">
      <c r="A3037" t="s">
        <v>6337</v>
      </c>
      <c r="B3037" t="s">
        <v>2281</v>
      </c>
      <c r="C3037" t="s">
        <v>2282</v>
      </c>
      <c r="D3037" t="s">
        <v>335</v>
      </c>
      <c r="E3037" t="s">
        <v>1141</v>
      </c>
      <c r="F3037" t="s">
        <v>84</v>
      </c>
      <c r="G3037" s="202">
        <v>1</v>
      </c>
      <c r="H3037">
        <v>4</v>
      </c>
      <c r="I3037" t="s">
        <v>4017</v>
      </c>
      <c r="J3037" t="s">
        <v>4115</v>
      </c>
      <c r="K3037" t="s">
        <v>1283</v>
      </c>
      <c r="L3037" s="204">
        <v>0.05</v>
      </c>
      <c r="M3037" s="112">
        <v>1407.165</v>
      </c>
      <c r="N3037" s="112">
        <v>70.358249999999998</v>
      </c>
      <c r="O3037" s="204"/>
      <c r="P3037" s="112"/>
      <c r="Q3037" s="112"/>
      <c r="R3037" s="112"/>
      <c r="S3037" s="112"/>
      <c r="T3037" s="112"/>
      <c r="U3037" t="s">
        <v>6338</v>
      </c>
      <c r="V3037" t="s">
        <v>6339</v>
      </c>
      <c r="W3037" t="s">
        <v>3958</v>
      </c>
      <c r="X3037" t="s">
        <v>4660</v>
      </c>
    </row>
    <row r="3038" spans="1:24" x14ac:dyDescent="0.2">
      <c r="A3038" t="s">
        <v>6337</v>
      </c>
      <c r="B3038" t="s">
        <v>2281</v>
      </c>
      <c r="C3038" t="s">
        <v>2282</v>
      </c>
      <c r="D3038" t="s">
        <v>335</v>
      </c>
      <c r="E3038" t="s">
        <v>1141</v>
      </c>
      <c r="F3038" t="s">
        <v>84</v>
      </c>
      <c r="G3038" s="202">
        <v>1</v>
      </c>
      <c r="H3038">
        <v>5</v>
      </c>
      <c r="I3038" t="s">
        <v>3968</v>
      </c>
      <c r="J3038" t="s">
        <v>3969</v>
      </c>
      <c r="K3038" t="s">
        <v>84</v>
      </c>
      <c r="L3038" s="204">
        <v>1</v>
      </c>
      <c r="M3038" s="112"/>
      <c r="N3038" s="112">
        <v>1407.165</v>
      </c>
      <c r="O3038" s="204">
        <v>0.22229447150831638</v>
      </c>
      <c r="P3038" s="112">
        <v>312.80500000000006</v>
      </c>
      <c r="Q3038" s="112">
        <v>1719.97</v>
      </c>
      <c r="R3038" s="112">
        <v>1719.97</v>
      </c>
      <c r="S3038" s="112">
        <v>1719.97</v>
      </c>
      <c r="T3038" s="112">
        <v>0</v>
      </c>
      <c r="U3038" t="s">
        <v>6338</v>
      </c>
      <c r="V3038" t="s">
        <v>6339</v>
      </c>
      <c r="W3038" t="s">
        <v>4666</v>
      </c>
      <c r="X3038" t="s">
        <v>4667</v>
      </c>
    </row>
    <row r="3039" spans="1:24" x14ac:dyDescent="0.2">
      <c r="A3039" t="s">
        <v>6340</v>
      </c>
      <c r="B3039" t="s">
        <v>2283</v>
      </c>
      <c r="C3039" t="s">
        <v>2284</v>
      </c>
      <c r="D3039" t="s">
        <v>335</v>
      </c>
      <c r="E3039" t="s">
        <v>1142</v>
      </c>
      <c r="F3039" t="s">
        <v>84</v>
      </c>
      <c r="G3039" s="202">
        <v>7</v>
      </c>
      <c r="H3039">
        <v>1</v>
      </c>
      <c r="I3039" t="s">
        <v>3954</v>
      </c>
      <c r="J3039" t="s">
        <v>4110</v>
      </c>
      <c r="K3039" t="s">
        <v>1283</v>
      </c>
      <c r="L3039" s="204">
        <v>0.3</v>
      </c>
      <c r="M3039" s="112">
        <v>79.792500000000004</v>
      </c>
      <c r="N3039" s="112">
        <v>23.937750000000001</v>
      </c>
      <c r="O3039" s="204"/>
      <c r="P3039" s="112"/>
      <c r="Q3039" s="112"/>
      <c r="R3039" s="112"/>
      <c r="S3039" s="112"/>
      <c r="T3039" s="112"/>
      <c r="U3039" t="s">
        <v>6341</v>
      </c>
      <c r="V3039" t="s">
        <v>6342</v>
      </c>
      <c r="W3039" t="s">
        <v>3958</v>
      </c>
      <c r="X3039" t="s">
        <v>4660</v>
      </c>
    </row>
    <row r="3040" spans="1:24" x14ac:dyDescent="0.2">
      <c r="A3040" t="s">
        <v>6340</v>
      </c>
      <c r="B3040" t="s">
        <v>2283</v>
      </c>
      <c r="C3040" t="s">
        <v>2284</v>
      </c>
      <c r="D3040" t="s">
        <v>335</v>
      </c>
      <c r="E3040" t="s">
        <v>1142</v>
      </c>
      <c r="F3040" t="s">
        <v>84</v>
      </c>
      <c r="G3040" s="202">
        <v>7</v>
      </c>
      <c r="H3040">
        <v>2</v>
      </c>
      <c r="I3040" t="s">
        <v>3960</v>
      </c>
      <c r="J3040" t="s">
        <v>4113</v>
      </c>
      <c r="K3040" t="s">
        <v>1283</v>
      </c>
      <c r="L3040" s="204">
        <v>0.55000000000000004</v>
      </c>
      <c r="M3040" s="112">
        <v>79.792500000000004</v>
      </c>
      <c r="N3040" s="112">
        <v>43.885875000000006</v>
      </c>
      <c r="O3040" s="204"/>
      <c r="P3040" s="112"/>
      <c r="Q3040" s="112"/>
      <c r="R3040" s="112"/>
      <c r="S3040" s="112"/>
      <c r="T3040" s="112"/>
      <c r="U3040" t="s">
        <v>6341</v>
      </c>
      <c r="V3040" t="s">
        <v>6342</v>
      </c>
      <c r="W3040" t="s">
        <v>3958</v>
      </c>
      <c r="X3040" t="s">
        <v>4660</v>
      </c>
    </row>
    <row r="3041" spans="1:24" x14ac:dyDescent="0.2">
      <c r="A3041" t="s">
        <v>6340</v>
      </c>
      <c r="B3041" t="s">
        <v>2283</v>
      </c>
      <c r="C3041" t="s">
        <v>2284</v>
      </c>
      <c r="D3041" t="s">
        <v>335</v>
      </c>
      <c r="E3041" t="s">
        <v>1142</v>
      </c>
      <c r="F3041" t="s">
        <v>84</v>
      </c>
      <c r="G3041" s="202">
        <v>7</v>
      </c>
      <c r="H3041">
        <v>3</v>
      </c>
      <c r="I3041" t="s">
        <v>3976</v>
      </c>
      <c r="J3041" t="s">
        <v>4114</v>
      </c>
      <c r="K3041" t="s">
        <v>1283</v>
      </c>
      <c r="L3041" s="204">
        <v>0.1</v>
      </c>
      <c r="M3041" s="112">
        <v>79.792500000000004</v>
      </c>
      <c r="N3041" s="112">
        <v>7.9792500000000004</v>
      </c>
      <c r="O3041" s="204"/>
      <c r="P3041" s="112"/>
      <c r="Q3041" s="112"/>
      <c r="R3041" s="112"/>
      <c r="S3041" s="112"/>
      <c r="T3041" s="112"/>
      <c r="U3041" t="s">
        <v>6341</v>
      </c>
      <c r="V3041" t="s">
        <v>6342</v>
      </c>
      <c r="W3041" t="s">
        <v>3958</v>
      </c>
      <c r="X3041" t="s">
        <v>4660</v>
      </c>
    </row>
    <row r="3042" spans="1:24" x14ac:dyDescent="0.2">
      <c r="A3042" t="s">
        <v>6340</v>
      </c>
      <c r="B3042" t="s">
        <v>2283</v>
      </c>
      <c r="C3042" t="s">
        <v>2284</v>
      </c>
      <c r="D3042" t="s">
        <v>335</v>
      </c>
      <c r="E3042" t="s">
        <v>1142</v>
      </c>
      <c r="F3042" t="s">
        <v>84</v>
      </c>
      <c r="G3042" s="202">
        <v>7</v>
      </c>
      <c r="H3042">
        <v>4</v>
      </c>
      <c r="I3042" t="s">
        <v>4017</v>
      </c>
      <c r="J3042" t="s">
        <v>4115</v>
      </c>
      <c r="K3042" t="s">
        <v>1283</v>
      </c>
      <c r="L3042" s="204">
        <v>0.05</v>
      </c>
      <c r="M3042" s="112">
        <v>79.792500000000004</v>
      </c>
      <c r="N3042" s="112">
        <v>3.9896250000000002</v>
      </c>
      <c r="O3042" s="204"/>
      <c r="P3042" s="112"/>
      <c r="Q3042" s="112"/>
      <c r="R3042" s="112"/>
      <c r="S3042" s="112"/>
      <c r="T3042" s="112"/>
      <c r="U3042" t="s">
        <v>6341</v>
      </c>
      <c r="V3042" t="s">
        <v>6342</v>
      </c>
      <c r="W3042" t="s">
        <v>3958</v>
      </c>
      <c r="X3042" t="s">
        <v>4660</v>
      </c>
    </row>
    <row r="3043" spans="1:24" x14ac:dyDescent="0.2">
      <c r="A3043" t="s">
        <v>6340</v>
      </c>
      <c r="B3043" t="s">
        <v>2283</v>
      </c>
      <c r="C3043" t="s">
        <v>2284</v>
      </c>
      <c r="D3043" t="s">
        <v>335</v>
      </c>
      <c r="E3043" t="s">
        <v>1142</v>
      </c>
      <c r="F3043" t="s">
        <v>84</v>
      </c>
      <c r="G3043" s="202">
        <v>7</v>
      </c>
      <c r="H3043">
        <v>5</v>
      </c>
      <c r="I3043" t="s">
        <v>3968</v>
      </c>
      <c r="J3043" t="s">
        <v>3969</v>
      </c>
      <c r="K3043" t="s">
        <v>84</v>
      </c>
      <c r="L3043" s="204">
        <v>1</v>
      </c>
      <c r="M3043" s="112"/>
      <c r="N3043" s="112">
        <v>79.792500000000004</v>
      </c>
      <c r="O3043" s="204">
        <v>0.22229532850831846</v>
      </c>
      <c r="P3043" s="112">
        <v>17.737499999999997</v>
      </c>
      <c r="Q3043" s="112">
        <v>97.53</v>
      </c>
      <c r="R3043" s="112">
        <v>682.71</v>
      </c>
      <c r="S3043" s="112">
        <v>682.71</v>
      </c>
      <c r="T3043" s="112">
        <v>0</v>
      </c>
      <c r="U3043" t="s">
        <v>6341</v>
      </c>
      <c r="V3043" t="s">
        <v>6342</v>
      </c>
      <c r="W3043" t="s">
        <v>4666</v>
      </c>
      <c r="X3043" t="s">
        <v>4667</v>
      </c>
    </row>
    <row r="3044" spans="1:24" x14ac:dyDescent="0.2">
      <c r="A3044" t="s">
        <v>6343</v>
      </c>
      <c r="B3044" t="s">
        <v>2285</v>
      </c>
      <c r="C3044" t="s">
        <v>2286</v>
      </c>
      <c r="D3044" t="s">
        <v>24</v>
      </c>
      <c r="E3044" t="s">
        <v>1144</v>
      </c>
      <c r="F3044" t="s">
        <v>99</v>
      </c>
      <c r="G3044" s="202">
        <v>44.4</v>
      </c>
      <c r="H3044">
        <v>1</v>
      </c>
      <c r="I3044" t="s">
        <v>3954</v>
      </c>
      <c r="J3044" t="s">
        <v>4823</v>
      </c>
      <c r="K3044" t="s">
        <v>1283</v>
      </c>
      <c r="L3044" s="204">
        <v>0.18</v>
      </c>
      <c r="M3044" s="112">
        <v>26.587500000000002</v>
      </c>
      <c r="N3044" s="112">
        <v>4.7857500000000002</v>
      </c>
      <c r="O3044" s="204"/>
      <c r="P3044" s="112"/>
      <c r="Q3044" s="112"/>
      <c r="R3044" s="112"/>
      <c r="S3044" s="112"/>
      <c r="T3044" s="112"/>
      <c r="U3044" t="s">
        <v>6344</v>
      </c>
      <c r="V3044" t="s">
        <v>6345</v>
      </c>
      <c r="W3044" t="s">
        <v>3958</v>
      </c>
      <c r="X3044" t="s">
        <v>4660</v>
      </c>
    </row>
    <row r="3045" spans="1:24" x14ac:dyDescent="0.2">
      <c r="A3045" t="s">
        <v>6343</v>
      </c>
      <c r="B3045" t="s">
        <v>2285</v>
      </c>
      <c r="C3045" t="s">
        <v>2286</v>
      </c>
      <c r="D3045" t="s">
        <v>24</v>
      </c>
      <c r="E3045" t="s">
        <v>1144</v>
      </c>
      <c r="F3045" t="s">
        <v>99</v>
      </c>
      <c r="G3045" s="202">
        <v>44.4</v>
      </c>
      <c r="H3045">
        <v>2</v>
      </c>
      <c r="I3045" t="s">
        <v>3960</v>
      </c>
      <c r="J3045" t="s">
        <v>4826</v>
      </c>
      <c r="K3045" t="s">
        <v>1283</v>
      </c>
      <c r="L3045" s="204">
        <v>0.72</v>
      </c>
      <c r="M3045" s="112">
        <v>26.587500000000002</v>
      </c>
      <c r="N3045" s="112">
        <v>19.143000000000001</v>
      </c>
      <c r="O3045" s="204"/>
      <c r="P3045" s="112"/>
      <c r="Q3045" s="112"/>
      <c r="R3045" s="112"/>
      <c r="S3045" s="112"/>
      <c r="T3045" s="112"/>
      <c r="U3045" t="s">
        <v>6344</v>
      </c>
      <c r="V3045" t="s">
        <v>6345</v>
      </c>
      <c r="W3045" t="s">
        <v>3958</v>
      </c>
      <c r="X3045" t="s">
        <v>4660</v>
      </c>
    </row>
    <row r="3046" spans="1:24" x14ac:dyDescent="0.2">
      <c r="A3046" t="s">
        <v>6343</v>
      </c>
      <c r="B3046" t="s">
        <v>2285</v>
      </c>
      <c r="C3046" t="s">
        <v>2286</v>
      </c>
      <c r="D3046" t="s">
        <v>24</v>
      </c>
      <c r="E3046" t="s">
        <v>1144</v>
      </c>
      <c r="F3046" t="s">
        <v>99</v>
      </c>
      <c r="G3046" s="202">
        <v>44.4</v>
      </c>
      <c r="H3046">
        <v>3</v>
      </c>
      <c r="I3046" t="s">
        <v>3976</v>
      </c>
      <c r="J3046" t="s">
        <v>4827</v>
      </c>
      <c r="K3046" t="s">
        <v>1283</v>
      </c>
      <c r="L3046" s="204">
        <v>0.05</v>
      </c>
      <c r="M3046" s="112">
        <v>26.587500000000002</v>
      </c>
      <c r="N3046" s="112">
        <v>1.3293750000000002</v>
      </c>
      <c r="O3046" s="204"/>
      <c r="P3046" s="112"/>
      <c r="Q3046" s="112"/>
      <c r="R3046" s="112"/>
      <c r="S3046" s="112"/>
      <c r="T3046" s="112"/>
      <c r="U3046" t="s">
        <v>6344</v>
      </c>
      <c r="V3046" t="s">
        <v>6345</v>
      </c>
      <c r="W3046" t="s">
        <v>3958</v>
      </c>
      <c r="X3046" t="s">
        <v>4660</v>
      </c>
    </row>
    <row r="3047" spans="1:24" x14ac:dyDescent="0.2">
      <c r="A3047" t="s">
        <v>6343</v>
      </c>
      <c r="B3047" t="s">
        <v>2285</v>
      </c>
      <c r="C3047" t="s">
        <v>2286</v>
      </c>
      <c r="D3047" t="s">
        <v>24</v>
      </c>
      <c r="E3047" t="s">
        <v>1144</v>
      </c>
      <c r="F3047" t="s">
        <v>99</v>
      </c>
      <c r="G3047" s="202">
        <v>44.4</v>
      </c>
      <c r="H3047">
        <v>4</v>
      </c>
      <c r="I3047" t="s">
        <v>4017</v>
      </c>
      <c r="J3047" t="s">
        <v>4809</v>
      </c>
      <c r="K3047" t="s">
        <v>1283</v>
      </c>
      <c r="L3047" s="204">
        <v>0.05</v>
      </c>
      <c r="M3047" s="112">
        <v>26.587500000000002</v>
      </c>
      <c r="N3047" s="112">
        <v>1.3293750000000002</v>
      </c>
      <c r="O3047" s="204"/>
      <c r="P3047" s="112"/>
      <c r="Q3047" s="112"/>
      <c r="R3047" s="112"/>
      <c r="S3047" s="112"/>
      <c r="T3047" s="112"/>
      <c r="U3047" t="s">
        <v>6344</v>
      </c>
      <c r="V3047" t="s">
        <v>6345</v>
      </c>
      <c r="W3047" t="s">
        <v>3958</v>
      </c>
      <c r="X3047" t="s">
        <v>4660</v>
      </c>
    </row>
    <row r="3048" spans="1:24" x14ac:dyDescent="0.2">
      <c r="A3048" t="s">
        <v>6343</v>
      </c>
      <c r="B3048" t="s">
        <v>2285</v>
      </c>
      <c r="C3048" t="s">
        <v>2286</v>
      </c>
      <c r="D3048" t="s">
        <v>24</v>
      </c>
      <c r="E3048" t="s">
        <v>1144</v>
      </c>
      <c r="F3048" t="s">
        <v>99</v>
      </c>
      <c r="G3048" s="202">
        <v>44.4</v>
      </c>
      <c r="H3048">
        <v>5</v>
      </c>
      <c r="I3048" t="s">
        <v>3968</v>
      </c>
      <c r="J3048" t="s">
        <v>3969</v>
      </c>
      <c r="K3048" t="s">
        <v>99</v>
      </c>
      <c r="L3048" s="204">
        <v>1</v>
      </c>
      <c r="M3048" s="112"/>
      <c r="N3048" s="112">
        <v>26.587500000000002</v>
      </c>
      <c r="O3048" s="204">
        <v>0.22227728433652283</v>
      </c>
      <c r="P3048" s="112">
        <v>5.909797297297299</v>
      </c>
      <c r="Q3048" s="112">
        <v>32.497297297297301</v>
      </c>
      <c r="R3048" s="112">
        <v>1442.88</v>
      </c>
      <c r="S3048" s="112">
        <v>1442.88</v>
      </c>
      <c r="T3048" s="112">
        <v>0</v>
      </c>
      <c r="U3048" t="s">
        <v>6344</v>
      </c>
      <c r="V3048" t="s">
        <v>6345</v>
      </c>
      <c r="W3048" t="s">
        <v>4666</v>
      </c>
      <c r="X3048" t="s">
        <v>4667</v>
      </c>
    </row>
    <row r="3049" spans="1:24" x14ac:dyDescent="0.2">
      <c r="A3049" t="s">
        <v>6346</v>
      </c>
      <c r="B3049" t="s">
        <v>2287</v>
      </c>
      <c r="C3049" t="s">
        <v>2288</v>
      </c>
      <c r="D3049" t="s">
        <v>335</v>
      </c>
      <c r="E3049" t="s">
        <v>1145</v>
      </c>
      <c r="F3049" t="s">
        <v>99</v>
      </c>
      <c r="G3049" s="202">
        <v>48.9</v>
      </c>
      <c r="H3049">
        <v>1</v>
      </c>
      <c r="I3049" t="s">
        <v>3954</v>
      </c>
      <c r="J3049" t="s">
        <v>4823</v>
      </c>
      <c r="K3049" t="s">
        <v>1283</v>
      </c>
      <c r="L3049" s="204">
        <v>0.18</v>
      </c>
      <c r="M3049" s="112">
        <v>10.17</v>
      </c>
      <c r="N3049" s="112">
        <v>1.8306</v>
      </c>
      <c r="O3049" s="204"/>
      <c r="P3049" s="112"/>
      <c r="Q3049" s="112"/>
      <c r="R3049" s="112"/>
      <c r="S3049" s="112"/>
      <c r="T3049" s="112"/>
      <c r="U3049" t="s">
        <v>6347</v>
      </c>
      <c r="V3049" t="s">
        <v>6348</v>
      </c>
      <c r="W3049" t="s">
        <v>3958</v>
      </c>
      <c r="X3049" t="s">
        <v>4660</v>
      </c>
    </row>
    <row r="3050" spans="1:24" x14ac:dyDescent="0.2">
      <c r="A3050" t="s">
        <v>6346</v>
      </c>
      <c r="B3050" t="s">
        <v>2287</v>
      </c>
      <c r="C3050" t="s">
        <v>2288</v>
      </c>
      <c r="D3050" t="s">
        <v>335</v>
      </c>
      <c r="E3050" t="s">
        <v>1145</v>
      </c>
      <c r="F3050" t="s">
        <v>99</v>
      </c>
      <c r="G3050" s="202">
        <v>48.9</v>
      </c>
      <c r="H3050">
        <v>2</v>
      </c>
      <c r="I3050" t="s">
        <v>3960</v>
      </c>
      <c r="J3050" t="s">
        <v>4826</v>
      </c>
      <c r="K3050" t="s">
        <v>1283</v>
      </c>
      <c r="L3050" s="204">
        <v>0.72</v>
      </c>
      <c r="M3050" s="112">
        <v>10.17</v>
      </c>
      <c r="N3050" s="112">
        <v>7.3224</v>
      </c>
      <c r="O3050" s="204"/>
      <c r="P3050" s="112"/>
      <c r="Q3050" s="112"/>
      <c r="R3050" s="112"/>
      <c r="S3050" s="112"/>
      <c r="T3050" s="112"/>
      <c r="U3050" t="s">
        <v>6347</v>
      </c>
      <c r="V3050" t="s">
        <v>6348</v>
      </c>
      <c r="W3050" t="s">
        <v>3958</v>
      </c>
      <c r="X3050" t="s">
        <v>4660</v>
      </c>
    </row>
    <row r="3051" spans="1:24" x14ac:dyDescent="0.2">
      <c r="A3051" t="s">
        <v>6346</v>
      </c>
      <c r="B3051" t="s">
        <v>2287</v>
      </c>
      <c r="C3051" t="s">
        <v>2288</v>
      </c>
      <c r="D3051" t="s">
        <v>335</v>
      </c>
      <c r="E3051" t="s">
        <v>1145</v>
      </c>
      <c r="F3051" t="s">
        <v>99</v>
      </c>
      <c r="G3051" s="202">
        <v>48.9</v>
      </c>
      <c r="H3051">
        <v>3</v>
      </c>
      <c r="I3051" t="s">
        <v>3976</v>
      </c>
      <c r="J3051" t="s">
        <v>4827</v>
      </c>
      <c r="K3051" t="s">
        <v>1283</v>
      </c>
      <c r="L3051" s="204">
        <v>0.05</v>
      </c>
      <c r="M3051" s="112">
        <v>10.17</v>
      </c>
      <c r="N3051" s="112">
        <v>0.50850000000000006</v>
      </c>
      <c r="O3051" s="204"/>
      <c r="P3051" s="112"/>
      <c r="Q3051" s="112"/>
      <c r="R3051" s="112"/>
      <c r="S3051" s="112"/>
      <c r="T3051" s="112"/>
      <c r="U3051" t="s">
        <v>6347</v>
      </c>
      <c r="V3051" t="s">
        <v>6348</v>
      </c>
      <c r="W3051" t="s">
        <v>3958</v>
      </c>
      <c r="X3051" t="s">
        <v>4660</v>
      </c>
    </row>
    <row r="3052" spans="1:24" x14ac:dyDescent="0.2">
      <c r="A3052" t="s">
        <v>6346</v>
      </c>
      <c r="B3052" t="s">
        <v>2287</v>
      </c>
      <c r="C3052" t="s">
        <v>2288</v>
      </c>
      <c r="D3052" t="s">
        <v>335</v>
      </c>
      <c r="E3052" t="s">
        <v>1145</v>
      </c>
      <c r="F3052" t="s">
        <v>99</v>
      </c>
      <c r="G3052" s="202">
        <v>48.9</v>
      </c>
      <c r="H3052">
        <v>4</v>
      </c>
      <c r="I3052" t="s">
        <v>4017</v>
      </c>
      <c r="J3052" t="s">
        <v>4809</v>
      </c>
      <c r="K3052" t="s">
        <v>1283</v>
      </c>
      <c r="L3052" s="204">
        <v>0.05</v>
      </c>
      <c r="M3052" s="112">
        <v>10.17</v>
      </c>
      <c r="N3052" s="112">
        <v>0.50850000000000006</v>
      </c>
      <c r="O3052" s="204"/>
      <c r="P3052" s="112"/>
      <c r="Q3052" s="112"/>
      <c r="R3052" s="112"/>
      <c r="S3052" s="112"/>
      <c r="T3052" s="112"/>
      <c r="U3052" t="s">
        <v>6347</v>
      </c>
      <c r="V3052" t="s">
        <v>6348</v>
      </c>
      <c r="W3052" t="s">
        <v>3958</v>
      </c>
      <c r="X3052" t="s">
        <v>4660</v>
      </c>
    </row>
    <row r="3053" spans="1:24" x14ac:dyDescent="0.2">
      <c r="A3053" t="s">
        <v>6346</v>
      </c>
      <c r="B3053" t="s">
        <v>2287</v>
      </c>
      <c r="C3053" t="s">
        <v>2288</v>
      </c>
      <c r="D3053" t="s">
        <v>335</v>
      </c>
      <c r="E3053" t="s">
        <v>1145</v>
      </c>
      <c r="F3053" t="s">
        <v>99</v>
      </c>
      <c r="G3053" s="202">
        <v>48.9</v>
      </c>
      <c r="H3053">
        <v>5</v>
      </c>
      <c r="I3053" t="s">
        <v>3968</v>
      </c>
      <c r="J3053" t="s">
        <v>3969</v>
      </c>
      <c r="K3053" t="s">
        <v>99</v>
      </c>
      <c r="L3053" s="204">
        <v>1</v>
      </c>
      <c r="M3053" s="112"/>
      <c r="N3053" s="112">
        <v>10.17</v>
      </c>
      <c r="O3053" s="204">
        <v>0.22196684985110005</v>
      </c>
      <c r="P3053" s="112">
        <v>2.2574028629856873</v>
      </c>
      <c r="Q3053" s="112">
        <v>12.427402862985687</v>
      </c>
      <c r="R3053" s="112">
        <v>607.70000000000005</v>
      </c>
      <c r="S3053" s="112">
        <v>607.70000000000005</v>
      </c>
      <c r="T3053" s="112">
        <v>0</v>
      </c>
      <c r="U3053" t="s">
        <v>6347</v>
      </c>
      <c r="V3053" t="s">
        <v>6348</v>
      </c>
      <c r="W3053" t="s">
        <v>4666</v>
      </c>
      <c r="X3053" t="s">
        <v>4667</v>
      </c>
    </row>
    <row r="3054" spans="1:24" x14ac:dyDescent="0.2">
      <c r="A3054" t="s">
        <v>6349</v>
      </c>
      <c r="B3054" t="s">
        <v>2289</v>
      </c>
      <c r="C3054" t="s">
        <v>2155</v>
      </c>
      <c r="D3054" t="s">
        <v>56</v>
      </c>
      <c r="E3054" t="s">
        <v>1044</v>
      </c>
      <c r="F3054" t="s">
        <v>99</v>
      </c>
      <c r="G3054" s="202">
        <v>44.4</v>
      </c>
      <c r="H3054">
        <v>1</v>
      </c>
      <c r="I3054" t="s">
        <v>3954</v>
      </c>
      <c r="J3054" t="s">
        <v>4823</v>
      </c>
      <c r="K3054" t="s">
        <v>1283</v>
      </c>
      <c r="L3054" s="204">
        <v>0.18</v>
      </c>
      <c r="M3054" s="112">
        <v>11.842499999999999</v>
      </c>
      <c r="N3054" s="112">
        <v>2.1316499999999996</v>
      </c>
      <c r="O3054" s="204"/>
      <c r="P3054" s="112"/>
      <c r="Q3054" s="112"/>
      <c r="R3054" s="112"/>
      <c r="S3054" s="112"/>
      <c r="T3054" s="112"/>
      <c r="U3054" t="s">
        <v>6163</v>
      </c>
      <c r="V3054" t="s">
        <v>6350</v>
      </c>
      <c r="W3054" t="s">
        <v>3958</v>
      </c>
      <c r="X3054" t="s">
        <v>4660</v>
      </c>
    </row>
    <row r="3055" spans="1:24" x14ac:dyDescent="0.2">
      <c r="A3055" t="s">
        <v>6349</v>
      </c>
      <c r="B3055" t="s">
        <v>2289</v>
      </c>
      <c r="C3055" t="s">
        <v>2155</v>
      </c>
      <c r="D3055" t="s">
        <v>56</v>
      </c>
      <c r="E3055" t="s">
        <v>1044</v>
      </c>
      <c r="F3055" t="s">
        <v>99</v>
      </c>
      <c r="G3055" s="202">
        <v>44.4</v>
      </c>
      <c r="H3055">
        <v>2</v>
      </c>
      <c r="I3055" t="s">
        <v>3960</v>
      </c>
      <c r="J3055" t="s">
        <v>4826</v>
      </c>
      <c r="K3055" t="s">
        <v>1283</v>
      </c>
      <c r="L3055" s="204">
        <v>0.72</v>
      </c>
      <c r="M3055" s="112">
        <v>11.842499999999999</v>
      </c>
      <c r="N3055" s="112">
        <v>8.5265999999999984</v>
      </c>
      <c r="O3055" s="204"/>
      <c r="P3055" s="112"/>
      <c r="Q3055" s="112"/>
      <c r="R3055" s="112"/>
      <c r="S3055" s="112"/>
      <c r="T3055" s="112"/>
      <c r="U3055" t="s">
        <v>6163</v>
      </c>
      <c r="V3055" t="s">
        <v>6350</v>
      </c>
      <c r="W3055" t="s">
        <v>3958</v>
      </c>
      <c r="X3055" t="s">
        <v>4660</v>
      </c>
    </row>
    <row r="3056" spans="1:24" x14ac:dyDescent="0.2">
      <c r="A3056" t="s">
        <v>6349</v>
      </c>
      <c r="B3056" t="s">
        <v>2289</v>
      </c>
      <c r="C3056" t="s">
        <v>2155</v>
      </c>
      <c r="D3056" t="s">
        <v>56</v>
      </c>
      <c r="E3056" t="s">
        <v>1044</v>
      </c>
      <c r="F3056" t="s">
        <v>99</v>
      </c>
      <c r="G3056" s="202">
        <v>44.4</v>
      </c>
      <c r="H3056">
        <v>3</v>
      </c>
      <c r="I3056" t="s">
        <v>3976</v>
      </c>
      <c r="J3056" t="s">
        <v>4827</v>
      </c>
      <c r="K3056" t="s">
        <v>1283</v>
      </c>
      <c r="L3056" s="204">
        <v>0.05</v>
      </c>
      <c r="M3056" s="112">
        <v>11.842499999999999</v>
      </c>
      <c r="N3056" s="112">
        <v>0.59212500000000001</v>
      </c>
      <c r="O3056" s="204"/>
      <c r="P3056" s="112"/>
      <c r="Q3056" s="112"/>
      <c r="R3056" s="112"/>
      <c r="S3056" s="112"/>
      <c r="T3056" s="112"/>
      <c r="U3056" t="s">
        <v>6163</v>
      </c>
      <c r="V3056" t="s">
        <v>6350</v>
      </c>
      <c r="W3056" t="s">
        <v>3958</v>
      </c>
      <c r="X3056" t="s">
        <v>4660</v>
      </c>
    </row>
    <row r="3057" spans="1:24" x14ac:dyDescent="0.2">
      <c r="A3057" t="s">
        <v>6349</v>
      </c>
      <c r="B3057" t="s">
        <v>2289</v>
      </c>
      <c r="C3057" t="s">
        <v>2155</v>
      </c>
      <c r="D3057" t="s">
        <v>56</v>
      </c>
      <c r="E3057" t="s">
        <v>1044</v>
      </c>
      <c r="F3057" t="s">
        <v>99</v>
      </c>
      <c r="G3057" s="202">
        <v>44.4</v>
      </c>
      <c r="H3057">
        <v>4</v>
      </c>
      <c r="I3057" t="s">
        <v>4017</v>
      </c>
      <c r="J3057" t="s">
        <v>4809</v>
      </c>
      <c r="K3057" t="s">
        <v>1283</v>
      </c>
      <c r="L3057" s="204">
        <v>0.05</v>
      </c>
      <c r="M3057" s="112">
        <v>11.842499999999999</v>
      </c>
      <c r="N3057" s="112">
        <v>0.59212500000000001</v>
      </c>
      <c r="O3057" s="204"/>
      <c r="P3057" s="112"/>
      <c r="Q3057" s="112"/>
      <c r="R3057" s="112"/>
      <c r="S3057" s="112"/>
      <c r="T3057" s="112"/>
      <c r="U3057" t="s">
        <v>6163</v>
      </c>
      <c r="V3057" t="s">
        <v>6350</v>
      </c>
      <c r="W3057" t="s">
        <v>3958</v>
      </c>
      <c r="X3057" t="s">
        <v>4660</v>
      </c>
    </row>
    <row r="3058" spans="1:24" x14ac:dyDescent="0.2">
      <c r="A3058" t="s">
        <v>6349</v>
      </c>
      <c r="B3058" t="s">
        <v>2289</v>
      </c>
      <c r="C3058" t="s">
        <v>2155</v>
      </c>
      <c r="D3058" t="s">
        <v>56</v>
      </c>
      <c r="E3058" t="s">
        <v>1044</v>
      </c>
      <c r="F3058" t="s">
        <v>99</v>
      </c>
      <c r="G3058" s="202">
        <v>44.4</v>
      </c>
      <c r="H3058">
        <v>5</v>
      </c>
      <c r="I3058" t="s">
        <v>3968</v>
      </c>
      <c r="J3058" t="s">
        <v>3969</v>
      </c>
      <c r="K3058" t="s">
        <v>99</v>
      </c>
      <c r="L3058" s="204">
        <v>1</v>
      </c>
      <c r="M3058" s="112"/>
      <c r="N3058" s="112">
        <v>11.842499999999999</v>
      </c>
      <c r="O3058" s="204">
        <v>0.22229259024699188</v>
      </c>
      <c r="P3058" s="112">
        <v>2.6325000000000021</v>
      </c>
      <c r="Q3058" s="112">
        <v>14.475000000000001</v>
      </c>
      <c r="R3058" s="112">
        <v>642.69000000000005</v>
      </c>
      <c r="S3058" s="112">
        <v>642.69000000000005</v>
      </c>
      <c r="T3058" s="112">
        <v>0</v>
      </c>
      <c r="U3058" t="s">
        <v>6163</v>
      </c>
      <c r="V3058" t="s">
        <v>6350</v>
      </c>
      <c r="W3058" t="s">
        <v>4666</v>
      </c>
      <c r="X3058" t="s">
        <v>4667</v>
      </c>
    </row>
    <row r="3059" spans="1:24" x14ac:dyDescent="0.2">
      <c r="A3059" t="s">
        <v>6351</v>
      </c>
      <c r="B3059" t="s">
        <v>2290</v>
      </c>
      <c r="C3059" t="s">
        <v>2291</v>
      </c>
      <c r="D3059" t="s">
        <v>24</v>
      </c>
      <c r="E3059" t="s">
        <v>1150</v>
      </c>
      <c r="F3059" t="s">
        <v>26</v>
      </c>
      <c r="G3059" s="202">
        <v>77.989999999999995</v>
      </c>
      <c r="H3059">
        <v>1</v>
      </c>
      <c r="I3059" t="s">
        <v>3954</v>
      </c>
      <c r="J3059" t="s">
        <v>4847</v>
      </c>
      <c r="K3059" t="s">
        <v>1283</v>
      </c>
      <c r="L3059" s="204">
        <v>0.24</v>
      </c>
      <c r="M3059" s="112">
        <v>17.085000000000001</v>
      </c>
      <c r="N3059" s="112">
        <v>4.1004000000000005</v>
      </c>
      <c r="O3059" s="204"/>
      <c r="P3059" s="112"/>
      <c r="Q3059" s="112"/>
      <c r="R3059" s="112"/>
      <c r="S3059" s="112"/>
      <c r="T3059" s="112"/>
      <c r="U3059" t="s">
        <v>6352</v>
      </c>
      <c r="V3059" t="s">
        <v>6353</v>
      </c>
      <c r="W3059" t="s">
        <v>3958</v>
      </c>
      <c r="X3059" t="s">
        <v>4660</v>
      </c>
    </row>
    <row r="3060" spans="1:24" x14ac:dyDescent="0.2">
      <c r="A3060" t="s">
        <v>6351</v>
      </c>
      <c r="B3060" t="s">
        <v>2290</v>
      </c>
      <c r="C3060" t="s">
        <v>2291</v>
      </c>
      <c r="D3060" t="s">
        <v>24</v>
      </c>
      <c r="E3060" t="s">
        <v>1150</v>
      </c>
      <c r="F3060" t="s">
        <v>26</v>
      </c>
      <c r="G3060" s="202">
        <v>77.989999999999995</v>
      </c>
      <c r="H3060">
        <v>2</v>
      </c>
      <c r="I3060" t="s">
        <v>3960</v>
      </c>
      <c r="J3060" t="s">
        <v>4849</v>
      </c>
      <c r="K3060" t="s">
        <v>1283</v>
      </c>
      <c r="L3060" s="204">
        <v>0.64</v>
      </c>
      <c r="M3060" s="112">
        <v>17.085000000000001</v>
      </c>
      <c r="N3060" s="112">
        <v>10.9344</v>
      </c>
      <c r="O3060" s="204"/>
      <c r="P3060" s="112"/>
      <c r="Q3060" s="112"/>
      <c r="R3060" s="112"/>
      <c r="S3060" s="112"/>
      <c r="T3060" s="112"/>
      <c r="U3060" t="s">
        <v>6352</v>
      </c>
      <c r="V3060" t="s">
        <v>6353</v>
      </c>
      <c r="W3060" t="s">
        <v>3958</v>
      </c>
      <c r="X3060" t="s">
        <v>4660</v>
      </c>
    </row>
    <row r="3061" spans="1:24" x14ac:dyDescent="0.2">
      <c r="A3061" t="s">
        <v>6351</v>
      </c>
      <c r="B3061" t="s">
        <v>2290</v>
      </c>
      <c r="C3061" t="s">
        <v>2291</v>
      </c>
      <c r="D3061" t="s">
        <v>24</v>
      </c>
      <c r="E3061" t="s">
        <v>1150</v>
      </c>
      <c r="F3061" t="s">
        <v>26</v>
      </c>
      <c r="G3061" s="202">
        <v>77.989999999999995</v>
      </c>
      <c r="H3061">
        <v>3</v>
      </c>
      <c r="I3061" t="s">
        <v>3976</v>
      </c>
      <c r="J3061" t="s">
        <v>4850</v>
      </c>
      <c r="K3061" t="s">
        <v>1283</v>
      </c>
      <c r="L3061" s="204">
        <v>7.0000000000000007E-2</v>
      </c>
      <c r="M3061" s="112">
        <v>17.085000000000001</v>
      </c>
      <c r="N3061" s="112">
        <v>1.1959500000000001</v>
      </c>
      <c r="O3061" s="204"/>
      <c r="P3061" s="112"/>
      <c r="Q3061" s="112"/>
      <c r="R3061" s="112"/>
      <c r="S3061" s="112"/>
      <c r="T3061" s="112"/>
      <c r="U3061" t="s">
        <v>6352</v>
      </c>
      <c r="V3061" t="s">
        <v>6353</v>
      </c>
      <c r="W3061" t="s">
        <v>3958</v>
      </c>
      <c r="X3061" t="s">
        <v>4660</v>
      </c>
    </row>
    <row r="3062" spans="1:24" x14ac:dyDescent="0.2">
      <c r="A3062" t="s">
        <v>6351</v>
      </c>
      <c r="B3062" t="s">
        <v>2290</v>
      </c>
      <c r="C3062" t="s">
        <v>2291</v>
      </c>
      <c r="D3062" t="s">
        <v>24</v>
      </c>
      <c r="E3062" t="s">
        <v>1150</v>
      </c>
      <c r="F3062" t="s">
        <v>26</v>
      </c>
      <c r="G3062" s="202">
        <v>77.989999999999995</v>
      </c>
      <c r="H3062">
        <v>4</v>
      </c>
      <c r="I3062" t="s">
        <v>4017</v>
      </c>
      <c r="J3062" t="s">
        <v>4851</v>
      </c>
      <c r="K3062" t="s">
        <v>1283</v>
      </c>
      <c r="L3062" s="204">
        <v>0.05</v>
      </c>
      <c r="M3062" s="112">
        <v>17.085000000000001</v>
      </c>
      <c r="N3062" s="112">
        <v>0.85425000000000006</v>
      </c>
      <c r="O3062" s="204"/>
      <c r="P3062" s="112"/>
      <c r="Q3062" s="112"/>
      <c r="R3062" s="112"/>
      <c r="S3062" s="112"/>
      <c r="T3062" s="112"/>
      <c r="U3062" t="s">
        <v>6352</v>
      </c>
      <c r="V3062" t="s">
        <v>6353</v>
      </c>
      <c r="W3062" t="s">
        <v>3958</v>
      </c>
      <c r="X3062" t="s">
        <v>4660</v>
      </c>
    </row>
    <row r="3063" spans="1:24" x14ac:dyDescent="0.2">
      <c r="A3063" t="s">
        <v>6351</v>
      </c>
      <c r="B3063" t="s">
        <v>2290</v>
      </c>
      <c r="C3063" t="s">
        <v>2291</v>
      </c>
      <c r="D3063" t="s">
        <v>24</v>
      </c>
      <c r="E3063" t="s">
        <v>1150</v>
      </c>
      <c r="F3063" t="s">
        <v>26</v>
      </c>
      <c r="G3063" s="202">
        <v>77.989999999999995</v>
      </c>
      <c r="H3063">
        <v>5</v>
      </c>
      <c r="I3063" t="s">
        <v>3968</v>
      </c>
      <c r="J3063" t="s">
        <v>3969</v>
      </c>
      <c r="K3063" t="s">
        <v>26</v>
      </c>
      <c r="L3063" s="204">
        <v>1</v>
      </c>
      <c r="M3063" s="112"/>
      <c r="N3063" s="112">
        <v>17.085000000000001</v>
      </c>
      <c r="O3063" s="204">
        <v>0.22212377017336715</v>
      </c>
      <c r="P3063" s="112">
        <v>3.7949846134119767</v>
      </c>
      <c r="Q3063" s="112">
        <v>20.879984613411978</v>
      </c>
      <c r="R3063" s="112">
        <v>1628.43</v>
      </c>
      <c r="S3063" s="112">
        <v>1628.43</v>
      </c>
      <c r="T3063" s="112">
        <v>0</v>
      </c>
      <c r="U3063" t="s">
        <v>6352</v>
      </c>
      <c r="V3063" t="s">
        <v>6353</v>
      </c>
      <c r="W3063" t="s">
        <v>4666</v>
      </c>
      <c r="X3063" t="s">
        <v>4667</v>
      </c>
    </row>
    <row r="3064" spans="1:24" x14ac:dyDescent="0.2">
      <c r="A3064" t="s">
        <v>6354</v>
      </c>
      <c r="B3064" t="s">
        <v>2292</v>
      </c>
      <c r="C3064" t="s">
        <v>2293</v>
      </c>
      <c r="D3064" t="s">
        <v>56</v>
      </c>
      <c r="E3064" t="s">
        <v>1151</v>
      </c>
      <c r="F3064" t="s">
        <v>26</v>
      </c>
      <c r="G3064" s="202">
        <v>41.777000000000001</v>
      </c>
      <c r="H3064">
        <v>1</v>
      </c>
      <c r="I3064" t="s">
        <v>3954</v>
      </c>
      <c r="J3064" t="s">
        <v>5227</v>
      </c>
      <c r="K3064" t="s">
        <v>1283</v>
      </c>
      <c r="L3064" s="204">
        <v>0.26</v>
      </c>
      <c r="M3064" s="112">
        <v>9.3149999999999995</v>
      </c>
      <c r="N3064" s="112">
        <v>2.4218999999999999</v>
      </c>
      <c r="O3064" s="204"/>
      <c r="P3064" s="112"/>
      <c r="Q3064" s="112"/>
      <c r="R3064" s="112"/>
      <c r="S3064" s="112"/>
      <c r="T3064" s="112"/>
      <c r="U3064" t="s">
        <v>6355</v>
      </c>
      <c r="V3064" t="s">
        <v>6356</v>
      </c>
      <c r="W3064" t="s">
        <v>3958</v>
      </c>
      <c r="X3064" t="s">
        <v>4660</v>
      </c>
    </row>
    <row r="3065" spans="1:24" x14ac:dyDescent="0.2">
      <c r="A3065" t="s">
        <v>6354</v>
      </c>
      <c r="B3065" t="s">
        <v>2292</v>
      </c>
      <c r="C3065" t="s">
        <v>2293</v>
      </c>
      <c r="D3065" t="s">
        <v>56</v>
      </c>
      <c r="E3065" t="s">
        <v>1151</v>
      </c>
      <c r="F3065" t="s">
        <v>26</v>
      </c>
      <c r="G3065" s="202">
        <v>41.777000000000001</v>
      </c>
      <c r="H3065">
        <v>2</v>
      </c>
      <c r="I3065" t="s">
        <v>3960</v>
      </c>
      <c r="J3065" t="s">
        <v>5229</v>
      </c>
      <c r="K3065" t="s">
        <v>1283</v>
      </c>
      <c r="L3065" s="204">
        <v>0.64</v>
      </c>
      <c r="M3065" s="112">
        <v>9.3149999999999995</v>
      </c>
      <c r="N3065" s="112">
        <v>5.9615999999999998</v>
      </c>
      <c r="O3065" s="204"/>
      <c r="P3065" s="112"/>
      <c r="Q3065" s="112"/>
      <c r="R3065" s="112"/>
      <c r="S3065" s="112"/>
      <c r="T3065" s="112"/>
      <c r="U3065" t="s">
        <v>6355</v>
      </c>
      <c r="V3065" t="s">
        <v>6356</v>
      </c>
      <c r="W3065" t="s">
        <v>3958</v>
      </c>
      <c r="X3065" t="s">
        <v>4660</v>
      </c>
    </row>
    <row r="3066" spans="1:24" x14ac:dyDescent="0.2">
      <c r="A3066" t="s">
        <v>6354</v>
      </c>
      <c r="B3066" t="s">
        <v>2292</v>
      </c>
      <c r="C3066" t="s">
        <v>2293</v>
      </c>
      <c r="D3066" t="s">
        <v>56</v>
      </c>
      <c r="E3066" t="s">
        <v>1151</v>
      </c>
      <c r="F3066" t="s">
        <v>26</v>
      </c>
      <c r="G3066" s="202">
        <v>41.777000000000001</v>
      </c>
      <c r="H3066">
        <v>3</v>
      </c>
      <c r="I3066" t="s">
        <v>3976</v>
      </c>
      <c r="J3066" t="s">
        <v>5230</v>
      </c>
      <c r="K3066" t="s">
        <v>1283</v>
      </c>
      <c r="L3066" s="204">
        <v>0.04</v>
      </c>
      <c r="M3066" s="112">
        <v>9.3149999999999995</v>
      </c>
      <c r="N3066" s="112">
        <v>0.37259999999999999</v>
      </c>
      <c r="O3066" s="204"/>
      <c r="P3066" s="112"/>
      <c r="Q3066" s="112"/>
      <c r="R3066" s="112"/>
      <c r="S3066" s="112"/>
      <c r="T3066" s="112"/>
      <c r="U3066" t="s">
        <v>6355</v>
      </c>
      <c r="V3066" t="s">
        <v>6356</v>
      </c>
      <c r="W3066" t="s">
        <v>3958</v>
      </c>
      <c r="X3066" t="s">
        <v>4660</v>
      </c>
    </row>
    <row r="3067" spans="1:24" x14ac:dyDescent="0.2">
      <c r="A3067" t="s">
        <v>6354</v>
      </c>
      <c r="B3067" t="s">
        <v>2292</v>
      </c>
      <c r="C3067" t="s">
        <v>2293</v>
      </c>
      <c r="D3067" t="s">
        <v>56</v>
      </c>
      <c r="E3067" t="s">
        <v>1151</v>
      </c>
      <c r="F3067" t="s">
        <v>26</v>
      </c>
      <c r="G3067" s="202">
        <v>41.777000000000001</v>
      </c>
      <c r="H3067">
        <v>4</v>
      </c>
      <c r="I3067" t="s">
        <v>4017</v>
      </c>
      <c r="J3067" t="s">
        <v>4851</v>
      </c>
      <c r="K3067" t="s">
        <v>1283</v>
      </c>
      <c r="L3067" s="204">
        <v>0.06</v>
      </c>
      <c r="M3067" s="112">
        <v>9.3149999999999995</v>
      </c>
      <c r="N3067" s="112">
        <v>0.55889999999999995</v>
      </c>
      <c r="O3067" s="204"/>
      <c r="P3067" s="112"/>
      <c r="Q3067" s="112"/>
      <c r="R3067" s="112"/>
      <c r="S3067" s="112"/>
      <c r="T3067" s="112"/>
      <c r="U3067" t="s">
        <v>6355</v>
      </c>
      <c r="V3067" t="s">
        <v>6356</v>
      </c>
      <c r="W3067" t="s">
        <v>3958</v>
      </c>
      <c r="X3067" t="s">
        <v>4660</v>
      </c>
    </row>
    <row r="3068" spans="1:24" x14ac:dyDescent="0.2">
      <c r="A3068" t="s">
        <v>6354</v>
      </c>
      <c r="B3068" t="s">
        <v>2292</v>
      </c>
      <c r="C3068" t="s">
        <v>2293</v>
      </c>
      <c r="D3068" t="s">
        <v>56</v>
      </c>
      <c r="E3068" t="s">
        <v>1151</v>
      </c>
      <c r="F3068" t="s">
        <v>26</v>
      </c>
      <c r="G3068" s="202">
        <v>41.777000000000001</v>
      </c>
      <c r="H3068">
        <v>5</v>
      </c>
      <c r="I3068" t="s">
        <v>3968</v>
      </c>
      <c r="J3068" t="s">
        <v>3969</v>
      </c>
      <c r="K3068" t="s">
        <v>26</v>
      </c>
      <c r="L3068" s="204">
        <v>1</v>
      </c>
      <c r="M3068" s="112"/>
      <c r="N3068" s="112">
        <v>9.3149999999999995</v>
      </c>
      <c r="O3068" s="204">
        <v>0.22221927993288904</v>
      </c>
      <c r="P3068" s="112">
        <v>2.069972592574862</v>
      </c>
      <c r="Q3068" s="112">
        <v>11.384972592574861</v>
      </c>
      <c r="R3068" s="112">
        <v>475.63</v>
      </c>
      <c r="S3068" s="112">
        <v>475.63</v>
      </c>
      <c r="T3068" s="112">
        <v>0</v>
      </c>
      <c r="U3068" t="s">
        <v>6355</v>
      </c>
      <c r="V3068" t="s">
        <v>6356</v>
      </c>
      <c r="W3068" t="s">
        <v>4666</v>
      </c>
      <c r="X3068" t="s">
        <v>4667</v>
      </c>
    </row>
    <row r="3069" spans="1:24" x14ac:dyDescent="0.2">
      <c r="A3069" t="s">
        <v>6357</v>
      </c>
      <c r="B3069" t="s">
        <v>2294</v>
      </c>
      <c r="C3069" t="s">
        <v>2295</v>
      </c>
      <c r="D3069" t="s">
        <v>56</v>
      </c>
      <c r="E3069" t="s">
        <v>1152</v>
      </c>
      <c r="F3069" t="s">
        <v>118</v>
      </c>
      <c r="G3069" s="202">
        <v>4.1779999999999999</v>
      </c>
      <c r="H3069">
        <v>1</v>
      </c>
      <c r="I3069" t="s">
        <v>3954</v>
      </c>
      <c r="J3069" t="s">
        <v>4110</v>
      </c>
      <c r="K3069" t="s">
        <v>1283</v>
      </c>
      <c r="L3069" s="204">
        <v>0.3</v>
      </c>
      <c r="M3069" s="112">
        <v>127.56</v>
      </c>
      <c r="N3069" s="112">
        <v>38.268000000000001</v>
      </c>
      <c r="O3069" s="204"/>
      <c r="P3069" s="112"/>
      <c r="Q3069" s="112"/>
      <c r="R3069" s="112"/>
      <c r="S3069" s="112"/>
      <c r="T3069" s="112"/>
      <c r="U3069" t="s">
        <v>6358</v>
      </c>
      <c r="V3069" t="s">
        <v>6359</v>
      </c>
      <c r="W3069" t="s">
        <v>3958</v>
      </c>
      <c r="X3069" t="s">
        <v>4660</v>
      </c>
    </row>
    <row r="3070" spans="1:24" x14ac:dyDescent="0.2">
      <c r="A3070" t="s">
        <v>6357</v>
      </c>
      <c r="B3070" t="s">
        <v>2294</v>
      </c>
      <c r="C3070" t="s">
        <v>2295</v>
      </c>
      <c r="D3070" t="s">
        <v>56</v>
      </c>
      <c r="E3070" t="s">
        <v>1152</v>
      </c>
      <c r="F3070" t="s">
        <v>118</v>
      </c>
      <c r="G3070" s="202">
        <v>4.1779999999999999</v>
      </c>
      <c r="H3070">
        <v>2</v>
      </c>
      <c r="I3070" t="s">
        <v>3960</v>
      </c>
      <c r="J3070" t="s">
        <v>4113</v>
      </c>
      <c r="K3070" t="s">
        <v>1283</v>
      </c>
      <c r="L3070" s="204">
        <v>0.55000000000000004</v>
      </c>
      <c r="M3070" s="112">
        <v>127.56</v>
      </c>
      <c r="N3070" s="112">
        <v>70.158000000000001</v>
      </c>
      <c r="O3070" s="204"/>
      <c r="P3070" s="112"/>
      <c r="Q3070" s="112"/>
      <c r="R3070" s="112"/>
      <c r="S3070" s="112"/>
      <c r="T3070" s="112"/>
      <c r="U3070" t="s">
        <v>6358</v>
      </c>
      <c r="V3070" t="s">
        <v>6359</v>
      </c>
      <c r="W3070" t="s">
        <v>3958</v>
      </c>
      <c r="X3070" t="s">
        <v>4660</v>
      </c>
    </row>
    <row r="3071" spans="1:24" x14ac:dyDescent="0.2">
      <c r="A3071" t="s">
        <v>6357</v>
      </c>
      <c r="B3071" t="s">
        <v>2294</v>
      </c>
      <c r="C3071" t="s">
        <v>2295</v>
      </c>
      <c r="D3071" t="s">
        <v>56</v>
      </c>
      <c r="E3071" t="s">
        <v>1152</v>
      </c>
      <c r="F3071" t="s">
        <v>118</v>
      </c>
      <c r="G3071" s="202">
        <v>4.1779999999999999</v>
      </c>
      <c r="H3071">
        <v>3</v>
      </c>
      <c r="I3071" t="s">
        <v>3976</v>
      </c>
      <c r="J3071" t="s">
        <v>4114</v>
      </c>
      <c r="K3071" t="s">
        <v>1283</v>
      </c>
      <c r="L3071" s="204">
        <v>0.1</v>
      </c>
      <c r="M3071" s="112">
        <v>127.56</v>
      </c>
      <c r="N3071" s="112">
        <v>12.756</v>
      </c>
      <c r="O3071" s="204"/>
      <c r="P3071" s="112"/>
      <c r="Q3071" s="112"/>
      <c r="R3071" s="112"/>
      <c r="S3071" s="112"/>
      <c r="T3071" s="112"/>
      <c r="U3071" t="s">
        <v>6358</v>
      </c>
      <c r="V3071" t="s">
        <v>6359</v>
      </c>
      <c r="W3071" t="s">
        <v>3958</v>
      </c>
      <c r="X3071" t="s">
        <v>4660</v>
      </c>
    </row>
    <row r="3072" spans="1:24" x14ac:dyDescent="0.2">
      <c r="A3072" t="s">
        <v>6357</v>
      </c>
      <c r="B3072" t="s">
        <v>2294</v>
      </c>
      <c r="C3072" t="s">
        <v>2295</v>
      </c>
      <c r="D3072" t="s">
        <v>56</v>
      </c>
      <c r="E3072" t="s">
        <v>1152</v>
      </c>
      <c r="F3072" t="s">
        <v>118</v>
      </c>
      <c r="G3072" s="202">
        <v>4.1779999999999999</v>
      </c>
      <c r="H3072">
        <v>4</v>
      </c>
      <c r="I3072" t="s">
        <v>4017</v>
      </c>
      <c r="J3072" t="s">
        <v>4115</v>
      </c>
      <c r="K3072" t="s">
        <v>1283</v>
      </c>
      <c r="L3072" s="204">
        <v>0.05</v>
      </c>
      <c r="M3072" s="112">
        <v>127.56</v>
      </c>
      <c r="N3072" s="112">
        <v>6.3780000000000001</v>
      </c>
      <c r="O3072" s="204"/>
      <c r="P3072" s="112"/>
      <c r="Q3072" s="112"/>
      <c r="R3072" s="112"/>
      <c r="S3072" s="112"/>
      <c r="T3072" s="112"/>
      <c r="U3072" t="s">
        <v>6358</v>
      </c>
      <c r="V3072" t="s">
        <v>6359</v>
      </c>
      <c r="W3072" t="s">
        <v>3958</v>
      </c>
      <c r="X3072" t="s">
        <v>4660</v>
      </c>
    </row>
    <row r="3073" spans="1:24" x14ac:dyDescent="0.2">
      <c r="A3073" t="s">
        <v>6357</v>
      </c>
      <c r="B3073" t="s">
        <v>2294</v>
      </c>
      <c r="C3073" t="s">
        <v>2295</v>
      </c>
      <c r="D3073" t="s">
        <v>56</v>
      </c>
      <c r="E3073" t="s">
        <v>1152</v>
      </c>
      <c r="F3073" t="s">
        <v>118</v>
      </c>
      <c r="G3073" s="202">
        <v>4.1779999999999999</v>
      </c>
      <c r="H3073">
        <v>5</v>
      </c>
      <c r="I3073" t="s">
        <v>3968</v>
      </c>
      <c r="J3073" t="s">
        <v>3969</v>
      </c>
      <c r="K3073" t="s">
        <v>118</v>
      </c>
      <c r="L3073" s="204">
        <v>1</v>
      </c>
      <c r="M3073" s="112"/>
      <c r="N3073" s="112">
        <v>127.56</v>
      </c>
      <c r="O3073" s="204">
        <v>0.22224463851550502</v>
      </c>
      <c r="P3073" s="112">
        <v>28.349526089037823</v>
      </c>
      <c r="Q3073" s="112">
        <v>155.90952608903783</v>
      </c>
      <c r="R3073" s="112">
        <v>651.39</v>
      </c>
      <c r="S3073" s="112">
        <v>651.39</v>
      </c>
      <c r="T3073" s="112">
        <v>0</v>
      </c>
      <c r="U3073" t="s">
        <v>6358</v>
      </c>
      <c r="V3073" t="s">
        <v>6359</v>
      </c>
      <c r="W3073" t="s">
        <v>4666</v>
      </c>
      <c r="X3073" t="s">
        <v>4667</v>
      </c>
    </row>
    <row r="3074" spans="1:24" x14ac:dyDescent="0.2">
      <c r="A3074" t="s">
        <v>6360</v>
      </c>
      <c r="B3074" t="s">
        <v>2296</v>
      </c>
      <c r="C3074" t="s">
        <v>1153</v>
      </c>
      <c r="D3074" t="s">
        <v>24</v>
      </c>
      <c r="E3074" t="s">
        <v>1154</v>
      </c>
      <c r="F3074" t="s">
        <v>118</v>
      </c>
      <c r="G3074" s="202">
        <v>30.315000000000001</v>
      </c>
      <c r="H3074">
        <v>1</v>
      </c>
      <c r="I3074" t="s">
        <v>3954</v>
      </c>
      <c r="J3074" t="s">
        <v>4734</v>
      </c>
      <c r="K3074" t="s">
        <v>1283</v>
      </c>
      <c r="L3074" s="204">
        <v>0.24</v>
      </c>
      <c r="M3074" s="112">
        <v>294.78000000000003</v>
      </c>
      <c r="N3074" s="112">
        <v>70.747200000000007</v>
      </c>
      <c r="O3074" s="204"/>
      <c r="P3074" s="112"/>
      <c r="Q3074" s="112"/>
      <c r="R3074" s="112"/>
      <c r="S3074" s="112"/>
      <c r="T3074" s="112"/>
      <c r="U3074" t="s">
        <v>6361</v>
      </c>
      <c r="V3074" t="s">
        <v>6362</v>
      </c>
      <c r="W3074" t="s">
        <v>3958</v>
      </c>
      <c r="X3074" t="s">
        <v>4660</v>
      </c>
    </row>
    <row r="3075" spans="1:24" x14ac:dyDescent="0.2">
      <c r="A3075" t="s">
        <v>6360</v>
      </c>
      <c r="B3075" t="s">
        <v>2296</v>
      </c>
      <c r="C3075" t="s">
        <v>1153</v>
      </c>
      <c r="D3075" t="s">
        <v>24</v>
      </c>
      <c r="E3075" t="s">
        <v>1154</v>
      </c>
      <c r="F3075" t="s">
        <v>118</v>
      </c>
      <c r="G3075" s="202">
        <v>30.315000000000001</v>
      </c>
      <c r="H3075">
        <v>2</v>
      </c>
      <c r="I3075" t="s">
        <v>3962</v>
      </c>
      <c r="J3075" t="s">
        <v>4737</v>
      </c>
      <c r="K3075" t="s">
        <v>1283</v>
      </c>
      <c r="L3075" s="204">
        <v>0.46</v>
      </c>
      <c r="M3075" s="112">
        <v>294.78000000000003</v>
      </c>
      <c r="N3075" s="112">
        <v>135.59880000000001</v>
      </c>
      <c r="O3075" s="204"/>
      <c r="P3075" s="112"/>
      <c r="Q3075" s="112"/>
      <c r="R3075" s="112"/>
      <c r="S3075" s="112"/>
      <c r="T3075" s="112"/>
      <c r="U3075" t="s">
        <v>6361</v>
      </c>
      <c r="V3075" t="s">
        <v>6362</v>
      </c>
      <c r="W3075" t="s">
        <v>3958</v>
      </c>
      <c r="X3075" t="s">
        <v>4660</v>
      </c>
    </row>
    <row r="3076" spans="1:24" x14ac:dyDescent="0.2">
      <c r="A3076" t="s">
        <v>6360</v>
      </c>
      <c r="B3076" t="s">
        <v>2296</v>
      </c>
      <c r="C3076" t="s">
        <v>1153</v>
      </c>
      <c r="D3076" t="s">
        <v>24</v>
      </c>
      <c r="E3076" t="s">
        <v>1154</v>
      </c>
      <c r="F3076" t="s">
        <v>118</v>
      </c>
      <c r="G3076" s="202">
        <v>30.315000000000001</v>
      </c>
      <c r="H3076">
        <v>3</v>
      </c>
      <c r="I3076" t="s">
        <v>4738</v>
      </c>
      <c r="J3076" t="s">
        <v>4739</v>
      </c>
      <c r="K3076" t="s">
        <v>1283</v>
      </c>
      <c r="L3076" s="204">
        <v>0.22</v>
      </c>
      <c r="M3076" s="112">
        <v>294.78000000000003</v>
      </c>
      <c r="N3076" s="112">
        <v>64.851600000000005</v>
      </c>
      <c r="O3076" s="204"/>
      <c r="P3076" s="112"/>
      <c r="Q3076" s="112"/>
      <c r="R3076" s="112"/>
      <c r="S3076" s="112"/>
      <c r="T3076" s="112"/>
      <c r="U3076" t="s">
        <v>6361</v>
      </c>
      <c r="V3076" t="s">
        <v>6362</v>
      </c>
      <c r="W3076" t="s">
        <v>3958</v>
      </c>
      <c r="X3076" t="s">
        <v>4660</v>
      </c>
    </row>
    <row r="3077" spans="1:24" x14ac:dyDescent="0.2">
      <c r="A3077" t="s">
        <v>6360</v>
      </c>
      <c r="B3077" t="s">
        <v>2296</v>
      </c>
      <c r="C3077" t="s">
        <v>1153</v>
      </c>
      <c r="D3077" t="s">
        <v>24</v>
      </c>
      <c r="E3077" t="s">
        <v>1154</v>
      </c>
      <c r="F3077" t="s">
        <v>118</v>
      </c>
      <c r="G3077" s="202">
        <v>30.315000000000001</v>
      </c>
      <c r="H3077">
        <v>4</v>
      </c>
      <c r="I3077" t="s">
        <v>4740</v>
      </c>
      <c r="J3077" t="s">
        <v>4741</v>
      </c>
      <c r="K3077" t="s">
        <v>1283</v>
      </c>
      <c r="L3077" s="204">
        <v>0.08</v>
      </c>
      <c r="M3077" s="112">
        <v>294.78000000000003</v>
      </c>
      <c r="N3077" s="112">
        <v>23.582400000000003</v>
      </c>
      <c r="O3077" s="204"/>
      <c r="P3077" s="112"/>
      <c r="Q3077" s="112"/>
      <c r="R3077" s="112"/>
      <c r="S3077" s="112"/>
      <c r="T3077" s="112"/>
      <c r="U3077" t="s">
        <v>6361</v>
      </c>
      <c r="V3077" t="s">
        <v>6362</v>
      </c>
      <c r="W3077" t="s">
        <v>3958</v>
      </c>
      <c r="X3077" t="s">
        <v>4660</v>
      </c>
    </row>
    <row r="3078" spans="1:24" x14ac:dyDescent="0.2">
      <c r="A3078" t="s">
        <v>6360</v>
      </c>
      <c r="B3078" t="s">
        <v>2296</v>
      </c>
      <c r="C3078" t="s">
        <v>1153</v>
      </c>
      <c r="D3078" t="s">
        <v>24</v>
      </c>
      <c r="E3078" t="s">
        <v>1154</v>
      </c>
      <c r="F3078" t="s">
        <v>118</v>
      </c>
      <c r="G3078" s="202">
        <v>30.315000000000001</v>
      </c>
      <c r="H3078">
        <v>5</v>
      </c>
      <c r="I3078" t="s">
        <v>3968</v>
      </c>
      <c r="J3078" t="s">
        <v>3969</v>
      </c>
      <c r="K3078" t="s">
        <v>118</v>
      </c>
      <c r="L3078" s="204">
        <v>1</v>
      </c>
      <c r="M3078" s="112"/>
      <c r="N3078" s="112">
        <v>294.78000000000003</v>
      </c>
      <c r="O3078" s="204">
        <v>0.22229268797668778</v>
      </c>
      <c r="P3078" s="112">
        <v>65.527438561768008</v>
      </c>
      <c r="Q3078" s="112">
        <v>360.30743856176804</v>
      </c>
      <c r="R3078" s="112">
        <v>10922.72</v>
      </c>
      <c r="S3078" s="112">
        <v>10922.72</v>
      </c>
      <c r="T3078" s="112">
        <v>0</v>
      </c>
      <c r="U3078" t="s">
        <v>6361</v>
      </c>
      <c r="V3078" t="s">
        <v>6362</v>
      </c>
      <c r="W3078" t="s">
        <v>4666</v>
      </c>
      <c r="X3078" t="s">
        <v>4667</v>
      </c>
    </row>
    <row r="3079" spans="1:24" x14ac:dyDescent="0.2">
      <c r="A3079" t="s">
        <v>6363</v>
      </c>
      <c r="B3079" t="s">
        <v>2297</v>
      </c>
      <c r="C3079" t="s">
        <v>2298</v>
      </c>
      <c r="D3079" t="s">
        <v>56</v>
      </c>
      <c r="E3079" t="s">
        <v>1157</v>
      </c>
      <c r="F3079" t="s">
        <v>26</v>
      </c>
      <c r="G3079" s="202">
        <v>161.26300000000001</v>
      </c>
      <c r="H3079">
        <v>1</v>
      </c>
      <c r="I3079" t="s">
        <v>3954</v>
      </c>
      <c r="J3079" t="s">
        <v>6364</v>
      </c>
      <c r="K3079" t="s">
        <v>1283</v>
      </c>
      <c r="L3079" s="204">
        <v>0.3</v>
      </c>
      <c r="M3079" s="112">
        <v>28.5075</v>
      </c>
      <c r="N3079" s="112">
        <v>8.552249999999999</v>
      </c>
      <c r="O3079" s="204"/>
      <c r="P3079" s="112"/>
      <c r="Q3079" s="112"/>
      <c r="R3079" s="112"/>
      <c r="S3079" s="112"/>
      <c r="T3079" s="112"/>
      <c r="U3079" t="s">
        <v>6365</v>
      </c>
      <c r="V3079" t="s">
        <v>6366</v>
      </c>
      <c r="W3079" t="s">
        <v>3958</v>
      </c>
      <c r="X3079" t="s">
        <v>4660</v>
      </c>
    </row>
    <row r="3080" spans="1:24" x14ac:dyDescent="0.2">
      <c r="A3080" t="s">
        <v>6363</v>
      </c>
      <c r="B3080" t="s">
        <v>2297</v>
      </c>
      <c r="C3080" t="s">
        <v>2298</v>
      </c>
      <c r="D3080" t="s">
        <v>56</v>
      </c>
      <c r="E3080" t="s">
        <v>1157</v>
      </c>
      <c r="F3080" t="s">
        <v>26</v>
      </c>
      <c r="G3080" s="202">
        <v>161.26300000000001</v>
      </c>
      <c r="H3080">
        <v>2</v>
      </c>
      <c r="I3080" t="s">
        <v>3960</v>
      </c>
      <c r="J3080" t="s">
        <v>6367</v>
      </c>
      <c r="K3080" t="s">
        <v>1283</v>
      </c>
      <c r="L3080" s="204">
        <v>0.57999999999999996</v>
      </c>
      <c r="M3080" s="112">
        <v>28.5075</v>
      </c>
      <c r="N3080" s="112">
        <v>16.53435</v>
      </c>
      <c r="O3080" s="204"/>
      <c r="P3080" s="112"/>
      <c r="Q3080" s="112"/>
      <c r="R3080" s="112"/>
      <c r="S3080" s="112"/>
      <c r="T3080" s="112"/>
      <c r="U3080" t="s">
        <v>6365</v>
      </c>
      <c r="V3080" t="s">
        <v>6366</v>
      </c>
      <c r="W3080" t="s">
        <v>3958</v>
      </c>
      <c r="X3080" t="s">
        <v>4660</v>
      </c>
    </row>
    <row r="3081" spans="1:24" x14ac:dyDescent="0.2">
      <c r="A3081" t="s">
        <v>6363</v>
      </c>
      <c r="B3081" t="s">
        <v>2297</v>
      </c>
      <c r="C3081" t="s">
        <v>2298</v>
      </c>
      <c r="D3081" t="s">
        <v>56</v>
      </c>
      <c r="E3081" t="s">
        <v>1157</v>
      </c>
      <c r="F3081" t="s">
        <v>26</v>
      </c>
      <c r="G3081" s="202">
        <v>161.26300000000001</v>
      </c>
      <c r="H3081">
        <v>3</v>
      </c>
      <c r="I3081" t="s">
        <v>3976</v>
      </c>
      <c r="J3081" t="s">
        <v>6368</v>
      </c>
      <c r="K3081" t="s">
        <v>1283</v>
      </c>
      <c r="L3081" s="204">
        <v>0.04</v>
      </c>
      <c r="M3081" s="112">
        <v>28.5075</v>
      </c>
      <c r="N3081" s="112">
        <v>1.1403000000000001</v>
      </c>
      <c r="O3081" s="204"/>
      <c r="P3081" s="112"/>
      <c r="Q3081" s="112"/>
      <c r="R3081" s="112"/>
      <c r="S3081" s="112"/>
      <c r="T3081" s="112"/>
      <c r="U3081" t="s">
        <v>6365</v>
      </c>
      <c r="V3081" t="s">
        <v>6366</v>
      </c>
      <c r="W3081" t="s">
        <v>3958</v>
      </c>
      <c r="X3081" t="s">
        <v>4660</v>
      </c>
    </row>
    <row r="3082" spans="1:24" x14ac:dyDescent="0.2">
      <c r="A3082" t="s">
        <v>6363</v>
      </c>
      <c r="B3082" t="s">
        <v>2297</v>
      </c>
      <c r="C3082" t="s">
        <v>2298</v>
      </c>
      <c r="D3082" t="s">
        <v>56</v>
      </c>
      <c r="E3082" t="s">
        <v>1157</v>
      </c>
      <c r="F3082" t="s">
        <v>26</v>
      </c>
      <c r="G3082" s="202">
        <v>161.26300000000001</v>
      </c>
      <c r="H3082">
        <v>4</v>
      </c>
      <c r="I3082" t="s">
        <v>4017</v>
      </c>
      <c r="J3082" t="s">
        <v>4115</v>
      </c>
      <c r="K3082" t="s">
        <v>1283</v>
      </c>
      <c r="L3082" s="204">
        <v>0.08</v>
      </c>
      <c r="M3082" s="112">
        <v>28.5075</v>
      </c>
      <c r="N3082" s="112">
        <v>2.2806000000000002</v>
      </c>
      <c r="O3082" s="204"/>
      <c r="P3082" s="112"/>
      <c r="Q3082" s="112"/>
      <c r="R3082" s="112"/>
      <c r="S3082" s="112"/>
      <c r="T3082" s="112"/>
      <c r="U3082" t="s">
        <v>6365</v>
      </c>
      <c r="V3082" t="s">
        <v>6366</v>
      </c>
      <c r="W3082" t="s">
        <v>3958</v>
      </c>
      <c r="X3082" t="s">
        <v>4660</v>
      </c>
    </row>
    <row r="3083" spans="1:24" x14ac:dyDescent="0.2">
      <c r="A3083" t="s">
        <v>6363</v>
      </c>
      <c r="B3083" t="s">
        <v>2297</v>
      </c>
      <c r="C3083" t="s">
        <v>2298</v>
      </c>
      <c r="D3083" t="s">
        <v>56</v>
      </c>
      <c r="E3083" t="s">
        <v>1157</v>
      </c>
      <c r="F3083" t="s">
        <v>26</v>
      </c>
      <c r="G3083" s="202">
        <v>161.26300000000001</v>
      </c>
      <c r="H3083">
        <v>5</v>
      </c>
      <c r="I3083" t="s">
        <v>3968</v>
      </c>
      <c r="J3083" t="s">
        <v>3969</v>
      </c>
      <c r="K3083" t="s">
        <v>26</v>
      </c>
      <c r="L3083" s="204">
        <v>1</v>
      </c>
      <c r="M3083" s="112"/>
      <c r="N3083" s="112">
        <v>28.5075</v>
      </c>
      <c r="O3083" s="204">
        <v>0.22204470620871364</v>
      </c>
      <c r="P3083" s="112">
        <v>6.3299394622449014</v>
      </c>
      <c r="Q3083" s="112">
        <v>34.837439462244902</v>
      </c>
      <c r="R3083" s="112">
        <v>5617.99</v>
      </c>
      <c r="S3083" s="112">
        <v>5617.99</v>
      </c>
      <c r="T3083" s="112">
        <v>0</v>
      </c>
      <c r="U3083" t="s">
        <v>6365</v>
      </c>
      <c r="V3083" t="s">
        <v>6366</v>
      </c>
      <c r="W3083" t="s">
        <v>4666</v>
      </c>
      <c r="X3083" t="s">
        <v>4667</v>
      </c>
    </row>
    <row r="3084" spans="1:24" x14ac:dyDescent="0.2">
      <c r="A3084" t="s">
        <v>6369</v>
      </c>
      <c r="B3084" t="s">
        <v>2299</v>
      </c>
      <c r="C3084" t="s">
        <v>2300</v>
      </c>
      <c r="D3084" t="s">
        <v>56</v>
      </c>
      <c r="E3084" t="s">
        <v>1158</v>
      </c>
      <c r="F3084" t="s">
        <v>84</v>
      </c>
      <c r="G3084" s="202">
        <v>83</v>
      </c>
      <c r="H3084">
        <v>1</v>
      </c>
      <c r="I3084" t="s">
        <v>3954</v>
      </c>
      <c r="J3084" t="s">
        <v>6364</v>
      </c>
      <c r="K3084" t="s">
        <v>1283</v>
      </c>
      <c r="L3084" s="204">
        <v>0.3</v>
      </c>
      <c r="M3084" s="112">
        <v>48.592500000000001</v>
      </c>
      <c r="N3084" s="112">
        <v>14.57775</v>
      </c>
      <c r="O3084" s="204"/>
      <c r="P3084" s="112"/>
      <c r="Q3084" s="112"/>
      <c r="R3084" s="112"/>
      <c r="S3084" s="112"/>
      <c r="T3084" s="112"/>
      <c r="U3084" t="s">
        <v>6370</v>
      </c>
      <c r="V3084" t="s">
        <v>6371</v>
      </c>
      <c r="W3084" t="s">
        <v>3958</v>
      </c>
      <c r="X3084" t="s">
        <v>4660</v>
      </c>
    </row>
    <row r="3085" spans="1:24" x14ac:dyDescent="0.2">
      <c r="A3085" t="s">
        <v>6369</v>
      </c>
      <c r="B3085" t="s">
        <v>2299</v>
      </c>
      <c r="C3085" t="s">
        <v>2300</v>
      </c>
      <c r="D3085" t="s">
        <v>56</v>
      </c>
      <c r="E3085" t="s">
        <v>1158</v>
      </c>
      <c r="F3085" t="s">
        <v>84</v>
      </c>
      <c r="G3085" s="202">
        <v>83</v>
      </c>
      <c r="H3085">
        <v>2</v>
      </c>
      <c r="I3085" t="s">
        <v>3960</v>
      </c>
      <c r="J3085" t="s">
        <v>6367</v>
      </c>
      <c r="K3085" t="s">
        <v>1283</v>
      </c>
      <c r="L3085" s="204">
        <v>0.57999999999999996</v>
      </c>
      <c r="M3085" s="112">
        <v>48.592500000000001</v>
      </c>
      <c r="N3085" s="112">
        <v>28.18365</v>
      </c>
      <c r="O3085" s="204"/>
      <c r="P3085" s="112"/>
      <c r="Q3085" s="112"/>
      <c r="R3085" s="112"/>
      <c r="S3085" s="112"/>
      <c r="T3085" s="112"/>
      <c r="U3085" t="s">
        <v>6370</v>
      </c>
      <c r="V3085" t="s">
        <v>6371</v>
      </c>
      <c r="W3085" t="s">
        <v>3958</v>
      </c>
      <c r="X3085" t="s">
        <v>4660</v>
      </c>
    </row>
    <row r="3086" spans="1:24" x14ac:dyDescent="0.2">
      <c r="A3086" t="s">
        <v>6369</v>
      </c>
      <c r="B3086" t="s">
        <v>2299</v>
      </c>
      <c r="C3086" t="s">
        <v>2300</v>
      </c>
      <c r="D3086" t="s">
        <v>56</v>
      </c>
      <c r="E3086" t="s">
        <v>1158</v>
      </c>
      <c r="F3086" t="s">
        <v>84</v>
      </c>
      <c r="G3086" s="202">
        <v>83</v>
      </c>
      <c r="H3086">
        <v>3</v>
      </c>
      <c r="I3086" t="s">
        <v>3976</v>
      </c>
      <c r="J3086" t="s">
        <v>6368</v>
      </c>
      <c r="K3086" t="s">
        <v>1283</v>
      </c>
      <c r="L3086" s="204">
        <v>0.04</v>
      </c>
      <c r="M3086" s="112">
        <v>48.592500000000001</v>
      </c>
      <c r="N3086" s="112">
        <v>1.9437</v>
      </c>
      <c r="O3086" s="204"/>
      <c r="P3086" s="112"/>
      <c r="Q3086" s="112"/>
      <c r="R3086" s="112"/>
      <c r="S3086" s="112"/>
      <c r="T3086" s="112"/>
      <c r="U3086" t="s">
        <v>6370</v>
      </c>
      <c r="V3086" t="s">
        <v>6371</v>
      </c>
      <c r="W3086" t="s">
        <v>3958</v>
      </c>
      <c r="X3086" t="s">
        <v>4660</v>
      </c>
    </row>
    <row r="3087" spans="1:24" x14ac:dyDescent="0.2">
      <c r="A3087" t="s">
        <v>6369</v>
      </c>
      <c r="B3087" t="s">
        <v>2299</v>
      </c>
      <c r="C3087" t="s">
        <v>2300</v>
      </c>
      <c r="D3087" t="s">
        <v>56</v>
      </c>
      <c r="E3087" t="s">
        <v>1158</v>
      </c>
      <c r="F3087" t="s">
        <v>84</v>
      </c>
      <c r="G3087" s="202">
        <v>83</v>
      </c>
      <c r="H3087">
        <v>4</v>
      </c>
      <c r="I3087" t="s">
        <v>4017</v>
      </c>
      <c r="J3087" t="s">
        <v>4115</v>
      </c>
      <c r="K3087" t="s">
        <v>1283</v>
      </c>
      <c r="L3087" s="204">
        <v>0.08</v>
      </c>
      <c r="M3087" s="112">
        <v>48.592500000000001</v>
      </c>
      <c r="N3087" s="112">
        <v>3.8874</v>
      </c>
      <c r="O3087" s="204"/>
      <c r="P3087" s="112"/>
      <c r="Q3087" s="112"/>
      <c r="R3087" s="112"/>
      <c r="S3087" s="112"/>
      <c r="T3087" s="112"/>
      <c r="U3087" t="s">
        <v>6370</v>
      </c>
      <c r="V3087" t="s">
        <v>6371</v>
      </c>
      <c r="W3087" t="s">
        <v>3958</v>
      </c>
      <c r="X3087" t="s">
        <v>4660</v>
      </c>
    </row>
    <row r="3088" spans="1:24" x14ac:dyDescent="0.2">
      <c r="A3088" t="s">
        <v>6369</v>
      </c>
      <c r="B3088" t="s">
        <v>2299</v>
      </c>
      <c r="C3088" t="s">
        <v>2300</v>
      </c>
      <c r="D3088" t="s">
        <v>56</v>
      </c>
      <c r="E3088" t="s">
        <v>1158</v>
      </c>
      <c r="F3088" t="s">
        <v>84</v>
      </c>
      <c r="G3088" s="202">
        <v>83</v>
      </c>
      <c r="H3088">
        <v>5</v>
      </c>
      <c r="I3088" t="s">
        <v>3968</v>
      </c>
      <c r="J3088" t="s">
        <v>3969</v>
      </c>
      <c r="K3088" t="s">
        <v>84</v>
      </c>
      <c r="L3088" s="204">
        <v>1</v>
      </c>
      <c r="M3088" s="112"/>
      <c r="N3088" s="112">
        <v>48.592500000000001</v>
      </c>
      <c r="O3088" s="204">
        <v>0.22225466149208639</v>
      </c>
      <c r="P3088" s="112">
        <v>10.799909638554212</v>
      </c>
      <c r="Q3088" s="112">
        <v>59.392409638554213</v>
      </c>
      <c r="R3088" s="112">
        <v>4929.57</v>
      </c>
      <c r="S3088" s="112">
        <v>4929.57</v>
      </c>
      <c r="T3088" s="112">
        <v>0</v>
      </c>
      <c r="U3088" t="s">
        <v>6370</v>
      </c>
      <c r="V3088" t="s">
        <v>6371</v>
      </c>
      <c r="W3088" t="s">
        <v>4666</v>
      </c>
      <c r="X3088" t="s">
        <v>4667</v>
      </c>
    </row>
    <row r="3089" spans="1:24" x14ac:dyDescent="0.2">
      <c r="A3089" t="s">
        <v>6372</v>
      </c>
      <c r="B3089" t="s">
        <v>2301</v>
      </c>
      <c r="C3089" t="s">
        <v>2302</v>
      </c>
      <c r="D3089" t="s">
        <v>56</v>
      </c>
      <c r="E3089" t="s">
        <v>1159</v>
      </c>
      <c r="F3089" t="s">
        <v>84</v>
      </c>
      <c r="G3089" s="202">
        <v>16</v>
      </c>
      <c r="H3089">
        <v>1</v>
      </c>
      <c r="I3089" t="s">
        <v>3954</v>
      </c>
      <c r="J3089" t="s">
        <v>6364</v>
      </c>
      <c r="K3089" t="s">
        <v>1283</v>
      </c>
      <c r="L3089" s="204">
        <v>0.3</v>
      </c>
      <c r="M3089" s="112">
        <v>71.977499999999992</v>
      </c>
      <c r="N3089" s="112">
        <v>21.593249999999998</v>
      </c>
      <c r="O3089" s="204"/>
      <c r="P3089" s="112"/>
      <c r="Q3089" s="112"/>
      <c r="R3089" s="112"/>
      <c r="S3089" s="112"/>
      <c r="T3089" s="112"/>
      <c r="U3089" t="s">
        <v>6373</v>
      </c>
      <c r="V3089" t="s">
        <v>6374</v>
      </c>
      <c r="W3089" t="s">
        <v>3958</v>
      </c>
      <c r="X3089" t="s">
        <v>4660</v>
      </c>
    </row>
    <row r="3090" spans="1:24" x14ac:dyDescent="0.2">
      <c r="A3090" t="s">
        <v>6372</v>
      </c>
      <c r="B3090" t="s">
        <v>2301</v>
      </c>
      <c r="C3090" t="s">
        <v>2302</v>
      </c>
      <c r="D3090" t="s">
        <v>56</v>
      </c>
      <c r="E3090" t="s">
        <v>1159</v>
      </c>
      <c r="F3090" t="s">
        <v>84</v>
      </c>
      <c r="G3090" s="202">
        <v>16</v>
      </c>
      <c r="H3090">
        <v>2</v>
      </c>
      <c r="I3090" t="s">
        <v>3960</v>
      </c>
      <c r="J3090" t="s">
        <v>6367</v>
      </c>
      <c r="K3090" t="s">
        <v>1283</v>
      </c>
      <c r="L3090" s="204">
        <v>0.57999999999999996</v>
      </c>
      <c r="M3090" s="112">
        <v>71.977499999999992</v>
      </c>
      <c r="N3090" s="112">
        <v>41.746949999999991</v>
      </c>
      <c r="O3090" s="204"/>
      <c r="P3090" s="112"/>
      <c r="Q3090" s="112"/>
      <c r="R3090" s="112"/>
      <c r="S3090" s="112"/>
      <c r="T3090" s="112"/>
      <c r="U3090" t="s">
        <v>6373</v>
      </c>
      <c r="V3090" t="s">
        <v>6374</v>
      </c>
      <c r="W3090" t="s">
        <v>3958</v>
      </c>
      <c r="X3090" t="s">
        <v>4660</v>
      </c>
    </row>
    <row r="3091" spans="1:24" x14ac:dyDescent="0.2">
      <c r="A3091" t="s">
        <v>6372</v>
      </c>
      <c r="B3091" t="s">
        <v>2301</v>
      </c>
      <c r="C3091" t="s">
        <v>2302</v>
      </c>
      <c r="D3091" t="s">
        <v>56</v>
      </c>
      <c r="E3091" t="s">
        <v>1159</v>
      </c>
      <c r="F3091" t="s">
        <v>84</v>
      </c>
      <c r="G3091" s="202">
        <v>16</v>
      </c>
      <c r="H3091">
        <v>3</v>
      </c>
      <c r="I3091" t="s">
        <v>3976</v>
      </c>
      <c r="J3091" t="s">
        <v>6368</v>
      </c>
      <c r="K3091" t="s">
        <v>1283</v>
      </c>
      <c r="L3091" s="204">
        <v>0.04</v>
      </c>
      <c r="M3091" s="112">
        <v>71.977499999999992</v>
      </c>
      <c r="N3091" s="112">
        <v>2.8790999999999998</v>
      </c>
      <c r="O3091" s="204"/>
      <c r="P3091" s="112"/>
      <c r="Q3091" s="112"/>
      <c r="R3091" s="112"/>
      <c r="S3091" s="112"/>
      <c r="T3091" s="112"/>
      <c r="U3091" t="s">
        <v>6373</v>
      </c>
      <c r="V3091" t="s">
        <v>6374</v>
      </c>
      <c r="W3091" t="s">
        <v>3958</v>
      </c>
      <c r="X3091" t="s">
        <v>4660</v>
      </c>
    </row>
    <row r="3092" spans="1:24" x14ac:dyDescent="0.2">
      <c r="A3092" t="s">
        <v>6372</v>
      </c>
      <c r="B3092" t="s">
        <v>2301</v>
      </c>
      <c r="C3092" t="s">
        <v>2302</v>
      </c>
      <c r="D3092" t="s">
        <v>56</v>
      </c>
      <c r="E3092" t="s">
        <v>1159</v>
      </c>
      <c r="F3092" t="s">
        <v>84</v>
      </c>
      <c r="G3092" s="202">
        <v>16</v>
      </c>
      <c r="H3092">
        <v>4</v>
      </c>
      <c r="I3092" t="s">
        <v>4017</v>
      </c>
      <c r="J3092" t="s">
        <v>4115</v>
      </c>
      <c r="K3092" t="s">
        <v>1283</v>
      </c>
      <c r="L3092" s="204">
        <v>0.08</v>
      </c>
      <c r="M3092" s="112">
        <v>71.977499999999992</v>
      </c>
      <c r="N3092" s="112">
        <v>5.7581999999999995</v>
      </c>
      <c r="O3092" s="204"/>
      <c r="P3092" s="112"/>
      <c r="Q3092" s="112"/>
      <c r="R3092" s="112"/>
      <c r="S3092" s="112"/>
      <c r="T3092" s="112"/>
      <c r="U3092" t="s">
        <v>6373</v>
      </c>
      <c r="V3092" t="s">
        <v>6374</v>
      </c>
      <c r="W3092" t="s">
        <v>3958</v>
      </c>
      <c r="X3092" t="s">
        <v>4660</v>
      </c>
    </row>
    <row r="3093" spans="1:24" x14ac:dyDescent="0.2">
      <c r="A3093" t="s">
        <v>6372</v>
      </c>
      <c r="B3093" t="s">
        <v>2301</v>
      </c>
      <c r="C3093" t="s">
        <v>2302</v>
      </c>
      <c r="D3093" t="s">
        <v>56</v>
      </c>
      <c r="E3093" t="s">
        <v>1159</v>
      </c>
      <c r="F3093" t="s">
        <v>84</v>
      </c>
      <c r="G3093" s="202">
        <v>16</v>
      </c>
      <c r="H3093">
        <v>5</v>
      </c>
      <c r="I3093" t="s">
        <v>3968</v>
      </c>
      <c r="J3093" t="s">
        <v>3969</v>
      </c>
      <c r="K3093" t="s">
        <v>84</v>
      </c>
      <c r="L3093" s="204">
        <v>1</v>
      </c>
      <c r="M3093" s="112"/>
      <c r="N3093" s="112">
        <v>71.977499999999992</v>
      </c>
      <c r="O3093" s="204">
        <v>0.22225695529853096</v>
      </c>
      <c r="P3093" s="112">
        <v>15.997500000000002</v>
      </c>
      <c r="Q3093" s="112">
        <v>87.974999999999994</v>
      </c>
      <c r="R3093" s="112">
        <v>1407.6</v>
      </c>
      <c r="S3093" s="112">
        <v>1407.6</v>
      </c>
      <c r="T3093" s="112">
        <v>0</v>
      </c>
      <c r="U3093" t="s">
        <v>6373</v>
      </c>
      <c r="V3093" t="s">
        <v>6374</v>
      </c>
      <c r="W3093" t="s">
        <v>4666</v>
      </c>
      <c r="X3093" t="s">
        <v>4667</v>
      </c>
    </row>
    <row r="3094" spans="1:24" x14ac:dyDescent="0.2">
      <c r="A3094" t="s">
        <v>6375</v>
      </c>
      <c r="B3094" t="s">
        <v>2303</v>
      </c>
      <c r="C3094" t="s">
        <v>2304</v>
      </c>
      <c r="D3094" t="s">
        <v>56</v>
      </c>
      <c r="E3094" t="s">
        <v>1160</v>
      </c>
      <c r="F3094" t="s">
        <v>26</v>
      </c>
      <c r="G3094" s="202">
        <v>483.697</v>
      </c>
      <c r="H3094">
        <v>1</v>
      </c>
      <c r="I3094" t="s">
        <v>3954</v>
      </c>
      <c r="J3094" t="s">
        <v>6364</v>
      </c>
      <c r="K3094" t="s">
        <v>1283</v>
      </c>
      <c r="L3094" s="204">
        <v>0.3</v>
      </c>
      <c r="M3094" s="112">
        <v>19.012500000000003</v>
      </c>
      <c r="N3094" s="112">
        <v>5.7037500000000003</v>
      </c>
      <c r="O3094" s="204"/>
      <c r="P3094" s="112"/>
      <c r="Q3094" s="112"/>
      <c r="R3094" s="112"/>
      <c r="S3094" s="112"/>
      <c r="T3094" s="112"/>
      <c r="U3094" t="s">
        <v>6376</v>
      </c>
      <c r="V3094" t="s">
        <v>6377</v>
      </c>
      <c r="W3094" t="s">
        <v>3958</v>
      </c>
      <c r="X3094" t="s">
        <v>4660</v>
      </c>
    </row>
    <row r="3095" spans="1:24" x14ac:dyDescent="0.2">
      <c r="A3095" t="s">
        <v>6375</v>
      </c>
      <c r="B3095" t="s">
        <v>2303</v>
      </c>
      <c r="C3095" t="s">
        <v>2304</v>
      </c>
      <c r="D3095" t="s">
        <v>56</v>
      </c>
      <c r="E3095" t="s">
        <v>1160</v>
      </c>
      <c r="F3095" t="s">
        <v>26</v>
      </c>
      <c r="G3095" s="202">
        <v>483.697</v>
      </c>
      <c r="H3095">
        <v>2</v>
      </c>
      <c r="I3095" t="s">
        <v>3960</v>
      </c>
      <c r="J3095" t="s">
        <v>6367</v>
      </c>
      <c r="K3095" t="s">
        <v>1283</v>
      </c>
      <c r="L3095" s="204">
        <v>0.57999999999999996</v>
      </c>
      <c r="M3095" s="112">
        <v>19.012500000000003</v>
      </c>
      <c r="N3095" s="112">
        <v>11.02725</v>
      </c>
      <c r="O3095" s="204"/>
      <c r="P3095" s="112"/>
      <c r="Q3095" s="112"/>
      <c r="R3095" s="112"/>
      <c r="S3095" s="112"/>
      <c r="T3095" s="112"/>
      <c r="U3095" t="s">
        <v>6376</v>
      </c>
      <c r="V3095" t="s">
        <v>6377</v>
      </c>
      <c r="W3095" t="s">
        <v>3958</v>
      </c>
      <c r="X3095" t="s">
        <v>4660</v>
      </c>
    </row>
    <row r="3096" spans="1:24" x14ac:dyDescent="0.2">
      <c r="A3096" t="s">
        <v>6375</v>
      </c>
      <c r="B3096" t="s">
        <v>2303</v>
      </c>
      <c r="C3096" t="s">
        <v>2304</v>
      </c>
      <c r="D3096" t="s">
        <v>56</v>
      </c>
      <c r="E3096" t="s">
        <v>1160</v>
      </c>
      <c r="F3096" t="s">
        <v>26</v>
      </c>
      <c r="G3096" s="202">
        <v>483.697</v>
      </c>
      <c r="H3096">
        <v>3</v>
      </c>
      <c r="I3096" t="s">
        <v>3976</v>
      </c>
      <c r="J3096" t="s">
        <v>6368</v>
      </c>
      <c r="K3096" t="s">
        <v>1283</v>
      </c>
      <c r="L3096" s="204">
        <v>0.04</v>
      </c>
      <c r="M3096" s="112">
        <v>19.012500000000003</v>
      </c>
      <c r="N3096" s="112">
        <v>0.76050000000000018</v>
      </c>
      <c r="O3096" s="204"/>
      <c r="P3096" s="112"/>
      <c r="Q3096" s="112"/>
      <c r="R3096" s="112"/>
      <c r="S3096" s="112"/>
      <c r="T3096" s="112"/>
      <c r="U3096" t="s">
        <v>6376</v>
      </c>
      <c r="V3096" t="s">
        <v>6377</v>
      </c>
      <c r="W3096" t="s">
        <v>3958</v>
      </c>
      <c r="X3096" t="s">
        <v>4660</v>
      </c>
    </row>
    <row r="3097" spans="1:24" x14ac:dyDescent="0.2">
      <c r="A3097" t="s">
        <v>6375</v>
      </c>
      <c r="B3097" t="s">
        <v>2303</v>
      </c>
      <c r="C3097" t="s">
        <v>2304</v>
      </c>
      <c r="D3097" t="s">
        <v>56</v>
      </c>
      <c r="E3097" t="s">
        <v>1160</v>
      </c>
      <c r="F3097" t="s">
        <v>26</v>
      </c>
      <c r="G3097" s="202">
        <v>483.697</v>
      </c>
      <c r="H3097">
        <v>4</v>
      </c>
      <c r="I3097" t="s">
        <v>4017</v>
      </c>
      <c r="J3097" t="s">
        <v>4115</v>
      </c>
      <c r="K3097" t="s">
        <v>1283</v>
      </c>
      <c r="L3097" s="204">
        <v>0.08</v>
      </c>
      <c r="M3097" s="112">
        <v>19.012500000000003</v>
      </c>
      <c r="N3097" s="112">
        <v>1.5210000000000004</v>
      </c>
      <c r="O3097" s="204"/>
      <c r="P3097" s="112"/>
      <c r="Q3097" s="112"/>
      <c r="R3097" s="112"/>
      <c r="S3097" s="112"/>
      <c r="T3097" s="112"/>
      <c r="U3097" t="s">
        <v>6376</v>
      </c>
      <c r="V3097" t="s">
        <v>6377</v>
      </c>
      <c r="W3097" t="s">
        <v>3958</v>
      </c>
      <c r="X3097" t="s">
        <v>4660</v>
      </c>
    </row>
    <row r="3098" spans="1:24" x14ac:dyDescent="0.2">
      <c r="A3098" t="s">
        <v>6375</v>
      </c>
      <c r="B3098" t="s">
        <v>2303</v>
      </c>
      <c r="C3098" t="s">
        <v>2304</v>
      </c>
      <c r="D3098" t="s">
        <v>56</v>
      </c>
      <c r="E3098" t="s">
        <v>1160</v>
      </c>
      <c r="F3098" t="s">
        <v>26</v>
      </c>
      <c r="G3098" s="202">
        <v>483.697</v>
      </c>
      <c r="H3098">
        <v>5</v>
      </c>
      <c r="I3098" t="s">
        <v>3968</v>
      </c>
      <c r="J3098" t="s">
        <v>3969</v>
      </c>
      <c r="K3098" t="s">
        <v>26</v>
      </c>
      <c r="L3098" s="204">
        <v>1</v>
      </c>
      <c r="M3098" s="112"/>
      <c r="N3098" s="112">
        <v>19.012500000000003</v>
      </c>
      <c r="O3098" s="204">
        <v>0.22208966467951852</v>
      </c>
      <c r="P3098" s="112">
        <v>4.2224797497193478</v>
      </c>
      <c r="Q3098" s="112">
        <v>23.234979749719351</v>
      </c>
      <c r="R3098" s="112">
        <v>11238.69</v>
      </c>
      <c r="S3098" s="112">
        <v>11238.69</v>
      </c>
      <c r="T3098" s="112">
        <v>0</v>
      </c>
      <c r="U3098" t="s">
        <v>6376</v>
      </c>
      <c r="V3098" t="s">
        <v>6377</v>
      </c>
      <c r="W3098" t="s">
        <v>4666</v>
      </c>
      <c r="X3098" t="s">
        <v>4667</v>
      </c>
    </row>
    <row r="3099" spans="1:24" x14ac:dyDescent="0.2">
      <c r="A3099" t="s">
        <v>6378</v>
      </c>
      <c r="G3099" s="202"/>
      <c r="L3099" s="204"/>
      <c r="M3099" s="112"/>
      <c r="N3099" s="112"/>
      <c r="O3099" s="204"/>
      <c r="P3099" s="112"/>
      <c r="Q3099" s="112"/>
      <c r="R3099" s="112">
        <v>8947799.1100000069</v>
      </c>
      <c r="S3099" s="112">
        <v>8947799.1100000069</v>
      </c>
      <c r="T3099" s="112">
        <v>0</v>
      </c>
      <c r="W3099" t="s">
        <v>6379</v>
      </c>
      <c r="X3099" t="s">
        <v>6380</v>
      </c>
    </row>
  </sheetData>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620"/>
  <sheetViews>
    <sheetView workbookViewId="0"/>
  </sheetViews>
  <sheetFormatPr defaultRowHeight="12.75" x14ac:dyDescent="0.2"/>
  <cols>
    <col min="1" max="1" width="16" customWidth="1"/>
    <col min="2" max="2" width="12" customWidth="1"/>
    <col min="3" max="3" width="16" customWidth="1"/>
    <col min="4" max="4" width="14" customWidth="1"/>
    <col min="5" max="5" width="48" customWidth="1"/>
    <col min="6" max="7" width="18" customWidth="1"/>
    <col min="8" max="8" width="14" customWidth="1"/>
    <col min="9" max="9" width="16" customWidth="1"/>
    <col min="10" max="10" width="42" customWidth="1"/>
  </cols>
  <sheetData>
    <row r="1" spans="1:10" ht="25.5" x14ac:dyDescent="0.2">
      <c r="A1" s="207" t="s">
        <v>2316</v>
      </c>
      <c r="B1" s="207" t="s">
        <v>8</v>
      </c>
      <c r="C1" s="207" t="s">
        <v>9</v>
      </c>
      <c r="D1" s="207" t="s">
        <v>10</v>
      </c>
      <c r="E1" s="207" t="s">
        <v>11</v>
      </c>
      <c r="F1" s="207" t="s">
        <v>6381</v>
      </c>
      <c r="G1" s="207" t="s">
        <v>6382</v>
      </c>
      <c r="H1" s="207" t="s">
        <v>2330</v>
      </c>
      <c r="I1" s="207" t="s">
        <v>1300</v>
      </c>
      <c r="J1" s="207" t="s">
        <v>4537</v>
      </c>
    </row>
    <row r="2" spans="1:10" x14ac:dyDescent="0.2">
      <c r="A2" t="s">
        <v>4656</v>
      </c>
      <c r="B2" t="s">
        <v>22</v>
      </c>
      <c r="C2" t="s">
        <v>1317</v>
      </c>
      <c r="D2" t="s">
        <v>24</v>
      </c>
      <c r="E2" t="s">
        <v>1318</v>
      </c>
      <c r="F2" s="112">
        <v>111230.61</v>
      </c>
      <c r="G2" s="112">
        <v>111230.61</v>
      </c>
      <c r="H2" s="112">
        <v>0</v>
      </c>
      <c r="I2" t="s">
        <v>6383</v>
      </c>
      <c r="J2" t="s">
        <v>4659</v>
      </c>
    </row>
    <row r="3" spans="1:10" x14ac:dyDescent="0.2">
      <c r="A3" t="s">
        <v>4668</v>
      </c>
      <c r="B3" t="s">
        <v>27</v>
      </c>
      <c r="C3" t="s">
        <v>1321</v>
      </c>
      <c r="D3" t="s">
        <v>24</v>
      </c>
      <c r="E3" t="s">
        <v>29</v>
      </c>
      <c r="F3" s="112">
        <v>62236.05</v>
      </c>
      <c r="G3" s="112">
        <v>62236.05</v>
      </c>
      <c r="H3" s="112">
        <v>0</v>
      </c>
      <c r="I3" t="s">
        <v>6383</v>
      </c>
      <c r="J3" t="s">
        <v>4670</v>
      </c>
    </row>
    <row r="4" spans="1:10" x14ac:dyDescent="0.2">
      <c r="A4" t="s">
        <v>4671</v>
      </c>
      <c r="B4" t="s">
        <v>32</v>
      </c>
      <c r="C4" t="s">
        <v>1322</v>
      </c>
      <c r="D4" t="s">
        <v>24</v>
      </c>
      <c r="E4" t="s">
        <v>34</v>
      </c>
      <c r="F4" s="112">
        <v>11324.26</v>
      </c>
      <c r="G4" s="112">
        <v>11324.26</v>
      </c>
      <c r="H4" s="112">
        <v>0</v>
      </c>
      <c r="I4" t="s">
        <v>6383</v>
      </c>
      <c r="J4" t="s">
        <v>4673</v>
      </c>
    </row>
    <row r="5" spans="1:10" x14ac:dyDescent="0.2">
      <c r="A5" t="s">
        <v>4674</v>
      </c>
      <c r="B5" t="s">
        <v>36</v>
      </c>
      <c r="C5" t="s">
        <v>1324</v>
      </c>
      <c r="D5" t="s">
        <v>24</v>
      </c>
      <c r="E5" t="s">
        <v>1325</v>
      </c>
      <c r="F5" s="112">
        <v>6752.42</v>
      </c>
      <c r="G5" s="112">
        <v>6752.42</v>
      </c>
      <c r="H5" s="112">
        <v>0</v>
      </c>
      <c r="I5" t="s">
        <v>6383</v>
      </c>
      <c r="J5" t="s">
        <v>4676</v>
      </c>
    </row>
    <row r="6" spans="1:10" x14ac:dyDescent="0.2">
      <c r="A6" t="s">
        <v>4677</v>
      </c>
      <c r="B6" t="s">
        <v>39</v>
      </c>
      <c r="C6" t="s">
        <v>1326</v>
      </c>
      <c r="D6" t="s">
        <v>24</v>
      </c>
      <c r="E6" t="s">
        <v>41</v>
      </c>
      <c r="F6" s="112">
        <v>13515.37</v>
      </c>
      <c r="G6" s="112">
        <v>13515.37</v>
      </c>
      <c r="H6" s="112">
        <v>0</v>
      </c>
      <c r="I6" t="s">
        <v>6383</v>
      </c>
      <c r="J6" t="s">
        <v>4679</v>
      </c>
    </row>
    <row r="7" spans="1:10" x14ac:dyDescent="0.2">
      <c r="A7" t="s">
        <v>4680</v>
      </c>
      <c r="B7" t="s">
        <v>42</v>
      </c>
      <c r="C7" t="s">
        <v>1327</v>
      </c>
      <c r="D7" t="s">
        <v>24</v>
      </c>
      <c r="E7" t="s">
        <v>44</v>
      </c>
      <c r="F7" s="112">
        <v>6752.42</v>
      </c>
      <c r="G7" s="112">
        <v>6752.42</v>
      </c>
      <c r="H7" s="112">
        <v>0</v>
      </c>
      <c r="I7" t="s">
        <v>6383</v>
      </c>
      <c r="J7" t="s">
        <v>4682</v>
      </c>
    </row>
    <row r="8" spans="1:10" x14ac:dyDescent="0.2">
      <c r="A8" t="s">
        <v>4683</v>
      </c>
      <c r="B8" t="s">
        <v>46</v>
      </c>
      <c r="C8" t="s">
        <v>1328</v>
      </c>
      <c r="D8" t="s">
        <v>24</v>
      </c>
      <c r="E8" t="s">
        <v>1329</v>
      </c>
      <c r="F8" s="112">
        <v>10344.58</v>
      </c>
      <c r="G8" s="112">
        <v>10344.58</v>
      </c>
      <c r="H8" s="112">
        <v>0</v>
      </c>
      <c r="I8" t="s">
        <v>6383</v>
      </c>
      <c r="J8" t="s">
        <v>4685</v>
      </c>
    </row>
    <row r="9" spans="1:10" x14ac:dyDescent="0.2">
      <c r="A9" t="s">
        <v>4686</v>
      </c>
      <c r="B9" t="s">
        <v>49</v>
      </c>
      <c r="C9" t="s">
        <v>1330</v>
      </c>
      <c r="D9" t="s">
        <v>24</v>
      </c>
      <c r="E9" t="s">
        <v>51</v>
      </c>
      <c r="F9" s="112">
        <v>3328.8</v>
      </c>
      <c r="G9" s="112">
        <v>3328.8</v>
      </c>
      <c r="H9" s="112">
        <v>0</v>
      </c>
      <c r="I9" t="s">
        <v>6383</v>
      </c>
      <c r="J9" t="s">
        <v>4688</v>
      </c>
    </row>
    <row r="10" spans="1:10" x14ac:dyDescent="0.2">
      <c r="A10" t="s">
        <v>4689</v>
      </c>
      <c r="B10" t="s">
        <v>55</v>
      </c>
      <c r="C10" t="s">
        <v>1331</v>
      </c>
      <c r="D10" t="s">
        <v>56</v>
      </c>
      <c r="E10" t="s">
        <v>57</v>
      </c>
      <c r="F10" s="112">
        <v>144250.76</v>
      </c>
      <c r="G10" s="112">
        <v>144250.76</v>
      </c>
      <c r="H10" s="112">
        <v>0</v>
      </c>
      <c r="I10" t="s">
        <v>6383</v>
      </c>
      <c r="J10" t="s">
        <v>4691</v>
      </c>
    </row>
    <row r="11" spans="1:10" x14ac:dyDescent="0.2">
      <c r="A11" t="s">
        <v>4695</v>
      </c>
      <c r="B11" t="s">
        <v>59</v>
      </c>
      <c r="C11" t="s">
        <v>1332</v>
      </c>
      <c r="D11" t="s">
        <v>56</v>
      </c>
      <c r="E11" t="s">
        <v>60</v>
      </c>
      <c r="F11" s="112">
        <v>192877.2</v>
      </c>
      <c r="G11" s="112">
        <v>192877.2</v>
      </c>
      <c r="H11" s="112">
        <v>0</v>
      </c>
      <c r="I11" t="s">
        <v>6383</v>
      </c>
      <c r="J11" t="s">
        <v>4696</v>
      </c>
    </row>
    <row r="12" spans="1:10" x14ac:dyDescent="0.2">
      <c r="A12" t="s">
        <v>4697</v>
      </c>
      <c r="B12" t="s">
        <v>62</v>
      </c>
      <c r="C12" t="s">
        <v>1333</v>
      </c>
      <c r="D12" t="s">
        <v>56</v>
      </c>
      <c r="E12" t="s">
        <v>1334</v>
      </c>
      <c r="F12" s="112">
        <v>117463.38</v>
      </c>
      <c r="G12" s="112">
        <v>117463.38</v>
      </c>
      <c r="H12" s="112">
        <v>0</v>
      </c>
      <c r="I12" t="s">
        <v>6383</v>
      </c>
      <c r="J12" t="s">
        <v>4698</v>
      </c>
    </row>
    <row r="13" spans="1:10" x14ac:dyDescent="0.2">
      <c r="A13" t="s">
        <v>4699</v>
      </c>
      <c r="B13" t="s">
        <v>64</v>
      </c>
      <c r="C13" t="s">
        <v>1335</v>
      </c>
      <c r="D13" t="s">
        <v>56</v>
      </c>
      <c r="E13" t="s">
        <v>1336</v>
      </c>
      <c r="F13" s="112">
        <v>31104</v>
      </c>
      <c r="G13" s="112">
        <v>31104</v>
      </c>
      <c r="H13" s="112">
        <v>0</v>
      </c>
      <c r="I13" t="s">
        <v>6383</v>
      </c>
      <c r="J13" t="s">
        <v>4700</v>
      </c>
    </row>
    <row r="14" spans="1:10" x14ac:dyDescent="0.2">
      <c r="A14" t="s">
        <v>4701</v>
      </c>
      <c r="B14" t="s">
        <v>66</v>
      </c>
      <c r="C14" t="s">
        <v>1337</v>
      </c>
      <c r="D14" t="s">
        <v>24</v>
      </c>
      <c r="E14" t="s">
        <v>68</v>
      </c>
      <c r="F14" s="112">
        <v>197320.83</v>
      </c>
      <c r="G14" s="112">
        <v>197320.83</v>
      </c>
      <c r="H14" s="112">
        <v>0</v>
      </c>
      <c r="I14" t="s">
        <v>6383</v>
      </c>
      <c r="J14" t="s">
        <v>4703</v>
      </c>
    </row>
    <row r="15" spans="1:10" x14ac:dyDescent="0.2">
      <c r="A15" t="s">
        <v>4704</v>
      </c>
      <c r="B15" t="s">
        <v>69</v>
      </c>
      <c r="C15" t="s">
        <v>1338</v>
      </c>
      <c r="D15" t="s">
        <v>24</v>
      </c>
      <c r="E15" t="s">
        <v>1339</v>
      </c>
      <c r="F15" s="112">
        <v>14236.29</v>
      </c>
      <c r="G15" s="112">
        <v>14236.29</v>
      </c>
      <c r="H15" s="112">
        <v>0</v>
      </c>
      <c r="I15" t="s">
        <v>6383</v>
      </c>
      <c r="J15" t="s">
        <v>4708</v>
      </c>
    </row>
    <row r="16" spans="1:10" x14ac:dyDescent="0.2">
      <c r="A16" t="s">
        <v>4714</v>
      </c>
      <c r="B16" t="s">
        <v>75</v>
      </c>
      <c r="C16" t="s">
        <v>1340</v>
      </c>
      <c r="D16" t="s">
        <v>24</v>
      </c>
      <c r="E16" t="s">
        <v>77</v>
      </c>
      <c r="F16" s="112">
        <v>18836.5</v>
      </c>
      <c r="G16" s="112">
        <v>18836.5</v>
      </c>
      <c r="H16" s="112">
        <v>0</v>
      </c>
      <c r="I16" t="s">
        <v>6383</v>
      </c>
      <c r="J16" t="s">
        <v>4717</v>
      </c>
    </row>
    <row r="17" spans="1:10" x14ac:dyDescent="0.2">
      <c r="A17" t="s">
        <v>4721</v>
      </c>
      <c r="B17" t="s">
        <v>78</v>
      </c>
      <c r="C17" t="s">
        <v>1341</v>
      </c>
      <c r="D17" t="s">
        <v>24</v>
      </c>
      <c r="E17" t="s">
        <v>80</v>
      </c>
      <c r="F17" s="112">
        <v>22252.85</v>
      </c>
      <c r="G17" s="112">
        <v>22252.85</v>
      </c>
      <c r="H17" s="112">
        <v>0</v>
      </c>
      <c r="I17" t="s">
        <v>6383</v>
      </c>
      <c r="J17" t="s">
        <v>4723</v>
      </c>
    </row>
    <row r="18" spans="1:10" x14ac:dyDescent="0.2">
      <c r="A18" t="s">
        <v>4724</v>
      </c>
      <c r="B18" t="s">
        <v>81</v>
      </c>
      <c r="C18" t="s">
        <v>1342</v>
      </c>
      <c r="D18" t="s">
        <v>24</v>
      </c>
      <c r="E18" t="s">
        <v>1343</v>
      </c>
      <c r="F18" s="112">
        <v>9698.0400000000009</v>
      </c>
      <c r="G18" s="112">
        <v>9698.0400000000009</v>
      </c>
      <c r="H18" s="112">
        <v>0</v>
      </c>
      <c r="I18" t="s">
        <v>6383</v>
      </c>
      <c r="J18" t="s">
        <v>4726</v>
      </c>
    </row>
    <row r="19" spans="1:10" x14ac:dyDescent="0.2">
      <c r="A19" t="s">
        <v>4727</v>
      </c>
      <c r="B19" t="s">
        <v>85</v>
      </c>
      <c r="C19" t="s">
        <v>1344</v>
      </c>
      <c r="D19" t="s">
        <v>56</v>
      </c>
      <c r="E19" t="s">
        <v>86</v>
      </c>
      <c r="F19" s="112">
        <v>3528.36</v>
      </c>
      <c r="G19" s="112">
        <v>3528.36</v>
      </c>
      <c r="H19" s="112">
        <v>0</v>
      </c>
      <c r="I19" t="s">
        <v>6383</v>
      </c>
      <c r="J19" t="s">
        <v>4729</v>
      </c>
    </row>
    <row r="20" spans="1:10" x14ac:dyDescent="0.2">
      <c r="A20" t="s">
        <v>4730</v>
      </c>
      <c r="B20" t="s">
        <v>87</v>
      </c>
      <c r="C20" t="s">
        <v>1345</v>
      </c>
      <c r="D20" t="s">
        <v>24</v>
      </c>
      <c r="E20" t="s">
        <v>89</v>
      </c>
      <c r="F20" s="112">
        <v>4483.47</v>
      </c>
      <c r="G20" s="112">
        <v>4483.47</v>
      </c>
      <c r="H20" s="112">
        <v>0</v>
      </c>
      <c r="I20" t="s">
        <v>6383</v>
      </c>
      <c r="J20" t="s">
        <v>4732</v>
      </c>
    </row>
    <row r="21" spans="1:10" x14ac:dyDescent="0.2">
      <c r="A21" t="s">
        <v>4733</v>
      </c>
      <c r="B21" t="s">
        <v>90</v>
      </c>
      <c r="C21" t="s">
        <v>1346</v>
      </c>
      <c r="D21" t="s">
        <v>24</v>
      </c>
      <c r="E21" t="s">
        <v>92</v>
      </c>
      <c r="F21" s="112">
        <v>2417.08</v>
      </c>
      <c r="G21" s="112">
        <v>2417.08</v>
      </c>
      <c r="H21" s="112">
        <v>0</v>
      </c>
      <c r="I21" t="s">
        <v>6383</v>
      </c>
      <c r="J21" t="s">
        <v>4736</v>
      </c>
    </row>
    <row r="22" spans="1:10" x14ac:dyDescent="0.2">
      <c r="A22" t="s">
        <v>4742</v>
      </c>
      <c r="B22" t="s">
        <v>95</v>
      </c>
      <c r="C22" t="s">
        <v>1347</v>
      </c>
      <c r="D22" t="s">
        <v>56</v>
      </c>
      <c r="E22" t="s">
        <v>96</v>
      </c>
      <c r="F22" s="112">
        <v>41354.04</v>
      </c>
      <c r="G22" s="112">
        <v>41354.04</v>
      </c>
      <c r="H22" s="112">
        <v>0</v>
      </c>
      <c r="I22" t="s">
        <v>6383</v>
      </c>
      <c r="J22" t="s">
        <v>4743</v>
      </c>
    </row>
    <row r="23" spans="1:10" x14ac:dyDescent="0.2">
      <c r="A23" t="s">
        <v>4744</v>
      </c>
      <c r="B23" t="s">
        <v>97</v>
      </c>
      <c r="C23" t="s">
        <v>1348</v>
      </c>
      <c r="D23" t="s">
        <v>56</v>
      </c>
      <c r="E23" t="s">
        <v>98</v>
      </c>
      <c r="F23" s="112">
        <v>147623.76999999999</v>
      </c>
      <c r="G23" s="112">
        <v>147623.76999999999</v>
      </c>
      <c r="H23" s="112">
        <v>0</v>
      </c>
      <c r="I23" t="s">
        <v>6383</v>
      </c>
      <c r="J23" t="s">
        <v>4745</v>
      </c>
    </row>
    <row r="24" spans="1:10" x14ac:dyDescent="0.2">
      <c r="A24" t="s">
        <v>4746</v>
      </c>
      <c r="B24" t="s">
        <v>100</v>
      </c>
      <c r="C24" t="s">
        <v>1349</v>
      </c>
      <c r="D24" t="s">
        <v>56</v>
      </c>
      <c r="E24" t="s">
        <v>101</v>
      </c>
      <c r="F24" s="112">
        <v>20017.72</v>
      </c>
      <c r="G24" s="112">
        <v>20017.72</v>
      </c>
      <c r="H24" s="112">
        <v>0</v>
      </c>
      <c r="I24" t="s">
        <v>6383</v>
      </c>
      <c r="J24" t="s">
        <v>4747</v>
      </c>
    </row>
    <row r="25" spans="1:10" x14ac:dyDescent="0.2">
      <c r="A25" t="s">
        <v>4748</v>
      </c>
      <c r="B25" t="s">
        <v>103</v>
      </c>
      <c r="C25" t="s">
        <v>1350</v>
      </c>
      <c r="D25" t="s">
        <v>56</v>
      </c>
      <c r="E25" t="s">
        <v>1351</v>
      </c>
      <c r="F25" s="112">
        <v>21354.06</v>
      </c>
      <c r="G25" s="112">
        <v>21354.06</v>
      </c>
      <c r="H25" s="112">
        <v>0</v>
      </c>
      <c r="I25" t="s">
        <v>6383</v>
      </c>
      <c r="J25" t="s">
        <v>4749</v>
      </c>
    </row>
    <row r="26" spans="1:10" x14ac:dyDescent="0.2">
      <c r="A26" t="s">
        <v>4750</v>
      </c>
      <c r="B26" t="s">
        <v>109</v>
      </c>
      <c r="C26" t="s">
        <v>1352</v>
      </c>
      <c r="D26" t="s">
        <v>24</v>
      </c>
      <c r="E26" t="s">
        <v>111</v>
      </c>
      <c r="F26" s="112">
        <v>29372.17</v>
      </c>
      <c r="G26" s="112">
        <v>29372.17</v>
      </c>
      <c r="H26" s="112">
        <v>0</v>
      </c>
      <c r="I26" t="s">
        <v>6383</v>
      </c>
      <c r="J26" t="s">
        <v>4752</v>
      </c>
    </row>
    <row r="27" spans="1:10" x14ac:dyDescent="0.2">
      <c r="A27" t="s">
        <v>4753</v>
      </c>
      <c r="B27" t="s">
        <v>112</v>
      </c>
      <c r="C27" t="s">
        <v>1353</v>
      </c>
      <c r="D27" t="s">
        <v>24</v>
      </c>
      <c r="E27" t="s">
        <v>114</v>
      </c>
      <c r="F27" s="112">
        <v>6284.58</v>
      </c>
      <c r="G27" s="112">
        <v>6284.58</v>
      </c>
      <c r="H27" s="112">
        <v>0</v>
      </c>
      <c r="I27" t="s">
        <v>6383</v>
      </c>
      <c r="J27" t="s">
        <v>4755</v>
      </c>
    </row>
    <row r="28" spans="1:10" x14ac:dyDescent="0.2">
      <c r="A28" t="s">
        <v>4756</v>
      </c>
      <c r="B28" t="s">
        <v>115</v>
      </c>
      <c r="C28" t="s">
        <v>1354</v>
      </c>
      <c r="D28" t="s">
        <v>24</v>
      </c>
      <c r="E28" t="s">
        <v>117</v>
      </c>
      <c r="F28" s="112">
        <v>10073.77</v>
      </c>
      <c r="G28" s="112">
        <v>10073.77</v>
      </c>
      <c r="H28" s="112">
        <v>0</v>
      </c>
      <c r="I28" t="s">
        <v>6383</v>
      </c>
      <c r="J28" t="s">
        <v>4758</v>
      </c>
    </row>
    <row r="29" spans="1:10" x14ac:dyDescent="0.2">
      <c r="A29" t="s">
        <v>4759</v>
      </c>
      <c r="B29" t="s">
        <v>121</v>
      </c>
      <c r="C29" t="s">
        <v>1355</v>
      </c>
      <c r="D29" t="s">
        <v>24</v>
      </c>
      <c r="E29" t="s">
        <v>1356</v>
      </c>
      <c r="F29" s="112">
        <v>2364.3200000000002</v>
      </c>
      <c r="G29" s="112">
        <v>2364.3200000000002</v>
      </c>
      <c r="H29" s="112">
        <v>0</v>
      </c>
      <c r="I29" t="s">
        <v>6383</v>
      </c>
      <c r="J29" t="s">
        <v>4761</v>
      </c>
    </row>
    <row r="30" spans="1:10" x14ac:dyDescent="0.2">
      <c r="A30" t="s">
        <v>4762</v>
      </c>
      <c r="B30" t="s">
        <v>124</v>
      </c>
      <c r="C30" t="s">
        <v>1357</v>
      </c>
      <c r="D30" t="s">
        <v>24</v>
      </c>
      <c r="E30" t="s">
        <v>1358</v>
      </c>
      <c r="F30" s="112">
        <v>6913.4</v>
      </c>
      <c r="G30" s="112">
        <v>6913.4</v>
      </c>
      <c r="H30" s="112">
        <v>0</v>
      </c>
      <c r="I30" t="s">
        <v>6383</v>
      </c>
      <c r="J30" t="s">
        <v>4764</v>
      </c>
    </row>
    <row r="31" spans="1:10" x14ac:dyDescent="0.2">
      <c r="A31" t="s">
        <v>4765</v>
      </c>
      <c r="B31" t="s">
        <v>127</v>
      </c>
      <c r="C31" t="s">
        <v>1359</v>
      </c>
      <c r="D31" t="s">
        <v>24</v>
      </c>
      <c r="E31" t="s">
        <v>129</v>
      </c>
      <c r="F31" s="112">
        <v>5087.49</v>
      </c>
      <c r="G31" s="112">
        <v>5087.49</v>
      </c>
      <c r="H31" s="112">
        <v>0</v>
      </c>
      <c r="I31" t="s">
        <v>6383</v>
      </c>
      <c r="J31" t="s">
        <v>4767</v>
      </c>
    </row>
    <row r="32" spans="1:10" x14ac:dyDescent="0.2">
      <c r="A32" t="s">
        <v>4768</v>
      </c>
      <c r="B32" t="s">
        <v>130</v>
      </c>
      <c r="C32" t="s">
        <v>1360</v>
      </c>
      <c r="D32" t="s">
        <v>24</v>
      </c>
      <c r="E32" t="s">
        <v>132</v>
      </c>
      <c r="F32" s="112">
        <v>13332.52</v>
      </c>
      <c r="G32" s="112">
        <v>13332.52</v>
      </c>
      <c r="H32" s="112">
        <v>0</v>
      </c>
      <c r="I32" t="s">
        <v>6383</v>
      </c>
      <c r="J32" t="s">
        <v>4770</v>
      </c>
    </row>
    <row r="33" spans="1:10" x14ac:dyDescent="0.2">
      <c r="A33" t="s">
        <v>4771</v>
      </c>
      <c r="B33" t="s">
        <v>133</v>
      </c>
      <c r="C33" t="s">
        <v>1361</v>
      </c>
      <c r="D33" t="s">
        <v>24</v>
      </c>
      <c r="E33" t="s">
        <v>135</v>
      </c>
      <c r="F33" s="112">
        <v>359.19</v>
      </c>
      <c r="G33" s="112">
        <v>359.19</v>
      </c>
      <c r="H33" s="112">
        <v>0</v>
      </c>
      <c r="I33" t="s">
        <v>6383</v>
      </c>
      <c r="J33" t="s">
        <v>4773</v>
      </c>
    </row>
    <row r="34" spans="1:10" x14ac:dyDescent="0.2">
      <c r="A34" t="s">
        <v>4774</v>
      </c>
      <c r="B34" t="s">
        <v>138</v>
      </c>
      <c r="C34" t="s">
        <v>1362</v>
      </c>
      <c r="D34" t="s">
        <v>56</v>
      </c>
      <c r="E34" t="s">
        <v>139</v>
      </c>
      <c r="F34" s="112">
        <v>8394.2000000000007</v>
      </c>
      <c r="G34" s="112">
        <v>8394.2000000000007</v>
      </c>
      <c r="H34" s="112">
        <v>0</v>
      </c>
      <c r="I34" t="s">
        <v>6383</v>
      </c>
      <c r="J34" t="s">
        <v>4776</v>
      </c>
    </row>
    <row r="35" spans="1:10" x14ac:dyDescent="0.2">
      <c r="A35" t="s">
        <v>4777</v>
      </c>
      <c r="B35" t="s">
        <v>140</v>
      </c>
      <c r="C35" t="s">
        <v>1363</v>
      </c>
      <c r="D35" t="s">
        <v>56</v>
      </c>
      <c r="E35" t="s">
        <v>141</v>
      </c>
      <c r="F35" s="112">
        <v>478.86</v>
      </c>
      <c r="G35" s="112">
        <v>478.86</v>
      </c>
      <c r="H35" s="112">
        <v>0</v>
      </c>
      <c r="I35" t="s">
        <v>6383</v>
      </c>
      <c r="J35" t="s">
        <v>4779</v>
      </c>
    </row>
    <row r="36" spans="1:10" x14ac:dyDescent="0.2">
      <c r="A36" t="s">
        <v>4780</v>
      </c>
      <c r="B36" t="s">
        <v>142</v>
      </c>
      <c r="C36" t="s">
        <v>1364</v>
      </c>
      <c r="D36" t="s">
        <v>56</v>
      </c>
      <c r="E36" t="s">
        <v>143</v>
      </c>
      <c r="F36" s="112">
        <v>30113.55</v>
      </c>
      <c r="G36" s="112">
        <v>30113.55</v>
      </c>
      <c r="H36" s="112">
        <v>0</v>
      </c>
      <c r="I36" t="s">
        <v>6383</v>
      </c>
      <c r="J36" t="s">
        <v>4781</v>
      </c>
    </row>
    <row r="37" spans="1:10" x14ac:dyDescent="0.2">
      <c r="A37" t="s">
        <v>4782</v>
      </c>
      <c r="B37" t="s">
        <v>144</v>
      </c>
      <c r="C37" t="s">
        <v>1365</v>
      </c>
      <c r="D37" t="s">
        <v>56</v>
      </c>
      <c r="E37" t="s">
        <v>1366</v>
      </c>
      <c r="F37" s="112">
        <v>8492.5499999999993</v>
      </c>
      <c r="G37" s="112">
        <v>8492.5499999999993</v>
      </c>
      <c r="H37" s="112">
        <v>0</v>
      </c>
      <c r="I37" t="s">
        <v>6383</v>
      </c>
      <c r="J37" t="s">
        <v>4784</v>
      </c>
    </row>
    <row r="38" spans="1:10" x14ac:dyDescent="0.2">
      <c r="A38" t="s">
        <v>4785</v>
      </c>
      <c r="B38" t="s">
        <v>146</v>
      </c>
      <c r="C38" t="s">
        <v>1367</v>
      </c>
      <c r="D38" t="s">
        <v>56</v>
      </c>
      <c r="E38" t="s">
        <v>147</v>
      </c>
      <c r="F38" s="112">
        <v>604.27</v>
      </c>
      <c r="G38" s="112">
        <v>604.27</v>
      </c>
      <c r="H38" s="112">
        <v>0</v>
      </c>
      <c r="I38" t="s">
        <v>6383</v>
      </c>
      <c r="J38" t="s">
        <v>4787</v>
      </c>
    </row>
    <row r="39" spans="1:10" x14ac:dyDescent="0.2">
      <c r="A39" t="s">
        <v>4788</v>
      </c>
      <c r="B39" t="s">
        <v>148</v>
      </c>
      <c r="C39" t="s">
        <v>1368</v>
      </c>
      <c r="D39" t="s">
        <v>56</v>
      </c>
      <c r="E39" t="s">
        <v>149</v>
      </c>
      <c r="F39" s="112">
        <v>378.12</v>
      </c>
      <c r="G39" s="112">
        <v>378.12</v>
      </c>
      <c r="H39" s="112">
        <v>0</v>
      </c>
      <c r="I39" t="s">
        <v>6383</v>
      </c>
      <c r="J39" t="s">
        <v>4790</v>
      </c>
    </row>
    <row r="40" spans="1:10" x14ac:dyDescent="0.2">
      <c r="A40" t="s">
        <v>4791</v>
      </c>
      <c r="B40" t="s">
        <v>150</v>
      </c>
      <c r="C40" t="s">
        <v>1369</v>
      </c>
      <c r="D40" t="s">
        <v>56</v>
      </c>
      <c r="E40" t="s">
        <v>151</v>
      </c>
      <c r="F40" s="112">
        <v>1440.08</v>
      </c>
      <c r="G40" s="112">
        <v>1440.08</v>
      </c>
      <c r="H40" s="112">
        <v>0</v>
      </c>
      <c r="I40" t="s">
        <v>6383</v>
      </c>
      <c r="J40" t="s">
        <v>4793</v>
      </c>
    </row>
    <row r="41" spans="1:10" x14ac:dyDescent="0.2">
      <c r="A41" t="s">
        <v>4794</v>
      </c>
      <c r="B41" t="s">
        <v>152</v>
      </c>
      <c r="C41" t="s">
        <v>1370</v>
      </c>
      <c r="D41" t="s">
        <v>56</v>
      </c>
      <c r="E41" t="s">
        <v>1371</v>
      </c>
      <c r="F41" s="112">
        <v>6062.83</v>
      </c>
      <c r="G41" s="112">
        <v>6062.83</v>
      </c>
      <c r="H41" s="112">
        <v>0</v>
      </c>
      <c r="I41" t="s">
        <v>6383</v>
      </c>
      <c r="J41" t="s">
        <v>4796</v>
      </c>
    </row>
    <row r="42" spans="1:10" x14ac:dyDescent="0.2">
      <c r="A42" t="s">
        <v>4797</v>
      </c>
      <c r="B42" t="s">
        <v>157</v>
      </c>
      <c r="C42" t="s">
        <v>1372</v>
      </c>
      <c r="D42" t="s">
        <v>24</v>
      </c>
      <c r="E42" t="s">
        <v>159</v>
      </c>
      <c r="F42" s="112">
        <v>13081.14</v>
      </c>
      <c r="G42" s="112">
        <v>13081.14</v>
      </c>
      <c r="H42" s="112">
        <v>0</v>
      </c>
      <c r="I42" t="s">
        <v>6383</v>
      </c>
      <c r="J42" t="s">
        <v>4799</v>
      </c>
    </row>
    <row r="43" spans="1:10" x14ac:dyDescent="0.2">
      <c r="A43" t="s">
        <v>4803</v>
      </c>
      <c r="B43" t="s">
        <v>160</v>
      </c>
      <c r="C43" t="s">
        <v>161</v>
      </c>
      <c r="D43" t="s">
        <v>24</v>
      </c>
      <c r="E43" t="s">
        <v>162</v>
      </c>
      <c r="F43" s="112">
        <v>19373.900000000001</v>
      </c>
      <c r="G43" s="112">
        <v>19373.900000000001</v>
      </c>
      <c r="H43" s="112">
        <v>0</v>
      </c>
      <c r="I43" t="s">
        <v>6383</v>
      </c>
      <c r="J43" t="s">
        <v>4806</v>
      </c>
    </row>
    <row r="44" spans="1:10" x14ac:dyDescent="0.2">
      <c r="A44" t="s">
        <v>4810</v>
      </c>
      <c r="B44" t="s">
        <v>165</v>
      </c>
      <c r="C44" t="s">
        <v>1373</v>
      </c>
      <c r="D44" t="s">
        <v>56</v>
      </c>
      <c r="E44" t="s">
        <v>166</v>
      </c>
      <c r="F44" s="112">
        <v>462288.78</v>
      </c>
      <c r="G44" s="112">
        <v>462288.78</v>
      </c>
      <c r="H44" s="112">
        <v>0</v>
      </c>
      <c r="I44" t="s">
        <v>6383</v>
      </c>
      <c r="J44" t="s">
        <v>4811</v>
      </c>
    </row>
    <row r="45" spans="1:10" x14ac:dyDescent="0.2">
      <c r="A45" t="s">
        <v>4812</v>
      </c>
      <c r="B45" t="s">
        <v>167</v>
      </c>
      <c r="C45" t="s">
        <v>1374</v>
      </c>
      <c r="D45" t="s">
        <v>56</v>
      </c>
      <c r="E45" t="s">
        <v>1375</v>
      </c>
      <c r="F45" s="112">
        <v>3410.62</v>
      </c>
      <c r="G45" s="112">
        <v>3410.62</v>
      </c>
      <c r="H45" s="112">
        <v>0</v>
      </c>
      <c r="I45" t="s">
        <v>6383</v>
      </c>
      <c r="J45" t="s">
        <v>4814</v>
      </c>
    </row>
    <row r="46" spans="1:10" x14ac:dyDescent="0.2">
      <c r="A46" t="s">
        <v>4815</v>
      </c>
      <c r="B46" t="s">
        <v>172</v>
      </c>
      <c r="C46" t="s">
        <v>1376</v>
      </c>
      <c r="D46" t="s">
        <v>56</v>
      </c>
      <c r="E46" t="s">
        <v>1377</v>
      </c>
      <c r="F46" s="112">
        <v>1646.41</v>
      </c>
      <c r="G46" s="112">
        <v>1646.41</v>
      </c>
      <c r="H46" s="112">
        <v>0</v>
      </c>
      <c r="I46" t="s">
        <v>6383</v>
      </c>
      <c r="J46" t="s">
        <v>4817</v>
      </c>
    </row>
    <row r="47" spans="1:10" x14ac:dyDescent="0.2">
      <c r="A47" t="s">
        <v>4818</v>
      </c>
      <c r="B47" t="s">
        <v>174</v>
      </c>
      <c r="C47" t="s">
        <v>1378</v>
      </c>
      <c r="D47" t="s">
        <v>56</v>
      </c>
      <c r="E47" t="s">
        <v>175</v>
      </c>
      <c r="F47" s="112">
        <v>31177.52</v>
      </c>
      <c r="G47" s="112">
        <v>31177.52</v>
      </c>
      <c r="H47" s="112">
        <v>0</v>
      </c>
      <c r="I47" t="s">
        <v>6383</v>
      </c>
      <c r="J47" t="s">
        <v>4819</v>
      </c>
    </row>
    <row r="48" spans="1:10" x14ac:dyDescent="0.2">
      <c r="A48" t="s">
        <v>4820</v>
      </c>
      <c r="B48" t="s">
        <v>176</v>
      </c>
      <c r="C48" t="s">
        <v>1379</v>
      </c>
      <c r="D48" t="s">
        <v>56</v>
      </c>
      <c r="E48" t="s">
        <v>177</v>
      </c>
      <c r="F48" s="112">
        <v>25125.84</v>
      </c>
      <c r="G48" s="112">
        <v>25125.84</v>
      </c>
      <c r="H48" s="112">
        <v>0</v>
      </c>
      <c r="I48" t="s">
        <v>6383</v>
      </c>
      <c r="J48" t="s">
        <v>4821</v>
      </c>
    </row>
    <row r="49" spans="1:10" x14ac:dyDescent="0.2">
      <c r="A49" t="s">
        <v>4822</v>
      </c>
      <c r="B49" t="s">
        <v>178</v>
      </c>
      <c r="C49" t="s">
        <v>1380</v>
      </c>
      <c r="D49" t="s">
        <v>56</v>
      </c>
      <c r="E49" t="s">
        <v>179</v>
      </c>
      <c r="F49" s="112">
        <v>79.27</v>
      </c>
      <c r="G49" s="112">
        <v>79.27</v>
      </c>
      <c r="H49" s="112">
        <v>0</v>
      </c>
      <c r="I49" t="s">
        <v>6383</v>
      </c>
      <c r="J49" t="s">
        <v>4825</v>
      </c>
    </row>
    <row r="50" spans="1:10" x14ac:dyDescent="0.2">
      <c r="A50" t="s">
        <v>4828</v>
      </c>
      <c r="B50" t="s">
        <v>181</v>
      </c>
      <c r="C50" t="s">
        <v>1381</v>
      </c>
      <c r="D50" t="s">
        <v>56</v>
      </c>
      <c r="E50" t="s">
        <v>1382</v>
      </c>
      <c r="F50" s="112">
        <v>26070.94</v>
      </c>
      <c r="G50" s="112">
        <v>26070.94</v>
      </c>
      <c r="H50" s="112">
        <v>0</v>
      </c>
      <c r="I50" t="s">
        <v>6383</v>
      </c>
      <c r="J50" t="s">
        <v>4829</v>
      </c>
    </row>
    <row r="51" spans="1:10" x14ac:dyDescent="0.2">
      <c r="A51" t="s">
        <v>4830</v>
      </c>
      <c r="B51" t="s">
        <v>183</v>
      </c>
      <c r="C51" t="s">
        <v>1383</v>
      </c>
      <c r="D51" t="s">
        <v>56</v>
      </c>
      <c r="E51" t="s">
        <v>184</v>
      </c>
      <c r="F51" s="112">
        <v>3713.4</v>
      </c>
      <c r="G51" s="112">
        <v>3713.4</v>
      </c>
      <c r="H51" s="112">
        <v>0</v>
      </c>
      <c r="I51" t="s">
        <v>6383</v>
      </c>
      <c r="J51" t="s">
        <v>4832</v>
      </c>
    </row>
    <row r="52" spans="1:10" x14ac:dyDescent="0.2">
      <c r="A52" t="s">
        <v>4833</v>
      </c>
      <c r="B52" t="s">
        <v>185</v>
      </c>
      <c r="C52" t="s">
        <v>1384</v>
      </c>
      <c r="D52" t="s">
        <v>56</v>
      </c>
      <c r="E52" t="s">
        <v>186</v>
      </c>
      <c r="F52" s="112">
        <v>6264.83</v>
      </c>
      <c r="G52" s="112">
        <v>6264.83</v>
      </c>
      <c r="H52" s="112">
        <v>0</v>
      </c>
      <c r="I52" t="s">
        <v>6383</v>
      </c>
      <c r="J52" t="s">
        <v>4835</v>
      </c>
    </row>
    <row r="53" spans="1:10" x14ac:dyDescent="0.2">
      <c r="A53" t="s">
        <v>4836</v>
      </c>
      <c r="B53" t="s">
        <v>187</v>
      </c>
      <c r="C53" t="s">
        <v>1385</v>
      </c>
      <c r="D53" t="s">
        <v>56</v>
      </c>
      <c r="E53" t="s">
        <v>188</v>
      </c>
      <c r="F53" s="112">
        <v>9528.1</v>
      </c>
      <c r="G53" s="112">
        <v>9528.1</v>
      </c>
      <c r="H53" s="112">
        <v>0</v>
      </c>
      <c r="I53" t="s">
        <v>6383</v>
      </c>
      <c r="J53" t="s">
        <v>4838</v>
      </c>
    </row>
    <row r="54" spans="1:10" x14ac:dyDescent="0.2">
      <c r="A54" t="s">
        <v>4839</v>
      </c>
      <c r="B54" t="s">
        <v>189</v>
      </c>
      <c r="C54" t="s">
        <v>1386</v>
      </c>
      <c r="D54" t="s">
        <v>56</v>
      </c>
      <c r="E54" t="s">
        <v>190</v>
      </c>
      <c r="F54" s="112">
        <v>500.43</v>
      </c>
      <c r="G54" s="112">
        <v>500.43</v>
      </c>
      <c r="H54" s="112">
        <v>0</v>
      </c>
      <c r="I54" t="s">
        <v>6383</v>
      </c>
      <c r="J54" t="s">
        <v>4841</v>
      </c>
    </row>
    <row r="55" spans="1:10" x14ac:dyDescent="0.2">
      <c r="A55" t="s">
        <v>4842</v>
      </c>
      <c r="B55" t="s">
        <v>1387</v>
      </c>
      <c r="C55" t="s">
        <v>1383</v>
      </c>
      <c r="D55" t="s">
        <v>56</v>
      </c>
      <c r="E55" t="s">
        <v>184</v>
      </c>
      <c r="F55" s="112">
        <v>127.64</v>
      </c>
      <c r="G55" s="112">
        <v>127.64</v>
      </c>
      <c r="H55" s="112">
        <v>0</v>
      </c>
      <c r="I55" t="s">
        <v>6383</v>
      </c>
      <c r="J55" t="s">
        <v>4843</v>
      </c>
    </row>
    <row r="56" spans="1:10" x14ac:dyDescent="0.2">
      <c r="A56" t="s">
        <v>4844</v>
      </c>
      <c r="B56" t="s">
        <v>1388</v>
      </c>
      <c r="C56" t="s">
        <v>1389</v>
      </c>
      <c r="D56" t="s">
        <v>56</v>
      </c>
      <c r="E56" t="s">
        <v>191</v>
      </c>
      <c r="F56" s="112">
        <v>42865.07</v>
      </c>
      <c r="G56" s="112">
        <v>42865.07</v>
      </c>
      <c r="H56" s="112">
        <v>0</v>
      </c>
      <c r="I56" t="s">
        <v>6383</v>
      </c>
      <c r="J56" t="s">
        <v>4845</v>
      </c>
    </row>
    <row r="57" spans="1:10" x14ac:dyDescent="0.2">
      <c r="A57" t="s">
        <v>4846</v>
      </c>
      <c r="B57" t="s">
        <v>1390</v>
      </c>
      <c r="C57" t="s">
        <v>1391</v>
      </c>
      <c r="D57" t="s">
        <v>56</v>
      </c>
      <c r="E57" t="s">
        <v>192</v>
      </c>
      <c r="F57" s="112">
        <v>27737.439999999999</v>
      </c>
      <c r="G57" s="112">
        <v>27737.439999999999</v>
      </c>
      <c r="H57" s="112">
        <v>0</v>
      </c>
      <c r="I57" t="s">
        <v>6383</v>
      </c>
      <c r="J57" t="s">
        <v>4848</v>
      </c>
    </row>
    <row r="58" spans="1:10" x14ac:dyDescent="0.2">
      <c r="A58" t="s">
        <v>4852</v>
      </c>
      <c r="B58" t="s">
        <v>1392</v>
      </c>
      <c r="C58" t="s">
        <v>1393</v>
      </c>
      <c r="D58" t="s">
        <v>24</v>
      </c>
      <c r="E58" t="s">
        <v>194</v>
      </c>
      <c r="F58" s="112">
        <v>35920.639999999999</v>
      </c>
      <c r="G58" s="112">
        <v>35920.639999999999</v>
      </c>
      <c r="H58" s="112">
        <v>0</v>
      </c>
      <c r="I58" t="s">
        <v>6383</v>
      </c>
      <c r="J58" t="s">
        <v>4854</v>
      </c>
    </row>
    <row r="59" spans="1:10" x14ac:dyDescent="0.2">
      <c r="A59" t="s">
        <v>4855</v>
      </c>
      <c r="B59" t="s">
        <v>197</v>
      </c>
      <c r="C59" t="s">
        <v>1394</v>
      </c>
      <c r="D59" t="s">
        <v>56</v>
      </c>
      <c r="E59" t="s">
        <v>198</v>
      </c>
      <c r="F59" s="112">
        <v>69482.100000000006</v>
      </c>
      <c r="G59" s="112">
        <v>69482.100000000006</v>
      </c>
      <c r="H59" s="112">
        <v>0</v>
      </c>
      <c r="I59" t="s">
        <v>6383</v>
      </c>
      <c r="J59" t="s">
        <v>4856</v>
      </c>
    </row>
    <row r="60" spans="1:10" x14ac:dyDescent="0.2">
      <c r="A60" t="s">
        <v>4857</v>
      </c>
      <c r="B60" t="s">
        <v>199</v>
      </c>
      <c r="C60" t="s">
        <v>1395</v>
      </c>
      <c r="D60" t="s">
        <v>56</v>
      </c>
      <c r="E60" t="s">
        <v>200</v>
      </c>
      <c r="F60" s="112">
        <v>18257.72</v>
      </c>
      <c r="G60" s="112">
        <v>18257.72</v>
      </c>
      <c r="H60" s="112">
        <v>0</v>
      </c>
      <c r="I60" t="s">
        <v>6383</v>
      </c>
      <c r="J60" t="s">
        <v>4858</v>
      </c>
    </row>
    <row r="61" spans="1:10" x14ac:dyDescent="0.2">
      <c r="A61" t="s">
        <v>4859</v>
      </c>
      <c r="B61" t="s">
        <v>201</v>
      </c>
      <c r="C61" t="s">
        <v>1396</v>
      </c>
      <c r="D61" t="s">
        <v>56</v>
      </c>
      <c r="E61" t="s">
        <v>202</v>
      </c>
      <c r="F61" s="112">
        <v>431.45</v>
      </c>
      <c r="G61" s="112">
        <v>431.45</v>
      </c>
      <c r="H61" s="112">
        <v>0</v>
      </c>
      <c r="I61" t="s">
        <v>6383</v>
      </c>
      <c r="J61" t="s">
        <v>4861</v>
      </c>
    </row>
    <row r="62" spans="1:10" x14ac:dyDescent="0.2">
      <c r="A62" t="s">
        <v>4862</v>
      </c>
      <c r="B62" t="s">
        <v>203</v>
      </c>
      <c r="C62" t="s">
        <v>1397</v>
      </c>
      <c r="D62" t="s">
        <v>56</v>
      </c>
      <c r="E62" t="s">
        <v>204</v>
      </c>
      <c r="F62" s="112">
        <v>20850.169999999998</v>
      </c>
      <c r="G62" s="112">
        <v>20850.169999999998</v>
      </c>
      <c r="H62" s="112">
        <v>0</v>
      </c>
      <c r="I62" t="s">
        <v>6383</v>
      </c>
      <c r="J62" t="s">
        <v>4863</v>
      </c>
    </row>
    <row r="63" spans="1:10" x14ac:dyDescent="0.2">
      <c r="A63" t="s">
        <v>4864</v>
      </c>
      <c r="B63" t="s">
        <v>205</v>
      </c>
      <c r="C63" t="s">
        <v>1398</v>
      </c>
      <c r="D63" t="s">
        <v>56</v>
      </c>
      <c r="E63" t="s">
        <v>206</v>
      </c>
      <c r="F63" s="112">
        <v>6085.88</v>
      </c>
      <c r="G63" s="112">
        <v>6085.88</v>
      </c>
      <c r="H63" s="112">
        <v>0</v>
      </c>
      <c r="I63" t="s">
        <v>6383</v>
      </c>
      <c r="J63" t="s">
        <v>4866</v>
      </c>
    </row>
    <row r="64" spans="1:10" x14ac:dyDescent="0.2">
      <c r="A64" t="s">
        <v>4867</v>
      </c>
      <c r="B64" t="s">
        <v>207</v>
      </c>
      <c r="C64" t="s">
        <v>208</v>
      </c>
      <c r="D64" t="s">
        <v>209</v>
      </c>
      <c r="E64" t="s">
        <v>210</v>
      </c>
      <c r="F64" s="112">
        <v>33517.730000000003</v>
      </c>
      <c r="G64" s="112">
        <v>33517.730000000003</v>
      </c>
      <c r="H64" s="112">
        <v>0</v>
      </c>
      <c r="I64" t="s">
        <v>6383</v>
      </c>
      <c r="J64" t="s">
        <v>4297</v>
      </c>
    </row>
    <row r="65" spans="1:10" x14ac:dyDescent="0.2">
      <c r="A65" t="s">
        <v>4868</v>
      </c>
      <c r="B65" t="s">
        <v>213</v>
      </c>
      <c r="C65" t="s">
        <v>1399</v>
      </c>
      <c r="D65" t="s">
        <v>56</v>
      </c>
      <c r="E65" t="s">
        <v>214</v>
      </c>
      <c r="F65" s="112">
        <v>202728.79</v>
      </c>
      <c r="G65" s="112">
        <v>202728.79</v>
      </c>
      <c r="H65" s="112">
        <v>0</v>
      </c>
      <c r="I65" t="s">
        <v>6383</v>
      </c>
      <c r="J65" t="s">
        <v>4869</v>
      </c>
    </row>
    <row r="66" spans="1:10" x14ac:dyDescent="0.2">
      <c r="A66" t="s">
        <v>4870</v>
      </c>
      <c r="B66" t="s">
        <v>215</v>
      </c>
      <c r="C66" t="s">
        <v>1400</v>
      </c>
      <c r="D66" t="s">
        <v>56</v>
      </c>
      <c r="E66" t="s">
        <v>216</v>
      </c>
      <c r="F66" s="112">
        <v>184944.08</v>
      </c>
      <c r="G66" s="112">
        <v>184944.08</v>
      </c>
      <c r="H66" s="112">
        <v>0</v>
      </c>
      <c r="I66" t="s">
        <v>6383</v>
      </c>
      <c r="J66" t="s">
        <v>4871</v>
      </c>
    </row>
    <row r="67" spans="1:10" x14ac:dyDescent="0.2">
      <c r="A67" t="s">
        <v>4872</v>
      </c>
      <c r="B67" t="s">
        <v>217</v>
      </c>
      <c r="C67" t="s">
        <v>1401</v>
      </c>
      <c r="D67" t="s">
        <v>56</v>
      </c>
      <c r="E67" t="s">
        <v>218</v>
      </c>
      <c r="F67" s="112">
        <v>104938.27</v>
      </c>
      <c r="G67" s="112">
        <v>104938.27</v>
      </c>
      <c r="H67" s="112">
        <v>0</v>
      </c>
      <c r="I67" t="s">
        <v>6383</v>
      </c>
      <c r="J67" t="s">
        <v>4873</v>
      </c>
    </row>
    <row r="68" spans="1:10" x14ac:dyDescent="0.2">
      <c r="A68" t="s">
        <v>4874</v>
      </c>
      <c r="B68" t="s">
        <v>219</v>
      </c>
      <c r="C68" t="s">
        <v>1395</v>
      </c>
      <c r="D68" t="s">
        <v>56</v>
      </c>
      <c r="E68" t="s">
        <v>200</v>
      </c>
      <c r="F68" s="112">
        <v>28476.48</v>
      </c>
      <c r="G68" s="112">
        <v>28476.48</v>
      </c>
      <c r="H68" s="112">
        <v>0</v>
      </c>
      <c r="I68" t="s">
        <v>6383</v>
      </c>
      <c r="J68" t="s">
        <v>4875</v>
      </c>
    </row>
    <row r="69" spans="1:10" x14ac:dyDescent="0.2">
      <c r="A69" t="s">
        <v>4876</v>
      </c>
      <c r="B69" t="s">
        <v>221</v>
      </c>
      <c r="C69" t="s">
        <v>1396</v>
      </c>
      <c r="D69" t="s">
        <v>56</v>
      </c>
      <c r="E69" t="s">
        <v>202</v>
      </c>
      <c r="F69" s="112">
        <v>6852.75</v>
      </c>
      <c r="G69" s="112">
        <v>6852.75</v>
      </c>
      <c r="H69" s="112">
        <v>0</v>
      </c>
      <c r="I69" t="s">
        <v>6383</v>
      </c>
      <c r="J69" t="s">
        <v>4877</v>
      </c>
    </row>
    <row r="70" spans="1:10" x14ac:dyDescent="0.2">
      <c r="A70" t="s">
        <v>4878</v>
      </c>
      <c r="B70" t="s">
        <v>223</v>
      </c>
      <c r="C70" t="s">
        <v>1402</v>
      </c>
      <c r="D70" t="s">
        <v>56</v>
      </c>
      <c r="E70" t="s">
        <v>1403</v>
      </c>
      <c r="F70" s="112">
        <v>10526.42</v>
      </c>
      <c r="G70" s="112">
        <v>10526.42</v>
      </c>
      <c r="H70" s="112">
        <v>0</v>
      </c>
      <c r="I70" t="s">
        <v>6383</v>
      </c>
      <c r="J70" t="s">
        <v>4880</v>
      </c>
    </row>
    <row r="71" spans="1:10" x14ac:dyDescent="0.2">
      <c r="A71" t="s">
        <v>4881</v>
      </c>
      <c r="B71" t="s">
        <v>225</v>
      </c>
      <c r="C71" t="s">
        <v>1397</v>
      </c>
      <c r="D71" t="s">
        <v>56</v>
      </c>
      <c r="E71" t="s">
        <v>204</v>
      </c>
      <c r="F71" s="112">
        <v>34417.83</v>
      </c>
      <c r="G71" s="112">
        <v>34417.83</v>
      </c>
      <c r="H71" s="112">
        <v>0</v>
      </c>
      <c r="I71" t="s">
        <v>6383</v>
      </c>
      <c r="J71" t="s">
        <v>4882</v>
      </c>
    </row>
    <row r="72" spans="1:10" x14ac:dyDescent="0.2">
      <c r="A72" t="s">
        <v>4883</v>
      </c>
      <c r="B72" t="s">
        <v>227</v>
      </c>
      <c r="C72" t="s">
        <v>1398</v>
      </c>
      <c r="D72" t="s">
        <v>56</v>
      </c>
      <c r="E72" t="s">
        <v>206</v>
      </c>
      <c r="F72" s="112">
        <v>13726.96</v>
      </c>
      <c r="G72" s="112">
        <v>13726.96</v>
      </c>
      <c r="H72" s="112">
        <v>0</v>
      </c>
      <c r="I72" t="s">
        <v>6383</v>
      </c>
      <c r="J72" t="s">
        <v>4884</v>
      </c>
    </row>
    <row r="73" spans="1:10" x14ac:dyDescent="0.2">
      <c r="A73" t="s">
        <v>4885</v>
      </c>
      <c r="B73" t="s">
        <v>229</v>
      </c>
      <c r="C73" t="s">
        <v>1404</v>
      </c>
      <c r="D73" t="s">
        <v>56</v>
      </c>
      <c r="E73" t="s">
        <v>1405</v>
      </c>
      <c r="F73" s="112">
        <v>10144.67</v>
      </c>
      <c r="G73" s="112">
        <v>10144.67</v>
      </c>
      <c r="H73" s="112">
        <v>0</v>
      </c>
      <c r="I73" t="s">
        <v>6383</v>
      </c>
      <c r="J73" t="s">
        <v>4887</v>
      </c>
    </row>
    <row r="74" spans="1:10" x14ac:dyDescent="0.2">
      <c r="A74" t="s">
        <v>4888</v>
      </c>
      <c r="B74" t="s">
        <v>1406</v>
      </c>
      <c r="C74" t="s">
        <v>1407</v>
      </c>
      <c r="D74" t="s">
        <v>56</v>
      </c>
      <c r="E74" t="s">
        <v>231</v>
      </c>
      <c r="F74" s="112">
        <v>68060.87</v>
      </c>
      <c r="G74" s="112">
        <v>68060.87</v>
      </c>
      <c r="H74" s="112">
        <v>0</v>
      </c>
      <c r="I74" t="s">
        <v>6383</v>
      </c>
      <c r="J74" t="s">
        <v>4889</v>
      </c>
    </row>
    <row r="75" spans="1:10" x14ac:dyDescent="0.2">
      <c r="A75" t="s">
        <v>4890</v>
      </c>
      <c r="B75" t="s">
        <v>1408</v>
      </c>
      <c r="C75" t="s">
        <v>1409</v>
      </c>
      <c r="D75" t="s">
        <v>56</v>
      </c>
      <c r="E75" t="s">
        <v>232</v>
      </c>
      <c r="F75" s="112">
        <v>90410.76</v>
      </c>
      <c r="G75" s="112">
        <v>90410.76</v>
      </c>
      <c r="H75" s="112">
        <v>0</v>
      </c>
      <c r="I75" t="s">
        <v>6383</v>
      </c>
      <c r="J75" t="s">
        <v>4891</v>
      </c>
    </row>
    <row r="76" spans="1:10" x14ac:dyDescent="0.2">
      <c r="A76" t="s">
        <v>4892</v>
      </c>
      <c r="B76" t="s">
        <v>1410</v>
      </c>
      <c r="C76" t="s">
        <v>1411</v>
      </c>
      <c r="D76" t="s">
        <v>56</v>
      </c>
      <c r="E76" t="s">
        <v>233</v>
      </c>
      <c r="F76" s="112">
        <v>53836.959999999999</v>
      </c>
      <c r="G76" s="112">
        <v>53836.959999999999</v>
      </c>
      <c r="H76" s="112">
        <v>0</v>
      </c>
      <c r="I76" t="s">
        <v>6383</v>
      </c>
      <c r="J76" t="s">
        <v>4893</v>
      </c>
    </row>
    <row r="77" spans="1:10" x14ac:dyDescent="0.2">
      <c r="A77" t="s">
        <v>4894</v>
      </c>
      <c r="B77" t="s">
        <v>1412</v>
      </c>
      <c r="C77" t="s">
        <v>1413</v>
      </c>
      <c r="D77" t="s">
        <v>56</v>
      </c>
      <c r="E77" t="s">
        <v>234</v>
      </c>
      <c r="F77" s="112">
        <v>16846.009999999998</v>
      </c>
      <c r="G77" s="112">
        <v>16846.009999999998</v>
      </c>
      <c r="H77" s="112">
        <v>0</v>
      </c>
      <c r="I77" t="s">
        <v>6383</v>
      </c>
      <c r="J77" t="s">
        <v>4896</v>
      </c>
    </row>
    <row r="78" spans="1:10" x14ac:dyDescent="0.2">
      <c r="A78" t="s">
        <v>4897</v>
      </c>
      <c r="B78" t="s">
        <v>1414</v>
      </c>
      <c r="C78" t="s">
        <v>1415</v>
      </c>
      <c r="D78" t="s">
        <v>56</v>
      </c>
      <c r="E78" t="s">
        <v>235</v>
      </c>
      <c r="F78" s="112">
        <v>1492.66</v>
      </c>
      <c r="G78" s="112">
        <v>1492.66</v>
      </c>
      <c r="H78" s="112">
        <v>0</v>
      </c>
      <c r="I78" t="s">
        <v>6383</v>
      </c>
      <c r="J78" t="s">
        <v>4899</v>
      </c>
    </row>
    <row r="79" spans="1:10" x14ac:dyDescent="0.2">
      <c r="A79" t="s">
        <v>4900</v>
      </c>
      <c r="B79" t="s">
        <v>1416</v>
      </c>
      <c r="C79" t="s">
        <v>236</v>
      </c>
      <c r="D79" t="s">
        <v>209</v>
      </c>
      <c r="E79" t="s">
        <v>271</v>
      </c>
      <c r="F79" s="112">
        <v>94069.42</v>
      </c>
      <c r="G79" s="112">
        <v>94069.42</v>
      </c>
      <c r="H79" s="112">
        <v>0</v>
      </c>
      <c r="I79" t="s">
        <v>6383</v>
      </c>
      <c r="J79" t="s">
        <v>4107</v>
      </c>
    </row>
    <row r="80" spans="1:10" x14ac:dyDescent="0.2">
      <c r="A80" t="s">
        <v>4901</v>
      </c>
      <c r="B80" t="s">
        <v>240</v>
      </c>
      <c r="C80" t="s">
        <v>1417</v>
      </c>
      <c r="D80" t="s">
        <v>56</v>
      </c>
      <c r="E80" t="s">
        <v>241</v>
      </c>
      <c r="F80" s="112">
        <v>3763.15</v>
      </c>
      <c r="G80" s="112">
        <v>3763.15</v>
      </c>
      <c r="H80" s="112">
        <v>0</v>
      </c>
      <c r="I80" t="s">
        <v>6383</v>
      </c>
      <c r="J80" t="s">
        <v>4903</v>
      </c>
    </row>
    <row r="81" spans="1:10" x14ac:dyDescent="0.2">
      <c r="A81" t="s">
        <v>4904</v>
      </c>
      <c r="B81" t="s">
        <v>242</v>
      </c>
      <c r="C81" t="s">
        <v>1418</v>
      </c>
      <c r="D81" t="s">
        <v>56</v>
      </c>
      <c r="E81" t="s">
        <v>243</v>
      </c>
      <c r="F81" s="112">
        <v>5533.36</v>
      </c>
      <c r="G81" s="112">
        <v>5533.36</v>
      </c>
      <c r="H81" s="112">
        <v>0</v>
      </c>
      <c r="I81" t="s">
        <v>6383</v>
      </c>
      <c r="J81" t="s">
        <v>4906</v>
      </c>
    </row>
    <row r="82" spans="1:10" x14ac:dyDescent="0.2">
      <c r="A82" t="s">
        <v>4907</v>
      </c>
      <c r="B82" t="s">
        <v>244</v>
      </c>
      <c r="C82" t="s">
        <v>1419</v>
      </c>
      <c r="D82" t="s">
        <v>56</v>
      </c>
      <c r="E82" t="s">
        <v>1420</v>
      </c>
      <c r="F82" s="112">
        <v>608.41999999999996</v>
      </c>
      <c r="G82" s="112">
        <v>608.41999999999996</v>
      </c>
      <c r="H82" s="112">
        <v>0</v>
      </c>
      <c r="I82" t="s">
        <v>6383</v>
      </c>
      <c r="J82" t="s">
        <v>4909</v>
      </c>
    </row>
    <row r="83" spans="1:10" x14ac:dyDescent="0.2">
      <c r="A83" t="s">
        <v>4910</v>
      </c>
      <c r="B83" t="s">
        <v>246</v>
      </c>
      <c r="C83" t="s">
        <v>1421</v>
      </c>
      <c r="D83" t="s">
        <v>56</v>
      </c>
      <c r="E83" t="s">
        <v>1422</v>
      </c>
      <c r="F83" s="112">
        <v>1036.8900000000001</v>
      </c>
      <c r="G83" s="112">
        <v>1036.8900000000001</v>
      </c>
      <c r="H83" s="112">
        <v>0</v>
      </c>
      <c r="I83" t="s">
        <v>6383</v>
      </c>
      <c r="J83" t="s">
        <v>4912</v>
      </c>
    </row>
    <row r="84" spans="1:10" x14ac:dyDescent="0.2">
      <c r="A84" t="s">
        <v>4913</v>
      </c>
      <c r="B84" t="s">
        <v>248</v>
      </c>
      <c r="C84" t="s">
        <v>1423</v>
      </c>
      <c r="D84" t="s">
        <v>56</v>
      </c>
      <c r="E84" t="s">
        <v>1424</v>
      </c>
      <c r="F84" s="112">
        <v>739.3</v>
      </c>
      <c r="G84" s="112">
        <v>739.3</v>
      </c>
      <c r="H84" s="112">
        <v>0</v>
      </c>
      <c r="I84" t="s">
        <v>6383</v>
      </c>
      <c r="J84" t="s">
        <v>4915</v>
      </c>
    </row>
    <row r="85" spans="1:10" x14ac:dyDescent="0.2">
      <c r="A85" t="s">
        <v>4916</v>
      </c>
      <c r="B85" t="s">
        <v>250</v>
      </c>
      <c r="C85" t="s">
        <v>1425</v>
      </c>
      <c r="D85" t="s">
        <v>56</v>
      </c>
      <c r="E85" t="s">
        <v>251</v>
      </c>
      <c r="F85" s="112">
        <v>2426.83</v>
      </c>
      <c r="G85" s="112">
        <v>2426.83</v>
      </c>
      <c r="H85" s="112">
        <v>0</v>
      </c>
      <c r="I85" t="s">
        <v>6383</v>
      </c>
      <c r="J85" t="s">
        <v>4918</v>
      </c>
    </row>
    <row r="86" spans="1:10" x14ac:dyDescent="0.2">
      <c r="A86" t="s">
        <v>4919</v>
      </c>
      <c r="B86" t="s">
        <v>254</v>
      </c>
      <c r="C86" t="s">
        <v>1400</v>
      </c>
      <c r="D86" t="s">
        <v>56</v>
      </c>
      <c r="E86" t="s">
        <v>216</v>
      </c>
      <c r="F86" s="112">
        <v>7409.52</v>
      </c>
      <c r="G86" s="112">
        <v>7409.52</v>
      </c>
      <c r="H86" s="112">
        <v>0</v>
      </c>
      <c r="I86" t="s">
        <v>6383</v>
      </c>
      <c r="J86" t="s">
        <v>4920</v>
      </c>
    </row>
    <row r="87" spans="1:10" x14ac:dyDescent="0.2">
      <c r="A87" t="s">
        <v>4921</v>
      </c>
      <c r="B87" t="s">
        <v>256</v>
      </c>
      <c r="C87" t="s">
        <v>1426</v>
      </c>
      <c r="D87" t="s">
        <v>24</v>
      </c>
      <c r="E87" t="s">
        <v>1427</v>
      </c>
      <c r="F87" s="112">
        <v>21286.52</v>
      </c>
      <c r="G87" s="112">
        <v>21286.52</v>
      </c>
      <c r="H87" s="112">
        <v>0</v>
      </c>
      <c r="I87" t="s">
        <v>6383</v>
      </c>
      <c r="J87" t="s">
        <v>4923</v>
      </c>
    </row>
    <row r="88" spans="1:10" x14ac:dyDescent="0.2">
      <c r="A88" t="s">
        <v>4924</v>
      </c>
      <c r="B88" t="s">
        <v>259</v>
      </c>
      <c r="C88" t="s">
        <v>1401</v>
      </c>
      <c r="D88" t="s">
        <v>56</v>
      </c>
      <c r="E88" t="s">
        <v>218</v>
      </c>
      <c r="F88" s="112">
        <v>1909</v>
      </c>
      <c r="G88" s="112">
        <v>1909</v>
      </c>
      <c r="H88" s="112">
        <v>0</v>
      </c>
      <c r="I88" t="s">
        <v>6383</v>
      </c>
      <c r="J88" t="s">
        <v>4925</v>
      </c>
    </row>
    <row r="89" spans="1:10" x14ac:dyDescent="0.2">
      <c r="A89" t="s">
        <v>4926</v>
      </c>
      <c r="B89" t="s">
        <v>261</v>
      </c>
      <c r="C89" t="s">
        <v>1407</v>
      </c>
      <c r="D89" t="s">
        <v>56</v>
      </c>
      <c r="E89" t="s">
        <v>231</v>
      </c>
      <c r="F89" s="112">
        <v>3904.51</v>
      </c>
      <c r="G89" s="112">
        <v>3904.51</v>
      </c>
      <c r="H89" s="112">
        <v>0</v>
      </c>
      <c r="I89" t="s">
        <v>6383</v>
      </c>
      <c r="J89" t="s">
        <v>4927</v>
      </c>
    </row>
    <row r="90" spans="1:10" x14ac:dyDescent="0.2">
      <c r="A90" t="s">
        <v>4928</v>
      </c>
      <c r="B90" t="s">
        <v>262</v>
      </c>
      <c r="C90" t="s">
        <v>1411</v>
      </c>
      <c r="D90" t="s">
        <v>56</v>
      </c>
      <c r="E90" t="s">
        <v>233</v>
      </c>
      <c r="F90" s="112">
        <v>8038.42</v>
      </c>
      <c r="G90" s="112">
        <v>8038.42</v>
      </c>
      <c r="H90" s="112">
        <v>0</v>
      </c>
      <c r="I90" t="s">
        <v>6383</v>
      </c>
      <c r="J90" t="s">
        <v>4929</v>
      </c>
    </row>
    <row r="91" spans="1:10" x14ac:dyDescent="0.2">
      <c r="A91" t="s">
        <v>4930</v>
      </c>
      <c r="B91" t="s">
        <v>263</v>
      </c>
      <c r="C91" t="s">
        <v>1413</v>
      </c>
      <c r="D91" t="s">
        <v>56</v>
      </c>
      <c r="E91" t="s">
        <v>234</v>
      </c>
      <c r="F91" s="112">
        <v>2289.54</v>
      </c>
      <c r="G91" s="112">
        <v>2289.54</v>
      </c>
      <c r="H91" s="112">
        <v>0</v>
      </c>
      <c r="I91" t="s">
        <v>6383</v>
      </c>
      <c r="J91" t="s">
        <v>4931</v>
      </c>
    </row>
    <row r="92" spans="1:10" x14ac:dyDescent="0.2">
      <c r="A92" t="s">
        <v>4932</v>
      </c>
      <c r="B92" t="s">
        <v>264</v>
      </c>
      <c r="C92" t="s">
        <v>1415</v>
      </c>
      <c r="D92" t="s">
        <v>56</v>
      </c>
      <c r="E92" t="s">
        <v>235</v>
      </c>
      <c r="F92" s="112">
        <v>212.33</v>
      </c>
      <c r="G92" s="112">
        <v>212.33</v>
      </c>
      <c r="H92" s="112">
        <v>0</v>
      </c>
      <c r="I92" t="s">
        <v>6383</v>
      </c>
      <c r="J92" t="s">
        <v>4933</v>
      </c>
    </row>
    <row r="93" spans="1:10" x14ac:dyDescent="0.2">
      <c r="A93" t="s">
        <v>4934</v>
      </c>
      <c r="B93" t="s">
        <v>265</v>
      </c>
      <c r="C93" t="s">
        <v>1428</v>
      </c>
      <c r="D93" t="s">
        <v>56</v>
      </c>
      <c r="E93" t="s">
        <v>266</v>
      </c>
      <c r="F93" s="112">
        <v>4966.63</v>
      </c>
      <c r="G93" s="112">
        <v>4966.63</v>
      </c>
      <c r="H93" s="112">
        <v>0</v>
      </c>
      <c r="I93" t="s">
        <v>6383</v>
      </c>
      <c r="J93" t="s">
        <v>4936</v>
      </c>
    </row>
    <row r="94" spans="1:10" x14ac:dyDescent="0.2">
      <c r="A94" t="s">
        <v>4937</v>
      </c>
      <c r="B94" t="s">
        <v>267</v>
      </c>
      <c r="C94" t="s">
        <v>1429</v>
      </c>
      <c r="D94" t="s">
        <v>56</v>
      </c>
      <c r="E94" t="s">
        <v>268</v>
      </c>
      <c r="F94" s="112">
        <v>10858.12</v>
      </c>
      <c r="G94" s="112">
        <v>10858.12</v>
      </c>
      <c r="H94" s="112">
        <v>0</v>
      </c>
      <c r="I94" t="s">
        <v>6383</v>
      </c>
      <c r="J94" t="s">
        <v>4939</v>
      </c>
    </row>
    <row r="95" spans="1:10" x14ac:dyDescent="0.2">
      <c r="A95" t="s">
        <v>4940</v>
      </c>
      <c r="B95" t="s">
        <v>1430</v>
      </c>
      <c r="C95" t="s">
        <v>1431</v>
      </c>
      <c r="D95" t="s">
        <v>56</v>
      </c>
      <c r="E95" t="s">
        <v>269</v>
      </c>
      <c r="F95" s="112">
        <v>2948.04</v>
      </c>
      <c r="G95" s="112">
        <v>2948.04</v>
      </c>
      <c r="H95" s="112">
        <v>0</v>
      </c>
      <c r="I95" t="s">
        <v>6383</v>
      </c>
      <c r="J95" t="s">
        <v>4942</v>
      </c>
    </row>
    <row r="96" spans="1:10" x14ac:dyDescent="0.2">
      <c r="A96" t="s">
        <v>4943</v>
      </c>
      <c r="B96" t="s">
        <v>1432</v>
      </c>
      <c r="C96" t="s">
        <v>1433</v>
      </c>
      <c r="D96" t="s">
        <v>56</v>
      </c>
      <c r="E96" t="s">
        <v>270</v>
      </c>
      <c r="F96" s="112">
        <v>475.25</v>
      </c>
      <c r="G96" s="112">
        <v>475.25</v>
      </c>
      <c r="H96" s="112">
        <v>0</v>
      </c>
      <c r="I96" t="s">
        <v>6383</v>
      </c>
      <c r="J96" t="s">
        <v>4945</v>
      </c>
    </row>
    <row r="97" spans="1:10" x14ac:dyDescent="0.2">
      <c r="A97" t="s">
        <v>4946</v>
      </c>
      <c r="B97" t="s">
        <v>1434</v>
      </c>
      <c r="C97" t="s">
        <v>236</v>
      </c>
      <c r="D97" t="s">
        <v>209</v>
      </c>
      <c r="E97" t="s">
        <v>271</v>
      </c>
      <c r="F97" s="112">
        <v>12971.88</v>
      </c>
      <c r="G97" s="112">
        <v>12971.88</v>
      </c>
      <c r="H97" s="112">
        <v>0</v>
      </c>
      <c r="I97" t="s">
        <v>6383</v>
      </c>
      <c r="J97" t="s">
        <v>4406</v>
      </c>
    </row>
    <row r="98" spans="1:10" x14ac:dyDescent="0.2">
      <c r="A98" t="s">
        <v>4947</v>
      </c>
      <c r="B98" t="s">
        <v>1435</v>
      </c>
      <c r="C98" t="s">
        <v>272</v>
      </c>
      <c r="D98" t="s">
        <v>209</v>
      </c>
      <c r="E98" t="s">
        <v>273</v>
      </c>
      <c r="F98" s="112">
        <v>9622.68</v>
      </c>
      <c r="G98" s="112">
        <v>9622.68</v>
      </c>
      <c r="H98" s="112">
        <v>0</v>
      </c>
      <c r="I98" t="s">
        <v>6383</v>
      </c>
      <c r="J98" t="s">
        <v>4439</v>
      </c>
    </row>
    <row r="99" spans="1:10" x14ac:dyDescent="0.2">
      <c r="A99" t="s">
        <v>4948</v>
      </c>
      <c r="B99" t="s">
        <v>1436</v>
      </c>
      <c r="C99" t="s">
        <v>1393</v>
      </c>
      <c r="D99" t="s">
        <v>24</v>
      </c>
      <c r="E99" t="s">
        <v>194</v>
      </c>
      <c r="F99" s="112">
        <v>11498.08</v>
      </c>
      <c r="G99" s="112">
        <v>11498.08</v>
      </c>
      <c r="H99" s="112">
        <v>0</v>
      </c>
      <c r="I99" t="s">
        <v>6383</v>
      </c>
      <c r="J99" t="s">
        <v>4949</v>
      </c>
    </row>
    <row r="100" spans="1:10" x14ac:dyDescent="0.2">
      <c r="A100" t="s">
        <v>4950</v>
      </c>
      <c r="B100" t="s">
        <v>276</v>
      </c>
      <c r="C100" t="s">
        <v>1437</v>
      </c>
      <c r="D100" t="s">
        <v>56</v>
      </c>
      <c r="E100" t="s">
        <v>277</v>
      </c>
      <c r="F100" s="112">
        <v>4504.8500000000004</v>
      </c>
      <c r="G100" s="112">
        <v>4504.8500000000004</v>
      </c>
      <c r="H100" s="112">
        <v>0</v>
      </c>
      <c r="I100" t="s">
        <v>6383</v>
      </c>
      <c r="J100" t="s">
        <v>4952</v>
      </c>
    </row>
    <row r="101" spans="1:10" x14ac:dyDescent="0.2">
      <c r="A101" t="s">
        <v>4953</v>
      </c>
      <c r="B101" t="s">
        <v>278</v>
      </c>
      <c r="C101" t="s">
        <v>1394</v>
      </c>
      <c r="D101" t="s">
        <v>56</v>
      </c>
      <c r="E101" t="s">
        <v>198</v>
      </c>
      <c r="F101" s="112">
        <v>15509.78</v>
      </c>
      <c r="G101" s="112">
        <v>15509.78</v>
      </c>
      <c r="H101" s="112">
        <v>0</v>
      </c>
      <c r="I101" t="s">
        <v>6383</v>
      </c>
      <c r="J101" t="s">
        <v>4954</v>
      </c>
    </row>
    <row r="102" spans="1:10" x14ac:dyDescent="0.2">
      <c r="A102" t="s">
        <v>4955</v>
      </c>
      <c r="B102" t="s">
        <v>279</v>
      </c>
      <c r="C102" t="s">
        <v>1399</v>
      </c>
      <c r="D102" t="s">
        <v>56</v>
      </c>
      <c r="E102" t="s">
        <v>214</v>
      </c>
      <c r="F102" s="112">
        <v>45363.33</v>
      </c>
      <c r="G102" s="112">
        <v>45363.33</v>
      </c>
      <c r="H102" s="112">
        <v>0</v>
      </c>
      <c r="I102" t="s">
        <v>6383</v>
      </c>
      <c r="J102" t="s">
        <v>4956</v>
      </c>
    </row>
    <row r="103" spans="1:10" x14ac:dyDescent="0.2">
      <c r="A103" t="s">
        <v>4957</v>
      </c>
      <c r="B103" t="s">
        <v>280</v>
      </c>
      <c r="C103" t="s">
        <v>1385</v>
      </c>
      <c r="D103" t="s">
        <v>56</v>
      </c>
      <c r="E103" t="s">
        <v>188</v>
      </c>
      <c r="F103" s="112">
        <v>7702.11</v>
      </c>
      <c r="G103" s="112">
        <v>7702.11</v>
      </c>
      <c r="H103" s="112">
        <v>0</v>
      </c>
      <c r="I103" t="s">
        <v>6383</v>
      </c>
      <c r="J103" t="s">
        <v>4958</v>
      </c>
    </row>
    <row r="104" spans="1:10" x14ac:dyDescent="0.2">
      <c r="A104" t="s">
        <v>4959</v>
      </c>
      <c r="B104" t="s">
        <v>281</v>
      </c>
      <c r="C104" t="s">
        <v>1395</v>
      </c>
      <c r="D104" t="s">
        <v>56</v>
      </c>
      <c r="E104" t="s">
        <v>200</v>
      </c>
      <c r="F104" s="112">
        <v>9914.58</v>
      </c>
      <c r="G104" s="112">
        <v>9914.58</v>
      </c>
      <c r="H104" s="112">
        <v>0</v>
      </c>
      <c r="I104" t="s">
        <v>6383</v>
      </c>
      <c r="J104" t="s">
        <v>4960</v>
      </c>
    </row>
    <row r="105" spans="1:10" x14ac:dyDescent="0.2">
      <c r="A105" t="s">
        <v>4961</v>
      </c>
      <c r="B105" t="s">
        <v>283</v>
      </c>
      <c r="C105" t="s">
        <v>1402</v>
      </c>
      <c r="D105" t="s">
        <v>56</v>
      </c>
      <c r="E105" t="s">
        <v>1403</v>
      </c>
      <c r="F105" s="112">
        <v>8119.37</v>
      </c>
      <c r="G105" s="112">
        <v>8119.37</v>
      </c>
      <c r="H105" s="112">
        <v>0</v>
      </c>
      <c r="I105" t="s">
        <v>6383</v>
      </c>
      <c r="J105" t="s">
        <v>4962</v>
      </c>
    </row>
    <row r="106" spans="1:10" x14ac:dyDescent="0.2">
      <c r="A106" t="s">
        <v>4963</v>
      </c>
      <c r="B106" t="s">
        <v>284</v>
      </c>
      <c r="C106" t="s">
        <v>1397</v>
      </c>
      <c r="D106" t="s">
        <v>56</v>
      </c>
      <c r="E106" t="s">
        <v>204</v>
      </c>
      <c r="F106" s="112">
        <v>6793.51</v>
      </c>
      <c r="G106" s="112">
        <v>6793.51</v>
      </c>
      <c r="H106" s="112">
        <v>0</v>
      </c>
      <c r="I106" t="s">
        <v>6383</v>
      </c>
      <c r="J106" t="s">
        <v>4964</v>
      </c>
    </row>
    <row r="107" spans="1:10" x14ac:dyDescent="0.2">
      <c r="A107" t="s">
        <v>4965</v>
      </c>
      <c r="B107" t="s">
        <v>285</v>
      </c>
      <c r="C107" t="s">
        <v>1438</v>
      </c>
      <c r="D107" t="s">
        <v>56</v>
      </c>
      <c r="E107" t="s">
        <v>286</v>
      </c>
      <c r="F107" s="112">
        <v>5778.28</v>
      </c>
      <c r="G107" s="112">
        <v>5778.28</v>
      </c>
      <c r="H107" s="112">
        <v>0</v>
      </c>
      <c r="I107" t="s">
        <v>6383</v>
      </c>
      <c r="J107" t="s">
        <v>4967</v>
      </c>
    </row>
    <row r="108" spans="1:10" x14ac:dyDescent="0.2">
      <c r="A108" t="s">
        <v>4968</v>
      </c>
      <c r="B108" t="s">
        <v>287</v>
      </c>
      <c r="C108" t="s">
        <v>208</v>
      </c>
      <c r="D108" t="s">
        <v>209</v>
      </c>
      <c r="E108" t="s">
        <v>210</v>
      </c>
      <c r="F108" s="112">
        <v>4832.8100000000004</v>
      </c>
      <c r="G108" s="112">
        <v>4832.8100000000004</v>
      </c>
      <c r="H108" s="112">
        <v>0</v>
      </c>
      <c r="I108" t="s">
        <v>6383</v>
      </c>
      <c r="J108" t="s">
        <v>4474</v>
      </c>
    </row>
    <row r="109" spans="1:10" x14ac:dyDescent="0.2">
      <c r="A109" t="s">
        <v>4969</v>
      </c>
      <c r="B109" t="s">
        <v>1439</v>
      </c>
      <c r="C109" t="s">
        <v>236</v>
      </c>
      <c r="D109" t="s">
        <v>209</v>
      </c>
      <c r="E109" t="s">
        <v>271</v>
      </c>
      <c r="F109" s="112">
        <v>11829.55</v>
      </c>
      <c r="G109" s="112">
        <v>11829.55</v>
      </c>
      <c r="H109" s="112">
        <v>0</v>
      </c>
      <c r="I109" t="s">
        <v>6383</v>
      </c>
      <c r="J109" t="s">
        <v>4416</v>
      </c>
    </row>
    <row r="110" spans="1:10" x14ac:dyDescent="0.2">
      <c r="A110" t="s">
        <v>4970</v>
      </c>
      <c r="B110" t="s">
        <v>1440</v>
      </c>
      <c r="C110" t="s">
        <v>1391</v>
      </c>
      <c r="D110" t="s">
        <v>56</v>
      </c>
      <c r="E110" t="s">
        <v>192</v>
      </c>
      <c r="F110" s="112">
        <v>8756.99</v>
      </c>
      <c r="G110" s="112">
        <v>8756.99</v>
      </c>
      <c r="H110" s="112">
        <v>0</v>
      </c>
      <c r="I110" t="s">
        <v>6383</v>
      </c>
      <c r="J110" t="s">
        <v>4971</v>
      </c>
    </row>
    <row r="111" spans="1:10" x14ac:dyDescent="0.2">
      <c r="A111" t="s">
        <v>4972</v>
      </c>
      <c r="B111" t="s">
        <v>291</v>
      </c>
      <c r="C111" t="s">
        <v>1441</v>
      </c>
      <c r="D111" t="s">
        <v>56</v>
      </c>
      <c r="E111" t="s">
        <v>292</v>
      </c>
      <c r="F111" s="112">
        <v>61039.07</v>
      </c>
      <c r="G111" s="112">
        <v>61039.07</v>
      </c>
      <c r="H111" s="112">
        <v>0</v>
      </c>
      <c r="I111" t="s">
        <v>6383</v>
      </c>
      <c r="J111" t="s">
        <v>4973</v>
      </c>
    </row>
    <row r="112" spans="1:10" x14ac:dyDescent="0.2">
      <c r="A112" t="s">
        <v>4974</v>
      </c>
      <c r="B112" t="s">
        <v>293</v>
      </c>
      <c r="C112" t="s">
        <v>1442</v>
      </c>
      <c r="D112" t="s">
        <v>56</v>
      </c>
      <c r="E112" t="s">
        <v>294</v>
      </c>
      <c r="F112" s="112">
        <v>8113.2</v>
      </c>
      <c r="G112" s="112">
        <v>8113.2</v>
      </c>
      <c r="H112" s="112">
        <v>0</v>
      </c>
      <c r="I112" t="s">
        <v>6383</v>
      </c>
      <c r="J112" t="s">
        <v>4976</v>
      </c>
    </row>
    <row r="113" spans="1:10" x14ac:dyDescent="0.2">
      <c r="A113" t="s">
        <v>4977</v>
      </c>
      <c r="B113" t="s">
        <v>295</v>
      </c>
      <c r="C113" t="s">
        <v>1443</v>
      </c>
      <c r="D113" t="s">
        <v>56</v>
      </c>
      <c r="E113" t="s">
        <v>296</v>
      </c>
      <c r="F113" s="112">
        <v>74929.960000000006</v>
      </c>
      <c r="G113" s="112">
        <v>74929.960000000006</v>
      </c>
      <c r="H113" s="112">
        <v>0</v>
      </c>
      <c r="I113" t="s">
        <v>6383</v>
      </c>
      <c r="J113" t="s">
        <v>4978</v>
      </c>
    </row>
    <row r="114" spans="1:10" x14ac:dyDescent="0.2">
      <c r="A114" t="s">
        <v>4979</v>
      </c>
      <c r="B114" t="s">
        <v>297</v>
      </c>
      <c r="C114" t="s">
        <v>1444</v>
      </c>
      <c r="D114" t="s">
        <v>56</v>
      </c>
      <c r="E114" t="s">
        <v>1445</v>
      </c>
      <c r="F114" s="112">
        <v>4903.01</v>
      </c>
      <c r="G114" s="112">
        <v>4903.01</v>
      </c>
      <c r="H114" s="112">
        <v>0</v>
      </c>
      <c r="I114" t="s">
        <v>6383</v>
      </c>
      <c r="J114" t="s">
        <v>4981</v>
      </c>
    </row>
    <row r="115" spans="1:10" x14ac:dyDescent="0.2">
      <c r="A115" t="s">
        <v>4982</v>
      </c>
      <c r="B115" t="s">
        <v>299</v>
      </c>
      <c r="C115" t="s">
        <v>1446</v>
      </c>
      <c r="D115" t="s">
        <v>56</v>
      </c>
      <c r="E115" t="s">
        <v>300</v>
      </c>
      <c r="F115" s="112">
        <v>3845.56</v>
      </c>
      <c r="G115" s="112">
        <v>3845.56</v>
      </c>
      <c r="H115" s="112">
        <v>0</v>
      </c>
      <c r="I115" t="s">
        <v>6383</v>
      </c>
      <c r="J115" t="s">
        <v>4984</v>
      </c>
    </row>
    <row r="116" spans="1:10" x14ac:dyDescent="0.2">
      <c r="A116" t="s">
        <v>4985</v>
      </c>
      <c r="B116" t="s">
        <v>301</v>
      </c>
      <c r="C116" t="s">
        <v>1447</v>
      </c>
      <c r="D116" t="s">
        <v>56</v>
      </c>
      <c r="E116" t="s">
        <v>1448</v>
      </c>
      <c r="F116" s="112">
        <v>2640.04</v>
      </c>
      <c r="G116" s="112">
        <v>2640.04</v>
      </c>
      <c r="H116" s="112">
        <v>0</v>
      </c>
      <c r="I116" t="s">
        <v>6383</v>
      </c>
      <c r="J116" t="s">
        <v>4987</v>
      </c>
    </row>
    <row r="117" spans="1:10" x14ac:dyDescent="0.2">
      <c r="A117" t="s">
        <v>4988</v>
      </c>
      <c r="B117" t="s">
        <v>303</v>
      </c>
      <c r="C117" t="s">
        <v>1449</v>
      </c>
      <c r="D117" t="s">
        <v>56</v>
      </c>
      <c r="E117" t="s">
        <v>1450</v>
      </c>
      <c r="F117" s="112">
        <v>5485.75</v>
      </c>
      <c r="G117" s="112">
        <v>5485.75</v>
      </c>
      <c r="H117" s="112">
        <v>0</v>
      </c>
      <c r="I117" t="s">
        <v>6383</v>
      </c>
      <c r="J117" t="s">
        <v>4990</v>
      </c>
    </row>
    <row r="118" spans="1:10" x14ac:dyDescent="0.2">
      <c r="A118" t="s">
        <v>4991</v>
      </c>
      <c r="B118" t="s">
        <v>307</v>
      </c>
      <c r="C118" t="s">
        <v>1451</v>
      </c>
      <c r="D118" t="s">
        <v>56</v>
      </c>
      <c r="E118" t="s">
        <v>308</v>
      </c>
      <c r="F118" s="112">
        <v>81841.83</v>
      </c>
      <c r="G118" s="112">
        <v>81841.83</v>
      </c>
      <c r="H118" s="112">
        <v>0</v>
      </c>
      <c r="I118" t="s">
        <v>6383</v>
      </c>
      <c r="J118" t="s">
        <v>4993</v>
      </c>
    </row>
    <row r="119" spans="1:10" x14ac:dyDescent="0.2">
      <c r="A119" t="s">
        <v>4996</v>
      </c>
      <c r="B119" t="s">
        <v>309</v>
      </c>
      <c r="C119" t="s">
        <v>310</v>
      </c>
      <c r="D119" t="s">
        <v>209</v>
      </c>
      <c r="E119" t="s">
        <v>311</v>
      </c>
      <c r="F119" s="112">
        <v>74500.69</v>
      </c>
      <c r="G119" s="112">
        <v>74500.69</v>
      </c>
      <c r="H119" s="112">
        <v>0</v>
      </c>
      <c r="I119" t="s">
        <v>6383</v>
      </c>
      <c r="J119" t="s">
        <v>4159</v>
      </c>
    </row>
    <row r="120" spans="1:10" x14ac:dyDescent="0.2">
      <c r="A120" t="s">
        <v>4997</v>
      </c>
      <c r="B120" t="s">
        <v>312</v>
      </c>
      <c r="C120" t="s">
        <v>1452</v>
      </c>
      <c r="D120" t="s">
        <v>24</v>
      </c>
      <c r="E120" t="s">
        <v>314</v>
      </c>
      <c r="F120" s="112">
        <v>60817.25</v>
      </c>
      <c r="G120" s="112">
        <v>60817.25</v>
      </c>
      <c r="H120" s="112">
        <v>0</v>
      </c>
      <c r="I120" t="s">
        <v>6383</v>
      </c>
      <c r="J120" t="s">
        <v>4999</v>
      </c>
    </row>
    <row r="121" spans="1:10" x14ac:dyDescent="0.2">
      <c r="A121" t="s">
        <v>5000</v>
      </c>
      <c r="B121" t="s">
        <v>315</v>
      </c>
      <c r="C121" t="s">
        <v>316</v>
      </c>
      <c r="D121" t="s">
        <v>317</v>
      </c>
      <c r="E121" t="s">
        <v>318</v>
      </c>
      <c r="F121" s="112">
        <v>100251.8</v>
      </c>
      <c r="G121" s="112">
        <v>100251.8</v>
      </c>
      <c r="H121" s="112">
        <v>0</v>
      </c>
      <c r="I121" t="s">
        <v>6383</v>
      </c>
      <c r="J121" t="s">
        <v>5002</v>
      </c>
    </row>
    <row r="122" spans="1:10" x14ac:dyDescent="0.2">
      <c r="A122" t="s">
        <v>5003</v>
      </c>
      <c r="B122" t="s">
        <v>319</v>
      </c>
      <c r="C122" t="s">
        <v>1453</v>
      </c>
      <c r="D122" t="s">
        <v>56</v>
      </c>
      <c r="E122" t="s">
        <v>320</v>
      </c>
      <c r="F122" s="112">
        <v>47658.57</v>
      </c>
      <c r="G122" s="112">
        <v>47658.57</v>
      </c>
      <c r="H122" s="112">
        <v>0</v>
      </c>
      <c r="I122" t="s">
        <v>6383</v>
      </c>
      <c r="J122" t="s">
        <v>5004</v>
      </c>
    </row>
    <row r="123" spans="1:10" x14ac:dyDescent="0.2">
      <c r="A123" t="s">
        <v>5005</v>
      </c>
      <c r="B123" t="s">
        <v>321</v>
      </c>
      <c r="C123" t="s">
        <v>322</v>
      </c>
      <c r="D123" t="s">
        <v>209</v>
      </c>
      <c r="E123" t="s">
        <v>323</v>
      </c>
      <c r="F123" s="112">
        <v>11134.89</v>
      </c>
      <c r="G123" s="112">
        <v>11134.89</v>
      </c>
      <c r="H123" s="112">
        <v>0</v>
      </c>
      <c r="I123" t="s">
        <v>6383</v>
      </c>
      <c r="J123" t="s">
        <v>5006</v>
      </c>
    </row>
    <row r="124" spans="1:10" x14ac:dyDescent="0.2">
      <c r="A124" t="s">
        <v>5007</v>
      </c>
      <c r="B124" t="s">
        <v>326</v>
      </c>
      <c r="C124" t="s">
        <v>1454</v>
      </c>
      <c r="D124" t="s">
        <v>56</v>
      </c>
      <c r="E124" t="s">
        <v>1455</v>
      </c>
      <c r="F124" s="112">
        <v>34854.1</v>
      </c>
      <c r="G124" s="112">
        <v>34854.1</v>
      </c>
      <c r="H124" s="112">
        <v>0</v>
      </c>
      <c r="I124" t="s">
        <v>6383</v>
      </c>
      <c r="J124" t="s">
        <v>5008</v>
      </c>
    </row>
    <row r="125" spans="1:10" x14ac:dyDescent="0.2">
      <c r="A125" t="s">
        <v>5009</v>
      </c>
      <c r="B125" t="s">
        <v>328</v>
      </c>
      <c r="C125" t="s">
        <v>1456</v>
      </c>
      <c r="D125" t="s">
        <v>56</v>
      </c>
      <c r="E125" t="s">
        <v>329</v>
      </c>
      <c r="F125" s="112">
        <v>131161.07999999999</v>
      </c>
      <c r="G125" s="112">
        <v>131161.07999999999</v>
      </c>
      <c r="H125" s="112">
        <v>0</v>
      </c>
      <c r="I125" t="s">
        <v>6383</v>
      </c>
      <c r="J125" t="s">
        <v>5010</v>
      </c>
    </row>
    <row r="126" spans="1:10" x14ac:dyDescent="0.2">
      <c r="A126" t="s">
        <v>5011</v>
      </c>
      <c r="B126" t="s">
        <v>330</v>
      </c>
      <c r="C126" t="s">
        <v>1457</v>
      </c>
      <c r="D126" t="s">
        <v>56</v>
      </c>
      <c r="E126" t="s">
        <v>331</v>
      </c>
      <c r="F126" s="112">
        <v>45702.55</v>
      </c>
      <c r="G126" s="112">
        <v>45702.55</v>
      </c>
      <c r="H126" s="112">
        <v>0</v>
      </c>
      <c r="I126" t="s">
        <v>6383</v>
      </c>
      <c r="J126" t="s">
        <v>5012</v>
      </c>
    </row>
    <row r="127" spans="1:10" x14ac:dyDescent="0.2">
      <c r="A127" t="s">
        <v>5013</v>
      </c>
      <c r="B127" t="s">
        <v>332</v>
      </c>
      <c r="C127" t="s">
        <v>1458</v>
      </c>
      <c r="D127" t="s">
        <v>56</v>
      </c>
      <c r="E127" t="s">
        <v>333</v>
      </c>
      <c r="F127" s="112">
        <v>50172.27</v>
      </c>
      <c r="G127" s="112">
        <v>50172.27</v>
      </c>
      <c r="H127" s="112">
        <v>0</v>
      </c>
      <c r="I127" t="s">
        <v>6383</v>
      </c>
      <c r="J127" t="s">
        <v>5014</v>
      </c>
    </row>
    <row r="128" spans="1:10" x14ac:dyDescent="0.2">
      <c r="A128" t="s">
        <v>5015</v>
      </c>
      <c r="B128" t="s">
        <v>334</v>
      </c>
      <c r="C128" t="s">
        <v>1459</v>
      </c>
      <c r="D128" t="s">
        <v>335</v>
      </c>
      <c r="E128" t="s">
        <v>336</v>
      </c>
      <c r="F128" s="112">
        <v>62513.96</v>
      </c>
      <c r="G128" s="112">
        <v>62513.96</v>
      </c>
      <c r="H128" s="112">
        <v>0</v>
      </c>
      <c r="I128" t="s">
        <v>6383</v>
      </c>
      <c r="J128" t="s">
        <v>5017</v>
      </c>
    </row>
    <row r="129" spans="1:10" x14ac:dyDescent="0.2">
      <c r="A129" t="s">
        <v>5018</v>
      </c>
      <c r="B129" t="s">
        <v>337</v>
      </c>
      <c r="C129" t="s">
        <v>1460</v>
      </c>
      <c r="D129" t="s">
        <v>56</v>
      </c>
      <c r="E129" t="s">
        <v>338</v>
      </c>
      <c r="F129" s="112">
        <v>35521.4</v>
      </c>
      <c r="G129" s="112">
        <v>35521.4</v>
      </c>
      <c r="H129" s="112">
        <v>0</v>
      </c>
      <c r="I129" t="s">
        <v>6383</v>
      </c>
      <c r="J129" t="s">
        <v>5019</v>
      </c>
    </row>
    <row r="130" spans="1:10" x14ac:dyDescent="0.2">
      <c r="A130" t="s">
        <v>5020</v>
      </c>
      <c r="B130" t="s">
        <v>339</v>
      </c>
      <c r="C130" t="s">
        <v>340</v>
      </c>
      <c r="D130" t="s">
        <v>317</v>
      </c>
      <c r="E130" t="s">
        <v>1461</v>
      </c>
      <c r="F130" s="112">
        <v>1149.43</v>
      </c>
      <c r="G130" s="112">
        <v>1149.43</v>
      </c>
      <c r="H130" s="112">
        <v>0</v>
      </c>
      <c r="I130" t="s">
        <v>6383</v>
      </c>
      <c r="J130" t="s">
        <v>5022</v>
      </c>
    </row>
    <row r="131" spans="1:10" x14ac:dyDescent="0.2">
      <c r="A131" t="s">
        <v>5023</v>
      </c>
      <c r="B131" t="s">
        <v>345</v>
      </c>
      <c r="C131" t="s">
        <v>346</v>
      </c>
      <c r="D131" t="s">
        <v>209</v>
      </c>
      <c r="E131" t="s">
        <v>1462</v>
      </c>
      <c r="F131" s="112">
        <v>74168.58</v>
      </c>
      <c r="G131" s="112">
        <v>74168.58</v>
      </c>
      <c r="H131" s="112">
        <v>0</v>
      </c>
      <c r="I131" t="s">
        <v>6383</v>
      </c>
      <c r="J131" t="s">
        <v>5024</v>
      </c>
    </row>
    <row r="132" spans="1:10" x14ac:dyDescent="0.2">
      <c r="A132" t="s">
        <v>5025</v>
      </c>
      <c r="B132" t="s">
        <v>348</v>
      </c>
      <c r="C132" t="s">
        <v>349</v>
      </c>
      <c r="D132" t="s">
        <v>209</v>
      </c>
      <c r="E132" t="s">
        <v>350</v>
      </c>
      <c r="F132" s="112">
        <v>127178.07</v>
      </c>
      <c r="G132" s="112">
        <v>127178.07</v>
      </c>
      <c r="H132" s="112">
        <v>0</v>
      </c>
      <c r="I132" t="s">
        <v>6383</v>
      </c>
      <c r="J132" t="s">
        <v>5026</v>
      </c>
    </row>
    <row r="133" spans="1:10" x14ac:dyDescent="0.2">
      <c r="A133" t="s">
        <v>5027</v>
      </c>
      <c r="B133" t="s">
        <v>351</v>
      </c>
      <c r="C133" t="s">
        <v>1463</v>
      </c>
      <c r="D133" t="s">
        <v>209</v>
      </c>
      <c r="E133" t="s">
        <v>1464</v>
      </c>
      <c r="F133" s="112">
        <v>46910.99</v>
      </c>
      <c r="G133" s="112">
        <v>46910.99</v>
      </c>
      <c r="H133" s="112">
        <v>0</v>
      </c>
      <c r="I133" t="s">
        <v>6383</v>
      </c>
      <c r="J133" t="s">
        <v>5028</v>
      </c>
    </row>
    <row r="134" spans="1:10" x14ac:dyDescent="0.2">
      <c r="A134" t="s">
        <v>5029</v>
      </c>
      <c r="B134" t="s">
        <v>356</v>
      </c>
      <c r="C134" t="s">
        <v>1465</v>
      </c>
      <c r="D134" t="s">
        <v>56</v>
      </c>
      <c r="E134" t="s">
        <v>357</v>
      </c>
      <c r="F134" s="112">
        <v>150664.87</v>
      </c>
      <c r="G134" s="112">
        <v>150664.87</v>
      </c>
      <c r="H134" s="112">
        <v>0</v>
      </c>
      <c r="I134" t="s">
        <v>6383</v>
      </c>
      <c r="J134" t="s">
        <v>5030</v>
      </c>
    </row>
    <row r="135" spans="1:10" x14ac:dyDescent="0.2">
      <c r="A135" t="s">
        <v>5031</v>
      </c>
      <c r="B135" t="s">
        <v>358</v>
      </c>
      <c r="C135" t="s">
        <v>1466</v>
      </c>
      <c r="D135" t="s">
        <v>56</v>
      </c>
      <c r="E135" t="s">
        <v>359</v>
      </c>
      <c r="F135" s="112">
        <v>2321.29</v>
      </c>
      <c r="G135" s="112">
        <v>2321.29</v>
      </c>
      <c r="H135" s="112">
        <v>0</v>
      </c>
      <c r="I135" t="s">
        <v>6383</v>
      </c>
      <c r="J135" t="s">
        <v>5033</v>
      </c>
    </row>
    <row r="136" spans="1:10" x14ac:dyDescent="0.2">
      <c r="A136" t="s">
        <v>5034</v>
      </c>
      <c r="B136" t="s">
        <v>360</v>
      </c>
      <c r="C136" t="s">
        <v>1467</v>
      </c>
      <c r="D136" t="s">
        <v>56</v>
      </c>
      <c r="E136" t="s">
        <v>1468</v>
      </c>
      <c r="F136" s="112">
        <v>1430.85</v>
      </c>
      <c r="G136" s="112">
        <v>1430.85</v>
      </c>
      <c r="H136" s="112">
        <v>0</v>
      </c>
      <c r="I136" t="s">
        <v>6383</v>
      </c>
      <c r="J136" t="s">
        <v>5036</v>
      </c>
    </row>
    <row r="137" spans="1:10" x14ac:dyDescent="0.2">
      <c r="A137" t="s">
        <v>5037</v>
      </c>
      <c r="B137" t="s">
        <v>364</v>
      </c>
      <c r="C137" t="s">
        <v>1469</v>
      </c>
      <c r="D137" t="s">
        <v>56</v>
      </c>
      <c r="E137" t="s">
        <v>365</v>
      </c>
      <c r="F137" s="112">
        <v>47133.56</v>
      </c>
      <c r="G137" s="112">
        <v>47133.56</v>
      </c>
      <c r="H137" s="112">
        <v>0</v>
      </c>
      <c r="I137" t="s">
        <v>6383</v>
      </c>
      <c r="J137" t="s">
        <v>5038</v>
      </c>
    </row>
    <row r="138" spans="1:10" x14ac:dyDescent="0.2">
      <c r="A138" t="s">
        <v>5039</v>
      </c>
      <c r="B138" t="s">
        <v>366</v>
      </c>
      <c r="C138" t="s">
        <v>1470</v>
      </c>
      <c r="D138" t="s">
        <v>56</v>
      </c>
      <c r="E138" t="s">
        <v>1471</v>
      </c>
      <c r="F138" s="112">
        <v>15235.95</v>
      </c>
      <c r="G138" s="112">
        <v>15235.95</v>
      </c>
      <c r="H138" s="112">
        <v>0</v>
      </c>
      <c r="I138" t="s">
        <v>6383</v>
      </c>
      <c r="J138" t="s">
        <v>5041</v>
      </c>
    </row>
    <row r="139" spans="1:10" x14ac:dyDescent="0.2">
      <c r="A139" t="s">
        <v>5042</v>
      </c>
      <c r="B139" t="s">
        <v>368</v>
      </c>
      <c r="C139" t="s">
        <v>369</v>
      </c>
      <c r="D139" t="s">
        <v>209</v>
      </c>
      <c r="E139" t="s">
        <v>370</v>
      </c>
      <c r="F139" s="112">
        <v>5874.99</v>
      </c>
      <c r="G139" s="112">
        <v>5874.99</v>
      </c>
      <c r="H139" s="112">
        <v>0</v>
      </c>
      <c r="I139" t="s">
        <v>6383</v>
      </c>
      <c r="J139" t="s">
        <v>4471</v>
      </c>
    </row>
    <row r="140" spans="1:10" x14ac:dyDescent="0.2">
      <c r="A140" t="s">
        <v>5043</v>
      </c>
      <c r="B140" t="s">
        <v>372</v>
      </c>
      <c r="C140" t="s">
        <v>1472</v>
      </c>
      <c r="D140" t="s">
        <v>24</v>
      </c>
      <c r="E140" t="s">
        <v>374</v>
      </c>
      <c r="F140" s="112">
        <v>217888.44</v>
      </c>
      <c r="G140" s="112">
        <v>217888.44</v>
      </c>
      <c r="H140" s="112">
        <v>0</v>
      </c>
      <c r="I140" t="s">
        <v>6383</v>
      </c>
      <c r="J140" t="s">
        <v>5045</v>
      </c>
    </row>
    <row r="141" spans="1:10" x14ac:dyDescent="0.2">
      <c r="A141" t="s">
        <v>5046</v>
      </c>
      <c r="B141" t="s">
        <v>375</v>
      </c>
      <c r="C141" t="s">
        <v>1473</v>
      </c>
      <c r="D141" t="s">
        <v>56</v>
      </c>
      <c r="E141" t="s">
        <v>1474</v>
      </c>
      <c r="F141" s="112">
        <v>18335.45</v>
      </c>
      <c r="G141" s="112">
        <v>18335.45</v>
      </c>
      <c r="H141" s="112">
        <v>0</v>
      </c>
      <c r="I141" t="s">
        <v>6383</v>
      </c>
      <c r="J141" t="s">
        <v>5048</v>
      </c>
    </row>
    <row r="142" spans="1:10" x14ac:dyDescent="0.2">
      <c r="A142" t="s">
        <v>5049</v>
      </c>
      <c r="B142" t="s">
        <v>377</v>
      </c>
      <c r="C142" t="s">
        <v>1475</v>
      </c>
      <c r="D142" t="s">
        <v>56</v>
      </c>
      <c r="E142" t="s">
        <v>1476</v>
      </c>
      <c r="F142" s="112">
        <v>15661.3</v>
      </c>
      <c r="G142" s="112">
        <v>15661.3</v>
      </c>
      <c r="H142" s="112">
        <v>0</v>
      </c>
      <c r="I142" t="s">
        <v>6383</v>
      </c>
      <c r="J142" t="s">
        <v>5051</v>
      </c>
    </row>
    <row r="143" spans="1:10" x14ac:dyDescent="0.2">
      <c r="A143" t="s">
        <v>5052</v>
      </c>
      <c r="B143" t="s">
        <v>379</v>
      </c>
      <c r="C143" t="s">
        <v>1477</v>
      </c>
      <c r="D143" t="s">
        <v>56</v>
      </c>
      <c r="E143" t="s">
        <v>380</v>
      </c>
      <c r="F143" s="112">
        <v>3273.89</v>
      </c>
      <c r="G143" s="112">
        <v>3273.89</v>
      </c>
      <c r="H143" s="112">
        <v>0</v>
      </c>
      <c r="I143" t="s">
        <v>6383</v>
      </c>
      <c r="J143" t="s">
        <v>5054</v>
      </c>
    </row>
    <row r="144" spans="1:10" x14ac:dyDescent="0.2">
      <c r="A144" t="s">
        <v>5055</v>
      </c>
      <c r="B144" t="s">
        <v>381</v>
      </c>
      <c r="C144" t="s">
        <v>1478</v>
      </c>
      <c r="D144" t="s">
        <v>335</v>
      </c>
      <c r="E144" t="s">
        <v>382</v>
      </c>
      <c r="F144" s="112">
        <v>4900.55</v>
      </c>
      <c r="G144" s="112">
        <v>4900.55</v>
      </c>
      <c r="H144" s="112">
        <v>0</v>
      </c>
      <c r="I144" t="s">
        <v>6383</v>
      </c>
      <c r="J144" t="s">
        <v>5057</v>
      </c>
    </row>
    <row r="145" spans="1:10" x14ac:dyDescent="0.2">
      <c r="A145" t="s">
        <v>5058</v>
      </c>
      <c r="B145" t="s">
        <v>383</v>
      </c>
      <c r="C145" t="s">
        <v>384</v>
      </c>
      <c r="D145" t="s">
        <v>317</v>
      </c>
      <c r="E145" t="s">
        <v>1479</v>
      </c>
      <c r="F145" s="112">
        <v>456.61</v>
      </c>
      <c r="G145" s="112">
        <v>456.61</v>
      </c>
      <c r="H145" s="112">
        <v>0</v>
      </c>
      <c r="I145" t="s">
        <v>6383</v>
      </c>
      <c r="J145" t="s">
        <v>5060</v>
      </c>
    </row>
    <row r="146" spans="1:10" x14ac:dyDescent="0.2">
      <c r="A146" t="s">
        <v>5061</v>
      </c>
      <c r="B146" t="s">
        <v>1480</v>
      </c>
      <c r="C146" t="s">
        <v>386</v>
      </c>
      <c r="D146" t="s">
        <v>317</v>
      </c>
      <c r="E146" t="s">
        <v>387</v>
      </c>
      <c r="F146" s="112">
        <v>32507.24</v>
      </c>
      <c r="G146" s="112">
        <v>32507.24</v>
      </c>
      <c r="H146" s="112">
        <v>0</v>
      </c>
      <c r="I146" t="s">
        <v>6383</v>
      </c>
      <c r="J146" t="s">
        <v>5063</v>
      </c>
    </row>
    <row r="147" spans="1:10" x14ac:dyDescent="0.2">
      <c r="A147" t="s">
        <v>5064</v>
      </c>
      <c r="B147" t="s">
        <v>1481</v>
      </c>
      <c r="C147" t="s">
        <v>1482</v>
      </c>
      <c r="D147" t="s">
        <v>56</v>
      </c>
      <c r="E147" t="s">
        <v>388</v>
      </c>
      <c r="F147" s="112">
        <v>9071.59</v>
      </c>
      <c r="G147" s="112">
        <v>9071.59</v>
      </c>
      <c r="H147" s="112">
        <v>0</v>
      </c>
      <c r="I147" t="s">
        <v>6383</v>
      </c>
      <c r="J147" t="s">
        <v>5066</v>
      </c>
    </row>
    <row r="148" spans="1:10" x14ac:dyDescent="0.2">
      <c r="A148" t="s">
        <v>5067</v>
      </c>
      <c r="B148" t="s">
        <v>1483</v>
      </c>
      <c r="C148" t="s">
        <v>1484</v>
      </c>
      <c r="D148" t="s">
        <v>335</v>
      </c>
      <c r="E148" t="s">
        <v>389</v>
      </c>
      <c r="F148" s="112">
        <v>1172.9000000000001</v>
      </c>
      <c r="G148" s="112">
        <v>1172.9000000000001</v>
      </c>
      <c r="H148" s="112">
        <v>0</v>
      </c>
      <c r="I148" t="s">
        <v>6383</v>
      </c>
      <c r="J148" t="s">
        <v>5069</v>
      </c>
    </row>
    <row r="149" spans="1:10" x14ac:dyDescent="0.2">
      <c r="A149" t="s">
        <v>5070</v>
      </c>
      <c r="B149" t="s">
        <v>392</v>
      </c>
      <c r="C149" t="s">
        <v>1485</v>
      </c>
      <c r="D149" t="s">
        <v>56</v>
      </c>
      <c r="E149" t="s">
        <v>1486</v>
      </c>
      <c r="F149" s="112">
        <v>75161.63</v>
      </c>
      <c r="G149" s="112">
        <v>75161.63</v>
      </c>
      <c r="H149" s="112">
        <v>0</v>
      </c>
      <c r="I149" t="s">
        <v>6383</v>
      </c>
      <c r="J149" t="s">
        <v>5071</v>
      </c>
    </row>
    <row r="150" spans="1:10" x14ac:dyDescent="0.2">
      <c r="A150" t="s">
        <v>5072</v>
      </c>
      <c r="B150" t="s">
        <v>394</v>
      </c>
      <c r="C150" t="s">
        <v>1487</v>
      </c>
      <c r="D150" t="s">
        <v>56</v>
      </c>
      <c r="E150" t="s">
        <v>1488</v>
      </c>
      <c r="F150" s="112">
        <v>144137.93</v>
      </c>
      <c r="G150" s="112">
        <v>144137.93</v>
      </c>
      <c r="H150" s="112">
        <v>0</v>
      </c>
      <c r="I150" t="s">
        <v>6383</v>
      </c>
      <c r="J150" t="s">
        <v>5073</v>
      </c>
    </row>
    <row r="151" spans="1:10" x14ac:dyDescent="0.2">
      <c r="A151" t="s">
        <v>5074</v>
      </c>
      <c r="B151" t="s">
        <v>396</v>
      </c>
      <c r="C151" t="s">
        <v>1489</v>
      </c>
      <c r="D151" t="s">
        <v>56</v>
      </c>
      <c r="E151" t="s">
        <v>397</v>
      </c>
      <c r="F151" s="112">
        <v>40492.06</v>
      </c>
      <c r="G151" s="112">
        <v>40492.06</v>
      </c>
      <c r="H151" s="112">
        <v>0</v>
      </c>
      <c r="I151" t="s">
        <v>6383</v>
      </c>
      <c r="J151" t="s">
        <v>5075</v>
      </c>
    </row>
    <row r="152" spans="1:10" x14ac:dyDescent="0.2">
      <c r="A152" t="s">
        <v>5076</v>
      </c>
      <c r="B152" t="s">
        <v>398</v>
      </c>
      <c r="C152" t="s">
        <v>1490</v>
      </c>
      <c r="D152" t="s">
        <v>56</v>
      </c>
      <c r="E152" t="s">
        <v>399</v>
      </c>
      <c r="F152" s="112">
        <v>10489.07</v>
      </c>
      <c r="G152" s="112">
        <v>10489.07</v>
      </c>
      <c r="H152" s="112">
        <v>0</v>
      </c>
      <c r="I152" t="s">
        <v>6383</v>
      </c>
      <c r="J152" t="s">
        <v>5078</v>
      </c>
    </row>
    <row r="153" spans="1:10" x14ac:dyDescent="0.2">
      <c r="A153" t="s">
        <v>5079</v>
      </c>
      <c r="B153" t="s">
        <v>400</v>
      </c>
      <c r="C153" t="s">
        <v>1491</v>
      </c>
      <c r="D153" t="s">
        <v>335</v>
      </c>
      <c r="E153" t="s">
        <v>401</v>
      </c>
      <c r="F153" s="112">
        <v>82070.070000000007</v>
      </c>
      <c r="G153" s="112">
        <v>82070.070000000007</v>
      </c>
      <c r="H153" s="112">
        <v>0</v>
      </c>
      <c r="I153" t="s">
        <v>6383</v>
      </c>
      <c r="J153" t="s">
        <v>5081</v>
      </c>
    </row>
    <row r="154" spans="1:10" x14ac:dyDescent="0.2">
      <c r="A154" t="s">
        <v>5082</v>
      </c>
      <c r="B154" t="s">
        <v>404</v>
      </c>
      <c r="C154" t="s">
        <v>1492</v>
      </c>
      <c r="D154" t="s">
        <v>56</v>
      </c>
      <c r="E154" t="s">
        <v>405</v>
      </c>
      <c r="F154" s="112">
        <v>5668.61</v>
      </c>
      <c r="G154" s="112">
        <v>5668.61</v>
      </c>
      <c r="H154" s="112">
        <v>0</v>
      </c>
      <c r="I154" t="s">
        <v>6383</v>
      </c>
      <c r="J154" t="s">
        <v>5084</v>
      </c>
    </row>
    <row r="155" spans="1:10" x14ac:dyDescent="0.2">
      <c r="A155" t="s">
        <v>5085</v>
      </c>
      <c r="B155" t="s">
        <v>406</v>
      </c>
      <c r="C155" t="s">
        <v>1493</v>
      </c>
      <c r="D155" t="s">
        <v>56</v>
      </c>
      <c r="E155" t="s">
        <v>407</v>
      </c>
      <c r="F155" s="112">
        <v>54232.29</v>
      </c>
      <c r="G155" s="112">
        <v>54232.29</v>
      </c>
      <c r="H155" s="112">
        <v>0</v>
      </c>
      <c r="I155" t="s">
        <v>6383</v>
      </c>
      <c r="J155" t="s">
        <v>5086</v>
      </c>
    </row>
    <row r="156" spans="1:10" x14ac:dyDescent="0.2">
      <c r="A156" t="s">
        <v>5087</v>
      </c>
      <c r="B156" t="s">
        <v>408</v>
      </c>
      <c r="C156" t="s">
        <v>1494</v>
      </c>
      <c r="D156" t="s">
        <v>24</v>
      </c>
      <c r="E156" t="s">
        <v>410</v>
      </c>
      <c r="F156" s="112">
        <v>13625.28</v>
      </c>
      <c r="G156" s="112">
        <v>13625.28</v>
      </c>
      <c r="H156" s="112">
        <v>0</v>
      </c>
      <c r="I156" t="s">
        <v>6383</v>
      </c>
      <c r="J156" t="s">
        <v>5089</v>
      </c>
    </row>
    <row r="157" spans="1:10" x14ac:dyDescent="0.2">
      <c r="A157" t="s">
        <v>5090</v>
      </c>
      <c r="B157" t="s">
        <v>411</v>
      </c>
      <c r="C157" t="s">
        <v>1495</v>
      </c>
      <c r="D157" t="s">
        <v>56</v>
      </c>
      <c r="E157" t="s">
        <v>412</v>
      </c>
      <c r="F157" s="112">
        <v>1081.4000000000001</v>
      </c>
      <c r="G157" s="112">
        <v>1081.4000000000001</v>
      </c>
      <c r="H157" s="112">
        <v>0</v>
      </c>
      <c r="I157" t="s">
        <v>6383</v>
      </c>
      <c r="J157" t="s">
        <v>5092</v>
      </c>
    </row>
    <row r="158" spans="1:10" x14ac:dyDescent="0.2">
      <c r="A158" t="s">
        <v>5093</v>
      </c>
      <c r="B158" t="s">
        <v>416</v>
      </c>
      <c r="C158" t="s">
        <v>1496</v>
      </c>
      <c r="D158" t="s">
        <v>56</v>
      </c>
      <c r="E158" t="s">
        <v>1497</v>
      </c>
      <c r="F158" s="112">
        <v>16787.740000000002</v>
      </c>
      <c r="G158" s="112">
        <v>16787.740000000002</v>
      </c>
      <c r="H158" s="112">
        <v>0</v>
      </c>
      <c r="I158" t="s">
        <v>6383</v>
      </c>
      <c r="J158" t="s">
        <v>5096</v>
      </c>
    </row>
    <row r="159" spans="1:10" x14ac:dyDescent="0.2">
      <c r="A159" t="s">
        <v>5099</v>
      </c>
      <c r="B159" t="s">
        <v>418</v>
      </c>
      <c r="C159" t="s">
        <v>1498</v>
      </c>
      <c r="D159" t="s">
        <v>56</v>
      </c>
      <c r="E159" t="s">
        <v>419</v>
      </c>
      <c r="F159" s="112">
        <v>49768.480000000003</v>
      </c>
      <c r="G159" s="112">
        <v>49768.480000000003</v>
      </c>
      <c r="H159" s="112">
        <v>0</v>
      </c>
      <c r="I159" t="s">
        <v>6383</v>
      </c>
      <c r="J159" t="s">
        <v>5100</v>
      </c>
    </row>
    <row r="160" spans="1:10" x14ac:dyDescent="0.2">
      <c r="A160" t="s">
        <v>5101</v>
      </c>
      <c r="B160" t="s">
        <v>420</v>
      </c>
      <c r="C160" t="s">
        <v>1499</v>
      </c>
      <c r="D160" t="s">
        <v>56</v>
      </c>
      <c r="E160" t="s">
        <v>1500</v>
      </c>
      <c r="F160" s="112">
        <v>34138.57</v>
      </c>
      <c r="G160" s="112">
        <v>34138.57</v>
      </c>
      <c r="H160" s="112">
        <v>0</v>
      </c>
      <c r="I160" t="s">
        <v>6383</v>
      </c>
      <c r="J160" t="s">
        <v>5102</v>
      </c>
    </row>
    <row r="161" spans="1:10" x14ac:dyDescent="0.2">
      <c r="A161" t="s">
        <v>5103</v>
      </c>
      <c r="B161" t="s">
        <v>424</v>
      </c>
      <c r="C161" t="s">
        <v>1501</v>
      </c>
      <c r="D161" t="s">
        <v>56</v>
      </c>
      <c r="E161" t="s">
        <v>425</v>
      </c>
      <c r="F161" s="112">
        <v>499.83</v>
      </c>
      <c r="G161" s="112">
        <v>499.83</v>
      </c>
      <c r="H161" s="112">
        <v>0</v>
      </c>
      <c r="I161" t="s">
        <v>6383</v>
      </c>
      <c r="J161" t="s">
        <v>5105</v>
      </c>
    </row>
    <row r="162" spans="1:10" x14ac:dyDescent="0.2">
      <c r="A162" t="s">
        <v>5106</v>
      </c>
      <c r="B162" t="s">
        <v>426</v>
      </c>
      <c r="C162" t="s">
        <v>1502</v>
      </c>
      <c r="D162" t="s">
        <v>56</v>
      </c>
      <c r="E162" t="s">
        <v>427</v>
      </c>
      <c r="F162" s="112">
        <v>18642.849999999999</v>
      </c>
      <c r="G162" s="112">
        <v>18642.849999999999</v>
      </c>
      <c r="H162" s="112">
        <v>0</v>
      </c>
      <c r="I162" t="s">
        <v>6383</v>
      </c>
      <c r="J162" t="s">
        <v>5108</v>
      </c>
    </row>
    <row r="163" spans="1:10" x14ac:dyDescent="0.2">
      <c r="A163" t="s">
        <v>5109</v>
      </c>
      <c r="B163" t="s">
        <v>428</v>
      </c>
      <c r="C163" t="s">
        <v>1503</v>
      </c>
      <c r="D163" t="s">
        <v>56</v>
      </c>
      <c r="E163" t="s">
        <v>429</v>
      </c>
      <c r="F163" s="112">
        <v>84198.81</v>
      </c>
      <c r="G163" s="112">
        <v>84198.81</v>
      </c>
      <c r="H163" s="112">
        <v>0</v>
      </c>
      <c r="I163" t="s">
        <v>6383</v>
      </c>
      <c r="J163" t="s">
        <v>5110</v>
      </c>
    </row>
    <row r="164" spans="1:10" x14ac:dyDescent="0.2">
      <c r="A164" t="s">
        <v>5111</v>
      </c>
      <c r="B164" t="s">
        <v>430</v>
      </c>
      <c r="C164" t="s">
        <v>431</v>
      </c>
      <c r="D164" t="s">
        <v>24</v>
      </c>
      <c r="E164" t="s">
        <v>432</v>
      </c>
      <c r="F164" s="112">
        <v>12931.88</v>
      </c>
      <c r="G164" s="112">
        <v>12931.88</v>
      </c>
      <c r="H164" s="112">
        <v>0</v>
      </c>
      <c r="I164" t="s">
        <v>6383</v>
      </c>
      <c r="J164" t="s">
        <v>5114</v>
      </c>
    </row>
    <row r="165" spans="1:10" x14ac:dyDescent="0.2">
      <c r="A165" t="s">
        <v>5118</v>
      </c>
      <c r="B165" t="s">
        <v>435</v>
      </c>
      <c r="C165" t="s">
        <v>1504</v>
      </c>
      <c r="D165" t="s">
        <v>56</v>
      </c>
      <c r="E165" t="s">
        <v>436</v>
      </c>
      <c r="F165" s="112">
        <v>2965.7</v>
      </c>
      <c r="G165" s="112">
        <v>2965.7</v>
      </c>
      <c r="H165" s="112">
        <v>0</v>
      </c>
      <c r="I165" t="s">
        <v>6383</v>
      </c>
      <c r="J165" t="s">
        <v>5120</v>
      </c>
    </row>
    <row r="166" spans="1:10" x14ac:dyDescent="0.2">
      <c r="A166" t="s">
        <v>5121</v>
      </c>
      <c r="B166" t="s">
        <v>437</v>
      </c>
      <c r="C166" t="s">
        <v>1505</v>
      </c>
      <c r="D166" t="s">
        <v>56</v>
      </c>
      <c r="E166" t="s">
        <v>438</v>
      </c>
      <c r="F166" s="112">
        <v>1832.42</v>
      </c>
      <c r="G166" s="112">
        <v>1832.42</v>
      </c>
      <c r="H166" s="112">
        <v>0</v>
      </c>
      <c r="I166" t="s">
        <v>6383</v>
      </c>
      <c r="J166" t="s">
        <v>5123</v>
      </c>
    </row>
    <row r="167" spans="1:10" x14ac:dyDescent="0.2">
      <c r="A167" t="s">
        <v>5124</v>
      </c>
      <c r="B167" t="s">
        <v>441</v>
      </c>
      <c r="C167" t="s">
        <v>1506</v>
      </c>
      <c r="D167" t="s">
        <v>56</v>
      </c>
      <c r="E167" t="s">
        <v>1507</v>
      </c>
      <c r="F167" s="112">
        <v>186.37</v>
      </c>
      <c r="G167" s="112">
        <v>186.37</v>
      </c>
      <c r="H167" s="112">
        <v>0</v>
      </c>
      <c r="I167" t="s">
        <v>6383</v>
      </c>
      <c r="J167" t="s">
        <v>5126</v>
      </c>
    </row>
    <row r="168" spans="1:10" x14ac:dyDescent="0.2">
      <c r="A168" t="s">
        <v>5127</v>
      </c>
      <c r="B168" t="s">
        <v>443</v>
      </c>
      <c r="C168" t="s">
        <v>1508</v>
      </c>
      <c r="D168" t="s">
        <v>56</v>
      </c>
      <c r="E168" t="s">
        <v>1509</v>
      </c>
      <c r="F168" s="112">
        <v>1208.19</v>
      </c>
      <c r="G168" s="112">
        <v>1208.19</v>
      </c>
      <c r="H168" s="112">
        <v>0</v>
      </c>
      <c r="I168" t="s">
        <v>6383</v>
      </c>
      <c r="J168" t="s">
        <v>5129</v>
      </c>
    </row>
    <row r="169" spans="1:10" x14ac:dyDescent="0.2">
      <c r="A169" t="s">
        <v>5130</v>
      </c>
      <c r="B169" t="s">
        <v>445</v>
      </c>
      <c r="C169" t="s">
        <v>1510</v>
      </c>
      <c r="D169" t="s">
        <v>56</v>
      </c>
      <c r="E169" t="s">
        <v>446</v>
      </c>
      <c r="F169" s="112">
        <v>544.32000000000005</v>
      </c>
      <c r="G169" s="112">
        <v>544.32000000000005</v>
      </c>
      <c r="H169" s="112">
        <v>0</v>
      </c>
      <c r="I169" t="s">
        <v>6383</v>
      </c>
      <c r="J169" t="s">
        <v>5132</v>
      </c>
    </row>
    <row r="170" spans="1:10" x14ac:dyDescent="0.2">
      <c r="A170" t="s">
        <v>5133</v>
      </c>
      <c r="B170" t="s">
        <v>450</v>
      </c>
      <c r="C170" t="s">
        <v>1511</v>
      </c>
      <c r="D170" t="s">
        <v>56</v>
      </c>
      <c r="E170" t="s">
        <v>451</v>
      </c>
      <c r="F170" s="112">
        <v>23533.18</v>
      </c>
      <c r="G170" s="112">
        <v>23533.18</v>
      </c>
      <c r="H170" s="112">
        <v>0</v>
      </c>
      <c r="I170" t="s">
        <v>6383</v>
      </c>
      <c r="J170" t="s">
        <v>5134</v>
      </c>
    </row>
    <row r="171" spans="1:10" x14ac:dyDescent="0.2">
      <c r="A171" t="s">
        <v>5135</v>
      </c>
      <c r="B171" t="s">
        <v>452</v>
      </c>
      <c r="C171" t="s">
        <v>1512</v>
      </c>
      <c r="D171" t="s">
        <v>56</v>
      </c>
      <c r="E171" t="s">
        <v>453</v>
      </c>
      <c r="F171" s="112">
        <v>2232.61</v>
      </c>
      <c r="G171" s="112">
        <v>2232.61</v>
      </c>
      <c r="H171" s="112">
        <v>0</v>
      </c>
      <c r="I171" t="s">
        <v>6383</v>
      </c>
      <c r="J171" t="s">
        <v>5137</v>
      </c>
    </row>
    <row r="172" spans="1:10" x14ac:dyDescent="0.2">
      <c r="A172" t="s">
        <v>5138</v>
      </c>
      <c r="B172" t="s">
        <v>454</v>
      </c>
      <c r="C172" t="s">
        <v>1513</v>
      </c>
      <c r="D172" t="s">
        <v>335</v>
      </c>
      <c r="E172" t="s">
        <v>455</v>
      </c>
      <c r="F172" s="112">
        <v>27999.84</v>
      </c>
      <c r="G172" s="112">
        <v>27999.84</v>
      </c>
      <c r="H172" s="112">
        <v>0</v>
      </c>
      <c r="I172" t="s">
        <v>6383</v>
      </c>
      <c r="J172" t="s">
        <v>5140</v>
      </c>
    </row>
    <row r="173" spans="1:10" x14ac:dyDescent="0.2">
      <c r="A173" t="s">
        <v>5141</v>
      </c>
      <c r="B173" t="s">
        <v>456</v>
      </c>
      <c r="C173" t="s">
        <v>457</v>
      </c>
      <c r="D173" t="s">
        <v>209</v>
      </c>
      <c r="E173" t="s">
        <v>458</v>
      </c>
      <c r="F173" s="112">
        <v>27021.39</v>
      </c>
      <c r="G173" s="112">
        <v>27021.39</v>
      </c>
      <c r="H173" s="112">
        <v>0</v>
      </c>
      <c r="I173" t="s">
        <v>6383</v>
      </c>
      <c r="J173" t="s">
        <v>5142</v>
      </c>
    </row>
    <row r="174" spans="1:10" x14ac:dyDescent="0.2">
      <c r="A174" t="s">
        <v>5143</v>
      </c>
      <c r="B174" t="s">
        <v>459</v>
      </c>
      <c r="C174" t="s">
        <v>1514</v>
      </c>
      <c r="D174" t="s">
        <v>56</v>
      </c>
      <c r="E174" t="s">
        <v>1515</v>
      </c>
      <c r="F174" s="112">
        <v>9135.6</v>
      </c>
      <c r="G174" s="112">
        <v>9135.6</v>
      </c>
      <c r="H174" s="112">
        <v>0</v>
      </c>
      <c r="I174" t="s">
        <v>6383</v>
      </c>
      <c r="J174" t="s">
        <v>5145</v>
      </c>
    </row>
    <row r="175" spans="1:10" x14ac:dyDescent="0.2">
      <c r="A175" t="s">
        <v>5146</v>
      </c>
      <c r="B175" t="s">
        <v>461</v>
      </c>
      <c r="C175" t="s">
        <v>1516</v>
      </c>
      <c r="D175" t="s">
        <v>56</v>
      </c>
      <c r="E175" t="s">
        <v>1517</v>
      </c>
      <c r="F175" s="112">
        <v>1767.52</v>
      </c>
      <c r="G175" s="112">
        <v>1767.52</v>
      </c>
      <c r="H175" s="112">
        <v>0</v>
      </c>
      <c r="I175" t="s">
        <v>6383</v>
      </c>
      <c r="J175" t="s">
        <v>5148</v>
      </c>
    </row>
    <row r="176" spans="1:10" x14ac:dyDescent="0.2">
      <c r="A176" t="s">
        <v>5149</v>
      </c>
      <c r="B176" t="s">
        <v>463</v>
      </c>
      <c r="C176" t="s">
        <v>1518</v>
      </c>
      <c r="D176" t="s">
        <v>56</v>
      </c>
      <c r="E176" t="s">
        <v>1519</v>
      </c>
      <c r="F176" s="112">
        <v>5810.8</v>
      </c>
      <c r="G176" s="112">
        <v>5810.8</v>
      </c>
      <c r="H176" s="112">
        <v>0</v>
      </c>
      <c r="I176" t="s">
        <v>6383</v>
      </c>
      <c r="J176" t="s">
        <v>5151</v>
      </c>
    </row>
    <row r="177" spans="1:10" x14ac:dyDescent="0.2">
      <c r="A177" t="s">
        <v>5152</v>
      </c>
      <c r="B177" t="s">
        <v>465</v>
      </c>
      <c r="C177" t="s">
        <v>1520</v>
      </c>
      <c r="D177" t="s">
        <v>56</v>
      </c>
      <c r="E177" t="s">
        <v>1521</v>
      </c>
      <c r="F177" s="112">
        <v>385.53</v>
      </c>
      <c r="G177" s="112">
        <v>385.53</v>
      </c>
      <c r="H177" s="112">
        <v>0</v>
      </c>
      <c r="I177" t="s">
        <v>6383</v>
      </c>
      <c r="J177" t="s">
        <v>5154</v>
      </c>
    </row>
    <row r="178" spans="1:10" x14ac:dyDescent="0.2">
      <c r="A178" t="s">
        <v>5155</v>
      </c>
      <c r="B178" t="s">
        <v>467</v>
      </c>
      <c r="C178" t="s">
        <v>1522</v>
      </c>
      <c r="D178" t="s">
        <v>24</v>
      </c>
      <c r="E178" t="s">
        <v>469</v>
      </c>
      <c r="F178" s="112">
        <v>208.68</v>
      </c>
      <c r="G178" s="112">
        <v>208.68</v>
      </c>
      <c r="H178" s="112">
        <v>0</v>
      </c>
      <c r="I178" t="s">
        <v>6383</v>
      </c>
      <c r="J178" t="s">
        <v>5157</v>
      </c>
    </row>
    <row r="179" spans="1:10" x14ac:dyDescent="0.2">
      <c r="A179" t="s">
        <v>5158</v>
      </c>
      <c r="B179" t="s">
        <v>1523</v>
      </c>
      <c r="C179" t="s">
        <v>470</v>
      </c>
      <c r="D179" t="s">
        <v>209</v>
      </c>
      <c r="E179" t="s">
        <v>471</v>
      </c>
      <c r="F179" s="112">
        <v>16601.759999999998</v>
      </c>
      <c r="G179" s="112">
        <v>16601.759999999998</v>
      </c>
      <c r="H179" s="112">
        <v>0</v>
      </c>
      <c r="I179" t="s">
        <v>6383</v>
      </c>
      <c r="J179" t="s">
        <v>5159</v>
      </c>
    </row>
    <row r="180" spans="1:10" x14ac:dyDescent="0.2">
      <c r="A180" t="s">
        <v>5160</v>
      </c>
      <c r="B180" t="s">
        <v>1524</v>
      </c>
      <c r="C180" t="s">
        <v>1525</v>
      </c>
      <c r="D180" t="s">
        <v>24</v>
      </c>
      <c r="E180" t="s">
        <v>473</v>
      </c>
      <c r="F180" s="112">
        <v>78667.22</v>
      </c>
      <c r="G180" s="112">
        <v>78667.22</v>
      </c>
      <c r="H180" s="112">
        <v>0</v>
      </c>
      <c r="I180" t="s">
        <v>6383</v>
      </c>
      <c r="J180" t="s">
        <v>5162</v>
      </c>
    </row>
    <row r="181" spans="1:10" x14ac:dyDescent="0.2">
      <c r="A181" t="s">
        <v>5163</v>
      </c>
      <c r="B181" t="s">
        <v>1526</v>
      </c>
      <c r="C181" t="s">
        <v>474</v>
      </c>
      <c r="D181" t="s">
        <v>209</v>
      </c>
      <c r="E181" t="s">
        <v>475</v>
      </c>
      <c r="F181" s="112">
        <v>10030.64</v>
      </c>
      <c r="G181" s="112">
        <v>10030.64</v>
      </c>
      <c r="H181" s="112">
        <v>0</v>
      </c>
      <c r="I181" t="s">
        <v>6383</v>
      </c>
      <c r="J181" t="s">
        <v>5164</v>
      </c>
    </row>
    <row r="182" spans="1:10" x14ac:dyDescent="0.2">
      <c r="A182" t="s">
        <v>5165</v>
      </c>
      <c r="B182" t="s">
        <v>478</v>
      </c>
      <c r="C182" t="s">
        <v>1527</v>
      </c>
      <c r="D182" t="s">
        <v>24</v>
      </c>
      <c r="E182" t="s">
        <v>1528</v>
      </c>
      <c r="F182" s="112">
        <v>8241.5400000000009</v>
      </c>
      <c r="G182" s="112">
        <v>8241.5400000000009</v>
      </c>
      <c r="H182" s="112">
        <v>0</v>
      </c>
      <c r="I182" t="s">
        <v>6383</v>
      </c>
      <c r="J182" t="s">
        <v>5167</v>
      </c>
    </row>
    <row r="183" spans="1:10" x14ac:dyDescent="0.2">
      <c r="A183" t="s">
        <v>5168</v>
      </c>
      <c r="B183" t="s">
        <v>481</v>
      </c>
      <c r="C183" t="s">
        <v>1529</v>
      </c>
      <c r="D183" t="s">
        <v>24</v>
      </c>
      <c r="E183" t="s">
        <v>1530</v>
      </c>
      <c r="F183" s="112">
        <v>690.33</v>
      </c>
      <c r="G183" s="112">
        <v>690.33</v>
      </c>
      <c r="H183" s="112">
        <v>0</v>
      </c>
      <c r="I183" t="s">
        <v>6383</v>
      </c>
      <c r="J183" t="s">
        <v>5170</v>
      </c>
    </row>
    <row r="184" spans="1:10" x14ac:dyDescent="0.2">
      <c r="A184" t="s">
        <v>5171</v>
      </c>
      <c r="B184" t="s">
        <v>484</v>
      </c>
      <c r="C184" t="s">
        <v>1531</v>
      </c>
      <c r="D184" t="s">
        <v>56</v>
      </c>
      <c r="E184" t="s">
        <v>485</v>
      </c>
      <c r="F184" s="112">
        <v>9476.19</v>
      </c>
      <c r="G184" s="112">
        <v>9476.19</v>
      </c>
      <c r="H184" s="112">
        <v>0</v>
      </c>
      <c r="I184" t="s">
        <v>6383</v>
      </c>
      <c r="J184" t="s">
        <v>5173</v>
      </c>
    </row>
    <row r="185" spans="1:10" x14ac:dyDescent="0.2">
      <c r="A185" t="s">
        <v>5174</v>
      </c>
      <c r="B185" t="s">
        <v>486</v>
      </c>
      <c r="C185" t="s">
        <v>1532</v>
      </c>
      <c r="D185" t="s">
        <v>56</v>
      </c>
      <c r="E185" t="s">
        <v>487</v>
      </c>
      <c r="F185" s="112">
        <v>4723.1400000000003</v>
      </c>
      <c r="G185" s="112">
        <v>4723.1400000000003</v>
      </c>
      <c r="H185" s="112">
        <v>0</v>
      </c>
      <c r="I185" t="s">
        <v>6383</v>
      </c>
      <c r="J185" t="s">
        <v>5176</v>
      </c>
    </row>
    <row r="186" spans="1:10" x14ac:dyDescent="0.2">
      <c r="A186" t="s">
        <v>5177</v>
      </c>
      <c r="B186" t="s">
        <v>488</v>
      </c>
      <c r="C186" t="s">
        <v>1533</v>
      </c>
      <c r="D186" t="s">
        <v>24</v>
      </c>
      <c r="E186" t="s">
        <v>490</v>
      </c>
      <c r="F186" s="112">
        <v>114250.12</v>
      </c>
      <c r="G186" s="112">
        <v>114250.12</v>
      </c>
      <c r="H186" s="112">
        <v>0</v>
      </c>
      <c r="I186" t="s">
        <v>6383</v>
      </c>
      <c r="J186" t="s">
        <v>5179</v>
      </c>
    </row>
    <row r="187" spans="1:10" x14ac:dyDescent="0.2">
      <c r="A187" t="s">
        <v>5180</v>
      </c>
      <c r="B187" t="s">
        <v>491</v>
      </c>
      <c r="C187" t="s">
        <v>1534</v>
      </c>
      <c r="D187" t="s">
        <v>24</v>
      </c>
      <c r="E187" t="s">
        <v>493</v>
      </c>
      <c r="F187" s="112">
        <v>55397.98</v>
      </c>
      <c r="G187" s="112">
        <v>55397.98</v>
      </c>
      <c r="H187" s="112">
        <v>0</v>
      </c>
      <c r="I187" t="s">
        <v>6383</v>
      </c>
      <c r="J187" t="s">
        <v>5182</v>
      </c>
    </row>
    <row r="188" spans="1:10" x14ac:dyDescent="0.2">
      <c r="A188" t="s">
        <v>5183</v>
      </c>
      <c r="B188" t="s">
        <v>494</v>
      </c>
      <c r="C188" t="s">
        <v>1535</v>
      </c>
      <c r="D188" t="s">
        <v>24</v>
      </c>
      <c r="E188" t="s">
        <v>1536</v>
      </c>
      <c r="F188" s="112">
        <v>8217.8799999999992</v>
      </c>
      <c r="G188" s="112">
        <v>8217.8799999999992</v>
      </c>
      <c r="H188" s="112">
        <v>0</v>
      </c>
      <c r="I188" t="s">
        <v>6383</v>
      </c>
      <c r="J188" t="s">
        <v>5185</v>
      </c>
    </row>
    <row r="189" spans="1:10" x14ac:dyDescent="0.2">
      <c r="A189" t="s">
        <v>5186</v>
      </c>
      <c r="B189" t="s">
        <v>497</v>
      </c>
      <c r="C189" t="s">
        <v>1537</v>
      </c>
      <c r="D189" t="s">
        <v>24</v>
      </c>
      <c r="E189" t="s">
        <v>499</v>
      </c>
      <c r="F189" s="112">
        <v>2683.97</v>
      </c>
      <c r="G189" s="112">
        <v>2683.97</v>
      </c>
      <c r="H189" s="112">
        <v>0</v>
      </c>
      <c r="I189" t="s">
        <v>6383</v>
      </c>
      <c r="J189" t="s">
        <v>5188</v>
      </c>
    </row>
    <row r="190" spans="1:10" x14ac:dyDescent="0.2">
      <c r="A190" t="s">
        <v>5189</v>
      </c>
      <c r="B190" t="s">
        <v>500</v>
      </c>
      <c r="C190" t="s">
        <v>1538</v>
      </c>
      <c r="D190" t="s">
        <v>209</v>
      </c>
      <c r="E190" t="s">
        <v>1539</v>
      </c>
      <c r="F190" s="112">
        <v>5901</v>
      </c>
      <c r="G190" s="112">
        <v>5901</v>
      </c>
      <c r="H190" s="112">
        <v>0</v>
      </c>
      <c r="I190" t="s">
        <v>6383</v>
      </c>
      <c r="J190" t="s">
        <v>5190</v>
      </c>
    </row>
    <row r="191" spans="1:10" x14ac:dyDescent="0.2">
      <c r="A191" t="s">
        <v>5191</v>
      </c>
      <c r="B191" t="s">
        <v>1540</v>
      </c>
      <c r="C191" t="s">
        <v>1541</v>
      </c>
      <c r="D191" t="s">
        <v>335</v>
      </c>
      <c r="E191" t="s">
        <v>503</v>
      </c>
      <c r="F191" s="112">
        <v>486.15</v>
      </c>
      <c r="G191" s="112">
        <v>486.15</v>
      </c>
      <c r="H191" s="112">
        <v>0</v>
      </c>
      <c r="I191" t="s">
        <v>6383</v>
      </c>
      <c r="J191" t="s">
        <v>5193</v>
      </c>
    </row>
    <row r="192" spans="1:10" x14ac:dyDescent="0.2">
      <c r="A192" t="s">
        <v>5194</v>
      </c>
      <c r="B192" t="s">
        <v>506</v>
      </c>
      <c r="C192" t="s">
        <v>1542</v>
      </c>
      <c r="D192" t="s">
        <v>24</v>
      </c>
      <c r="E192" t="s">
        <v>508</v>
      </c>
      <c r="F192" s="112">
        <v>13368.27</v>
      </c>
      <c r="G192" s="112">
        <v>13368.27</v>
      </c>
      <c r="H192" s="112">
        <v>0</v>
      </c>
      <c r="I192" t="s">
        <v>6383</v>
      </c>
      <c r="J192" t="s">
        <v>5196</v>
      </c>
    </row>
    <row r="193" spans="1:10" x14ac:dyDescent="0.2">
      <c r="A193" t="s">
        <v>5197</v>
      </c>
      <c r="B193" t="s">
        <v>509</v>
      </c>
      <c r="C193" t="s">
        <v>1543</v>
      </c>
      <c r="D193" t="s">
        <v>335</v>
      </c>
      <c r="E193" t="s">
        <v>510</v>
      </c>
      <c r="F193" s="112">
        <v>4945.8500000000004</v>
      </c>
      <c r="G193" s="112">
        <v>4945.8500000000004</v>
      </c>
      <c r="H193" s="112">
        <v>0</v>
      </c>
      <c r="I193" t="s">
        <v>6383</v>
      </c>
      <c r="J193" t="s">
        <v>5199</v>
      </c>
    </row>
    <row r="194" spans="1:10" x14ac:dyDescent="0.2">
      <c r="A194" t="s">
        <v>5200</v>
      </c>
      <c r="B194" t="s">
        <v>511</v>
      </c>
      <c r="C194" t="s">
        <v>512</v>
      </c>
      <c r="D194" t="s">
        <v>209</v>
      </c>
      <c r="E194" t="s">
        <v>513</v>
      </c>
      <c r="F194" s="112">
        <v>4193.55</v>
      </c>
      <c r="G194" s="112">
        <v>4193.55</v>
      </c>
      <c r="H194" s="112">
        <v>0</v>
      </c>
      <c r="I194" t="s">
        <v>6383</v>
      </c>
      <c r="J194" t="s">
        <v>4485</v>
      </c>
    </row>
    <row r="195" spans="1:10" x14ac:dyDescent="0.2">
      <c r="A195" t="s">
        <v>5201</v>
      </c>
      <c r="B195" t="s">
        <v>514</v>
      </c>
      <c r="C195" t="s">
        <v>515</v>
      </c>
      <c r="D195" t="s">
        <v>209</v>
      </c>
      <c r="E195" t="s">
        <v>516</v>
      </c>
      <c r="F195" s="112">
        <v>10091.19</v>
      </c>
      <c r="G195" s="112">
        <v>10091.19</v>
      </c>
      <c r="H195" s="112">
        <v>0</v>
      </c>
      <c r="I195" t="s">
        <v>6383</v>
      </c>
      <c r="J195" t="s">
        <v>4423</v>
      </c>
    </row>
    <row r="196" spans="1:10" x14ac:dyDescent="0.2">
      <c r="A196" t="s">
        <v>5202</v>
      </c>
      <c r="B196" t="s">
        <v>517</v>
      </c>
      <c r="C196" t="s">
        <v>1544</v>
      </c>
      <c r="D196" t="s">
        <v>24</v>
      </c>
      <c r="E196" t="s">
        <v>519</v>
      </c>
      <c r="F196" s="112">
        <v>100821.48</v>
      </c>
      <c r="G196" s="112">
        <v>100821.48</v>
      </c>
      <c r="H196" s="112">
        <v>0</v>
      </c>
      <c r="I196" t="s">
        <v>6383</v>
      </c>
      <c r="J196" t="s">
        <v>5204</v>
      </c>
    </row>
    <row r="197" spans="1:10" x14ac:dyDescent="0.2">
      <c r="A197" t="s">
        <v>5205</v>
      </c>
      <c r="B197" t="s">
        <v>520</v>
      </c>
      <c r="C197" t="s">
        <v>1545</v>
      </c>
      <c r="D197" t="s">
        <v>24</v>
      </c>
      <c r="E197" t="s">
        <v>522</v>
      </c>
      <c r="F197" s="112">
        <v>4135.8500000000004</v>
      </c>
      <c r="G197" s="112">
        <v>4135.8500000000004</v>
      </c>
      <c r="H197" s="112">
        <v>0</v>
      </c>
      <c r="I197" t="s">
        <v>6383</v>
      </c>
      <c r="J197" t="s">
        <v>5207</v>
      </c>
    </row>
    <row r="198" spans="1:10" x14ac:dyDescent="0.2">
      <c r="A198" t="s">
        <v>5208</v>
      </c>
      <c r="B198" t="s">
        <v>523</v>
      </c>
      <c r="C198" t="s">
        <v>1546</v>
      </c>
      <c r="D198" t="s">
        <v>24</v>
      </c>
      <c r="E198" t="s">
        <v>525</v>
      </c>
      <c r="F198" s="112">
        <v>13342.5</v>
      </c>
      <c r="G198" s="112">
        <v>13342.5</v>
      </c>
      <c r="H198" s="112">
        <v>0</v>
      </c>
      <c r="I198" t="s">
        <v>6383</v>
      </c>
      <c r="J198" t="s">
        <v>5210</v>
      </c>
    </row>
    <row r="199" spans="1:10" x14ac:dyDescent="0.2">
      <c r="A199" t="s">
        <v>5211</v>
      </c>
      <c r="B199" t="s">
        <v>526</v>
      </c>
      <c r="C199" t="s">
        <v>1547</v>
      </c>
      <c r="D199" t="s">
        <v>24</v>
      </c>
      <c r="E199" t="s">
        <v>1548</v>
      </c>
      <c r="F199" s="112">
        <v>13890.5</v>
      </c>
      <c r="G199" s="112">
        <v>13890.5</v>
      </c>
      <c r="H199" s="112">
        <v>0</v>
      </c>
      <c r="I199" t="s">
        <v>6383</v>
      </c>
      <c r="J199" t="s">
        <v>5213</v>
      </c>
    </row>
    <row r="200" spans="1:10" x14ac:dyDescent="0.2">
      <c r="A200" t="s">
        <v>5214</v>
      </c>
      <c r="B200" t="s">
        <v>529</v>
      </c>
      <c r="C200" t="s">
        <v>1549</v>
      </c>
      <c r="D200" t="s">
        <v>56</v>
      </c>
      <c r="E200" t="s">
        <v>530</v>
      </c>
      <c r="F200" s="112">
        <v>4945.2700000000004</v>
      </c>
      <c r="G200" s="112">
        <v>4945.2700000000004</v>
      </c>
      <c r="H200" s="112">
        <v>0</v>
      </c>
      <c r="I200" t="s">
        <v>6383</v>
      </c>
      <c r="J200" t="s">
        <v>5216</v>
      </c>
    </row>
    <row r="201" spans="1:10" x14ac:dyDescent="0.2">
      <c r="A201" t="s">
        <v>5217</v>
      </c>
      <c r="B201" t="s">
        <v>1550</v>
      </c>
      <c r="C201" t="s">
        <v>1551</v>
      </c>
      <c r="D201" t="s">
        <v>335</v>
      </c>
      <c r="E201" t="s">
        <v>531</v>
      </c>
      <c r="F201" s="112">
        <v>10248.91</v>
      </c>
      <c r="G201" s="112">
        <v>10248.91</v>
      </c>
      <c r="H201" s="112">
        <v>0</v>
      </c>
      <c r="I201" t="s">
        <v>6383</v>
      </c>
      <c r="J201" t="s">
        <v>5219</v>
      </c>
    </row>
    <row r="202" spans="1:10" x14ac:dyDescent="0.2">
      <c r="A202" t="s">
        <v>5220</v>
      </c>
      <c r="B202" t="s">
        <v>1552</v>
      </c>
      <c r="C202" t="s">
        <v>1553</v>
      </c>
      <c r="D202" t="s">
        <v>335</v>
      </c>
      <c r="E202" t="s">
        <v>532</v>
      </c>
      <c r="F202" s="112">
        <v>1203.04</v>
      </c>
      <c r="G202" s="112">
        <v>1203.04</v>
      </c>
      <c r="H202" s="112">
        <v>0</v>
      </c>
      <c r="I202" t="s">
        <v>6383</v>
      </c>
      <c r="J202" t="s">
        <v>5222</v>
      </c>
    </row>
    <row r="203" spans="1:10" x14ac:dyDescent="0.2">
      <c r="A203" t="s">
        <v>5223</v>
      </c>
      <c r="B203" t="s">
        <v>1554</v>
      </c>
      <c r="C203" t="s">
        <v>533</v>
      </c>
      <c r="D203" t="s">
        <v>24</v>
      </c>
      <c r="E203" t="s">
        <v>1555</v>
      </c>
      <c r="F203" s="112">
        <v>91.9</v>
      </c>
      <c r="G203" s="112">
        <v>91.9</v>
      </c>
      <c r="H203" s="112">
        <v>0</v>
      </c>
      <c r="I203" t="s">
        <v>6383</v>
      </c>
      <c r="J203" t="s">
        <v>5225</v>
      </c>
    </row>
    <row r="204" spans="1:10" x14ac:dyDescent="0.2">
      <c r="A204" t="s">
        <v>5226</v>
      </c>
      <c r="B204" t="s">
        <v>537</v>
      </c>
      <c r="C204" t="s">
        <v>538</v>
      </c>
      <c r="D204" t="s">
        <v>209</v>
      </c>
      <c r="E204" t="s">
        <v>539</v>
      </c>
      <c r="F204" s="112">
        <v>12775.86</v>
      </c>
      <c r="G204" s="112">
        <v>12775.86</v>
      </c>
      <c r="H204" s="112">
        <v>0</v>
      </c>
      <c r="I204" t="s">
        <v>6383</v>
      </c>
      <c r="J204" t="s">
        <v>5228</v>
      </c>
    </row>
    <row r="205" spans="1:10" x14ac:dyDescent="0.2">
      <c r="A205" t="s">
        <v>5231</v>
      </c>
      <c r="B205" t="s">
        <v>541</v>
      </c>
      <c r="C205" t="s">
        <v>1556</v>
      </c>
      <c r="D205" t="s">
        <v>335</v>
      </c>
      <c r="E205" t="s">
        <v>542</v>
      </c>
      <c r="F205" s="112">
        <v>78369.48</v>
      </c>
      <c r="G205" s="112">
        <v>78369.48</v>
      </c>
      <c r="H205" s="112">
        <v>0</v>
      </c>
      <c r="I205" t="s">
        <v>6383</v>
      </c>
      <c r="J205" t="s">
        <v>5233</v>
      </c>
    </row>
    <row r="206" spans="1:10" x14ac:dyDescent="0.2">
      <c r="A206" t="s">
        <v>5234</v>
      </c>
      <c r="B206" t="s">
        <v>543</v>
      </c>
      <c r="C206" t="s">
        <v>544</v>
      </c>
      <c r="D206" t="s">
        <v>209</v>
      </c>
      <c r="E206" t="s">
        <v>1557</v>
      </c>
      <c r="F206" s="112">
        <v>17011.36</v>
      </c>
      <c r="G206" s="112">
        <v>17011.36</v>
      </c>
      <c r="H206" s="112">
        <v>0</v>
      </c>
      <c r="I206" t="s">
        <v>6383</v>
      </c>
      <c r="J206" t="s">
        <v>5235</v>
      </c>
    </row>
    <row r="207" spans="1:10" x14ac:dyDescent="0.2">
      <c r="A207" t="s">
        <v>5236</v>
      </c>
      <c r="B207" t="s">
        <v>546</v>
      </c>
      <c r="C207" t="s">
        <v>1558</v>
      </c>
      <c r="D207" t="s">
        <v>335</v>
      </c>
      <c r="E207" t="s">
        <v>547</v>
      </c>
      <c r="F207" s="112">
        <v>55095.7</v>
      </c>
      <c r="G207" s="112">
        <v>55095.7</v>
      </c>
      <c r="H207" s="112">
        <v>0</v>
      </c>
      <c r="I207" t="s">
        <v>6383</v>
      </c>
      <c r="J207" t="s">
        <v>5238</v>
      </c>
    </row>
    <row r="208" spans="1:10" x14ac:dyDescent="0.2">
      <c r="A208" t="s">
        <v>5239</v>
      </c>
      <c r="B208" t="s">
        <v>550</v>
      </c>
      <c r="C208" t="s">
        <v>551</v>
      </c>
      <c r="D208" t="s">
        <v>209</v>
      </c>
      <c r="E208" t="s">
        <v>552</v>
      </c>
      <c r="F208" s="112">
        <v>18176.43</v>
      </c>
      <c r="G208" s="112">
        <v>18176.43</v>
      </c>
      <c r="H208" s="112">
        <v>0</v>
      </c>
      <c r="I208" t="s">
        <v>6383</v>
      </c>
      <c r="J208" t="s">
        <v>5240</v>
      </c>
    </row>
    <row r="209" spans="1:10" x14ac:dyDescent="0.2">
      <c r="A209" t="s">
        <v>5241</v>
      </c>
      <c r="B209" t="s">
        <v>556</v>
      </c>
      <c r="C209" t="s">
        <v>1559</v>
      </c>
      <c r="D209" t="s">
        <v>56</v>
      </c>
      <c r="E209" t="s">
        <v>557</v>
      </c>
      <c r="F209" s="112">
        <v>309.26</v>
      </c>
      <c r="G209" s="112">
        <v>309.26</v>
      </c>
      <c r="H209" s="112">
        <v>0</v>
      </c>
      <c r="I209" t="s">
        <v>6383</v>
      </c>
      <c r="J209" t="s">
        <v>5243</v>
      </c>
    </row>
    <row r="210" spans="1:10" x14ac:dyDescent="0.2">
      <c r="A210" t="s">
        <v>5244</v>
      </c>
      <c r="B210" t="s">
        <v>558</v>
      </c>
      <c r="C210" t="s">
        <v>1560</v>
      </c>
      <c r="D210" t="s">
        <v>56</v>
      </c>
      <c r="E210" t="s">
        <v>559</v>
      </c>
      <c r="F210" s="112">
        <v>231.45</v>
      </c>
      <c r="G210" s="112">
        <v>231.45</v>
      </c>
      <c r="H210" s="112">
        <v>0</v>
      </c>
      <c r="I210" t="s">
        <v>6383</v>
      </c>
      <c r="J210" t="s">
        <v>5246</v>
      </c>
    </row>
    <row r="211" spans="1:10" x14ac:dyDescent="0.2">
      <c r="A211" t="s">
        <v>5247</v>
      </c>
      <c r="B211" t="s">
        <v>560</v>
      </c>
      <c r="C211" t="s">
        <v>1561</v>
      </c>
      <c r="D211" t="s">
        <v>24</v>
      </c>
      <c r="E211" t="s">
        <v>562</v>
      </c>
      <c r="F211" s="112">
        <v>540.63</v>
      </c>
      <c r="G211" s="112">
        <v>540.63</v>
      </c>
      <c r="H211" s="112">
        <v>0</v>
      </c>
      <c r="I211" t="s">
        <v>6383</v>
      </c>
      <c r="J211" t="s">
        <v>5249</v>
      </c>
    </row>
    <row r="212" spans="1:10" x14ac:dyDescent="0.2">
      <c r="A212" t="s">
        <v>5250</v>
      </c>
      <c r="B212" t="s">
        <v>563</v>
      </c>
      <c r="C212" t="s">
        <v>1562</v>
      </c>
      <c r="D212" t="s">
        <v>56</v>
      </c>
      <c r="E212" t="s">
        <v>564</v>
      </c>
      <c r="F212" s="112">
        <v>4243.47</v>
      </c>
      <c r="G212" s="112">
        <v>4243.47</v>
      </c>
      <c r="H212" s="112">
        <v>0</v>
      </c>
      <c r="I212" t="s">
        <v>6383</v>
      </c>
      <c r="J212" t="s">
        <v>5252</v>
      </c>
    </row>
    <row r="213" spans="1:10" x14ac:dyDescent="0.2">
      <c r="A213" t="s">
        <v>5253</v>
      </c>
      <c r="B213" t="s">
        <v>565</v>
      </c>
      <c r="C213" t="s">
        <v>1563</v>
      </c>
      <c r="D213" t="s">
        <v>56</v>
      </c>
      <c r="E213" t="s">
        <v>566</v>
      </c>
      <c r="F213" s="112">
        <v>3006.33</v>
      </c>
      <c r="G213" s="112">
        <v>3006.33</v>
      </c>
      <c r="H213" s="112">
        <v>0</v>
      </c>
      <c r="I213" t="s">
        <v>6383</v>
      </c>
      <c r="J213" t="s">
        <v>5255</v>
      </c>
    </row>
    <row r="214" spans="1:10" x14ac:dyDescent="0.2">
      <c r="A214" t="s">
        <v>5256</v>
      </c>
      <c r="B214" t="s">
        <v>567</v>
      </c>
      <c r="C214" t="s">
        <v>1564</v>
      </c>
      <c r="D214" t="s">
        <v>56</v>
      </c>
      <c r="E214" t="s">
        <v>1565</v>
      </c>
      <c r="F214" s="112">
        <v>212.29</v>
      </c>
      <c r="G214" s="112">
        <v>212.29</v>
      </c>
      <c r="H214" s="112">
        <v>0</v>
      </c>
      <c r="I214" t="s">
        <v>6383</v>
      </c>
      <c r="J214" t="s">
        <v>5258</v>
      </c>
    </row>
    <row r="215" spans="1:10" x14ac:dyDescent="0.2">
      <c r="A215" t="s">
        <v>5259</v>
      </c>
      <c r="B215" t="s">
        <v>569</v>
      </c>
      <c r="C215" t="s">
        <v>1566</v>
      </c>
      <c r="D215" t="s">
        <v>56</v>
      </c>
      <c r="E215" t="s">
        <v>1567</v>
      </c>
      <c r="F215" s="112">
        <v>264.97000000000003</v>
      </c>
      <c r="G215" s="112">
        <v>264.97000000000003</v>
      </c>
      <c r="H215" s="112">
        <v>0</v>
      </c>
      <c r="I215" t="s">
        <v>6383</v>
      </c>
      <c r="J215" t="s">
        <v>5261</v>
      </c>
    </row>
    <row r="216" spans="1:10" x14ac:dyDescent="0.2">
      <c r="A216" t="s">
        <v>5262</v>
      </c>
      <c r="B216" t="s">
        <v>571</v>
      </c>
      <c r="C216" t="s">
        <v>1568</v>
      </c>
      <c r="D216" t="s">
        <v>56</v>
      </c>
      <c r="E216" t="s">
        <v>572</v>
      </c>
      <c r="F216" s="112">
        <v>24.24</v>
      </c>
      <c r="G216" s="112">
        <v>24.24</v>
      </c>
      <c r="H216" s="112">
        <v>0</v>
      </c>
      <c r="I216" t="s">
        <v>6383</v>
      </c>
      <c r="J216" t="s">
        <v>5264</v>
      </c>
    </row>
    <row r="217" spans="1:10" x14ac:dyDescent="0.2">
      <c r="A217" t="s">
        <v>5265</v>
      </c>
      <c r="B217" t="s">
        <v>573</v>
      </c>
      <c r="C217" t="s">
        <v>1569</v>
      </c>
      <c r="D217" t="s">
        <v>56</v>
      </c>
      <c r="E217" t="s">
        <v>574</v>
      </c>
      <c r="F217" s="112">
        <v>399.57</v>
      </c>
      <c r="G217" s="112">
        <v>399.57</v>
      </c>
      <c r="H217" s="112">
        <v>0</v>
      </c>
      <c r="I217" t="s">
        <v>6383</v>
      </c>
      <c r="J217" t="s">
        <v>5267</v>
      </c>
    </row>
    <row r="218" spans="1:10" x14ac:dyDescent="0.2">
      <c r="A218" t="s">
        <v>5268</v>
      </c>
      <c r="B218" t="s">
        <v>1570</v>
      </c>
      <c r="C218" t="s">
        <v>1571</v>
      </c>
      <c r="D218" t="s">
        <v>56</v>
      </c>
      <c r="E218" t="s">
        <v>575</v>
      </c>
      <c r="F218" s="112">
        <v>8.6300000000000008</v>
      </c>
      <c r="G218" s="112">
        <v>8.6300000000000008</v>
      </c>
      <c r="H218" s="112">
        <v>0</v>
      </c>
      <c r="I218" t="s">
        <v>6383</v>
      </c>
      <c r="J218" t="s">
        <v>5270</v>
      </c>
    </row>
    <row r="219" spans="1:10" x14ac:dyDescent="0.2">
      <c r="A219" t="s">
        <v>5271</v>
      </c>
      <c r="B219" t="s">
        <v>1572</v>
      </c>
      <c r="C219" t="s">
        <v>1573</v>
      </c>
      <c r="D219" t="s">
        <v>56</v>
      </c>
      <c r="E219" t="s">
        <v>576</v>
      </c>
      <c r="F219" s="112">
        <v>4255.26</v>
      </c>
      <c r="G219" s="112">
        <v>4255.26</v>
      </c>
      <c r="H219" s="112">
        <v>0</v>
      </c>
      <c r="I219" t="s">
        <v>6383</v>
      </c>
      <c r="J219" t="s">
        <v>5273</v>
      </c>
    </row>
    <row r="220" spans="1:10" x14ac:dyDescent="0.2">
      <c r="A220" t="s">
        <v>5274</v>
      </c>
      <c r="B220" t="s">
        <v>1574</v>
      </c>
      <c r="C220" t="s">
        <v>1575</v>
      </c>
      <c r="D220" t="s">
        <v>56</v>
      </c>
      <c r="E220" t="s">
        <v>577</v>
      </c>
      <c r="F220" s="112">
        <v>1157.94</v>
      </c>
      <c r="G220" s="112">
        <v>1157.94</v>
      </c>
      <c r="H220" s="112">
        <v>0</v>
      </c>
      <c r="I220" t="s">
        <v>6383</v>
      </c>
      <c r="J220" t="s">
        <v>5276</v>
      </c>
    </row>
    <row r="221" spans="1:10" x14ac:dyDescent="0.2">
      <c r="A221" t="s">
        <v>5277</v>
      </c>
      <c r="B221" t="s">
        <v>1576</v>
      </c>
      <c r="C221" t="s">
        <v>1577</v>
      </c>
      <c r="D221" t="s">
        <v>56</v>
      </c>
      <c r="E221" t="s">
        <v>1578</v>
      </c>
      <c r="F221" s="112">
        <v>33.96</v>
      </c>
      <c r="G221" s="112">
        <v>33.96</v>
      </c>
      <c r="H221" s="112">
        <v>0</v>
      </c>
      <c r="I221" t="s">
        <v>6383</v>
      </c>
      <c r="J221" t="s">
        <v>5279</v>
      </c>
    </row>
    <row r="222" spans="1:10" x14ac:dyDescent="0.2">
      <c r="A222" t="s">
        <v>5280</v>
      </c>
      <c r="B222" t="s">
        <v>1579</v>
      </c>
      <c r="C222" t="s">
        <v>1580</v>
      </c>
      <c r="D222" t="s">
        <v>56</v>
      </c>
      <c r="E222" t="s">
        <v>579</v>
      </c>
      <c r="F222" s="112">
        <v>40.98</v>
      </c>
      <c r="G222" s="112">
        <v>40.98</v>
      </c>
      <c r="H222" s="112">
        <v>0</v>
      </c>
      <c r="I222" t="s">
        <v>6383</v>
      </c>
      <c r="J222" t="s">
        <v>5282</v>
      </c>
    </row>
    <row r="223" spans="1:10" x14ac:dyDescent="0.2">
      <c r="A223" t="s">
        <v>5283</v>
      </c>
      <c r="B223" t="s">
        <v>1581</v>
      </c>
      <c r="C223" t="s">
        <v>1582</v>
      </c>
      <c r="D223" t="s">
        <v>56</v>
      </c>
      <c r="E223" t="s">
        <v>580</v>
      </c>
      <c r="F223" s="112">
        <v>488.76</v>
      </c>
      <c r="G223" s="112">
        <v>488.76</v>
      </c>
      <c r="H223" s="112">
        <v>0</v>
      </c>
      <c r="I223" t="s">
        <v>6383</v>
      </c>
      <c r="J223" t="s">
        <v>5285</v>
      </c>
    </row>
    <row r="224" spans="1:10" x14ac:dyDescent="0.2">
      <c r="A224" t="s">
        <v>5286</v>
      </c>
      <c r="B224" t="s">
        <v>1583</v>
      </c>
      <c r="C224" t="s">
        <v>1584</v>
      </c>
      <c r="D224" t="s">
        <v>56</v>
      </c>
      <c r="E224" t="s">
        <v>654</v>
      </c>
      <c r="F224" s="112">
        <v>170.73</v>
      </c>
      <c r="G224" s="112">
        <v>170.73</v>
      </c>
      <c r="H224" s="112">
        <v>0</v>
      </c>
      <c r="I224" t="s">
        <v>6383</v>
      </c>
      <c r="J224" t="s">
        <v>5288</v>
      </c>
    </row>
    <row r="225" spans="1:10" x14ac:dyDescent="0.2">
      <c r="A225" t="s">
        <v>5289</v>
      </c>
      <c r="B225" t="s">
        <v>1585</v>
      </c>
      <c r="C225" t="s">
        <v>1586</v>
      </c>
      <c r="D225" t="s">
        <v>56</v>
      </c>
      <c r="E225" t="s">
        <v>582</v>
      </c>
      <c r="F225" s="112">
        <v>20.88</v>
      </c>
      <c r="G225" s="112">
        <v>20.88</v>
      </c>
      <c r="H225" s="112">
        <v>0</v>
      </c>
      <c r="I225" t="s">
        <v>6383</v>
      </c>
      <c r="J225" t="s">
        <v>5291</v>
      </c>
    </row>
    <row r="226" spans="1:10" x14ac:dyDescent="0.2">
      <c r="A226" t="s">
        <v>5292</v>
      </c>
      <c r="B226" t="s">
        <v>1587</v>
      </c>
      <c r="C226" t="s">
        <v>1588</v>
      </c>
      <c r="D226" t="s">
        <v>56</v>
      </c>
      <c r="E226" t="s">
        <v>583</v>
      </c>
      <c r="F226" s="112">
        <v>17.34</v>
      </c>
      <c r="G226" s="112">
        <v>17.34</v>
      </c>
      <c r="H226" s="112">
        <v>0</v>
      </c>
      <c r="I226" t="s">
        <v>6383</v>
      </c>
      <c r="J226" t="s">
        <v>5294</v>
      </c>
    </row>
    <row r="227" spans="1:10" x14ac:dyDescent="0.2">
      <c r="A227" t="s">
        <v>5295</v>
      </c>
      <c r="B227" t="s">
        <v>1589</v>
      </c>
      <c r="C227" t="s">
        <v>1590</v>
      </c>
      <c r="D227" t="s">
        <v>56</v>
      </c>
      <c r="E227" t="s">
        <v>584</v>
      </c>
      <c r="F227" s="112">
        <v>7.31</v>
      </c>
      <c r="G227" s="112">
        <v>7.31</v>
      </c>
      <c r="H227" s="112">
        <v>0</v>
      </c>
      <c r="I227" t="s">
        <v>6383</v>
      </c>
      <c r="J227" t="s">
        <v>5297</v>
      </c>
    </row>
    <row r="228" spans="1:10" x14ac:dyDescent="0.2">
      <c r="A228" t="s">
        <v>5298</v>
      </c>
      <c r="B228" t="s">
        <v>1591</v>
      </c>
      <c r="C228" t="s">
        <v>1592</v>
      </c>
      <c r="D228" t="s">
        <v>56</v>
      </c>
      <c r="E228" t="s">
        <v>1593</v>
      </c>
      <c r="F228" s="112">
        <v>30.1</v>
      </c>
      <c r="G228" s="112">
        <v>30.1</v>
      </c>
      <c r="H228" s="112">
        <v>0</v>
      </c>
      <c r="I228" t="s">
        <v>6383</v>
      </c>
      <c r="J228" t="s">
        <v>5300</v>
      </c>
    </row>
    <row r="229" spans="1:10" x14ac:dyDescent="0.2">
      <c r="A229" t="s">
        <v>5301</v>
      </c>
      <c r="B229" t="s">
        <v>1594</v>
      </c>
      <c r="C229" t="s">
        <v>1595</v>
      </c>
      <c r="D229" t="s">
        <v>56</v>
      </c>
      <c r="E229" t="s">
        <v>586</v>
      </c>
      <c r="F229" s="112">
        <v>17.309999999999999</v>
      </c>
      <c r="G229" s="112">
        <v>17.309999999999999</v>
      </c>
      <c r="H229" s="112">
        <v>0</v>
      </c>
      <c r="I229" t="s">
        <v>6383</v>
      </c>
      <c r="J229" t="s">
        <v>5303</v>
      </c>
    </row>
    <row r="230" spans="1:10" x14ac:dyDescent="0.2">
      <c r="A230" t="s">
        <v>5304</v>
      </c>
      <c r="B230" t="s">
        <v>1596</v>
      </c>
      <c r="C230" t="s">
        <v>1597</v>
      </c>
      <c r="D230" t="s">
        <v>56</v>
      </c>
      <c r="E230" t="s">
        <v>587</v>
      </c>
      <c r="F230" s="112">
        <v>46.98</v>
      </c>
      <c r="G230" s="112">
        <v>46.98</v>
      </c>
      <c r="H230" s="112">
        <v>0</v>
      </c>
      <c r="I230" t="s">
        <v>6383</v>
      </c>
      <c r="J230" t="s">
        <v>5306</v>
      </c>
    </row>
    <row r="231" spans="1:10" x14ac:dyDescent="0.2">
      <c r="A231" t="s">
        <v>5307</v>
      </c>
      <c r="B231" t="s">
        <v>1598</v>
      </c>
      <c r="C231" t="s">
        <v>1599</v>
      </c>
      <c r="D231" t="s">
        <v>56</v>
      </c>
      <c r="E231" t="s">
        <v>588</v>
      </c>
      <c r="F231" s="112">
        <v>407.55</v>
      </c>
      <c r="G231" s="112">
        <v>407.55</v>
      </c>
      <c r="H231" s="112">
        <v>0</v>
      </c>
      <c r="I231" t="s">
        <v>6383</v>
      </c>
      <c r="J231" t="s">
        <v>5309</v>
      </c>
    </row>
    <row r="232" spans="1:10" x14ac:dyDescent="0.2">
      <c r="A232" t="s">
        <v>5310</v>
      </c>
      <c r="B232" t="s">
        <v>1600</v>
      </c>
      <c r="C232" t="s">
        <v>1601</v>
      </c>
      <c r="D232" t="s">
        <v>56</v>
      </c>
      <c r="E232" t="s">
        <v>589</v>
      </c>
      <c r="F232" s="112">
        <v>40.200000000000003</v>
      </c>
      <c r="G232" s="112">
        <v>40.200000000000003</v>
      </c>
      <c r="H232" s="112">
        <v>0</v>
      </c>
      <c r="I232" t="s">
        <v>6383</v>
      </c>
      <c r="J232" t="s">
        <v>5312</v>
      </c>
    </row>
    <row r="233" spans="1:10" x14ac:dyDescent="0.2">
      <c r="A233" t="s">
        <v>5313</v>
      </c>
      <c r="B233" t="s">
        <v>1602</v>
      </c>
      <c r="C233" t="s">
        <v>1603</v>
      </c>
      <c r="D233" t="s">
        <v>56</v>
      </c>
      <c r="E233" t="s">
        <v>656</v>
      </c>
      <c r="F233" s="112">
        <v>180.9</v>
      </c>
      <c r="G233" s="112">
        <v>180.9</v>
      </c>
      <c r="H233" s="112">
        <v>0</v>
      </c>
      <c r="I233" t="s">
        <v>6383</v>
      </c>
      <c r="J233" t="s">
        <v>5315</v>
      </c>
    </row>
    <row r="234" spans="1:10" x14ac:dyDescent="0.2">
      <c r="A234" t="s">
        <v>5316</v>
      </c>
      <c r="B234" t="s">
        <v>1604</v>
      </c>
      <c r="C234" t="s">
        <v>1605</v>
      </c>
      <c r="D234" t="s">
        <v>56</v>
      </c>
      <c r="E234" t="s">
        <v>1606</v>
      </c>
      <c r="F234" s="112">
        <v>17.16</v>
      </c>
      <c r="G234" s="112">
        <v>17.16</v>
      </c>
      <c r="H234" s="112">
        <v>0</v>
      </c>
      <c r="I234" t="s">
        <v>6383</v>
      </c>
      <c r="J234" t="s">
        <v>5318</v>
      </c>
    </row>
    <row r="235" spans="1:10" x14ac:dyDescent="0.2">
      <c r="A235" t="s">
        <v>5319</v>
      </c>
      <c r="B235" t="s">
        <v>1607</v>
      </c>
      <c r="C235" t="s">
        <v>1608</v>
      </c>
      <c r="D235" t="s">
        <v>56</v>
      </c>
      <c r="E235" t="s">
        <v>592</v>
      </c>
      <c r="F235" s="112">
        <v>41.94</v>
      </c>
      <c r="G235" s="112">
        <v>41.94</v>
      </c>
      <c r="H235" s="112">
        <v>0</v>
      </c>
      <c r="I235" t="s">
        <v>6383</v>
      </c>
      <c r="J235" t="s">
        <v>5321</v>
      </c>
    </row>
    <row r="236" spans="1:10" x14ac:dyDescent="0.2">
      <c r="A236" t="s">
        <v>5322</v>
      </c>
      <c r="B236" t="s">
        <v>1609</v>
      </c>
      <c r="C236" t="s">
        <v>1610</v>
      </c>
      <c r="D236" t="s">
        <v>56</v>
      </c>
      <c r="E236" t="s">
        <v>593</v>
      </c>
      <c r="F236" s="112">
        <v>51.03</v>
      </c>
      <c r="G236" s="112">
        <v>51.03</v>
      </c>
      <c r="H236" s="112">
        <v>0</v>
      </c>
      <c r="I236" t="s">
        <v>6383</v>
      </c>
      <c r="J236" t="s">
        <v>5324</v>
      </c>
    </row>
    <row r="237" spans="1:10" x14ac:dyDescent="0.2">
      <c r="A237" t="s">
        <v>5325</v>
      </c>
      <c r="B237" t="s">
        <v>1611</v>
      </c>
      <c r="C237" t="s">
        <v>1612</v>
      </c>
      <c r="D237" t="s">
        <v>56</v>
      </c>
      <c r="E237" t="s">
        <v>594</v>
      </c>
      <c r="F237" s="112">
        <v>86.7</v>
      </c>
      <c r="G237" s="112">
        <v>86.7</v>
      </c>
      <c r="H237" s="112">
        <v>0</v>
      </c>
      <c r="I237" t="s">
        <v>6383</v>
      </c>
      <c r="J237" t="s">
        <v>5327</v>
      </c>
    </row>
    <row r="238" spans="1:10" x14ac:dyDescent="0.2">
      <c r="A238" t="s">
        <v>5328</v>
      </c>
      <c r="B238" t="s">
        <v>1613</v>
      </c>
      <c r="C238" t="s">
        <v>1614</v>
      </c>
      <c r="D238" t="s">
        <v>56</v>
      </c>
      <c r="E238" t="s">
        <v>595</v>
      </c>
      <c r="F238" s="112">
        <v>33.47</v>
      </c>
      <c r="G238" s="112">
        <v>33.47</v>
      </c>
      <c r="H238" s="112">
        <v>0</v>
      </c>
      <c r="I238" t="s">
        <v>6383</v>
      </c>
      <c r="J238" t="s">
        <v>5330</v>
      </c>
    </row>
    <row r="239" spans="1:10" x14ac:dyDescent="0.2">
      <c r="A239" t="s">
        <v>5331</v>
      </c>
      <c r="B239" t="s">
        <v>1615</v>
      </c>
      <c r="C239" t="s">
        <v>1616</v>
      </c>
      <c r="D239" t="s">
        <v>56</v>
      </c>
      <c r="E239" t="s">
        <v>596</v>
      </c>
      <c r="F239" s="112">
        <v>30.89</v>
      </c>
      <c r="G239" s="112">
        <v>30.89</v>
      </c>
      <c r="H239" s="112">
        <v>0</v>
      </c>
      <c r="I239" t="s">
        <v>6383</v>
      </c>
      <c r="J239" t="s">
        <v>5333</v>
      </c>
    </row>
    <row r="240" spans="1:10" x14ac:dyDescent="0.2">
      <c r="A240" t="s">
        <v>5334</v>
      </c>
      <c r="B240" t="s">
        <v>1617</v>
      </c>
      <c r="C240" t="s">
        <v>1618</v>
      </c>
      <c r="D240" t="s">
        <v>56</v>
      </c>
      <c r="E240" t="s">
        <v>597</v>
      </c>
      <c r="F240" s="112">
        <v>90.45</v>
      </c>
      <c r="G240" s="112">
        <v>90.45</v>
      </c>
      <c r="H240" s="112">
        <v>0</v>
      </c>
      <c r="I240" t="s">
        <v>6383</v>
      </c>
      <c r="J240" t="s">
        <v>5336</v>
      </c>
    </row>
    <row r="241" spans="1:10" x14ac:dyDescent="0.2">
      <c r="A241" t="s">
        <v>5337</v>
      </c>
      <c r="B241" t="s">
        <v>1619</v>
      </c>
      <c r="C241" t="s">
        <v>1620</v>
      </c>
      <c r="D241" t="s">
        <v>56</v>
      </c>
      <c r="E241" t="s">
        <v>1621</v>
      </c>
      <c r="F241" s="112">
        <v>62.23</v>
      </c>
      <c r="G241" s="112">
        <v>62.23</v>
      </c>
      <c r="H241" s="112">
        <v>0</v>
      </c>
      <c r="I241" t="s">
        <v>6383</v>
      </c>
      <c r="J241" t="s">
        <v>5339</v>
      </c>
    </row>
    <row r="242" spans="1:10" x14ac:dyDescent="0.2">
      <c r="A242" t="s">
        <v>5340</v>
      </c>
      <c r="B242" t="s">
        <v>1622</v>
      </c>
      <c r="C242" t="s">
        <v>1623</v>
      </c>
      <c r="D242" t="s">
        <v>56</v>
      </c>
      <c r="E242" t="s">
        <v>666</v>
      </c>
      <c r="F242" s="112">
        <v>34.71</v>
      </c>
      <c r="G242" s="112">
        <v>34.71</v>
      </c>
      <c r="H242" s="112">
        <v>0</v>
      </c>
      <c r="I242" t="s">
        <v>6383</v>
      </c>
      <c r="J242" t="s">
        <v>5342</v>
      </c>
    </row>
    <row r="243" spans="1:10" x14ac:dyDescent="0.2">
      <c r="A243" t="s">
        <v>5343</v>
      </c>
      <c r="B243" t="s">
        <v>1624</v>
      </c>
      <c r="C243" t="s">
        <v>600</v>
      </c>
      <c r="D243" t="s">
        <v>209</v>
      </c>
      <c r="E243" t="s">
        <v>601</v>
      </c>
      <c r="F243" s="112">
        <v>374.67</v>
      </c>
      <c r="G243" s="112">
        <v>374.67</v>
      </c>
      <c r="H243" s="112">
        <v>0</v>
      </c>
      <c r="I243" t="s">
        <v>6383</v>
      </c>
      <c r="J243" t="s">
        <v>4533</v>
      </c>
    </row>
    <row r="244" spans="1:10" x14ac:dyDescent="0.2">
      <c r="A244" t="s">
        <v>5344</v>
      </c>
      <c r="B244" t="s">
        <v>1625</v>
      </c>
      <c r="C244" t="s">
        <v>1626</v>
      </c>
      <c r="D244" t="s">
        <v>56</v>
      </c>
      <c r="E244" t="s">
        <v>1627</v>
      </c>
      <c r="F244" s="112">
        <v>11.55</v>
      </c>
      <c r="G244" s="112">
        <v>11.55</v>
      </c>
      <c r="H244" s="112">
        <v>0</v>
      </c>
      <c r="I244" t="s">
        <v>6383</v>
      </c>
      <c r="J244" t="s">
        <v>5346</v>
      </c>
    </row>
    <row r="245" spans="1:10" x14ac:dyDescent="0.2">
      <c r="A245" t="s">
        <v>5347</v>
      </c>
      <c r="B245" t="s">
        <v>1628</v>
      </c>
      <c r="C245" t="s">
        <v>1629</v>
      </c>
      <c r="D245" t="s">
        <v>56</v>
      </c>
      <c r="E245" t="s">
        <v>1630</v>
      </c>
      <c r="F245" s="112">
        <v>112.09</v>
      </c>
      <c r="G245" s="112">
        <v>112.09</v>
      </c>
      <c r="H245" s="112">
        <v>0</v>
      </c>
      <c r="I245" t="s">
        <v>6383</v>
      </c>
      <c r="J245" t="s">
        <v>5349</v>
      </c>
    </row>
    <row r="246" spans="1:10" x14ac:dyDescent="0.2">
      <c r="A246" t="s">
        <v>5350</v>
      </c>
      <c r="B246" t="s">
        <v>1631</v>
      </c>
      <c r="C246" t="s">
        <v>1632</v>
      </c>
      <c r="D246" t="s">
        <v>335</v>
      </c>
      <c r="E246" t="s">
        <v>604</v>
      </c>
      <c r="F246" s="112">
        <v>522.79</v>
      </c>
      <c r="G246" s="112">
        <v>522.79</v>
      </c>
      <c r="H246" s="112">
        <v>0</v>
      </c>
      <c r="I246" t="s">
        <v>6383</v>
      </c>
      <c r="J246" t="s">
        <v>5352</v>
      </c>
    </row>
    <row r="247" spans="1:10" x14ac:dyDescent="0.2">
      <c r="A247" t="s">
        <v>5353</v>
      </c>
      <c r="B247" t="s">
        <v>1633</v>
      </c>
      <c r="C247" t="s">
        <v>1634</v>
      </c>
      <c r="D247" t="s">
        <v>56</v>
      </c>
      <c r="E247" t="s">
        <v>942</v>
      </c>
      <c r="F247" s="112">
        <v>434.07</v>
      </c>
      <c r="G247" s="112">
        <v>434.07</v>
      </c>
      <c r="H247" s="112">
        <v>0</v>
      </c>
      <c r="I247" t="s">
        <v>6383</v>
      </c>
      <c r="J247" t="s">
        <v>5355</v>
      </c>
    </row>
    <row r="248" spans="1:10" x14ac:dyDescent="0.2">
      <c r="A248" t="s">
        <v>5356</v>
      </c>
      <c r="B248" t="s">
        <v>608</v>
      </c>
      <c r="C248" t="s">
        <v>1569</v>
      </c>
      <c r="D248" t="s">
        <v>56</v>
      </c>
      <c r="E248" t="s">
        <v>574</v>
      </c>
      <c r="F248" s="112">
        <v>1175.5999999999999</v>
      </c>
      <c r="G248" s="112">
        <v>1175.5999999999999</v>
      </c>
      <c r="H248" s="112">
        <v>0</v>
      </c>
      <c r="I248" t="s">
        <v>6383</v>
      </c>
      <c r="J248" t="s">
        <v>5357</v>
      </c>
    </row>
    <row r="249" spans="1:10" x14ac:dyDescent="0.2">
      <c r="A249" t="s">
        <v>5358</v>
      </c>
      <c r="B249" t="s">
        <v>609</v>
      </c>
      <c r="C249" t="s">
        <v>1571</v>
      </c>
      <c r="D249" t="s">
        <v>56</v>
      </c>
      <c r="E249" t="s">
        <v>575</v>
      </c>
      <c r="F249" s="112">
        <v>3627.85</v>
      </c>
      <c r="G249" s="112">
        <v>3627.85</v>
      </c>
      <c r="H249" s="112">
        <v>0</v>
      </c>
      <c r="I249" t="s">
        <v>6383</v>
      </c>
      <c r="J249" t="s">
        <v>5359</v>
      </c>
    </row>
    <row r="250" spans="1:10" x14ac:dyDescent="0.2">
      <c r="A250" t="s">
        <v>5360</v>
      </c>
      <c r="B250" t="s">
        <v>610</v>
      </c>
      <c r="C250" t="s">
        <v>1575</v>
      </c>
      <c r="D250" t="s">
        <v>56</v>
      </c>
      <c r="E250" t="s">
        <v>577</v>
      </c>
      <c r="F250" s="112">
        <v>5028.47</v>
      </c>
      <c r="G250" s="112">
        <v>5028.47</v>
      </c>
      <c r="H250" s="112">
        <v>0</v>
      </c>
      <c r="I250" t="s">
        <v>6383</v>
      </c>
      <c r="J250" t="s">
        <v>5361</v>
      </c>
    </row>
    <row r="251" spans="1:10" x14ac:dyDescent="0.2">
      <c r="A251" t="s">
        <v>5362</v>
      </c>
      <c r="B251" t="s">
        <v>611</v>
      </c>
      <c r="C251" t="s">
        <v>1635</v>
      </c>
      <c r="D251" t="s">
        <v>56</v>
      </c>
      <c r="E251" t="s">
        <v>612</v>
      </c>
      <c r="F251" s="112">
        <v>165.96</v>
      </c>
      <c r="G251" s="112">
        <v>165.96</v>
      </c>
      <c r="H251" s="112">
        <v>0</v>
      </c>
      <c r="I251" t="s">
        <v>6383</v>
      </c>
      <c r="J251" t="s">
        <v>5364</v>
      </c>
    </row>
    <row r="252" spans="1:10" x14ac:dyDescent="0.2">
      <c r="A252" t="s">
        <v>5365</v>
      </c>
      <c r="B252" t="s">
        <v>613</v>
      </c>
      <c r="C252" t="s">
        <v>1584</v>
      </c>
      <c r="D252" t="s">
        <v>56</v>
      </c>
      <c r="E252" t="s">
        <v>654</v>
      </c>
      <c r="F252" s="112">
        <v>426.82</v>
      </c>
      <c r="G252" s="112">
        <v>426.82</v>
      </c>
      <c r="H252" s="112">
        <v>0</v>
      </c>
      <c r="I252" t="s">
        <v>6383</v>
      </c>
      <c r="J252" t="s">
        <v>5366</v>
      </c>
    </row>
    <row r="253" spans="1:10" x14ac:dyDescent="0.2">
      <c r="A253" t="s">
        <v>5367</v>
      </c>
      <c r="B253" t="s">
        <v>614</v>
      </c>
      <c r="C253" t="s">
        <v>1636</v>
      </c>
      <c r="D253" t="s">
        <v>56</v>
      </c>
      <c r="E253" t="s">
        <v>1637</v>
      </c>
      <c r="F253" s="112">
        <v>2089.29</v>
      </c>
      <c r="G253" s="112">
        <v>2089.29</v>
      </c>
      <c r="H253" s="112">
        <v>0</v>
      </c>
      <c r="I253" t="s">
        <v>6383</v>
      </c>
      <c r="J253" t="s">
        <v>5369</v>
      </c>
    </row>
    <row r="254" spans="1:10" x14ac:dyDescent="0.2">
      <c r="A254" t="s">
        <v>5370</v>
      </c>
      <c r="B254" t="s">
        <v>616</v>
      </c>
      <c r="C254" t="s">
        <v>1638</v>
      </c>
      <c r="D254" t="s">
        <v>56</v>
      </c>
      <c r="E254" t="s">
        <v>1639</v>
      </c>
      <c r="F254" s="112">
        <v>284.79000000000002</v>
      </c>
      <c r="G254" s="112">
        <v>284.79000000000002</v>
      </c>
      <c r="H254" s="112">
        <v>0</v>
      </c>
      <c r="I254" t="s">
        <v>6383</v>
      </c>
      <c r="J254" t="s">
        <v>5372</v>
      </c>
    </row>
    <row r="255" spans="1:10" x14ac:dyDescent="0.2">
      <c r="A255" t="s">
        <v>5373</v>
      </c>
      <c r="B255" t="s">
        <v>618</v>
      </c>
      <c r="C255" t="s">
        <v>1603</v>
      </c>
      <c r="D255" t="s">
        <v>56</v>
      </c>
      <c r="E255" t="s">
        <v>656</v>
      </c>
      <c r="F255" s="112">
        <v>158.28</v>
      </c>
      <c r="G255" s="112">
        <v>158.28</v>
      </c>
      <c r="H255" s="112">
        <v>0</v>
      </c>
      <c r="I255" t="s">
        <v>6383</v>
      </c>
      <c r="J255" t="s">
        <v>5374</v>
      </c>
    </row>
    <row r="256" spans="1:10" x14ac:dyDescent="0.2">
      <c r="A256" t="s">
        <v>5375</v>
      </c>
      <c r="B256" t="s">
        <v>620</v>
      </c>
      <c r="C256" t="s">
        <v>1640</v>
      </c>
      <c r="D256" t="s">
        <v>56</v>
      </c>
      <c r="E256" t="s">
        <v>621</v>
      </c>
      <c r="F256" s="112">
        <v>114.66</v>
      </c>
      <c r="G256" s="112">
        <v>114.66</v>
      </c>
      <c r="H256" s="112">
        <v>0</v>
      </c>
      <c r="I256" t="s">
        <v>6383</v>
      </c>
      <c r="J256" t="s">
        <v>5377</v>
      </c>
    </row>
    <row r="257" spans="1:10" x14ac:dyDescent="0.2">
      <c r="A257" t="s">
        <v>5378</v>
      </c>
      <c r="B257" t="s">
        <v>1641</v>
      </c>
      <c r="C257" t="s">
        <v>1597</v>
      </c>
      <c r="D257" t="s">
        <v>56</v>
      </c>
      <c r="E257" t="s">
        <v>587</v>
      </c>
      <c r="F257" s="112">
        <v>963.09</v>
      </c>
      <c r="G257" s="112">
        <v>963.09</v>
      </c>
      <c r="H257" s="112">
        <v>0</v>
      </c>
      <c r="I257" t="s">
        <v>6383</v>
      </c>
      <c r="J257" t="s">
        <v>5379</v>
      </c>
    </row>
    <row r="258" spans="1:10" x14ac:dyDescent="0.2">
      <c r="A258" t="s">
        <v>5380</v>
      </c>
      <c r="B258" t="s">
        <v>1642</v>
      </c>
      <c r="C258" t="s">
        <v>1643</v>
      </c>
      <c r="D258" t="s">
        <v>56</v>
      </c>
      <c r="E258" t="s">
        <v>622</v>
      </c>
      <c r="F258" s="112">
        <v>62.4</v>
      </c>
      <c r="G258" s="112">
        <v>62.4</v>
      </c>
      <c r="H258" s="112">
        <v>0</v>
      </c>
      <c r="I258" t="s">
        <v>6383</v>
      </c>
      <c r="J258" t="s">
        <v>5382</v>
      </c>
    </row>
    <row r="259" spans="1:10" x14ac:dyDescent="0.2">
      <c r="A259" t="s">
        <v>5383</v>
      </c>
      <c r="B259" t="s">
        <v>1644</v>
      </c>
      <c r="C259" t="s">
        <v>1645</v>
      </c>
      <c r="D259" t="s">
        <v>56</v>
      </c>
      <c r="E259" t="s">
        <v>623</v>
      </c>
      <c r="F259" s="112">
        <v>141.06</v>
      </c>
      <c r="G259" s="112">
        <v>141.06</v>
      </c>
      <c r="H259" s="112">
        <v>0</v>
      </c>
      <c r="I259" t="s">
        <v>6383</v>
      </c>
      <c r="J259" t="s">
        <v>5385</v>
      </c>
    </row>
    <row r="260" spans="1:10" x14ac:dyDescent="0.2">
      <c r="A260" t="s">
        <v>5386</v>
      </c>
      <c r="B260" t="s">
        <v>1646</v>
      </c>
      <c r="C260" t="s">
        <v>1647</v>
      </c>
      <c r="D260" t="s">
        <v>56</v>
      </c>
      <c r="E260" t="s">
        <v>624</v>
      </c>
      <c r="F260" s="112">
        <v>18.23</v>
      </c>
      <c r="G260" s="112">
        <v>18.23</v>
      </c>
      <c r="H260" s="112">
        <v>0</v>
      </c>
      <c r="I260" t="s">
        <v>6383</v>
      </c>
      <c r="J260" t="s">
        <v>5388</v>
      </c>
    </row>
    <row r="261" spans="1:10" x14ac:dyDescent="0.2">
      <c r="A261" t="s">
        <v>5389</v>
      </c>
      <c r="B261" t="s">
        <v>1648</v>
      </c>
      <c r="C261" t="s">
        <v>1649</v>
      </c>
      <c r="D261" t="s">
        <v>56</v>
      </c>
      <c r="E261" t="s">
        <v>625</v>
      </c>
      <c r="F261" s="112">
        <v>53.4</v>
      </c>
      <c r="G261" s="112">
        <v>53.4</v>
      </c>
      <c r="H261" s="112">
        <v>0</v>
      </c>
      <c r="I261" t="s">
        <v>6383</v>
      </c>
      <c r="J261" t="s">
        <v>5391</v>
      </c>
    </row>
    <row r="262" spans="1:10" x14ac:dyDescent="0.2">
      <c r="A262" t="s">
        <v>5392</v>
      </c>
      <c r="B262" t="s">
        <v>1650</v>
      </c>
      <c r="C262" t="s">
        <v>1610</v>
      </c>
      <c r="D262" t="s">
        <v>56</v>
      </c>
      <c r="E262" t="s">
        <v>593</v>
      </c>
      <c r="F262" s="112">
        <v>102.06</v>
      </c>
      <c r="G262" s="112">
        <v>102.06</v>
      </c>
      <c r="H262" s="112">
        <v>0</v>
      </c>
      <c r="I262" t="s">
        <v>6383</v>
      </c>
      <c r="J262" t="s">
        <v>5393</v>
      </c>
    </row>
    <row r="263" spans="1:10" x14ac:dyDescent="0.2">
      <c r="A263" t="s">
        <v>5394</v>
      </c>
      <c r="B263" t="s">
        <v>1651</v>
      </c>
      <c r="C263" t="s">
        <v>1652</v>
      </c>
      <c r="D263" t="s">
        <v>56</v>
      </c>
      <c r="E263" t="s">
        <v>626</v>
      </c>
      <c r="F263" s="112">
        <v>37.33</v>
      </c>
      <c r="G263" s="112">
        <v>37.33</v>
      </c>
      <c r="H263" s="112">
        <v>0</v>
      </c>
      <c r="I263" t="s">
        <v>6383</v>
      </c>
      <c r="J263" t="s">
        <v>5396</v>
      </c>
    </row>
    <row r="264" spans="1:10" x14ac:dyDescent="0.2">
      <c r="A264" t="s">
        <v>5397</v>
      </c>
      <c r="B264" t="s">
        <v>1653</v>
      </c>
      <c r="C264" t="s">
        <v>1654</v>
      </c>
      <c r="D264" t="s">
        <v>56</v>
      </c>
      <c r="E264" t="s">
        <v>627</v>
      </c>
      <c r="F264" s="112">
        <v>329.64</v>
      </c>
      <c r="G264" s="112">
        <v>329.64</v>
      </c>
      <c r="H264" s="112">
        <v>0</v>
      </c>
      <c r="I264" t="s">
        <v>6383</v>
      </c>
      <c r="J264" t="s">
        <v>5399</v>
      </c>
    </row>
    <row r="265" spans="1:10" x14ac:dyDescent="0.2">
      <c r="A265" t="s">
        <v>5400</v>
      </c>
      <c r="B265" t="s">
        <v>1655</v>
      </c>
      <c r="C265" t="s">
        <v>1656</v>
      </c>
      <c r="D265" t="s">
        <v>56</v>
      </c>
      <c r="E265" t="s">
        <v>628</v>
      </c>
      <c r="F265" s="112">
        <v>238.35</v>
      </c>
      <c r="G265" s="112">
        <v>238.35</v>
      </c>
      <c r="H265" s="112">
        <v>0</v>
      </c>
      <c r="I265" t="s">
        <v>6383</v>
      </c>
      <c r="J265" t="s">
        <v>5402</v>
      </c>
    </row>
    <row r="266" spans="1:10" x14ac:dyDescent="0.2">
      <c r="A266" t="s">
        <v>5403</v>
      </c>
      <c r="B266" t="s">
        <v>1657</v>
      </c>
      <c r="C266" t="s">
        <v>1614</v>
      </c>
      <c r="D266" t="s">
        <v>56</v>
      </c>
      <c r="E266" t="s">
        <v>595</v>
      </c>
      <c r="F266" s="112">
        <v>234.3</v>
      </c>
      <c r="G266" s="112">
        <v>234.3</v>
      </c>
      <c r="H266" s="112">
        <v>0</v>
      </c>
      <c r="I266" t="s">
        <v>6383</v>
      </c>
      <c r="J266" t="s">
        <v>5404</v>
      </c>
    </row>
    <row r="267" spans="1:10" x14ac:dyDescent="0.2">
      <c r="A267" t="s">
        <v>5405</v>
      </c>
      <c r="B267" t="s">
        <v>1658</v>
      </c>
      <c r="C267" t="s">
        <v>1659</v>
      </c>
      <c r="D267" t="s">
        <v>56</v>
      </c>
      <c r="E267" t="s">
        <v>629</v>
      </c>
      <c r="F267" s="112">
        <v>325.32</v>
      </c>
      <c r="G267" s="112">
        <v>325.32</v>
      </c>
      <c r="H267" s="112">
        <v>0</v>
      </c>
      <c r="I267" t="s">
        <v>6383</v>
      </c>
      <c r="J267" t="s">
        <v>5407</v>
      </c>
    </row>
    <row r="268" spans="1:10" x14ac:dyDescent="0.2">
      <c r="A268" t="s">
        <v>5408</v>
      </c>
      <c r="B268" t="s">
        <v>1660</v>
      </c>
      <c r="C268" t="s">
        <v>1661</v>
      </c>
      <c r="D268" t="s">
        <v>56</v>
      </c>
      <c r="E268" t="s">
        <v>630</v>
      </c>
      <c r="F268" s="112">
        <v>425.21</v>
      </c>
      <c r="G268" s="112">
        <v>425.21</v>
      </c>
      <c r="H268" s="112">
        <v>0</v>
      </c>
      <c r="I268" t="s">
        <v>6383</v>
      </c>
      <c r="J268" t="s">
        <v>5410</v>
      </c>
    </row>
    <row r="269" spans="1:10" x14ac:dyDescent="0.2">
      <c r="A269" t="s">
        <v>5411</v>
      </c>
      <c r="B269" t="s">
        <v>1662</v>
      </c>
      <c r="C269" t="s">
        <v>1616</v>
      </c>
      <c r="D269" t="s">
        <v>56</v>
      </c>
      <c r="E269" t="s">
        <v>596</v>
      </c>
      <c r="F269" s="112">
        <v>185.35</v>
      </c>
      <c r="G269" s="112">
        <v>185.35</v>
      </c>
      <c r="H269" s="112">
        <v>0</v>
      </c>
      <c r="I269" t="s">
        <v>6383</v>
      </c>
      <c r="J269" t="s">
        <v>5412</v>
      </c>
    </row>
    <row r="270" spans="1:10" x14ac:dyDescent="0.2">
      <c r="A270" t="s">
        <v>5413</v>
      </c>
      <c r="B270" t="s">
        <v>1663</v>
      </c>
      <c r="C270" t="s">
        <v>1664</v>
      </c>
      <c r="D270" t="s">
        <v>56</v>
      </c>
      <c r="E270" t="s">
        <v>631</v>
      </c>
      <c r="F270" s="112">
        <v>22.85</v>
      </c>
      <c r="G270" s="112">
        <v>22.85</v>
      </c>
      <c r="H270" s="112">
        <v>0</v>
      </c>
      <c r="I270" t="s">
        <v>6383</v>
      </c>
      <c r="J270" t="s">
        <v>5415</v>
      </c>
    </row>
    <row r="271" spans="1:10" x14ac:dyDescent="0.2">
      <c r="A271" t="s">
        <v>5416</v>
      </c>
      <c r="B271" t="s">
        <v>1665</v>
      </c>
      <c r="C271" t="s">
        <v>1666</v>
      </c>
      <c r="D271" t="s">
        <v>56</v>
      </c>
      <c r="E271" t="s">
        <v>632</v>
      </c>
      <c r="F271" s="112">
        <v>41.94</v>
      </c>
      <c r="G271" s="112">
        <v>41.94</v>
      </c>
      <c r="H271" s="112">
        <v>0</v>
      </c>
      <c r="I271" t="s">
        <v>6383</v>
      </c>
      <c r="J271" t="s">
        <v>5418</v>
      </c>
    </row>
    <row r="272" spans="1:10" x14ac:dyDescent="0.2">
      <c r="A272" t="s">
        <v>5419</v>
      </c>
      <c r="B272" t="s">
        <v>1667</v>
      </c>
      <c r="C272" t="s">
        <v>1668</v>
      </c>
      <c r="D272" t="s">
        <v>56</v>
      </c>
      <c r="E272" t="s">
        <v>1669</v>
      </c>
      <c r="F272" s="112">
        <v>291.24</v>
      </c>
      <c r="G272" s="112">
        <v>291.24</v>
      </c>
      <c r="H272" s="112">
        <v>0</v>
      </c>
      <c r="I272" t="s">
        <v>6383</v>
      </c>
      <c r="J272" t="s">
        <v>5421</v>
      </c>
    </row>
    <row r="273" spans="1:10" x14ac:dyDescent="0.2">
      <c r="A273" t="s">
        <v>5422</v>
      </c>
      <c r="B273" t="s">
        <v>1670</v>
      </c>
      <c r="C273" t="s">
        <v>1592</v>
      </c>
      <c r="D273" t="s">
        <v>56</v>
      </c>
      <c r="E273" t="s">
        <v>1593</v>
      </c>
      <c r="F273" s="112">
        <v>60.21</v>
      </c>
      <c r="G273" s="112">
        <v>60.21</v>
      </c>
      <c r="H273" s="112">
        <v>0</v>
      </c>
      <c r="I273" t="s">
        <v>6383</v>
      </c>
      <c r="J273" t="s">
        <v>5423</v>
      </c>
    </row>
    <row r="274" spans="1:10" x14ac:dyDescent="0.2">
      <c r="A274" t="s">
        <v>5424</v>
      </c>
      <c r="B274" t="s">
        <v>1671</v>
      </c>
      <c r="C274" t="s">
        <v>1672</v>
      </c>
      <c r="D274" t="s">
        <v>56</v>
      </c>
      <c r="E274" t="s">
        <v>635</v>
      </c>
      <c r="F274" s="112">
        <v>72.12</v>
      </c>
      <c r="G274" s="112">
        <v>72.12</v>
      </c>
      <c r="H274" s="112">
        <v>0</v>
      </c>
      <c r="I274" t="s">
        <v>6383</v>
      </c>
      <c r="J274" t="s">
        <v>5426</v>
      </c>
    </row>
    <row r="275" spans="1:10" x14ac:dyDescent="0.2">
      <c r="A275" t="s">
        <v>5427</v>
      </c>
      <c r="B275" t="s">
        <v>1673</v>
      </c>
      <c r="C275" t="s">
        <v>1674</v>
      </c>
      <c r="D275" t="s">
        <v>56</v>
      </c>
      <c r="E275" t="s">
        <v>636</v>
      </c>
      <c r="F275" s="112">
        <v>446.46</v>
      </c>
      <c r="G275" s="112">
        <v>446.46</v>
      </c>
      <c r="H275" s="112">
        <v>0</v>
      </c>
      <c r="I275" t="s">
        <v>6383</v>
      </c>
      <c r="J275" t="s">
        <v>5429</v>
      </c>
    </row>
    <row r="276" spans="1:10" x14ac:dyDescent="0.2">
      <c r="A276" t="s">
        <v>5430</v>
      </c>
      <c r="B276" t="s">
        <v>1675</v>
      </c>
      <c r="C276" t="s">
        <v>1676</v>
      </c>
      <c r="D276" t="s">
        <v>56</v>
      </c>
      <c r="E276" t="s">
        <v>637</v>
      </c>
      <c r="F276" s="112">
        <v>39.909999999999997</v>
      </c>
      <c r="G276" s="112">
        <v>39.909999999999997</v>
      </c>
      <c r="H276" s="112">
        <v>0</v>
      </c>
      <c r="I276" t="s">
        <v>6383</v>
      </c>
      <c r="J276" t="s">
        <v>5432</v>
      </c>
    </row>
    <row r="277" spans="1:10" x14ac:dyDescent="0.2">
      <c r="A277" t="s">
        <v>5433</v>
      </c>
      <c r="B277" t="s">
        <v>1677</v>
      </c>
      <c r="C277" t="s">
        <v>1678</v>
      </c>
      <c r="D277" t="s">
        <v>56</v>
      </c>
      <c r="E277" t="s">
        <v>1679</v>
      </c>
      <c r="F277" s="112">
        <v>747.4</v>
      </c>
      <c r="G277" s="112">
        <v>747.4</v>
      </c>
      <c r="H277" s="112">
        <v>0</v>
      </c>
      <c r="I277" t="s">
        <v>6383</v>
      </c>
      <c r="J277" t="s">
        <v>5435</v>
      </c>
    </row>
    <row r="278" spans="1:10" x14ac:dyDescent="0.2">
      <c r="A278" t="s">
        <v>5436</v>
      </c>
      <c r="B278" t="s">
        <v>1680</v>
      </c>
      <c r="C278" t="s">
        <v>1681</v>
      </c>
      <c r="D278" t="s">
        <v>56</v>
      </c>
      <c r="E278" t="s">
        <v>639</v>
      </c>
      <c r="F278" s="112">
        <v>538.55999999999995</v>
      </c>
      <c r="G278" s="112">
        <v>538.55999999999995</v>
      </c>
      <c r="H278" s="112">
        <v>0</v>
      </c>
      <c r="I278" t="s">
        <v>6383</v>
      </c>
      <c r="J278" t="s">
        <v>5438</v>
      </c>
    </row>
    <row r="279" spans="1:10" x14ac:dyDescent="0.2">
      <c r="A279" t="s">
        <v>5439</v>
      </c>
      <c r="B279" t="s">
        <v>1682</v>
      </c>
      <c r="C279" t="s">
        <v>1683</v>
      </c>
      <c r="D279" t="s">
        <v>56</v>
      </c>
      <c r="E279" t="s">
        <v>640</v>
      </c>
      <c r="F279" s="112">
        <v>11.78</v>
      </c>
      <c r="G279" s="112">
        <v>11.78</v>
      </c>
      <c r="H279" s="112">
        <v>0</v>
      </c>
      <c r="I279" t="s">
        <v>6383</v>
      </c>
      <c r="J279" t="s">
        <v>5441</v>
      </c>
    </row>
    <row r="280" spans="1:10" x14ac:dyDescent="0.2">
      <c r="A280" t="s">
        <v>5442</v>
      </c>
      <c r="B280" t="s">
        <v>1684</v>
      </c>
      <c r="C280" t="s">
        <v>1685</v>
      </c>
      <c r="D280" t="s">
        <v>56</v>
      </c>
      <c r="E280" t="s">
        <v>1686</v>
      </c>
      <c r="F280" s="112">
        <v>904.96</v>
      </c>
      <c r="G280" s="112">
        <v>904.96</v>
      </c>
      <c r="H280" s="112">
        <v>0</v>
      </c>
      <c r="I280" t="s">
        <v>6383</v>
      </c>
      <c r="J280" t="s">
        <v>5444</v>
      </c>
    </row>
    <row r="281" spans="1:10" x14ac:dyDescent="0.2">
      <c r="A281" t="s">
        <v>5445</v>
      </c>
      <c r="B281" t="s">
        <v>1687</v>
      </c>
      <c r="C281" t="s">
        <v>1688</v>
      </c>
      <c r="D281" t="s">
        <v>56</v>
      </c>
      <c r="E281" t="s">
        <v>1689</v>
      </c>
      <c r="F281" s="112">
        <v>2025.85</v>
      </c>
      <c r="G281" s="112">
        <v>2025.85</v>
      </c>
      <c r="H281" s="112">
        <v>0</v>
      </c>
      <c r="I281" t="s">
        <v>6383</v>
      </c>
      <c r="J281" t="s">
        <v>5447</v>
      </c>
    </row>
    <row r="282" spans="1:10" x14ac:dyDescent="0.2">
      <c r="A282" t="s">
        <v>5448</v>
      </c>
      <c r="B282" t="s">
        <v>645</v>
      </c>
      <c r="C282" t="s">
        <v>1569</v>
      </c>
      <c r="D282" t="s">
        <v>56</v>
      </c>
      <c r="E282" t="s">
        <v>574</v>
      </c>
      <c r="F282" s="112">
        <v>419.38</v>
      </c>
      <c r="G282" s="112">
        <v>419.38</v>
      </c>
      <c r="H282" s="112">
        <v>0</v>
      </c>
      <c r="I282" t="s">
        <v>6383</v>
      </c>
      <c r="J282" t="s">
        <v>5449</v>
      </c>
    </row>
    <row r="283" spans="1:10" x14ac:dyDescent="0.2">
      <c r="A283" t="s">
        <v>5450</v>
      </c>
      <c r="B283" t="s">
        <v>646</v>
      </c>
      <c r="C283" t="s">
        <v>1690</v>
      </c>
      <c r="D283" t="s">
        <v>56</v>
      </c>
      <c r="E283" t="s">
        <v>647</v>
      </c>
      <c r="F283" s="112">
        <v>23.55</v>
      </c>
      <c r="G283" s="112">
        <v>23.55</v>
      </c>
      <c r="H283" s="112">
        <v>0</v>
      </c>
      <c r="I283" t="s">
        <v>6383</v>
      </c>
      <c r="J283" t="s">
        <v>5452</v>
      </c>
    </row>
    <row r="284" spans="1:10" x14ac:dyDescent="0.2">
      <c r="A284" t="s">
        <v>5453</v>
      </c>
      <c r="B284" t="s">
        <v>648</v>
      </c>
      <c r="C284" t="s">
        <v>1575</v>
      </c>
      <c r="D284" t="s">
        <v>56</v>
      </c>
      <c r="E284" t="s">
        <v>577</v>
      </c>
      <c r="F284" s="112">
        <v>3010.08</v>
      </c>
      <c r="G284" s="112">
        <v>3010.08</v>
      </c>
      <c r="H284" s="112">
        <v>0</v>
      </c>
      <c r="I284" t="s">
        <v>6383</v>
      </c>
      <c r="J284" t="s">
        <v>5454</v>
      </c>
    </row>
    <row r="285" spans="1:10" x14ac:dyDescent="0.2">
      <c r="A285" t="s">
        <v>5455</v>
      </c>
      <c r="B285" t="s">
        <v>649</v>
      </c>
      <c r="C285" t="s">
        <v>1580</v>
      </c>
      <c r="D285" t="s">
        <v>56</v>
      </c>
      <c r="E285" t="s">
        <v>579</v>
      </c>
      <c r="F285" s="112">
        <v>81.96</v>
      </c>
      <c r="G285" s="112">
        <v>81.96</v>
      </c>
      <c r="H285" s="112">
        <v>0</v>
      </c>
      <c r="I285" t="s">
        <v>6383</v>
      </c>
      <c r="J285" t="s">
        <v>5456</v>
      </c>
    </row>
    <row r="286" spans="1:10" x14ac:dyDescent="0.2">
      <c r="A286" t="s">
        <v>5457</v>
      </c>
      <c r="B286" t="s">
        <v>651</v>
      </c>
      <c r="C286" t="s">
        <v>1582</v>
      </c>
      <c r="D286" t="s">
        <v>56</v>
      </c>
      <c r="E286" t="s">
        <v>580</v>
      </c>
      <c r="F286" s="112">
        <v>122.19</v>
      </c>
      <c r="G286" s="112">
        <v>122.19</v>
      </c>
      <c r="H286" s="112">
        <v>0</v>
      </c>
      <c r="I286" t="s">
        <v>6383</v>
      </c>
      <c r="J286" t="s">
        <v>5458</v>
      </c>
    </row>
    <row r="287" spans="1:10" x14ac:dyDescent="0.2">
      <c r="A287" t="s">
        <v>5459</v>
      </c>
      <c r="B287" t="s">
        <v>653</v>
      </c>
      <c r="C287" t="s">
        <v>1584</v>
      </c>
      <c r="D287" t="s">
        <v>56</v>
      </c>
      <c r="E287" t="s">
        <v>654</v>
      </c>
      <c r="F287" s="112">
        <v>170.73</v>
      </c>
      <c r="G287" s="112">
        <v>170.73</v>
      </c>
      <c r="H287" s="112">
        <v>0</v>
      </c>
      <c r="I287" t="s">
        <v>6383</v>
      </c>
      <c r="J287" t="s">
        <v>5460</v>
      </c>
    </row>
    <row r="288" spans="1:10" x14ac:dyDescent="0.2">
      <c r="A288" t="s">
        <v>5461</v>
      </c>
      <c r="B288" t="s">
        <v>655</v>
      </c>
      <c r="C288" t="s">
        <v>1603</v>
      </c>
      <c r="D288" t="s">
        <v>56</v>
      </c>
      <c r="E288" t="s">
        <v>656</v>
      </c>
      <c r="F288" s="112">
        <v>135.66999999999999</v>
      </c>
      <c r="G288" s="112">
        <v>135.66999999999999</v>
      </c>
      <c r="H288" s="112">
        <v>0</v>
      </c>
      <c r="I288" t="s">
        <v>6383</v>
      </c>
      <c r="J288" t="s">
        <v>5462</v>
      </c>
    </row>
    <row r="289" spans="1:10" x14ac:dyDescent="0.2">
      <c r="A289" t="s">
        <v>5463</v>
      </c>
      <c r="B289" t="s">
        <v>657</v>
      </c>
      <c r="C289" t="s">
        <v>1691</v>
      </c>
      <c r="D289" t="s">
        <v>56</v>
      </c>
      <c r="E289" t="s">
        <v>658</v>
      </c>
      <c r="F289" s="112">
        <v>14.42</v>
      </c>
      <c r="G289" s="112">
        <v>14.42</v>
      </c>
      <c r="H289" s="112">
        <v>0</v>
      </c>
      <c r="I289" t="s">
        <v>6383</v>
      </c>
      <c r="J289" t="s">
        <v>5465</v>
      </c>
    </row>
    <row r="290" spans="1:10" x14ac:dyDescent="0.2">
      <c r="A290" t="s">
        <v>5466</v>
      </c>
      <c r="B290" t="s">
        <v>659</v>
      </c>
      <c r="C290" t="s">
        <v>1643</v>
      </c>
      <c r="D290" t="s">
        <v>56</v>
      </c>
      <c r="E290" t="s">
        <v>622</v>
      </c>
      <c r="F290" s="112">
        <v>12.48</v>
      </c>
      <c r="G290" s="112">
        <v>12.48</v>
      </c>
      <c r="H290" s="112">
        <v>0</v>
      </c>
      <c r="I290" t="s">
        <v>6383</v>
      </c>
      <c r="J290" t="s">
        <v>5467</v>
      </c>
    </row>
    <row r="291" spans="1:10" x14ac:dyDescent="0.2">
      <c r="A291" t="s">
        <v>5468</v>
      </c>
      <c r="B291" t="s">
        <v>1692</v>
      </c>
      <c r="C291" t="s">
        <v>1597</v>
      </c>
      <c r="D291" t="s">
        <v>56</v>
      </c>
      <c r="E291" t="s">
        <v>587</v>
      </c>
      <c r="F291" s="112">
        <v>58.72</v>
      </c>
      <c r="G291" s="112">
        <v>58.72</v>
      </c>
      <c r="H291" s="112">
        <v>0</v>
      </c>
      <c r="I291" t="s">
        <v>6383</v>
      </c>
      <c r="J291" t="s">
        <v>5469</v>
      </c>
    </row>
    <row r="292" spans="1:10" x14ac:dyDescent="0.2">
      <c r="A292" t="s">
        <v>5470</v>
      </c>
      <c r="B292" t="s">
        <v>1693</v>
      </c>
      <c r="C292" t="s">
        <v>1647</v>
      </c>
      <c r="D292" t="s">
        <v>56</v>
      </c>
      <c r="E292" t="s">
        <v>624</v>
      </c>
      <c r="F292" s="112">
        <v>18.23</v>
      </c>
      <c r="G292" s="112">
        <v>18.23</v>
      </c>
      <c r="H292" s="112">
        <v>0</v>
      </c>
      <c r="I292" t="s">
        <v>6383</v>
      </c>
      <c r="J292" t="s">
        <v>5471</v>
      </c>
    </row>
    <row r="293" spans="1:10" x14ac:dyDescent="0.2">
      <c r="A293" t="s">
        <v>5472</v>
      </c>
      <c r="B293" t="s">
        <v>1694</v>
      </c>
      <c r="C293" t="s">
        <v>1695</v>
      </c>
      <c r="D293" t="s">
        <v>56</v>
      </c>
      <c r="E293" t="s">
        <v>1696</v>
      </c>
      <c r="F293" s="112">
        <v>11.32</v>
      </c>
      <c r="G293" s="112">
        <v>11.32</v>
      </c>
      <c r="H293" s="112">
        <v>0</v>
      </c>
      <c r="I293" t="s">
        <v>6383</v>
      </c>
      <c r="J293" t="s">
        <v>5474</v>
      </c>
    </row>
    <row r="294" spans="1:10" x14ac:dyDescent="0.2">
      <c r="A294" t="s">
        <v>5475</v>
      </c>
      <c r="B294" t="s">
        <v>1697</v>
      </c>
      <c r="C294" t="s">
        <v>1698</v>
      </c>
      <c r="D294" t="s">
        <v>56</v>
      </c>
      <c r="E294" t="s">
        <v>661</v>
      </c>
      <c r="F294" s="112">
        <v>29.51</v>
      </c>
      <c r="G294" s="112">
        <v>29.51</v>
      </c>
      <c r="H294" s="112">
        <v>0</v>
      </c>
      <c r="I294" t="s">
        <v>6383</v>
      </c>
      <c r="J294" t="s">
        <v>5477</v>
      </c>
    </row>
    <row r="295" spans="1:10" x14ac:dyDescent="0.2">
      <c r="A295" t="s">
        <v>5478</v>
      </c>
      <c r="B295" t="s">
        <v>1699</v>
      </c>
      <c r="C295" t="s">
        <v>1614</v>
      </c>
      <c r="D295" t="s">
        <v>56</v>
      </c>
      <c r="E295" t="s">
        <v>595</v>
      </c>
      <c r="F295" s="112">
        <v>33.47</v>
      </c>
      <c r="G295" s="112">
        <v>33.47</v>
      </c>
      <c r="H295" s="112">
        <v>0</v>
      </c>
      <c r="I295" t="s">
        <v>6383</v>
      </c>
      <c r="J295" t="s">
        <v>5479</v>
      </c>
    </row>
    <row r="296" spans="1:10" x14ac:dyDescent="0.2">
      <c r="A296" t="s">
        <v>5480</v>
      </c>
      <c r="B296" t="s">
        <v>1700</v>
      </c>
      <c r="C296" t="s">
        <v>1701</v>
      </c>
      <c r="D296" t="s">
        <v>56</v>
      </c>
      <c r="E296" t="s">
        <v>662</v>
      </c>
      <c r="F296" s="112">
        <v>12.33</v>
      </c>
      <c r="G296" s="112">
        <v>12.33</v>
      </c>
      <c r="H296" s="112">
        <v>0</v>
      </c>
      <c r="I296" t="s">
        <v>6383</v>
      </c>
      <c r="J296" t="s">
        <v>5482</v>
      </c>
    </row>
    <row r="297" spans="1:10" x14ac:dyDescent="0.2">
      <c r="A297" t="s">
        <v>5483</v>
      </c>
      <c r="B297" t="s">
        <v>1702</v>
      </c>
      <c r="C297" t="s">
        <v>1661</v>
      </c>
      <c r="D297" t="s">
        <v>56</v>
      </c>
      <c r="E297" t="s">
        <v>630</v>
      </c>
      <c r="F297" s="112">
        <v>14.66</v>
      </c>
      <c r="G297" s="112">
        <v>14.66</v>
      </c>
      <c r="H297" s="112">
        <v>0</v>
      </c>
      <c r="I297" t="s">
        <v>6383</v>
      </c>
      <c r="J297" t="s">
        <v>5484</v>
      </c>
    </row>
    <row r="298" spans="1:10" x14ac:dyDescent="0.2">
      <c r="A298" t="s">
        <v>5485</v>
      </c>
      <c r="B298" t="s">
        <v>1703</v>
      </c>
      <c r="C298" t="s">
        <v>1704</v>
      </c>
      <c r="D298" t="s">
        <v>56</v>
      </c>
      <c r="E298" t="s">
        <v>663</v>
      </c>
      <c r="F298" s="112">
        <v>42.48</v>
      </c>
      <c r="G298" s="112">
        <v>42.48</v>
      </c>
      <c r="H298" s="112">
        <v>0</v>
      </c>
      <c r="I298" t="s">
        <v>6383</v>
      </c>
      <c r="J298" t="s">
        <v>5487</v>
      </c>
    </row>
    <row r="299" spans="1:10" x14ac:dyDescent="0.2">
      <c r="A299" t="s">
        <v>5488</v>
      </c>
      <c r="B299" t="s">
        <v>1705</v>
      </c>
      <c r="C299" t="s">
        <v>1706</v>
      </c>
      <c r="D299" t="s">
        <v>56</v>
      </c>
      <c r="E299" t="s">
        <v>664</v>
      </c>
      <c r="F299" s="112">
        <v>17.43</v>
      </c>
      <c r="G299" s="112">
        <v>17.43</v>
      </c>
      <c r="H299" s="112">
        <v>0</v>
      </c>
      <c r="I299" t="s">
        <v>6383</v>
      </c>
      <c r="J299" t="s">
        <v>5490</v>
      </c>
    </row>
    <row r="300" spans="1:10" x14ac:dyDescent="0.2">
      <c r="A300" t="s">
        <v>5491</v>
      </c>
      <c r="B300" t="s">
        <v>1707</v>
      </c>
      <c r="C300" t="s">
        <v>1674</v>
      </c>
      <c r="D300" t="s">
        <v>56</v>
      </c>
      <c r="E300" t="s">
        <v>636</v>
      </c>
      <c r="F300" s="112">
        <v>15.94</v>
      </c>
      <c r="G300" s="112">
        <v>15.94</v>
      </c>
      <c r="H300" s="112">
        <v>0</v>
      </c>
      <c r="I300" t="s">
        <v>6383</v>
      </c>
      <c r="J300" t="s">
        <v>5492</v>
      </c>
    </row>
    <row r="301" spans="1:10" x14ac:dyDescent="0.2">
      <c r="A301" t="s">
        <v>5493</v>
      </c>
      <c r="B301" t="s">
        <v>1708</v>
      </c>
      <c r="C301" t="s">
        <v>1676</v>
      </c>
      <c r="D301" t="s">
        <v>56</v>
      </c>
      <c r="E301" t="s">
        <v>637</v>
      </c>
      <c r="F301" s="112">
        <v>13.3</v>
      </c>
      <c r="G301" s="112">
        <v>13.3</v>
      </c>
      <c r="H301" s="112">
        <v>0</v>
      </c>
      <c r="I301" t="s">
        <v>6383</v>
      </c>
      <c r="J301" t="s">
        <v>5494</v>
      </c>
    </row>
    <row r="302" spans="1:10" x14ac:dyDescent="0.2">
      <c r="A302" t="s">
        <v>5495</v>
      </c>
      <c r="B302" t="s">
        <v>1709</v>
      </c>
      <c r="C302" t="s">
        <v>1710</v>
      </c>
      <c r="D302" t="s">
        <v>56</v>
      </c>
      <c r="E302" t="s">
        <v>1711</v>
      </c>
      <c r="F302" s="112">
        <v>72.92</v>
      </c>
      <c r="G302" s="112">
        <v>72.92</v>
      </c>
      <c r="H302" s="112">
        <v>0</v>
      </c>
      <c r="I302" t="s">
        <v>6383</v>
      </c>
      <c r="J302" t="s">
        <v>5497</v>
      </c>
    </row>
    <row r="303" spans="1:10" x14ac:dyDescent="0.2">
      <c r="A303" t="s">
        <v>5498</v>
      </c>
      <c r="B303" t="s">
        <v>1712</v>
      </c>
      <c r="C303" t="s">
        <v>1623</v>
      </c>
      <c r="D303" t="s">
        <v>56</v>
      </c>
      <c r="E303" t="s">
        <v>666</v>
      </c>
      <c r="F303" s="112">
        <v>69.42</v>
      </c>
      <c r="G303" s="112">
        <v>69.42</v>
      </c>
      <c r="H303" s="112">
        <v>0</v>
      </c>
      <c r="I303" t="s">
        <v>6383</v>
      </c>
      <c r="J303" t="s">
        <v>5499</v>
      </c>
    </row>
    <row r="304" spans="1:10" x14ac:dyDescent="0.2">
      <c r="A304" t="s">
        <v>5500</v>
      </c>
      <c r="B304" t="s">
        <v>1713</v>
      </c>
      <c r="C304" t="s">
        <v>1618</v>
      </c>
      <c r="D304" t="s">
        <v>56</v>
      </c>
      <c r="E304" t="s">
        <v>597</v>
      </c>
      <c r="F304" s="112">
        <v>18.09</v>
      </c>
      <c r="G304" s="112">
        <v>18.09</v>
      </c>
      <c r="H304" s="112">
        <v>0</v>
      </c>
      <c r="I304" t="s">
        <v>6383</v>
      </c>
      <c r="J304" t="s">
        <v>5501</v>
      </c>
    </row>
    <row r="305" spans="1:10" x14ac:dyDescent="0.2">
      <c r="A305" t="s">
        <v>5502</v>
      </c>
      <c r="B305" t="s">
        <v>1714</v>
      </c>
      <c r="C305" t="s">
        <v>1715</v>
      </c>
      <c r="D305" t="s">
        <v>56</v>
      </c>
      <c r="E305" t="s">
        <v>1716</v>
      </c>
      <c r="F305" s="112">
        <v>1128.3</v>
      </c>
      <c r="G305" s="112">
        <v>1128.3</v>
      </c>
      <c r="H305" s="112">
        <v>0</v>
      </c>
      <c r="I305" t="s">
        <v>6383</v>
      </c>
      <c r="J305" t="s">
        <v>5504</v>
      </c>
    </row>
    <row r="306" spans="1:10" x14ac:dyDescent="0.2">
      <c r="A306" t="s">
        <v>5505</v>
      </c>
      <c r="B306" t="s">
        <v>671</v>
      </c>
      <c r="C306" t="s">
        <v>1717</v>
      </c>
      <c r="D306" t="s">
        <v>56</v>
      </c>
      <c r="E306" t="s">
        <v>672</v>
      </c>
      <c r="F306" s="112">
        <v>200.97</v>
      </c>
      <c r="G306" s="112">
        <v>200.97</v>
      </c>
      <c r="H306" s="112">
        <v>0</v>
      </c>
      <c r="I306" t="s">
        <v>6383</v>
      </c>
      <c r="J306" t="s">
        <v>5507</v>
      </c>
    </row>
    <row r="307" spans="1:10" x14ac:dyDescent="0.2">
      <c r="A307" t="s">
        <v>5508</v>
      </c>
      <c r="B307" t="s">
        <v>673</v>
      </c>
      <c r="C307" t="s">
        <v>1718</v>
      </c>
      <c r="D307" t="s">
        <v>56</v>
      </c>
      <c r="E307" t="s">
        <v>674</v>
      </c>
      <c r="F307" s="112">
        <v>4884.43</v>
      </c>
      <c r="G307" s="112">
        <v>4884.43</v>
      </c>
      <c r="H307" s="112">
        <v>0</v>
      </c>
      <c r="I307" t="s">
        <v>6383</v>
      </c>
      <c r="J307" t="s">
        <v>5510</v>
      </c>
    </row>
    <row r="308" spans="1:10" x14ac:dyDescent="0.2">
      <c r="A308" t="s">
        <v>5511</v>
      </c>
      <c r="B308" t="s">
        <v>675</v>
      </c>
      <c r="C308" t="s">
        <v>1715</v>
      </c>
      <c r="D308" t="s">
        <v>56</v>
      </c>
      <c r="E308" t="s">
        <v>1716</v>
      </c>
      <c r="F308" s="112">
        <v>5077.3500000000004</v>
      </c>
      <c r="G308" s="112">
        <v>5077.3500000000004</v>
      </c>
      <c r="H308" s="112">
        <v>0</v>
      </c>
      <c r="I308" t="s">
        <v>6383</v>
      </c>
      <c r="J308" t="s">
        <v>5512</v>
      </c>
    </row>
    <row r="309" spans="1:10" x14ac:dyDescent="0.2">
      <c r="A309" t="s">
        <v>5513</v>
      </c>
      <c r="B309" t="s">
        <v>676</v>
      </c>
      <c r="C309" t="s">
        <v>1719</v>
      </c>
      <c r="D309" t="s">
        <v>56</v>
      </c>
      <c r="E309" t="s">
        <v>677</v>
      </c>
      <c r="F309" s="112">
        <v>1299.3699999999999</v>
      </c>
      <c r="G309" s="112">
        <v>1299.3699999999999</v>
      </c>
      <c r="H309" s="112">
        <v>0</v>
      </c>
      <c r="I309" t="s">
        <v>6383</v>
      </c>
      <c r="J309" t="s">
        <v>5515</v>
      </c>
    </row>
    <row r="310" spans="1:10" x14ac:dyDescent="0.2">
      <c r="A310" t="s">
        <v>5516</v>
      </c>
      <c r="B310" t="s">
        <v>678</v>
      </c>
      <c r="C310" t="s">
        <v>1720</v>
      </c>
      <c r="D310" t="s">
        <v>56</v>
      </c>
      <c r="E310" t="s">
        <v>679</v>
      </c>
      <c r="F310" s="112">
        <v>786.01</v>
      </c>
      <c r="G310" s="112">
        <v>786.01</v>
      </c>
      <c r="H310" s="112">
        <v>0</v>
      </c>
      <c r="I310" t="s">
        <v>6383</v>
      </c>
      <c r="J310" t="s">
        <v>5518</v>
      </c>
    </row>
    <row r="311" spans="1:10" x14ac:dyDescent="0.2">
      <c r="A311" t="s">
        <v>5519</v>
      </c>
      <c r="B311" t="s">
        <v>680</v>
      </c>
      <c r="C311" t="s">
        <v>1721</v>
      </c>
      <c r="D311" t="s">
        <v>56</v>
      </c>
      <c r="E311" t="s">
        <v>681</v>
      </c>
      <c r="F311" s="112">
        <v>1100.47</v>
      </c>
      <c r="G311" s="112">
        <v>1100.47</v>
      </c>
      <c r="H311" s="112">
        <v>0</v>
      </c>
      <c r="I311" t="s">
        <v>6383</v>
      </c>
      <c r="J311" t="s">
        <v>5521</v>
      </c>
    </row>
    <row r="312" spans="1:10" x14ac:dyDescent="0.2">
      <c r="A312" t="s">
        <v>5522</v>
      </c>
      <c r="B312" t="s">
        <v>682</v>
      </c>
      <c r="C312" t="s">
        <v>1722</v>
      </c>
      <c r="D312" t="s">
        <v>56</v>
      </c>
      <c r="E312" t="s">
        <v>683</v>
      </c>
      <c r="F312" s="112">
        <v>1169.58</v>
      </c>
      <c r="G312" s="112">
        <v>1169.58</v>
      </c>
      <c r="H312" s="112">
        <v>0</v>
      </c>
      <c r="I312" t="s">
        <v>6383</v>
      </c>
      <c r="J312" t="s">
        <v>5524</v>
      </c>
    </row>
    <row r="313" spans="1:10" x14ac:dyDescent="0.2">
      <c r="A313" t="s">
        <v>5525</v>
      </c>
      <c r="B313" t="s">
        <v>684</v>
      </c>
      <c r="C313" t="s">
        <v>1723</v>
      </c>
      <c r="D313" t="s">
        <v>56</v>
      </c>
      <c r="E313" t="s">
        <v>1724</v>
      </c>
      <c r="F313" s="112">
        <v>211.5</v>
      </c>
      <c r="G313" s="112">
        <v>211.5</v>
      </c>
      <c r="H313" s="112">
        <v>0</v>
      </c>
      <c r="I313" t="s">
        <v>6383</v>
      </c>
      <c r="J313" t="s">
        <v>5527</v>
      </c>
    </row>
    <row r="314" spans="1:10" x14ac:dyDescent="0.2">
      <c r="A314" t="s">
        <v>5528</v>
      </c>
      <c r="B314" t="s">
        <v>686</v>
      </c>
      <c r="C314" t="s">
        <v>1725</v>
      </c>
      <c r="D314" t="s">
        <v>56</v>
      </c>
      <c r="E314" t="s">
        <v>1726</v>
      </c>
      <c r="F314" s="112">
        <v>10198.44</v>
      </c>
      <c r="G314" s="112">
        <v>10198.44</v>
      </c>
      <c r="H314" s="112">
        <v>0</v>
      </c>
      <c r="I314" t="s">
        <v>6383</v>
      </c>
      <c r="J314" t="s">
        <v>5530</v>
      </c>
    </row>
    <row r="315" spans="1:10" x14ac:dyDescent="0.2">
      <c r="A315" t="s">
        <v>5531</v>
      </c>
      <c r="B315" t="s">
        <v>1727</v>
      </c>
      <c r="C315" t="s">
        <v>1728</v>
      </c>
      <c r="D315" t="s">
        <v>56</v>
      </c>
      <c r="E315" t="s">
        <v>1729</v>
      </c>
      <c r="F315" s="112">
        <v>1165.32</v>
      </c>
      <c r="G315" s="112">
        <v>1165.32</v>
      </c>
      <c r="H315" s="112">
        <v>0</v>
      </c>
      <c r="I315" t="s">
        <v>6383</v>
      </c>
      <c r="J315" t="s">
        <v>5533</v>
      </c>
    </row>
    <row r="316" spans="1:10" x14ac:dyDescent="0.2">
      <c r="A316" t="s">
        <v>5534</v>
      </c>
      <c r="B316" t="s">
        <v>1730</v>
      </c>
      <c r="C316" t="s">
        <v>1731</v>
      </c>
      <c r="D316" t="s">
        <v>56</v>
      </c>
      <c r="E316" t="s">
        <v>689</v>
      </c>
      <c r="F316" s="112">
        <v>427.86</v>
      </c>
      <c r="G316" s="112">
        <v>427.86</v>
      </c>
      <c r="H316" s="112">
        <v>0</v>
      </c>
      <c r="I316" t="s">
        <v>6383</v>
      </c>
      <c r="J316" t="s">
        <v>5536</v>
      </c>
    </row>
    <row r="317" spans="1:10" x14ac:dyDescent="0.2">
      <c r="A317" t="s">
        <v>5537</v>
      </c>
      <c r="B317" t="s">
        <v>1732</v>
      </c>
      <c r="C317" t="s">
        <v>1733</v>
      </c>
      <c r="D317" t="s">
        <v>56</v>
      </c>
      <c r="E317" t="s">
        <v>690</v>
      </c>
      <c r="F317" s="112">
        <v>426.19</v>
      </c>
      <c r="G317" s="112">
        <v>426.19</v>
      </c>
      <c r="H317" s="112">
        <v>0</v>
      </c>
      <c r="I317" t="s">
        <v>6383</v>
      </c>
      <c r="J317" t="s">
        <v>5539</v>
      </c>
    </row>
    <row r="318" spans="1:10" x14ac:dyDescent="0.2">
      <c r="A318" t="s">
        <v>5540</v>
      </c>
      <c r="B318" t="s">
        <v>1734</v>
      </c>
      <c r="C318" t="s">
        <v>1735</v>
      </c>
      <c r="D318" t="s">
        <v>56</v>
      </c>
      <c r="E318" t="s">
        <v>691</v>
      </c>
      <c r="F318" s="112">
        <v>50.77</v>
      </c>
      <c r="G318" s="112">
        <v>50.77</v>
      </c>
      <c r="H318" s="112">
        <v>0</v>
      </c>
      <c r="I318" t="s">
        <v>6383</v>
      </c>
      <c r="J318" t="s">
        <v>5542</v>
      </c>
    </row>
    <row r="319" spans="1:10" x14ac:dyDescent="0.2">
      <c r="A319" t="s">
        <v>5543</v>
      </c>
      <c r="B319" t="s">
        <v>1736</v>
      </c>
      <c r="C319" t="s">
        <v>1737</v>
      </c>
      <c r="D319" t="s">
        <v>56</v>
      </c>
      <c r="E319" t="s">
        <v>692</v>
      </c>
      <c r="F319" s="112">
        <v>397.61</v>
      </c>
      <c r="G319" s="112">
        <v>397.61</v>
      </c>
      <c r="H319" s="112">
        <v>0</v>
      </c>
      <c r="I319" t="s">
        <v>6383</v>
      </c>
      <c r="J319" t="s">
        <v>5545</v>
      </c>
    </row>
    <row r="320" spans="1:10" x14ac:dyDescent="0.2">
      <c r="A320" t="s">
        <v>5546</v>
      </c>
      <c r="B320" t="s">
        <v>1738</v>
      </c>
      <c r="C320" t="s">
        <v>1739</v>
      </c>
      <c r="D320" t="s">
        <v>56</v>
      </c>
      <c r="E320" t="s">
        <v>693</v>
      </c>
      <c r="F320" s="112">
        <v>198.84</v>
      </c>
      <c r="G320" s="112">
        <v>198.84</v>
      </c>
      <c r="H320" s="112">
        <v>0</v>
      </c>
      <c r="I320" t="s">
        <v>6383</v>
      </c>
      <c r="J320" t="s">
        <v>5548</v>
      </c>
    </row>
    <row r="321" spans="1:10" x14ac:dyDescent="0.2">
      <c r="A321" t="s">
        <v>5549</v>
      </c>
      <c r="B321" t="s">
        <v>1740</v>
      </c>
      <c r="C321" t="s">
        <v>1741</v>
      </c>
      <c r="D321" t="s">
        <v>56</v>
      </c>
      <c r="E321" t="s">
        <v>694</v>
      </c>
      <c r="F321" s="112">
        <v>828.66</v>
      </c>
      <c r="G321" s="112">
        <v>828.66</v>
      </c>
      <c r="H321" s="112">
        <v>0</v>
      </c>
      <c r="I321" t="s">
        <v>6383</v>
      </c>
      <c r="J321" t="s">
        <v>5551</v>
      </c>
    </row>
    <row r="322" spans="1:10" x14ac:dyDescent="0.2">
      <c r="A322" t="s">
        <v>5552</v>
      </c>
      <c r="B322" t="s">
        <v>1742</v>
      </c>
      <c r="C322" t="s">
        <v>1743</v>
      </c>
      <c r="D322" t="s">
        <v>56</v>
      </c>
      <c r="E322" t="s">
        <v>695</v>
      </c>
      <c r="F322" s="112">
        <v>49.65</v>
      </c>
      <c r="G322" s="112">
        <v>49.65</v>
      </c>
      <c r="H322" s="112">
        <v>0</v>
      </c>
      <c r="I322" t="s">
        <v>6383</v>
      </c>
      <c r="J322" t="s">
        <v>5554</v>
      </c>
    </row>
    <row r="323" spans="1:10" x14ac:dyDescent="0.2">
      <c r="A323" t="s">
        <v>5555</v>
      </c>
      <c r="B323" t="s">
        <v>1744</v>
      </c>
      <c r="C323" t="s">
        <v>1745</v>
      </c>
      <c r="D323" t="s">
        <v>56</v>
      </c>
      <c r="E323" t="s">
        <v>696</v>
      </c>
      <c r="F323" s="112">
        <v>439.02</v>
      </c>
      <c r="G323" s="112">
        <v>439.02</v>
      </c>
      <c r="H323" s="112">
        <v>0</v>
      </c>
      <c r="I323" t="s">
        <v>6383</v>
      </c>
      <c r="J323" t="s">
        <v>5557</v>
      </c>
    </row>
    <row r="324" spans="1:10" x14ac:dyDescent="0.2">
      <c r="A324" t="s">
        <v>5558</v>
      </c>
      <c r="B324" t="s">
        <v>1746</v>
      </c>
      <c r="C324" t="s">
        <v>1747</v>
      </c>
      <c r="D324" t="s">
        <v>56</v>
      </c>
      <c r="E324" t="s">
        <v>697</v>
      </c>
      <c r="F324" s="112">
        <v>804.19</v>
      </c>
      <c r="G324" s="112">
        <v>804.19</v>
      </c>
      <c r="H324" s="112">
        <v>0</v>
      </c>
      <c r="I324" t="s">
        <v>6383</v>
      </c>
      <c r="J324" t="s">
        <v>5560</v>
      </c>
    </row>
    <row r="325" spans="1:10" x14ac:dyDescent="0.2">
      <c r="A325" t="s">
        <v>5561</v>
      </c>
      <c r="B325" t="s">
        <v>1748</v>
      </c>
      <c r="C325" t="s">
        <v>1749</v>
      </c>
      <c r="D325" t="s">
        <v>56</v>
      </c>
      <c r="E325" t="s">
        <v>698</v>
      </c>
      <c r="F325" s="112">
        <v>41.52</v>
      </c>
      <c r="G325" s="112">
        <v>41.52</v>
      </c>
      <c r="H325" s="112">
        <v>0</v>
      </c>
      <c r="I325" t="s">
        <v>6383</v>
      </c>
      <c r="J325" t="s">
        <v>5563</v>
      </c>
    </row>
    <row r="326" spans="1:10" x14ac:dyDescent="0.2">
      <c r="A326" t="s">
        <v>5564</v>
      </c>
      <c r="B326" t="s">
        <v>1750</v>
      </c>
      <c r="C326" t="s">
        <v>1751</v>
      </c>
      <c r="D326" t="s">
        <v>56</v>
      </c>
      <c r="E326" t="s">
        <v>699</v>
      </c>
      <c r="F326" s="112">
        <v>25.03</v>
      </c>
      <c r="G326" s="112">
        <v>25.03</v>
      </c>
      <c r="H326" s="112">
        <v>0</v>
      </c>
      <c r="I326" t="s">
        <v>6383</v>
      </c>
      <c r="J326" t="s">
        <v>5566</v>
      </c>
    </row>
    <row r="327" spans="1:10" x14ac:dyDescent="0.2">
      <c r="A327" t="s">
        <v>5567</v>
      </c>
      <c r="B327" t="s">
        <v>1752</v>
      </c>
      <c r="C327" t="s">
        <v>1753</v>
      </c>
      <c r="D327" t="s">
        <v>56</v>
      </c>
      <c r="E327" t="s">
        <v>700</v>
      </c>
      <c r="F327" s="112">
        <v>544.32000000000005</v>
      </c>
      <c r="G327" s="112">
        <v>544.32000000000005</v>
      </c>
      <c r="H327" s="112">
        <v>0</v>
      </c>
      <c r="I327" t="s">
        <v>6383</v>
      </c>
      <c r="J327" t="s">
        <v>5569</v>
      </c>
    </row>
    <row r="328" spans="1:10" x14ac:dyDescent="0.2">
      <c r="A328" t="s">
        <v>5570</v>
      </c>
      <c r="B328" t="s">
        <v>1754</v>
      </c>
      <c r="C328" t="s">
        <v>1755</v>
      </c>
      <c r="D328" t="s">
        <v>56</v>
      </c>
      <c r="E328" t="s">
        <v>701</v>
      </c>
      <c r="F328" s="112">
        <v>1132.1099999999999</v>
      </c>
      <c r="G328" s="112">
        <v>1132.1099999999999</v>
      </c>
      <c r="H328" s="112">
        <v>0</v>
      </c>
      <c r="I328" t="s">
        <v>6383</v>
      </c>
      <c r="J328" t="s">
        <v>5572</v>
      </c>
    </row>
    <row r="329" spans="1:10" x14ac:dyDescent="0.2">
      <c r="A329" t="s">
        <v>5573</v>
      </c>
      <c r="B329" t="s">
        <v>1756</v>
      </c>
      <c r="C329" t="s">
        <v>1757</v>
      </c>
      <c r="D329" t="s">
        <v>56</v>
      </c>
      <c r="E329" t="s">
        <v>1758</v>
      </c>
      <c r="F329" s="112">
        <v>859.84</v>
      </c>
      <c r="G329" s="112">
        <v>859.84</v>
      </c>
      <c r="H329" s="112">
        <v>0</v>
      </c>
      <c r="I329" t="s">
        <v>6383</v>
      </c>
      <c r="J329" t="s">
        <v>5575</v>
      </c>
    </row>
    <row r="330" spans="1:10" x14ac:dyDescent="0.2">
      <c r="A330" t="s">
        <v>5576</v>
      </c>
      <c r="B330" t="s">
        <v>1759</v>
      </c>
      <c r="C330" t="s">
        <v>1760</v>
      </c>
      <c r="D330" t="s">
        <v>56</v>
      </c>
      <c r="E330" t="s">
        <v>703</v>
      </c>
      <c r="F330" s="112">
        <v>43.09</v>
      </c>
      <c r="G330" s="112">
        <v>43.09</v>
      </c>
      <c r="H330" s="112">
        <v>0</v>
      </c>
      <c r="I330" t="s">
        <v>6383</v>
      </c>
      <c r="J330" t="s">
        <v>5578</v>
      </c>
    </row>
    <row r="331" spans="1:10" x14ac:dyDescent="0.2">
      <c r="A331" t="s">
        <v>5579</v>
      </c>
      <c r="B331" t="s">
        <v>1761</v>
      </c>
      <c r="C331" t="s">
        <v>1762</v>
      </c>
      <c r="D331" t="s">
        <v>56</v>
      </c>
      <c r="E331" t="s">
        <v>704</v>
      </c>
      <c r="F331" s="112">
        <v>140.4</v>
      </c>
      <c r="G331" s="112">
        <v>140.4</v>
      </c>
      <c r="H331" s="112">
        <v>0</v>
      </c>
      <c r="I331" t="s">
        <v>6383</v>
      </c>
      <c r="J331" t="s">
        <v>5581</v>
      </c>
    </row>
    <row r="332" spans="1:10" x14ac:dyDescent="0.2">
      <c r="A332" t="s">
        <v>5582</v>
      </c>
      <c r="B332" t="s">
        <v>1763</v>
      </c>
      <c r="C332" t="s">
        <v>1764</v>
      </c>
      <c r="D332" t="s">
        <v>56</v>
      </c>
      <c r="E332" t="s">
        <v>705</v>
      </c>
      <c r="F332" s="112">
        <v>71.19</v>
      </c>
      <c r="G332" s="112">
        <v>71.19</v>
      </c>
      <c r="H332" s="112">
        <v>0</v>
      </c>
      <c r="I332" t="s">
        <v>6383</v>
      </c>
      <c r="J332" t="s">
        <v>5584</v>
      </c>
    </row>
    <row r="333" spans="1:10" x14ac:dyDescent="0.2">
      <c r="A333" t="s">
        <v>5585</v>
      </c>
      <c r="B333" t="s">
        <v>1765</v>
      </c>
      <c r="C333" t="s">
        <v>1766</v>
      </c>
      <c r="D333" t="s">
        <v>56</v>
      </c>
      <c r="E333" t="s">
        <v>706</v>
      </c>
      <c r="F333" s="112">
        <v>65.34</v>
      </c>
      <c r="G333" s="112">
        <v>65.34</v>
      </c>
      <c r="H333" s="112">
        <v>0</v>
      </c>
      <c r="I333" t="s">
        <v>6383</v>
      </c>
      <c r="J333" t="s">
        <v>5587</v>
      </c>
    </row>
    <row r="334" spans="1:10" x14ac:dyDescent="0.2">
      <c r="A334" t="s">
        <v>5588</v>
      </c>
      <c r="B334" t="s">
        <v>1767</v>
      </c>
      <c r="C334" t="s">
        <v>1768</v>
      </c>
      <c r="D334" t="s">
        <v>56</v>
      </c>
      <c r="E334" t="s">
        <v>1769</v>
      </c>
      <c r="F334" s="112">
        <v>31.67</v>
      </c>
      <c r="G334" s="112">
        <v>31.67</v>
      </c>
      <c r="H334" s="112">
        <v>0</v>
      </c>
      <c r="I334" t="s">
        <v>6383</v>
      </c>
      <c r="J334" t="s">
        <v>5590</v>
      </c>
    </row>
    <row r="335" spans="1:10" x14ac:dyDescent="0.2">
      <c r="A335" t="s">
        <v>5591</v>
      </c>
      <c r="B335" t="s">
        <v>1770</v>
      </c>
      <c r="C335" t="s">
        <v>1771</v>
      </c>
      <c r="D335" t="s">
        <v>335</v>
      </c>
      <c r="E335" t="s">
        <v>708</v>
      </c>
      <c r="F335" s="112">
        <v>140.43</v>
      </c>
      <c r="G335" s="112">
        <v>140.43</v>
      </c>
      <c r="H335" s="112">
        <v>0</v>
      </c>
      <c r="I335" t="s">
        <v>6383</v>
      </c>
      <c r="J335" t="s">
        <v>5593</v>
      </c>
    </row>
    <row r="336" spans="1:10" x14ac:dyDescent="0.2">
      <c r="A336" t="s">
        <v>5594</v>
      </c>
      <c r="B336" t="s">
        <v>1772</v>
      </c>
      <c r="C336" t="s">
        <v>1773</v>
      </c>
      <c r="D336" t="s">
        <v>56</v>
      </c>
      <c r="E336" t="s">
        <v>737</v>
      </c>
      <c r="F336" s="112">
        <v>37.9</v>
      </c>
      <c r="G336" s="112">
        <v>37.9</v>
      </c>
      <c r="H336" s="112">
        <v>0</v>
      </c>
      <c r="I336" t="s">
        <v>6383</v>
      </c>
      <c r="J336" t="s">
        <v>5596</v>
      </c>
    </row>
    <row r="337" spans="1:10" x14ac:dyDescent="0.2">
      <c r="A337" t="s">
        <v>5597</v>
      </c>
      <c r="B337" t="s">
        <v>1774</v>
      </c>
      <c r="C337" t="s">
        <v>1775</v>
      </c>
      <c r="D337" t="s">
        <v>56</v>
      </c>
      <c r="E337" t="s">
        <v>710</v>
      </c>
      <c r="F337" s="112">
        <v>45.84</v>
      </c>
      <c r="G337" s="112">
        <v>45.84</v>
      </c>
      <c r="H337" s="112">
        <v>0</v>
      </c>
      <c r="I337" t="s">
        <v>6383</v>
      </c>
      <c r="J337" t="s">
        <v>5599</v>
      </c>
    </row>
    <row r="338" spans="1:10" x14ac:dyDescent="0.2">
      <c r="A338" t="s">
        <v>5600</v>
      </c>
      <c r="B338" t="s">
        <v>1776</v>
      </c>
      <c r="C338" t="s">
        <v>1777</v>
      </c>
      <c r="D338" t="s">
        <v>56</v>
      </c>
      <c r="E338" t="s">
        <v>711</v>
      </c>
      <c r="F338" s="112">
        <v>129.53</v>
      </c>
      <c r="G338" s="112">
        <v>129.53</v>
      </c>
      <c r="H338" s="112">
        <v>0</v>
      </c>
      <c r="I338" t="s">
        <v>6383</v>
      </c>
      <c r="J338" t="s">
        <v>5602</v>
      </c>
    </row>
    <row r="339" spans="1:10" x14ac:dyDescent="0.2">
      <c r="A339" t="s">
        <v>5603</v>
      </c>
      <c r="B339" t="s">
        <v>1778</v>
      </c>
      <c r="C339" t="s">
        <v>1779</v>
      </c>
      <c r="D339" t="s">
        <v>56</v>
      </c>
      <c r="E339" t="s">
        <v>712</v>
      </c>
      <c r="F339" s="112">
        <v>26.28</v>
      </c>
      <c r="G339" s="112">
        <v>26.28</v>
      </c>
      <c r="H339" s="112">
        <v>0</v>
      </c>
      <c r="I339" t="s">
        <v>6383</v>
      </c>
      <c r="J339" t="s">
        <v>5605</v>
      </c>
    </row>
    <row r="340" spans="1:10" x14ac:dyDescent="0.2">
      <c r="A340" t="s">
        <v>5606</v>
      </c>
      <c r="B340" t="s">
        <v>1780</v>
      </c>
      <c r="C340" t="s">
        <v>1781</v>
      </c>
      <c r="D340" t="s">
        <v>56</v>
      </c>
      <c r="E340" t="s">
        <v>1782</v>
      </c>
      <c r="F340" s="112">
        <v>23.97</v>
      </c>
      <c r="G340" s="112">
        <v>23.97</v>
      </c>
      <c r="H340" s="112">
        <v>0</v>
      </c>
      <c r="I340" t="s">
        <v>6383</v>
      </c>
      <c r="J340" t="s">
        <v>5608</v>
      </c>
    </row>
    <row r="341" spans="1:10" x14ac:dyDescent="0.2">
      <c r="A341" t="s">
        <v>5609</v>
      </c>
      <c r="B341" t="s">
        <v>716</v>
      </c>
      <c r="C341" t="s">
        <v>1783</v>
      </c>
      <c r="D341" t="s">
        <v>56</v>
      </c>
      <c r="E341" t="s">
        <v>1784</v>
      </c>
      <c r="F341" s="112">
        <v>164.34</v>
      </c>
      <c r="G341" s="112">
        <v>164.34</v>
      </c>
      <c r="H341" s="112">
        <v>0</v>
      </c>
      <c r="I341" t="s">
        <v>6383</v>
      </c>
      <c r="J341" t="s">
        <v>5611</v>
      </c>
    </row>
    <row r="342" spans="1:10" x14ac:dyDescent="0.2">
      <c r="A342" t="s">
        <v>5612</v>
      </c>
      <c r="B342" t="s">
        <v>718</v>
      </c>
      <c r="C342" t="s">
        <v>1785</v>
      </c>
      <c r="D342" t="s">
        <v>56</v>
      </c>
      <c r="E342" t="s">
        <v>1786</v>
      </c>
      <c r="F342" s="112">
        <v>2181.92</v>
      </c>
      <c r="G342" s="112">
        <v>2181.92</v>
      </c>
      <c r="H342" s="112">
        <v>0</v>
      </c>
      <c r="I342" t="s">
        <v>6383</v>
      </c>
      <c r="J342" t="s">
        <v>5614</v>
      </c>
    </row>
    <row r="343" spans="1:10" x14ac:dyDescent="0.2">
      <c r="A343" t="s">
        <v>5615</v>
      </c>
      <c r="B343" t="s">
        <v>720</v>
      </c>
      <c r="C343" t="s">
        <v>1787</v>
      </c>
      <c r="D343" t="s">
        <v>56</v>
      </c>
      <c r="E343" t="s">
        <v>721</v>
      </c>
      <c r="F343" s="112">
        <v>45.61</v>
      </c>
      <c r="G343" s="112">
        <v>45.61</v>
      </c>
      <c r="H343" s="112">
        <v>0</v>
      </c>
      <c r="I343" t="s">
        <v>6383</v>
      </c>
      <c r="J343" t="s">
        <v>5617</v>
      </c>
    </row>
    <row r="344" spans="1:10" x14ac:dyDescent="0.2">
      <c r="A344" t="s">
        <v>5618</v>
      </c>
      <c r="B344" t="s">
        <v>722</v>
      </c>
      <c r="C344" t="s">
        <v>1788</v>
      </c>
      <c r="D344" t="s">
        <v>56</v>
      </c>
      <c r="E344" t="s">
        <v>723</v>
      </c>
      <c r="F344" s="112">
        <v>430.8</v>
      </c>
      <c r="G344" s="112">
        <v>430.8</v>
      </c>
      <c r="H344" s="112">
        <v>0</v>
      </c>
      <c r="I344" t="s">
        <v>6383</v>
      </c>
      <c r="J344" t="s">
        <v>5620</v>
      </c>
    </row>
    <row r="345" spans="1:10" x14ac:dyDescent="0.2">
      <c r="A345" t="s">
        <v>5621</v>
      </c>
      <c r="B345" t="s">
        <v>724</v>
      </c>
      <c r="C345" t="s">
        <v>1789</v>
      </c>
      <c r="D345" t="s">
        <v>56</v>
      </c>
      <c r="E345" t="s">
        <v>725</v>
      </c>
      <c r="F345" s="112">
        <v>440.1</v>
      </c>
      <c r="G345" s="112">
        <v>440.1</v>
      </c>
      <c r="H345" s="112">
        <v>0</v>
      </c>
      <c r="I345" t="s">
        <v>6383</v>
      </c>
      <c r="J345" t="s">
        <v>5623</v>
      </c>
    </row>
    <row r="346" spans="1:10" x14ac:dyDescent="0.2">
      <c r="A346" t="s">
        <v>5624</v>
      </c>
      <c r="B346" t="s">
        <v>726</v>
      </c>
      <c r="C346" t="s">
        <v>1790</v>
      </c>
      <c r="D346" t="s">
        <v>56</v>
      </c>
      <c r="E346" t="s">
        <v>727</v>
      </c>
      <c r="F346" s="112">
        <v>438.12</v>
      </c>
      <c r="G346" s="112">
        <v>438.12</v>
      </c>
      <c r="H346" s="112">
        <v>0</v>
      </c>
      <c r="I346" t="s">
        <v>6383</v>
      </c>
      <c r="J346" t="s">
        <v>5626</v>
      </c>
    </row>
    <row r="347" spans="1:10" x14ac:dyDescent="0.2">
      <c r="A347" t="s">
        <v>5627</v>
      </c>
      <c r="B347" t="s">
        <v>728</v>
      </c>
      <c r="C347" t="s">
        <v>1791</v>
      </c>
      <c r="D347" t="s">
        <v>56</v>
      </c>
      <c r="E347" t="s">
        <v>729</v>
      </c>
      <c r="F347" s="112">
        <v>116.82</v>
      </c>
      <c r="G347" s="112">
        <v>116.82</v>
      </c>
      <c r="H347" s="112">
        <v>0</v>
      </c>
      <c r="I347" t="s">
        <v>6383</v>
      </c>
      <c r="J347" t="s">
        <v>5629</v>
      </c>
    </row>
    <row r="348" spans="1:10" x14ac:dyDescent="0.2">
      <c r="A348" t="s">
        <v>5630</v>
      </c>
      <c r="B348" t="s">
        <v>730</v>
      </c>
      <c r="C348" t="s">
        <v>1792</v>
      </c>
      <c r="D348" t="s">
        <v>56</v>
      </c>
      <c r="E348" t="s">
        <v>731</v>
      </c>
      <c r="F348" s="112">
        <v>58.79</v>
      </c>
      <c r="G348" s="112">
        <v>58.79</v>
      </c>
      <c r="H348" s="112">
        <v>0</v>
      </c>
      <c r="I348" t="s">
        <v>6383</v>
      </c>
      <c r="J348" t="s">
        <v>5632</v>
      </c>
    </row>
    <row r="349" spans="1:10" x14ac:dyDescent="0.2">
      <c r="A349" t="s">
        <v>5633</v>
      </c>
      <c r="B349" t="s">
        <v>732</v>
      </c>
      <c r="C349" t="s">
        <v>1793</v>
      </c>
      <c r="D349" t="s">
        <v>56</v>
      </c>
      <c r="E349" t="s">
        <v>733</v>
      </c>
      <c r="F349" s="112">
        <v>92.56</v>
      </c>
      <c r="G349" s="112">
        <v>92.56</v>
      </c>
      <c r="H349" s="112">
        <v>0</v>
      </c>
      <c r="I349" t="s">
        <v>6383</v>
      </c>
      <c r="J349" t="s">
        <v>5635</v>
      </c>
    </row>
    <row r="350" spans="1:10" x14ac:dyDescent="0.2">
      <c r="A350" t="s">
        <v>5636</v>
      </c>
      <c r="B350" t="s">
        <v>1794</v>
      </c>
      <c r="C350" t="s">
        <v>1795</v>
      </c>
      <c r="D350" t="s">
        <v>56</v>
      </c>
      <c r="E350" t="s">
        <v>734</v>
      </c>
      <c r="F350" s="112">
        <v>17.25</v>
      </c>
      <c r="G350" s="112">
        <v>17.25</v>
      </c>
      <c r="H350" s="112">
        <v>0</v>
      </c>
      <c r="I350" t="s">
        <v>6383</v>
      </c>
      <c r="J350" t="s">
        <v>5638</v>
      </c>
    </row>
    <row r="351" spans="1:10" x14ac:dyDescent="0.2">
      <c r="A351" t="s">
        <v>5639</v>
      </c>
      <c r="B351" t="s">
        <v>1796</v>
      </c>
      <c r="C351" t="s">
        <v>1797</v>
      </c>
      <c r="D351" t="s">
        <v>56</v>
      </c>
      <c r="E351" t="s">
        <v>1798</v>
      </c>
      <c r="F351" s="112">
        <v>655.21</v>
      </c>
      <c r="G351" s="112">
        <v>655.21</v>
      </c>
      <c r="H351" s="112">
        <v>0</v>
      </c>
      <c r="I351" t="s">
        <v>6383</v>
      </c>
      <c r="J351" t="s">
        <v>5641</v>
      </c>
    </row>
    <row r="352" spans="1:10" x14ac:dyDescent="0.2">
      <c r="A352" t="s">
        <v>5642</v>
      </c>
      <c r="B352" t="s">
        <v>1799</v>
      </c>
      <c r="C352" t="s">
        <v>1800</v>
      </c>
      <c r="D352" t="s">
        <v>335</v>
      </c>
      <c r="E352" t="s">
        <v>736</v>
      </c>
      <c r="F352" s="112">
        <v>40.229999999999997</v>
      </c>
      <c r="G352" s="112">
        <v>40.229999999999997</v>
      </c>
      <c r="H352" s="112">
        <v>0</v>
      </c>
      <c r="I352" t="s">
        <v>6383</v>
      </c>
      <c r="J352" t="s">
        <v>5644</v>
      </c>
    </row>
    <row r="353" spans="1:10" x14ac:dyDescent="0.2">
      <c r="A353" t="s">
        <v>5645</v>
      </c>
      <c r="B353" t="s">
        <v>1801</v>
      </c>
      <c r="C353" t="s">
        <v>1773</v>
      </c>
      <c r="D353" t="s">
        <v>56</v>
      </c>
      <c r="E353" t="s">
        <v>737</v>
      </c>
      <c r="F353" s="112">
        <v>56.85</v>
      </c>
      <c r="G353" s="112">
        <v>56.85</v>
      </c>
      <c r="H353" s="112">
        <v>0</v>
      </c>
      <c r="I353" t="s">
        <v>6383</v>
      </c>
      <c r="J353" t="s">
        <v>5646</v>
      </c>
    </row>
    <row r="354" spans="1:10" x14ac:dyDescent="0.2">
      <c r="A354" t="s">
        <v>5647</v>
      </c>
      <c r="B354" t="s">
        <v>1802</v>
      </c>
      <c r="C354" t="s">
        <v>1803</v>
      </c>
      <c r="D354" t="s">
        <v>56</v>
      </c>
      <c r="E354" t="s">
        <v>738</v>
      </c>
      <c r="F354" s="112">
        <v>70.42</v>
      </c>
      <c r="G354" s="112">
        <v>70.42</v>
      </c>
      <c r="H354" s="112">
        <v>0</v>
      </c>
      <c r="I354" t="s">
        <v>6383</v>
      </c>
      <c r="J354" t="s">
        <v>5649</v>
      </c>
    </row>
    <row r="355" spans="1:10" x14ac:dyDescent="0.2">
      <c r="A355" t="s">
        <v>5650</v>
      </c>
      <c r="B355" t="s">
        <v>1804</v>
      </c>
      <c r="C355" t="s">
        <v>1805</v>
      </c>
      <c r="D355" t="s">
        <v>56</v>
      </c>
      <c r="E355" t="s">
        <v>739</v>
      </c>
      <c r="F355" s="112">
        <v>78.540000000000006</v>
      </c>
      <c r="G355" s="112">
        <v>78.540000000000006</v>
      </c>
      <c r="H355" s="112">
        <v>0</v>
      </c>
      <c r="I355" t="s">
        <v>6383</v>
      </c>
      <c r="J355" t="s">
        <v>5652</v>
      </c>
    </row>
    <row r="356" spans="1:10" x14ac:dyDescent="0.2">
      <c r="A356" t="s">
        <v>5653</v>
      </c>
      <c r="B356" t="s">
        <v>742</v>
      </c>
      <c r="C356" t="s">
        <v>1806</v>
      </c>
      <c r="D356" t="s">
        <v>56</v>
      </c>
      <c r="E356" t="s">
        <v>743</v>
      </c>
      <c r="F356" s="112">
        <v>10833.7</v>
      </c>
      <c r="G356" s="112">
        <v>10833.7</v>
      </c>
      <c r="H356" s="112">
        <v>0</v>
      </c>
      <c r="I356" t="s">
        <v>6383</v>
      </c>
      <c r="J356" t="s">
        <v>5655</v>
      </c>
    </row>
    <row r="357" spans="1:10" x14ac:dyDescent="0.2">
      <c r="A357" t="s">
        <v>5656</v>
      </c>
      <c r="B357" t="s">
        <v>744</v>
      </c>
      <c r="C357" t="s">
        <v>1807</v>
      </c>
      <c r="D357" t="s">
        <v>56</v>
      </c>
      <c r="E357" t="s">
        <v>745</v>
      </c>
      <c r="F357" s="112">
        <v>10037.16</v>
      </c>
      <c r="G357" s="112">
        <v>10037.16</v>
      </c>
      <c r="H357" s="112">
        <v>0</v>
      </c>
      <c r="I357" t="s">
        <v>6383</v>
      </c>
      <c r="J357" t="s">
        <v>5658</v>
      </c>
    </row>
    <row r="358" spans="1:10" x14ac:dyDescent="0.2">
      <c r="A358" t="s">
        <v>5659</v>
      </c>
      <c r="B358" t="s">
        <v>746</v>
      </c>
      <c r="C358" t="s">
        <v>1808</v>
      </c>
      <c r="D358" t="s">
        <v>56</v>
      </c>
      <c r="E358" t="s">
        <v>747</v>
      </c>
      <c r="F358" s="112">
        <v>16167.74</v>
      </c>
      <c r="G358" s="112">
        <v>16167.74</v>
      </c>
      <c r="H358" s="112">
        <v>0</v>
      </c>
      <c r="I358" t="s">
        <v>6383</v>
      </c>
      <c r="J358" t="s">
        <v>5661</v>
      </c>
    </row>
    <row r="359" spans="1:10" x14ac:dyDescent="0.2">
      <c r="A359" t="s">
        <v>5662</v>
      </c>
      <c r="B359" t="s">
        <v>748</v>
      </c>
      <c r="C359" t="s">
        <v>1809</v>
      </c>
      <c r="D359" t="s">
        <v>335</v>
      </c>
      <c r="E359" t="s">
        <v>749</v>
      </c>
      <c r="F359" s="112">
        <v>530.59</v>
      </c>
      <c r="G359" s="112">
        <v>530.59</v>
      </c>
      <c r="H359" s="112">
        <v>0</v>
      </c>
      <c r="I359" t="s">
        <v>6383</v>
      </c>
      <c r="J359" t="s">
        <v>5664</v>
      </c>
    </row>
    <row r="360" spans="1:10" x14ac:dyDescent="0.2">
      <c r="A360" t="s">
        <v>5665</v>
      </c>
      <c r="B360" t="s">
        <v>750</v>
      </c>
      <c r="C360" t="s">
        <v>1715</v>
      </c>
      <c r="D360" t="s">
        <v>56</v>
      </c>
      <c r="E360" t="s">
        <v>1716</v>
      </c>
      <c r="F360" s="112">
        <v>3949.05</v>
      </c>
      <c r="G360" s="112">
        <v>3949.05</v>
      </c>
      <c r="H360" s="112">
        <v>0</v>
      </c>
      <c r="I360" t="s">
        <v>6383</v>
      </c>
      <c r="J360" t="s">
        <v>5666</v>
      </c>
    </row>
    <row r="361" spans="1:10" x14ac:dyDescent="0.2">
      <c r="A361" t="s">
        <v>5667</v>
      </c>
      <c r="B361" t="s">
        <v>751</v>
      </c>
      <c r="C361" t="s">
        <v>1810</v>
      </c>
      <c r="D361" t="s">
        <v>56</v>
      </c>
      <c r="E361" t="s">
        <v>752</v>
      </c>
      <c r="F361" s="112">
        <v>14426.69</v>
      </c>
      <c r="G361" s="112">
        <v>14426.69</v>
      </c>
      <c r="H361" s="112">
        <v>0</v>
      </c>
      <c r="I361" t="s">
        <v>6383</v>
      </c>
      <c r="J361" t="s">
        <v>5669</v>
      </c>
    </row>
    <row r="362" spans="1:10" x14ac:dyDescent="0.2">
      <c r="A362" t="s">
        <v>5670</v>
      </c>
      <c r="B362" t="s">
        <v>753</v>
      </c>
      <c r="C362" t="s">
        <v>1811</v>
      </c>
      <c r="D362" t="s">
        <v>56</v>
      </c>
      <c r="E362" t="s">
        <v>754</v>
      </c>
      <c r="F362" s="112">
        <v>4646.1099999999997</v>
      </c>
      <c r="G362" s="112">
        <v>4646.1099999999997</v>
      </c>
      <c r="H362" s="112">
        <v>0</v>
      </c>
      <c r="I362" t="s">
        <v>6383</v>
      </c>
      <c r="J362" t="s">
        <v>5672</v>
      </c>
    </row>
    <row r="363" spans="1:10" x14ac:dyDescent="0.2">
      <c r="A363" t="s">
        <v>5673</v>
      </c>
      <c r="B363" t="s">
        <v>755</v>
      </c>
      <c r="C363" t="s">
        <v>1812</v>
      </c>
      <c r="D363" t="s">
        <v>56</v>
      </c>
      <c r="E363" t="s">
        <v>1813</v>
      </c>
      <c r="F363" s="112">
        <v>6902.27</v>
      </c>
      <c r="G363" s="112">
        <v>6902.27</v>
      </c>
      <c r="H363" s="112">
        <v>0</v>
      </c>
      <c r="I363" t="s">
        <v>6383</v>
      </c>
      <c r="J363" t="s">
        <v>5675</v>
      </c>
    </row>
    <row r="364" spans="1:10" x14ac:dyDescent="0.2">
      <c r="A364" t="s">
        <v>5676</v>
      </c>
      <c r="B364" t="s">
        <v>757</v>
      </c>
      <c r="C364" t="s">
        <v>1814</v>
      </c>
      <c r="D364" t="s">
        <v>56</v>
      </c>
      <c r="E364" t="s">
        <v>1815</v>
      </c>
      <c r="F364" s="112">
        <v>11036.95</v>
      </c>
      <c r="G364" s="112">
        <v>11036.95</v>
      </c>
      <c r="H364" s="112">
        <v>0</v>
      </c>
      <c r="I364" t="s">
        <v>6383</v>
      </c>
      <c r="J364" t="s">
        <v>5678</v>
      </c>
    </row>
    <row r="365" spans="1:10" x14ac:dyDescent="0.2">
      <c r="A365" t="s">
        <v>5679</v>
      </c>
      <c r="B365" t="s">
        <v>1816</v>
      </c>
      <c r="C365" t="s">
        <v>1817</v>
      </c>
      <c r="D365" t="s">
        <v>56</v>
      </c>
      <c r="E365" t="s">
        <v>1818</v>
      </c>
      <c r="F365" s="112">
        <v>30962.73</v>
      </c>
      <c r="G365" s="112">
        <v>30962.73</v>
      </c>
      <c r="H365" s="112">
        <v>0</v>
      </c>
      <c r="I365" t="s">
        <v>6383</v>
      </c>
      <c r="J365" t="s">
        <v>5681</v>
      </c>
    </row>
    <row r="366" spans="1:10" x14ac:dyDescent="0.2">
      <c r="A366" t="s">
        <v>5682</v>
      </c>
      <c r="B366" t="s">
        <v>1819</v>
      </c>
      <c r="C366" t="s">
        <v>1820</v>
      </c>
      <c r="D366" t="s">
        <v>56</v>
      </c>
      <c r="E366" t="s">
        <v>1821</v>
      </c>
      <c r="F366" s="112">
        <v>118.41</v>
      </c>
      <c r="G366" s="112">
        <v>118.41</v>
      </c>
      <c r="H366" s="112">
        <v>0</v>
      </c>
      <c r="I366" t="s">
        <v>6383</v>
      </c>
      <c r="J366" t="s">
        <v>5684</v>
      </c>
    </row>
    <row r="367" spans="1:10" x14ac:dyDescent="0.2">
      <c r="A367" t="s">
        <v>5685</v>
      </c>
      <c r="B367" t="s">
        <v>1822</v>
      </c>
      <c r="C367" t="s">
        <v>1823</v>
      </c>
      <c r="D367" t="s">
        <v>56</v>
      </c>
      <c r="E367" t="s">
        <v>1824</v>
      </c>
      <c r="F367" s="112">
        <v>525.21</v>
      </c>
      <c r="G367" s="112">
        <v>525.21</v>
      </c>
      <c r="H367" s="112">
        <v>0</v>
      </c>
      <c r="I367" t="s">
        <v>6383</v>
      </c>
      <c r="J367" t="s">
        <v>5687</v>
      </c>
    </row>
    <row r="368" spans="1:10" x14ac:dyDescent="0.2">
      <c r="A368" t="s">
        <v>5688</v>
      </c>
      <c r="B368" t="s">
        <v>1825</v>
      </c>
      <c r="C368" t="s">
        <v>1826</v>
      </c>
      <c r="D368" t="s">
        <v>56</v>
      </c>
      <c r="E368" t="s">
        <v>762</v>
      </c>
      <c r="F368" s="112">
        <v>121.56</v>
      </c>
      <c r="G368" s="112">
        <v>121.56</v>
      </c>
      <c r="H368" s="112">
        <v>0</v>
      </c>
      <c r="I368" t="s">
        <v>6383</v>
      </c>
      <c r="J368" t="s">
        <v>5690</v>
      </c>
    </row>
    <row r="369" spans="1:10" x14ac:dyDescent="0.2">
      <c r="A369" t="s">
        <v>5691</v>
      </c>
      <c r="B369" t="s">
        <v>1827</v>
      </c>
      <c r="C369" t="s">
        <v>1828</v>
      </c>
      <c r="D369" t="s">
        <v>335</v>
      </c>
      <c r="E369" t="s">
        <v>763</v>
      </c>
      <c r="F369" s="112">
        <v>231.48</v>
      </c>
      <c r="G369" s="112">
        <v>231.48</v>
      </c>
      <c r="H369" s="112">
        <v>0</v>
      </c>
      <c r="I369" t="s">
        <v>6383</v>
      </c>
      <c r="J369" t="s">
        <v>5693</v>
      </c>
    </row>
    <row r="370" spans="1:10" x14ac:dyDescent="0.2">
      <c r="A370" t="s">
        <v>5694</v>
      </c>
      <c r="B370" t="s">
        <v>1829</v>
      </c>
      <c r="C370" t="s">
        <v>1830</v>
      </c>
      <c r="D370" t="s">
        <v>335</v>
      </c>
      <c r="E370" t="s">
        <v>764</v>
      </c>
      <c r="F370" s="112">
        <v>1185.03</v>
      </c>
      <c r="G370" s="112">
        <v>1185.03</v>
      </c>
      <c r="H370" s="112">
        <v>0</v>
      </c>
      <c r="I370" t="s">
        <v>6383</v>
      </c>
      <c r="J370" t="s">
        <v>5696</v>
      </c>
    </row>
    <row r="371" spans="1:10" x14ac:dyDescent="0.2">
      <c r="A371" t="s">
        <v>5697</v>
      </c>
      <c r="B371" t="s">
        <v>1831</v>
      </c>
      <c r="C371" t="s">
        <v>1832</v>
      </c>
      <c r="D371" t="s">
        <v>335</v>
      </c>
      <c r="E371" t="s">
        <v>765</v>
      </c>
      <c r="F371" s="112">
        <v>225.45</v>
      </c>
      <c r="G371" s="112">
        <v>225.45</v>
      </c>
      <c r="H371" s="112">
        <v>0</v>
      </c>
      <c r="I371" t="s">
        <v>6383</v>
      </c>
      <c r="J371" t="s">
        <v>5699</v>
      </c>
    </row>
    <row r="372" spans="1:10" x14ac:dyDescent="0.2">
      <c r="A372" t="s">
        <v>5700</v>
      </c>
      <c r="B372" t="s">
        <v>1833</v>
      </c>
      <c r="C372" t="s">
        <v>1834</v>
      </c>
      <c r="D372" t="s">
        <v>56</v>
      </c>
      <c r="E372" t="s">
        <v>1835</v>
      </c>
      <c r="F372" s="112">
        <v>1555.99</v>
      </c>
      <c r="G372" s="112">
        <v>1555.99</v>
      </c>
      <c r="H372" s="112">
        <v>0</v>
      </c>
      <c r="I372" t="s">
        <v>6383</v>
      </c>
      <c r="J372" t="s">
        <v>5702</v>
      </c>
    </row>
    <row r="373" spans="1:10" x14ac:dyDescent="0.2">
      <c r="A373" t="s">
        <v>5703</v>
      </c>
      <c r="B373" t="s">
        <v>1836</v>
      </c>
      <c r="C373" t="s">
        <v>1837</v>
      </c>
      <c r="D373" t="s">
        <v>335</v>
      </c>
      <c r="E373" t="s">
        <v>767</v>
      </c>
      <c r="F373" s="112">
        <v>1033.72</v>
      </c>
      <c r="G373" s="112">
        <v>1033.72</v>
      </c>
      <c r="H373" s="112">
        <v>0</v>
      </c>
      <c r="I373" t="s">
        <v>6383</v>
      </c>
      <c r="J373" t="s">
        <v>5705</v>
      </c>
    </row>
    <row r="374" spans="1:10" x14ac:dyDescent="0.2">
      <c r="A374" t="s">
        <v>5706</v>
      </c>
      <c r="B374" t="s">
        <v>1838</v>
      </c>
      <c r="C374" t="s">
        <v>1839</v>
      </c>
      <c r="D374" t="s">
        <v>56</v>
      </c>
      <c r="E374" t="s">
        <v>1840</v>
      </c>
      <c r="F374" s="112">
        <v>374.07</v>
      </c>
      <c r="G374" s="112">
        <v>374.07</v>
      </c>
      <c r="H374" s="112">
        <v>0</v>
      </c>
      <c r="I374" t="s">
        <v>6383</v>
      </c>
      <c r="J374" t="s">
        <v>5708</v>
      </c>
    </row>
    <row r="375" spans="1:10" x14ac:dyDescent="0.2">
      <c r="A375" t="s">
        <v>5709</v>
      </c>
      <c r="B375" t="s">
        <v>1841</v>
      </c>
      <c r="C375" t="s">
        <v>1842</v>
      </c>
      <c r="D375" t="s">
        <v>56</v>
      </c>
      <c r="E375" t="s">
        <v>1843</v>
      </c>
      <c r="F375" s="112">
        <v>637.44000000000005</v>
      </c>
      <c r="G375" s="112">
        <v>637.44000000000005</v>
      </c>
      <c r="H375" s="112">
        <v>0</v>
      </c>
      <c r="I375" t="s">
        <v>6383</v>
      </c>
      <c r="J375" t="s">
        <v>5711</v>
      </c>
    </row>
    <row r="376" spans="1:10" x14ac:dyDescent="0.2">
      <c r="A376" t="s">
        <v>5712</v>
      </c>
      <c r="B376" t="s">
        <v>1844</v>
      </c>
      <c r="C376" t="s">
        <v>1845</v>
      </c>
      <c r="D376" t="s">
        <v>56</v>
      </c>
      <c r="E376" t="s">
        <v>1846</v>
      </c>
      <c r="F376" s="112">
        <v>251.39</v>
      </c>
      <c r="G376" s="112">
        <v>251.39</v>
      </c>
      <c r="H376" s="112">
        <v>0</v>
      </c>
      <c r="I376" t="s">
        <v>6383</v>
      </c>
      <c r="J376" t="s">
        <v>5714</v>
      </c>
    </row>
    <row r="377" spans="1:10" x14ac:dyDescent="0.2">
      <c r="A377" t="s">
        <v>5715</v>
      </c>
      <c r="B377" t="s">
        <v>1847</v>
      </c>
      <c r="C377" t="s">
        <v>1848</v>
      </c>
      <c r="D377" t="s">
        <v>24</v>
      </c>
      <c r="E377" t="s">
        <v>772</v>
      </c>
      <c r="F377" s="112">
        <v>558.6</v>
      </c>
      <c r="G377" s="112">
        <v>558.6</v>
      </c>
      <c r="H377" s="112">
        <v>0</v>
      </c>
      <c r="I377" t="s">
        <v>6383</v>
      </c>
      <c r="J377" t="s">
        <v>5717</v>
      </c>
    </row>
    <row r="378" spans="1:10" x14ac:dyDescent="0.2">
      <c r="A378" t="s">
        <v>5718</v>
      </c>
      <c r="B378" t="s">
        <v>1849</v>
      </c>
      <c r="C378" t="s">
        <v>773</v>
      </c>
      <c r="D378" t="s">
        <v>774</v>
      </c>
      <c r="E378" t="s">
        <v>775</v>
      </c>
      <c r="F378" s="112">
        <v>17133.580000000002</v>
      </c>
      <c r="G378" s="112">
        <v>17133.580000000002</v>
      </c>
      <c r="H378" s="112">
        <v>0</v>
      </c>
      <c r="I378" t="s">
        <v>6383</v>
      </c>
      <c r="J378" t="s">
        <v>5720</v>
      </c>
    </row>
    <row r="379" spans="1:10" x14ac:dyDescent="0.2">
      <c r="A379" t="s">
        <v>5721</v>
      </c>
      <c r="B379" t="s">
        <v>1850</v>
      </c>
      <c r="C379" t="s">
        <v>777</v>
      </c>
      <c r="D379" t="s">
        <v>774</v>
      </c>
      <c r="E379" t="s">
        <v>778</v>
      </c>
      <c r="F379" s="112">
        <v>1141.32</v>
      </c>
      <c r="G379" s="112">
        <v>1141.32</v>
      </c>
      <c r="H379" s="112">
        <v>0</v>
      </c>
      <c r="I379" t="s">
        <v>6383</v>
      </c>
      <c r="J379" t="s">
        <v>5723</v>
      </c>
    </row>
    <row r="380" spans="1:10" x14ac:dyDescent="0.2">
      <c r="A380" t="s">
        <v>5724</v>
      </c>
      <c r="B380" t="s">
        <v>1851</v>
      </c>
      <c r="C380" t="s">
        <v>779</v>
      </c>
      <c r="D380" t="s">
        <v>774</v>
      </c>
      <c r="E380" t="s">
        <v>780</v>
      </c>
      <c r="F380" s="112">
        <v>1970.95</v>
      </c>
      <c r="G380" s="112">
        <v>1970.95</v>
      </c>
      <c r="H380" s="112">
        <v>0</v>
      </c>
      <c r="I380" t="s">
        <v>6383</v>
      </c>
      <c r="J380" t="s">
        <v>5726</v>
      </c>
    </row>
    <row r="381" spans="1:10" x14ac:dyDescent="0.2">
      <c r="A381" t="s">
        <v>5727</v>
      </c>
      <c r="B381" t="s">
        <v>783</v>
      </c>
      <c r="C381" t="s">
        <v>1852</v>
      </c>
      <c r="D381" t="s">
        <v>56</v>
      </c>
      <c r="E381" t="s">
        <v>784</v>
      </c>
      <c r="F381" s="112">
        <v>5813.07</v>
      </c>
      <c r="G381" s="112">
        <v>5813.07</v>
      </c>
      <c r="H381" s="112">
        <v>0</v>
      </c>
      <c r="I381" t="s">
        <v>6383</v>
      </c>
      <c r="J381" t="s">
        <v>5729</v>
      </c>
    </row>
    <row r="382" spans="1:10" x14ac:dyDescent="0.2">
      <c r="A382" t="s">
        <v>5730</v>
      </c>
      <c r="B382" t="s">
        <v>785</v>
      </c>
      <c r="C382" t="s">
        <v>1853</v>
      </c>
      <c r="D382" t="s">
        <v>56</v>
      </c>
      <c r="E382" t="s">
        <v>786</v>
      </c>
      <c r="F382" s="112">
        <v>1521.15</v>
      </c>
      <c r="G382" s="112">
        <v>1521.15</v>
      </c>
      <c r="H382" s="112">
        <v>0</v>
      </c>
      <c r="I382" t="s">
        <v>6383</v>
      </c>
      <c r="J382" t="s">
        <v>5732</v>
      </c>
    </row>
    <row r="383" spans="1:10" x14ac:dyDescent="0.2">
      <c r="A383" t="s">
        <v>5733</v>
      </c>
      <c r="B383" t="s">
        <v>787</v>
      </c>
      <c r="C383" t="s">
        <v>1854</v>
      </c>
      <c r="D383" t="s">
        <v>56</v>
      </c>
      <c r="E383" t="s">
        <v>788</v>
      </c>
      <c r="F383" s="112">
        <v>1090.6199999999999</v>
      </c>
      <c r="G383" s="112">
        <v>1090.6199999999999</v>
      </c>
      <c r="H383" s="112">
        <v>0</v>
      </c>
      <c r="I383" t="s">
        <v>6383</v>
      </c>
      <c r="J383" t="s">
        <v>5735</v>
      </c>
    </row>
    <row r="384" spans="1:10" x14ac:dyDescent="0.2">
      <c r="A384" t="s">
        <v>5736</v>
      </c>
      <c r="B384" t="s">
        <v>789</v>
      </c>
      <c r="C384" t="s">
        <v>1855</v>
      </c>
      <c r="D384" t="s">
        <v>56</v>
      </c>
      <c r="E384" t="s">
        <v>790</v>
      </c>
      <c r="F384" s="112">
        <v>1805.1</v>
      </c>
      <c r="G384" s="112">
        <v>1805.1</v>
      </c>
      <c r="H384" s="112">
        <v>0</v>
      </c>
      <c r="I384" t="s">
        <v>6383</v>
      </c>
      <c r="J384" t="s">
        <v>5738</v>
      </c>
    </row>
    <row r="385" spans="1:10" x14ac:dyDescent="0.2">
      <c r="A385" t="s">
        <v>5739</v>
      </c>
      <c r="B385" t="s">
        <v>791</v>
      </c>
      <c r="C385" t="s">
        <v>1856</v>
      </c>
      <c r="D385" t="s">
        <v>56</v>
      </c>
      <c r="E385" t="s">
        <v>792</v>
      </c>
      <c r="F385" s="112">
        <v>112.86</v>
      </c>
      <c r="G385" s="112">
        <v>112.86</v>
      </c>
      <c r="H385" s="112">
        <v>0</v>
      </c>
      <c r="I385" t="s">
        <v>6383</v>
      </c>
      <c r="J385" t="s">
        <v>5741</v>
      </c>
    </row>
    <row r="386" spans="1:10" x14ac:dyDescent="0.2">
      <c r="A386" t="s">
        <v>5742</v>
      </c>
      <c r="B386" t="s">
        <v>793</v>
      </c>
      <c r="C386" t="s">
        <v>1652</v>
      </c>
      <c r="D386" t="s">
        <v>56</v>
      </c>
      <c r="E386" t="s">
        <v>626</v>
      </c>
      <c r="F386" s="112">
        <v>37.33</v>
      </c>
      <c r="G386" s="112">
        <v>37.33</v>
      </c>
      <c r="H386" s="112">
        <v>0</v>
      </c>
      <c r="I386" t="s">
        <v>6383</v>
      </c>
      <c r="J386" t="s">
        <v>5743</v>
      </c>
    </row>
    <row r="387" spans="1:10" x14ac:dyDescent="0.2">
      <c r="A387" t="s">
        <v>5744</v>
      </c>
      <c r="B387" t="s">
        <v>794</v>
      </c>
      <c r="C387" t="s">
        <v>1857</v>
      </c>
      <c r="D387" t="s">
        <v>56</v>
      </c>
      <c r="E387" t="s">
        <v>795</v>
      </c>
      <c r="F387" s="112">
        <v>94.77</v>
      </c>
      <c r="G387" s="112">
        <v>94.77</v>
      </c>
      <c r="H387" s="112">
        <v>0</v>
      </c>
      <c r="I387" t="s">
        <v>6383</v>
      </c>
      <c r="J387" t="s">
        <v>5746</v>
      </c>
    </row>
    <row r="388" spans="1:10" x14ac:dyDescent="0.2">
      <c r="A388" t="s">
        <v>5747</v>
      </c>
      <c r="B388" t="s">
        <v>796</v>
      </c>
      <c r="C388" t="s">
        <v>1858</v>
      </c>
      <c r="D388" t="s">
        <v>56</v>
      </c>
      <c r="E388" t="s">
        <v>797</v>
      </c>
      <c r="F388" s="112">
        <v>306.45</v>
      </c>
      <c r="G388" s="112">
        <v>306.45</v>
      </c>
      <c r="H388" s="112">
        <v>0</v>
      </c>
      <c r="I388" t="s">
        <v>6383</v>
      </c>
      <c r="J388" t="s">
        <v>5749</v>
      </c>
    </row>
    <row r="389" spans="1:10" x14ac:dyDescent="0.2">
      <c r="A389" t="s">
        <v>5750</v>
      </c>
      <c r="B389" t="s">
        <v>798</v>
      </c>
      <c r="C389" t="s">
        <v>1859</v>
      </c>
      <c r="D389" t="s">
        <v>56</v>
      </c>
      <c r="E389" t="s">
        <v>799</v>
      </c>
      <c r="F389" s="112">
        <v>386.1</v>
      </c>
      <c r="G389" s="112">
        <v>386.1</v>
      </c>
      <c r="H389" s="112">
        <v>0</v>
      </c>
      <c r="I389" t="s">
        <v>6383</v>
      </c>
      <c r="J389" t="s">
        <v>5752</v>
      </c>
    </row>
    <row r="390" spans="1:10" x14ac:dyDescent="0.2">
      <c r="A390" t="s">
        <v>5753</v>
      </c>
      <c r="B390" t="s">
        <v>1860</v>
      </c>
      <c r="C390" t="s">
        <v>1659</v>
      </c>
      <c r="D390" t="s">
        <v>56</v>
      </c>
      <c r="E390" t="s">
        <v>629</v>
      </c>
      <c r="F390" s="112">
        <v>101.66</v>
      </c>
      <c r="G390" s="112">
        <v>101.66</v>
      </c>
      <c r="H390" s="112">
        <v>0</v>
      </c>
      <c r="I390" t="s">
        <v>6383</v>
      </c>
      <c r="J390" t="s">
        <v>5754</v>
      </c>
    </row>
    <row r="391" spans="1:10" x14ac:dyDescent="0.2">
      <c r="A391" t="s">
        <v>5755</v>
      </c>
      <c r="B391" t="s">
        <v>1861</v>
      </c>
      <c r="C391" t="s">
        <v>1862</v>
      </c>
      <c r="D391" t="s">
        <v>56</v>
      </c>
      <c r="E391" t="s">
        <v>1863</v>
      </c>
      <c r="F391" s="112">
        <v>1000.46</v>
      </c>
      <c r="G391" s="112">
        <v>1000.46</v>
      </c>
      <c r="H391" s="112">
        <v>0</v>
      </c>
      <c r="I391" t="s">
        <v>6383</v>
      </c>
      <c r="J391" t="s">
        <v>5757</v>
      </c>
    </row>
    <row r="392" spans="1:10" x14ac:dyDescent="0.2">
      <c r="A392" t="s">
        <v>5758</v>
      </c>
      <c r="B392" t="s">
        <v>803</v>
      </c>
      <c r="C392" t="s">
        <v>1864</v>
      </c>
      <c r="D392" t="s">
        <v>56</v>
      </c>
      <c r="E392" t="s">
        <v>804</v>
      </c>
      <c r="F392" s="112">
        <v>6972.91</v>
      </c>
      <c r="G392" s="112">
        <v>6972.91</v>
      </c>
      <c r="H392" s="112">
        <v>0</v>
      </c>
      <c r="I392" t="s">
        <v>6383</v>
      </c>
      <c r="J392" t="s">
        <v>5760</v>
      </c>
    </row>
    <row r="393" spans="1:10" x14ac:dyDescent="0.2">
      <c r="A393" t="s">
        <v>5761</v>
      </c>
      <c r="B393" t="s">
        <v>805</v>
      </c>
      <c r="C393" t="s">
        <v>1865</v>
      </c>
      <c r="D393" t="s">
        <v>56</v>
      </c>
      <c r="E393" t="s">
        <v>806</v>
      </c>
      <c r="F393" s="112">
        <v>8044.68</v>
      </c>
      <c r="G393" s="112">
        <v>8044.68</v>
      </c>
      <c r="H393" s="112">
        <v>0</v>
      </c>
      <c r="I393" t="s">
        <v>6383</v>
      </c>
      <c r="J393" t="s">
        <v>5763</v>
      </c>
    </row>
    <row r="394" spans="1:10" x14ac:dyDescent="0.2">
      <c r="A394" t="s">
        <v>5764</v>
      </c>
      <c r="B394" t="s">
        <v>807</v>
      </c>
      <c r="C394" t="s">
        <v>1866</v>
      </c>
      <c r="D394" t="s">
        <v>24</v>
      </c>
      <c r="E394" t="s">
        <v>809</v>
      </c>
      <c r="F394" s="112">
        <v>17828.79</v>
      </c>
      <c r="G394" s="112">
        <v>17828.79</v>
      </c>
      <c r="H394" s="112">
        <v>0</v>
      </c>
      <c r="I394" t="s">
        <v>6383</v>
      </c>
      <c r="J394" t="s">
        <v>5766</v>
      </c>
    </row>
    <row r="395" spans="1:10" x14ac:dyDescent="0.2">
      <c r="A395" t="s">
        <v>5767</v>
      </c>
      <c r="B395" t="s">
        <v>810</v>
      </c>
      <c r="C395" t="s">
        <v>1715</v>
      </c>
      <c r="D395" t="s">
        <v>56</v>
      </c>
      <c r="E395" t="s">
        <v>1716</v>
      </c>
      <c r="F395" s="112">
        <v>2256.6</v>
      </c>
      <c r="G395" s="112">
        <v>2256.6</v>
      </c>
      <c r="H395" s="112">
        <v>0</v>
      </c>
      <c r="I395" t="s">
        <v>6383</v>
      </c>
      <c r="J395" t="s">
        <v>5768</v>
      </c>
    </row>
    <row r="396" spans="1:10" x14ac:dyDescent="0.2">
      <c r="A396" t="s">
        <v>5769</v>
      </c>
      <c r="B396" t="s">
        <v>813</v>
      </c>
      <c r="C396" t="s">
        <v>1867</v>
      </c>
      <c r="D396" t="s">
        <v>56</v>
      </c>
      <c r="E396" t="s">
        <v>814</v>
      </c>
      <c r="F396" s="112">
        <v>14217.56</v>
      </c>
      <c r="G396" s="112">
        <v>14217.56</v>
      </c>
      <c r="H396" s="112">
        <v>0</v>
      </c>
      <c r="I396" t="s">
        <v>6383</v>
      </c>
      <c r="J396" t="s">
        <v>5771</v>
      </c>
    </row>
    <row r="397" spans="1:10" x14ac:dyDescent="0.2">
      <c r="A397" t="s">
        <v>5772</v>
      </c>
      <c r="B397" t="s">
        <v>815</v>
      </c>
      <c r="C397" t="s">
        <v>816</v>
      </c>
      <c r="D397" t="s">
        <v>209</v>
      </c>
      <c r="E397" t="s">
        <v>1868</v>
      </c>
      <c r="F397" s="112">
        <v>1840.66</v>
      </c>
      <c r="G397" s="112">
        <v>1840.66</v>
      </c>
      <c r="H397" s="112">
        <v>0</v>
      </c>
      <c r="I397" t="s">
        <v>6383</v>
      </c>
      <c r="J397" t="s">
        <v>4513</v>
      </c>
    </row>
    <row r="398" spans="1:10" x14ac:dyDescent="0.2">
      <c r="A398" t="s">
        <v>5773</v>
      </c>
      <c r="B398" t="s">
        <v>818</v>
      </c>
      <c r="C398" t="s">
        <v>1869</v>
      </c>
      <c r="D398" t="s">
        <v>56</v>
      </c>
      <c r="E398" t="s">
        <v>819</v>
      </c>
      <c r="F398" s="112">
        <v>1126.5</v>
      </c>
      <c r="G398" s="112">
        <v>1126.5</v>
      </c>
      <c r="H398" s="112">
        <v>0</v>
      </c>
      <c r="I398" t="s">
        <v>6383</v>
      </c>
      <c r="J398" t="s">
        <v>5775</v>
      </c>
    </row>
    <row r="399" spans="1:10" x14ac:dyDescent="0.2">
      <c r="A399" t="s">
        <v>5776</v>
      </c>
      <c r="B399" t="s">
        <v>820</v>
      </c>
      <c r="C399" t="s">
        <v>821</v>
      </c>
      <c r="D399" t="s">
        <v>209</v>
      </c>
      <c r="E399" t="s">
        <v>822</v>
      </c>
      <c r="F399" s="112">
        <v>1333.9</v>
      </c>
      <c r="G399" s="112">
        <v>1333.9</v>
      </c>
      <c r="H399" s="112">
        <v>0</v>
      </c>
      <c r="I399" t="s">
        <v>6383</v>
      </c>
      <c r="J399" t="s">
        <v>4521</v>
      </c>
    </row>
    <row r="400" spans="1:10" x14ac:dyDescent="0.2">
      <c r="A400" t="s">
        <v>5777</v>
      </c>
      <c r="B400" t="s">
        <v>823</v>
      </c>
      <c r="C400" t="s">
        <v>824</v>
      </c>
      <c r="D400" t="s">
        <v>209</v>
      </c>
      <c r="E400" t="s">
        <v>825</v>
      </c>
      <c r="F400" s="112">
        <v>24600.91</v>
      </c>
      <c r="G400" s="112">
        <v>24600.91</v>
      </c>
      <c r="H400" s="112">
        <v>0</v>
      </c>
      <c r="I400" t="s">
        <v>6383</v>
      </c>
      <c r="J400" t="s">
        <v>5778</v>
      </c>
    </row>
    <row r="401" spans="1:10" x14ac:dyDescent="0.2">
      <c r="A401" t="s">
        <v>5779</v>
      </c>
      <c r="B401" t="s">
        <v>826</v>
      </c>
      <c r="C401" t="s">
        <v>1870</v>
      </c>
      <c r="D401" t="s">
        <v>56</v>
      </c>
      <c r="E401" t="s">
        <v>827</v>
      </c>
      <c r="F401" s="112">
        <v>1820.23</v>
      </c>
      <c r="G401" s="112">
        <v>1820.23</v>
      </c>
      <c r="H401" s="112">
        <v>0</v>
      </c>
      <c r="I401" t="s">
        <v>6383</v>
      </c>
      <c r="J401" t="s">
        <v>5781</v>
      </c>
    </row>
    <row r="402" spans="1:10" x14ac:dyDescent="0.2">
      <c r="A402" t="s">
        <v>5782</v>
      </c>
      <c r="B402" t="s">
        <v>828</v>
      </c>
      <c r="C402" t="s">
        <v>1871</v>
      </c>
      <c r="D402" t="s">
        <v>56</v>
      </c>
      <c r="E402" t="s">
        <v>1872</v>
      </c>
      <c r="F402" s="112">
        <v>2721.99</v>
      </c>
      <c r="G402" s="112">
        <v>2721.99</v>
      </c>
      <c r="H402" s="112">
        <v>0</v>
      </c>
      <c r="I402" t="s">
        <v>6383</v>
      </c>
      <c r="J402" t="s">
        <v>5784</v>
      </c>
    </row>
    <row r="403" spans="1:10" x14ac:dyDescent="0.2">
      <c r="A403" t="s">
        <v>5785</v>
      </c>
      <c r="B403" t="s">
        <v>830</v>
      </c>
      <c r="C403" t="s">
        <v>1873</v>
      </c>
      <c r="D403" t="s">
        <v>56</v>
      </c>
      <c r="E403" t="s">
        <v>1874</v>
      </c>
      <c r="F403" s="112">
        <v>501.89</v>
      </c>
      <c r="G403" s="112">
        <v>501.89</v>
      </c>
      <c r="H403" s="112">
        <v>0</v>
      </c>
      <c r="I403" t="s">
        <v>6383</v>
      </c>
      <c r="J403" t="s">
        <v>5787</v>
      </c>
    </row>
    <row r="404" spans="1:10" x14ac:dyDescent="0.2">
      <c r="A404" t="s">
        <v>5788</v>
      </c>
      <c r="B404" t="s">
        <v>832</v>
      </c>
      <c r="C404" t="s">
        <v>1875</v>
      </c>
      <c r="D404" t="s">
        <v>56</v>
      </c>
      <c r="E404" t="s">
        <v>1876</v>
      </c>
      <c r="F404" s="112">
        <v>127.37</v>
      </c>
      <c r="G404" s="112">
        <v>127.37</v>
      </c>
      <c r="H404" s="112">
        <v>0</v>
      </c>
      <c r="I404" t="s">
        <v>6383</v>
      </c>
      <c r="J404" t="s">
        <v>5790</v>
      </c>
    </row>
    <row r="405" spans="1:10" x14ac:dyDescent="0.2">
      <c r="A405" t="s">
        <v>5791</v>
      </c>
      <c r="B405" t="s">
        <v>1877</v>
      </c>
      <c r="C405" t="s">
        <v>1878</v>
      </c>
      <c r="D405" t="s">
        <v>335</v>
      </c>
      <c r="E405" t="s">
        <v>834</v>
      </c>
      <c r="F405" s="112">
        <v>7807.84</v>
      </c>
      <c r="G405" s="112">
        <v>7807.84</v>
      </c>
      <c r="H405" s="112">
        <v>0</v>
      </c>
      <c r="I405" t="s">
        <v>6383</v>
      </c>
      <c r="J405" t="s">
        <v>5793</v>
      </c>
    </row>
    <row r="406" spans="1:10" x14ac:dyDescent="0.2">
      <c r="A406" t="s">
        <v>5794</v>
      </c>
      <c r="B406" t="s">
        <v>1879</v>
      </c>
      <c r="C406" t="s">
        <v>1880</v>
      </c>
      <c r="D406" t="s">
        <v>56</v>
      </c>
      <c r="E406" t="s">
        <v>835</v>
      </c>
      <c r="F406" s="112">
        <v>411.09</v>
      </c>
      <c r="G406" s="112">
        <v>411.09</v>
      </c>
      <c r="H406" s="112">
        <v>0</v>
      </c>
      <c r="I406" t="s">
        <v>6383</v>
      </c>
      <c r="J406" t="s">
        <v>5796</v>
      </c>
    </row>
    <row r="407" spans="1:10" x14ac:dyDescent="0.2">
      <c r="A407" t="s">
        <v>5797</v>
      </c>
      <c r="B407" t="s">
        <v>1881</v>
      </c>
      <c r="C407" t="s">
        <v>1882</v>
      </c>
      <c r="D407" t="s">
        <v>24</v>
      </c>
      <c r="E407" t="s">
        <v>837</v>
      </c>
      <c r="F407" s="112">
        <v>816.09</v>
      </c>
      <c r="G407" s="112">
        <v>816.09</v>
      </c>
      <c r="H407" s="112">
        <v>0</v>
      </c>
      <c r="I407" t="s">
        <v>6383</v>
      </c>
      <c r="J407" t="s">
        <v>5799</v>
      </c>
    </row>
    <row r="408" spans="1:10" x14ac:dyDescent="0.2">
      <c r="A408" t="s">
        <v>5800</v>
      </c>
      <c r="B408" t="s">
        <v>1883</v>
      </c>
      <c r="C408" t="s">
        <v>838</v>
      </c>
      <c r="D408" t="s">
        <v>24</v>
      </c>
      <c r="E408" t="s">
        <v>1884</v>
      </c>
      <c r="F408" s="112">
        <v>134.06</v>
      </c>
      <c r="G408" s="112">
        <v>134.06</v>
      </c>
      <c r="H408" s="112">
        <v>0</v>
      </c>
      <c r="I408" t="s">
        <v>6383</v>
      </c>
      <c r="J408" t="s">
        <v>5802</v>
      </c>
    </row>
    <row r="409" spans="1:10" x14ac:dyDescent="0.2">
      <c r="A409" t="s">
        <v>5803</v>
      </c>
      <c r="B409" t="s">
        <v>1885</v>
      </c>
      <c r="C409" t="s">
        <v>1886</v>
      </c>
      <c r="D409" t="s">
        <v>56</v>
      </c>
      <c r="E409" t="s">
        <v>840</v>
      </c>
      <c r="F409" s="112">
        <v>1662.57</v>
      </c>
      <c r="G409" s="112">
        <v>1662.57</v>
      </c>
      <c r="H409" s="112">
        <v>0</v>
      </c>
      <c r="I409" t="s">
        <v>6383</v>
      </c>
      <c r="J409" t="s">
        <v>5805</v>
      </c>
    </row>
    <row r="410" spans="1:10" x14ac:dyDescent="0.2">
      <c r="A410" t="s">
        <v>5806</v>
      </c>
      <c r="B410" t="s">
        <v>1887</v>
      </c>
      <c r="C410" t="s">
        <v>1888</v>
      </c>
      <c r="D410" t="s">
        <v>56</v>
      </c>
      <c r="E410" t="s">
        <v>841</v>
      </c>
      <c r="F410" s="112">
        <v>1562.73</v>
      </c>
      <c r="G410" s="112">
        <v>1562.73</v>
      </c>
      <c r="H410" s="112">
        <v>0</v>
      </c>
      <c r="I410" t="s">
        <v>6383</v>
      </c>
      <c r="J410" t="s">
        <v>5808</v>
      </c>
    </row>
    <row r="411" spans="1:10" x14ac:dyDescent="0.2">
      <c r="A411" t="s">
        <v>5809</v>
      </c>
      <c r="B411" t="s">
        <v>1889</v>
      </c>
      <c r="C411" t="s">
        <v>1890</v>
      </c>
      <c r="D411" t="s">
        <v>56</v>
      </c>
      <c r="E411" t="s">
        <v>842</v>
      </c>
      <c r="F411" s="112">
        <v>1033.6500000000001</v>
      </c>
      <c r="G411" s="112">
        <v>1033.6500000000001</v>
      </c>
      <c r="H411" s="112">
        <v>0</v>
      </c>
      <c r="I411" t="s">
        <v>6383</v>
      </c>
      <c r="J411" t="s">
        <v>5811</v>
      </c>
    </row>
    <row r="412" spans="1:10" x14ac:dyDescent="0.2">
      <c r="A412" t="s">
        <v>5812</v>
      </c>
      <c r="B412" t="s">
        <v>1891</v>
      </c>
      <c r="C412" t="s">
        <v>1892</v>
      </c>
      <c r="D412" t="s">
        <v>56</v>
      </c>
      <c r="E412" t="s">
        <v>843</v>
      </c>
      <c r="F412" s="112">
        <v>9586.18</v>
      </c>
      <c r="G412" s="112">
        <v>9586.18</v>
      </c>
      <c r="H412" s="112">
        <v>0</v>
      </c>
      <c r="I412" t="s">
        <v>6383</v>
      </c>
      <c r="J412" t="s">
        <v>5814</v>
      </c>
    </row>
    <row r="413" spans="1:10" x14ac:dyDescent="0.2">
      <c r="A413" t="s">
        <v>5815</v>
      </c>
      <c r="B413" t="s">
        <v>1893</v>
      </c>
      <c r="C413" t="s">
        <v>1894</v>
      </c>
      <c r="D413" t="s">
        <v>56</v>
      </c>
      <c r="E413" t="s">
        <v>847</v>
      </c>
      <c r="F413" s="112">
        <v>2083.8000000000002</v>
      </c>
      <c r="G413" s="112">
        <v>2083.8000000000002</v>
      </c>
      <c r="H413" s="112">
        <v>0</v>
      </c>
      <c r="I413" t="s">
        <v>6383</v>
      </c>
      <c r="J413" t="s">
        <v>5817</v>
      </c>
    </row>
    <row r="414" spans="1:10" x14ac:dyDescent="0.2">
      <c r="A414" t="s">
        <v>5818</v>
      </c>
      <c r="B414" t="s">
        <v>1895</v>
      </c>
      <c r="C414" t="s">
        <v>1896</v>
      </c>
      <c r="D414" t="s">
        <v>56</v>
      </c>
      <c r="E414" t="s">
        <v>1897</v>
      </c>
      <c r="F414" s="112">
        <v>3436.2</v>
      </c>
      <c r="G414" s="112">
        <v>3436.2</v>
      </c>
      <c r="H414" s="112">
        <v>0</v>
      </c>
      <c r="I414" t="s">
        <v>6383</v>
      </c>
      <c r="J414" t="s">
        <v>5820</v>
      </c>
    </row>
    <row r="415" spans="1:10" x14ac:dyDescent="0.2">
      <c r="A415" t="s">
        <v>5821</v>
      </c>
      <c r="B415" t="s">
        <v>1898</v>
      </c>
      <c r="C415" t="s">
        <v>1899</v>
      </c>
      <c r="D415" t="s">
        <v>56</v>
      </c>
      <c r="E415" t="s">
        <v>1900</v>
      </c>
      <c r="F415" s="112">
        <v>10469.469999999999</v>
      </c>
      <c r="G415" s="112">
        <v>10469.469999999999</v>
      </c>
      <c r="H415" s="112">
        <v>0</v>
      </c>
      <c r="I415" t="s">
        <v>6383</v>
      </c>
      <c r="J415" t="s">
        <v>5823</v>
      </c>
    </row>
    <row r="416" spans="1:10" x14ac:dyDescent="0.2">
      <c r="A416" t="s">
        <v>5824</v>
      </c>
      <c r="B416" t="s">
        <v>1901</v>
      </c>
      <c r="C416" t="s">
        <v>1902</v>
      </c>
      <c r="D416" t="s">
        <v>56</v>
      </c>
      <c r="E416" t="s">
        <v>1903</v>
      </c>
      <c r="F416" s="112">
        <v>6489.45</v>
      </c>
      <c r="G416" s="112">
        <v>6489.45</v>
      </c>
      <c r="H416" s="112">
        <v>0</v>
      </c>
      <c r="I416" t="s">
        <v>6383</v>
      </c>
      <c r="J416" t="s">
        <v>5826</v>
      </c>
    </row>
    <row r="417" spans="1:10" x14ac:dyDescent="0.2">
      <c r="A417" t="s">
        <v>5827</v>
      </c>
      <c r="B417" t="s">
        <v>1904</v>
      </c>
      <c r="C417" t="s">
        <v>1905</v>
      </c>
      <c r="D417" t="s">
        <v>56</v>
      </c>
      <c r="E417" t="s">
        <v>1906</v>
      </c>
      <c r="F417" s="112">
        <v>11907</v>
      </c>
      <c r="G417" s="112">
        <v>11907</v>
      </c>
      <c r="H417" s="112">
        <v>0</v>
      </c>
      <c r="I417" t="s">
        <v>6383</v>
      </c>
      <c r="J417" t="s">
        <v>5829</v>
      </c>
    </row>
    <row r="418" spans="1:10" x14ac:dyDescent="0.2">
      <c r="A418" t="s">
        <v>5830</v>
      </c>
      <c r="B418" t="s">
        <v>1907</v>
      </c>
      <c r="C418" t="s">
        <v>852</v>
      </c>
      <c r="D418" t="s">
        <v>209</v>
      </c>
      <c r="E418" t="s">
        <v>1908</v>
      </c>
      <c r="F418" s="112">
        <v>7211.92</v>
      </c>
      <c r="G418" s="112">
        <v>7211.92</v>
      </c>
      <c r="H418" s="112">
        <v>0</v>
      </c>
      <c r="I418" t="s">
        <v>6383</v>
      </c>
      <c r="J418" t="s">
        <v>4455</v>
      </c>
    </row>
    <row r="419" spans="1:10" x14ac:dyDescent="0.2">
      <c r="A419" t="s">
        <v>5831</v>
      </c>
      <c r="B419" t="s">
        <v>1909</v>
      </c>
      <c r="C419" t="s">
        <v>854</v>
      </c>
      <c r="D419" t="s">
        <v>209</v>
      </c>
      <c r="E419" t="s">
        <v>855</v>
      </c>
      <c r="F419" s="112">
        <v>4245.07</v>
      </c>
      <c r="G419" s="112">
        <v>4245.07</v>
      </c>
      <c r="H419" s="112">
        <v>0</v>
      </c>
      <c r="I419" t="s">
        <v>6383</v>
      </c>
      <c r="J419" t="s">
        <v>4481</v>
      </c>
    </row>
    <row r="420" spans="1:10" x14ac:dyDescent="0.2">
      <c r="A420" t="s">
        <v>5832</v>
      </c>
      <c r="B420" t="s">
        <v>1910</v>
      </c>
      <c r="C420" t="s">
        <v>856</v>
      </c>
      <c r="D420" t="s">
        <v>209</v>
      </c>
      <c r="E420" t="s">
        <v>857</v>
      </c>
      <c r="F420" s="112">
        <v>9792.3700000000008</v>
      </c>
      <c r="G420" s="112">
        <v>9792.3700000000008</v>
      </c>
      <c r="H420" s="112">
        <v>0</v>
      </c>
      <c r="I420" t="s">
        <v>6383</v>
      </c>
      <c r="J420" t="s">
        <v>4431</v>
      </c>
    </row>
    <row r="421" spans="1:10" x14ac:dyDescent="0.2">
      <c r="A421" t="s">
        <v>5833</v>
      </c>
      <c r="B421" t="s">
        <v>1911</v>
      </c>
      <c r="C421" t="s">
        <v>858</v>
      </c>
      <c r="D421" t="s">
        <v>209</v>
      </c>
      <c r="E421" t="s">
        <v>859</v>
      </c>
      <c r="F421" s="112">
        <v>9778.7999999999993</v>
      </c>
      <c r="G421" s="112">
        <v>9778.7999999999993</v>
      </c>
      <c r="H421" s="112">
        <v>0</v>
      </c>
      <c r="I421" t="s">
        <v>6383</v>
      </c>
      <c r="J421" t="s">
        <v>4435</v>
      </c>
    </row>
    <row r="422" spans="1:10" x14ac:dyDescent="0.2">
      <c r="A422" t="s">
        <v>5834</v>
      </c>
      <c r="B422" t="s">
        <v>1912</v>
      </c>
      <c r="C422" t="s">
        <v>860</v>
      </c>
      <c r="D422" t="s">
        <v>209</v>
      </c>
      <c r="E422" t="s">
        <v>861</v>
      </c>
      <c r="F422" s="112">
        <v>3170.47</v>
      </c>
      <c r="G422" s="112">
        <v>3170.47</v>
      </c>
      <c r="H422" s="112">
        <v>0</v>
      </c>
      <c r="I422" t="s">
        <v>6383</v>
      </c>
      <c r="J422" t="s">
        <v>4505</v>
      </c>
    </row>
    <row r="423" spans="1:10" x14ac:dyDescent="0.2">
      <c r="A423" t="s">
        <v>5835</v>
      </c>
      <c r="B423" t="s">
        <v>1913</v>
      </c>
      <c r="C423" t="s">
        <v>862</v>
      </c>
      <c r="D423" t="s">
        <v>209</v>
      </c>
      <c r="E423" t="s">
        <v>863</v>
      </c>
      <c r="F423" s="112">
        <v>8332.35</v>
      </c>
      <c r="G423" s="112">
        <v>8332.35</v>
      </c>
      <c r="H423" s="112">
        <v>0</v>
      </c>
      <c r="I423" t="s">
        <v>6383</v>
      </c>
      <c r="J423" t="s">
        <v>4443</v>
      </c>
    </row>
    <row r="424" spans="1:10" x14ac:dyDescent="0.2">
      <c r="A424" t="s">
        <v>5836</v>
      </c>
      <c r="B424" t="s">
        <v>1914</v>
      </c>
      <c r="C424" t="s">
        <v>1915</v>
      </c>
      <c r="D424" t="s">
        <v>24</v>
      </c>
      <c r="E424" t="s">
        <v>865</v>
      </c>
      <c r="F424" s="112">
        <v>3689.93</v>
      </c>
      <c r="G424" s="112">
        <v>3689.93</v>
      </c>
      <c r="H424" s="112">
        <v>0</v>
      </c>
      <c r="I424" t="s">
        <v>6383</v>
      </c>
      <c r="J424" t="s">
        <v>5839</v>
      </c>
    </row>
    <row r="425" spans="1:10" x14ac:dyDescent="0.2">
      <c r="A425" t="s">
        <v>5842</v>
      </c>
      <c r="B425" t="s">
        <v>1916</v>
      </c>
      <c r="C425" t="s">
        <v>1917</v>
      </c>
      <c r="D425" t="s">
        <v>24</v>
      </c>
      <c r="E425" t="s">
        <v>1918</v>
      </c>
      <c r="F425" s="112">
        <v>4554.3900000000003</v>
      </c>
      <c r="G425" s="112">
        <v>4554.3900000000003</v>
      </c>
      <c r="H425" s="112">
        <v>0</v>
      </c>
      <c r="I425" t="s">
        <v>6383</v>
      </c>
      <c r="J425" t="s">
        <v>5844</v>
      </c>
    </row>
    <row r="426" spans="1:10" x14ac:dyDescent="0.2">
      <c r="A426" t="s">
        <v>5845</v>
      </c>
      <c r="B426" t="s">
        <v>1919</v>
      </c>
      <c r="C426" t="s">
        <v>1920</v>
      </c>
      <c r="D426" t="s">
        <v>24</v>
      </c>
      <c r="E426" t="s">
        <v>1921</v>
      </c>
      <c r="F426" s="112">
        <v>7549.29</v>
      </c>
      <c r="G426" s="112">
        <v>7549.29</v>
      </c>
      <c r="H426" s="112">
        <v>0</v>
      </c>
      <c r="I426" t="s">
        <v>6383</v>
      </c>
      <c r="J426" t="s">
        <v>5847</v>
      </c>
    </row>
    <row r="427" spans="1:10" x14ac:dyDescent="0.2">
      <c r="A427" t="s">
        <v>5848</v>
      </c>
      <c r="B427" t="s">
        <v>1922</v>
      </c>
      <c r="C427" t="s">
        <v>1923</v>
      </c>
      <c r="D427" t="s">
        <v>24</v>
      </c>
      <c r="E427" t="s">
        <v>1924</v>
      </c>
      <c r="F427" s="112">
        <v>5585</v>
      </c>
      <c r="G427" s="112">
        <v>5585</v>
      </c>
      <c r="H427" s="112">
        <v>0</v>
      </c>
      <c r="I427" t="s">
        <v>6383</v>
      </c>
      <c r="J427" t="s">
        <v>5850</v>
      </c>
    </row>
    <row r="428" spans="1:10" x14ac:dyDescent="0.2">
      <c r="A428" t="s">
        <v>5851</v>
      </c>
      <c r="B428" t="s">
        <v>1925</v>
      </c>
      <c r="C428" t="s">
        <v>872</v>
      </c>
      <c r="D428" t="s">
        <v>209</v>
      </c>
      <c r="E428" t="s">
        <v>873</v>
      </c>
      <c r="F428" s="112">
        <v>3267.6</v>
      </c>
      <c r="G428" s="112">
        <v>3267.6</v>
      </c>
      <c r="H428" s="112">
        <v>0</v>
      </c>
      <c r="I428" t="s">
        <v>6383</v>
      </c>
      <c r="J428" t="s">
        <v>4501</v>
      </c>
    </row>
    <row r="429" spans="1:10" x14ac:dyDescent="0.2">
      <c r="A429" t="s">
        <v>5852</v>
      </c>
      <c r="B429" t="s">
        <v>1926</v>
      </c>
      <c r="C429" t="s">
        <v>874</v>
      </c>
      <c r="D429" t="s">
        <v>209</v>
      </c>
      <c r="E429" t="s">
        <v>875</v>
      </c>
      <c r="F429" s="112">
        <v>3495.03</v>
      </c>
      <c r="G429" s="112">
        <v>3495.03</v>
      </c>
      <c r="H429" s="112">
        <v>0</v>
      </c>
      <c r="I429" t="s">
        <v>6383</v>
      </c>
      <c r="J429" t="s">
        <v>4497</v>
      </c>
    </row>
    <row r="430" spans="1:10" x14ac:dyDescent="0.2">
      <c r="A430" t="s">
        <v>5853</v>
      </c>
      <c r="B430" t="s">
        <v>1927</v>
      </c>
      <c r="C430" t="s">
        <v>876</v>
      </c>
      <c r="D430" t="s">
        <v>209</v>
      </c>
      <c r="E430" t="s">
        <v>877</v>
      </c>
      <c r="F430" s="112">
        <v>3745.98</v>
      </c>
      <c r="G430" s="112">
        <v>3745.98</v>
      </c>
      <c r="H430" s="112">
        <v>0</v>
      </c>
      <c r="I430" t="s">
        <v>6383</v>
      </c>
      <c r="J430" t="s">
        <v>4489</v>
      </c>
    </row>
    <row r="431" spans="1:10" x14ac:dyDescent="0.2">
      <c r="A431" t="s">
        <v>5854</v>
      </c>
      <c r="B431" t="s">
        <v>1928</v>
      </c>
      <c r="C431" t="s">
        <v>1929</v>
      </c>
      <c r="D431" t="s">
        <v>209</v>
      </c>
      <c r="E431" t="s">
        <v>1930</v>
      </c>
      <c r="F431" s="112">
        <v>3634.51</v>
      </c>
      <c r="G431" s="112">
        <v>3634.51</v>
      </c>
      <c r="H431" s="112">
        <v>0</v>
      </c>
      <c r="I431" t="s">
        <v>6383</v>
      </c>
      <c r="J431" t="s">
        <v>4493</v>
      </c>
    </row>
    <row r="432" spans="1:10" x14ac:dyDescent="0.2">
      <c r="A432" t="s">
        <v>5855</v>
      </c>
      <c r="B432" t="s">
        <v>1931</v>
      </c>
      <c r="C432" t="s">
        <v>1932</v>
      </c>
      <c r="D432" t="s">
        <v>209</v>
      </c>
      <c r="E432" t="s">
        <v>1933</v>
      </c>
      <c r="F432" s="112">
        <v>570.52</v>
      </c>
      <c r="G432" s="112">
        <v>570.52</v>
      </c>
      <c r="H432" s="112">
        <v>0</v>
      </c>
      <c r="I432" t="s">
        <v>6383</v>
      </c>
      <c r="J432" t="s">
        <v>4529</v>
      </c>
    </row>
    <row r="433" spans="1:10" x14ac:dyDescent="0.2">
      <c r="A433" t="s">
        <v>5856</v>
      </c>
      <c r="B433" t="s">
        <v>1934</v>
      </c>
      <c r="C433" t="s">
        <v>1935</v>
      </c>
      <c r="D433" t="s">
        <v>335</v>
      </c>
      <c r="E433" t="s">
        <v>882</v>
      </c>
      <c r="F433" s="112">
        <v>7357.35</v>
      </c>
      <c r="G433" s="112">
        <v>7357.35</v>
      </c>
      <c r="H433" s="112">
        <v>0</v>
      </c>
      <c r="I433" t="s">
        <v>6383</v>
      </c>
      <c r="J433" t="s">
        <v>5858</v>
      </c>
    </row>
    <row r="434" spans="1:10" x14ac:dyDescent="0.2">
      <c r="A434" t="s">
        <v>5859</v>
      </c>
      <c r="B434" t="s">
        <v>1936</v>
      </c>
      <c r="C434" t="s">
        <v>1937</v>
      </c>
      <c r="D434" t="s">
        <v>56</v>
      </c>
      <c r="E434" t="s">
        <v>885</v>
      </c>
      <c r="F434" s="112">
        <v>99320.84</v>
      </c>
      <c r="G434" s="112">
        <v>99320.84</v>
      </c>
      <c r="H434" s="112">
        <v>0</v>
      </c>
      <c r="I434" t="s">
        <v>6383</v>
      </c>
      <c r="J434" t="s">
        <v>5860</v>
      </c>
    </row>
    <row r="435" spans="1:10" x14ac:dyDescent="0.2">
      <c r="A435" t="s">
        <v>5861</v>
      </c>
      <c r="B435" t="s">
        <v>1938</v>
      </c>
      <c r="C435" t="s">
        <v>1939</v>
      </c>
      <c r="D435" t="s">
        <v>56</v>
      </c>
      <c r="E435" t="s">
        <v>887</v>
      </c>
      <c r="F435" s="112">
        <v>100460.22</v>
      </c>
      <c r="G435" s="112">
        <v>100460.22</v>
      </c>
      <c r="H435" s="112">
        <v>0</v>
      </c>
      <c r="I435" t="s">
        <v>6383</v>
      </c>
      <c r="J435" t="s">
        <v>5862</v>
      </c>
    </row>
    <row r="436" spans="1:10" x14ac:dyDescent="0.2">
      <c r="A436" t="s">
        <v>5863</v>
      </c>
      <c r="B436" t="s">
        <v>1940</v>
      </c>
      <c r="C436" t="s">
        <v>1941</v>
      </c>
      <c r="D436" t="s">
        <v>56</v>
      </c>
      <c r="E436" t="s">
        <v>889</v>
      </c>
      <c r="F436" s="112">
        <v>21089.11</v>
      </c>
      <c r="G436" s="112">
        <v>21089.11</v>
      </c>
      <c r="H436" s="112">
        <v>0</v>
      </c>
      <c r="I436" t="s">
        <v>6383</v>
      </c>
      <c r="J436" t="s">
        <v>5864</v>
      </c>
    </row>
    <row r="437" spans="1:10" x14ac:dyDescent="0.2">
      <c r="A437" t="s">
        <v>5865</v>
      </c>
      <c r="B437" t="s">
        <v>1942</v>
      </c>
      <c r="C437" t="s">
        <v>1943</v>
      </c>
      <c r="D437" t="s">
        <v>56</v>
      </c>
      <c r="E437" t="s">
        <v>891</v>
      </c>
      <c r="F437" s="112">
        <v>22424.34</v>
      </c>
      <c r="G437" s="112">
        <v>22424.34</v>
      </c>
      <c r="H437" s="112">
        <v>0</v>
      </c>
      <c r="I437" t="s">
        <v>6383</v>
      </c>
      <c r="J437" t="s">
        <v>5866</v>
      </c>
    </row>
    <row r="438" spans="1:10" x14ac:dyDescent="0.2">
      <c r="A438" t="s">
        <v>5867</v>
      </c>
      <c r="B438" t="s">
        <v>1944</v>
      </c>
      <c r="C438" t="s">
        <v>1945</v>
      </c>
      <c r="D438" t="s">
        <v>24</v>
      </c>
      <c r="E438" t="s">
        <v>894</v>
      </c>
      <c r="F438" s="112">
        <v>51757.77</v>
      </c>
      <c r="G438" s="112">
        <v>51757.77</v>
      </c>
      <c r="H438" s="112">
        <v>0</v>
      </c>
      <c r="I438" t="s">
        <v>6383</v>
      </c>
      <c r="J438" t="s">
        <v>5869</v>
      </c>
    </row>
    <row r="439" spans="1:10" x14ac:dyDescent="0.2">
      <c r="A439" t="s">
        <v>5870</v>
      </c>
      <c r="B439" t="s">
        <v>1946</v>
      </c>
      <c r="C439" t="s">
        <v>1947</v>
      </c>
      <c r="D439" t="s">
        <v>24</v>
      </c>
      <c r="E439" t="s">
        <v>897</v>
      </c>
      <c r="F439" s="112">
        <v>140493.88</v>
      </c>
      <c r="G439" s="112">
        <v>140493.88</v>
      </c>
      <c r="H439" s="112">
        <v>0</v>
      </c>
      <c r="I439" t="s">
        <v>6383</v>
      </c>
      <c r="J439" t="s">
        <v>5872</v>
      </c>
    </row>
    <row r="440" spans="1:10" x14ac:dyDescent="0.2">
      <c r="A440" t="s">
        <v>5873</v>
      </c>
      <c r="B440" t="s">
        <v>1948</v>
      </c>
      <c r="C440" t="s">
        <v>1949</v>
      </c>
      <c r="D440" t="s">
        <v>24</v>
      </c>
      <c r="E440" t="s">
        <v>900</v>
      </c>
      <c r="F440" s="112">
        <v>661.36</v>
      </c>
      <c r="G440" s="112">
        <v>661.36</v>
      </c>
      <c r="H440" s="112">
        <v>0</v>
      </c>
      <c r="I440" t="s">
        <v>6383</v>
      </c>
      <c r="J440" t="s">
        <v>5875</v>
      </c>
    </row>
    <row r="441" spans="1:10" x14ac:dyDescent="0.2">
      <c r="A441" t="s">
        <v>5876</v>
      </c>
      <c r="B441" t="s">
        <v>1950</v>
      </c>
      <c r="C441" t="s">
        <v>1951</v>
      </c>
      <c r="D441" t="s">
        <v>24</v>
      </c>
      <c r="E441" t="s">
        <v>902</v>
      </c>
      <c r="F441" s="112">
        <v>1499.17</v>
      </c>
      <c r="G441" s="112">
        <v>1499.17</v>
      </c>
      <c r="H441" s="112">
        <v>0</v>
      </c>
      <c r="I441" t="s">
        <v>6383</v>
      </c>
      <c r="J441" t="s">
        <v>5878</v>
      </c>
    </row>
    <row r="442" spans="1:10" x14ac:dyDescent="0.2">
      <c r="A442" t="s">
        <v>5879</v>
      </c>
      <c r="B442" t="s">
        <v>1952</v>
      </c>
      <c r="C442" t="s">
        <v>1953</v>
      </c>
      <c r="D442" t="s">
        <v>209</v>
      </c>
      <c r="E442" t="s">
        <v>1954</v>
      </c>
      <c r="F442" s="112">
        <v>12812.73</v>
      </c>
      <c r="G442" s="112">
        <v>12812.73</v>
      </c>
      <c r="H442" s="112">
        <v>0</v>
      </c>
      <c r="I442" t="s">
        <v>6383</v>
      </c>
      <c r="J442" t="s">
        <v>4409</v>
      </c>
    </row>
    <row r="443" spans="1:10" x14ac:dyDescent="0.2">
      <c r="A443" t="s">
        <v>5880</v>
      </c>
      <c r="B443" t="s">
        <v>1955</v>
      </c>
      <c r="C443" t="s">
        <v>907</v>
      </c>
      <c r="D443" t="s">
        <v>209</v>
      </c>
      <c r="E443" t="s">
        <v>908</v>
      </c>
      <c r="F443" s="112">
        <v>8206.94</v>
      </c>
      <c r="G443" s="112">
        <v>8206.94</v>
      </c>
      <c r="H443" s="112">
        <v>0</v>
      </c>
      <c r="I443" t="s">
        <v>6383</v>
      </c>
      <c r="J443" t="s">
        <v>4447</v>
      </c>
    </row>
    <row r="444" spans="1:10" x14ac:dyDescent="0.2">
      <c r="A444" t="s">
        <v>5881</v>
      </c>
      <c r="B444" t="s">
        <v>1956</v>
      </c>
      <c r="C444" t="s">
        <v>1957</v>
      </c>
      <c r="D444" t="s">
        <v>335</v>
      </c>
      <c r="E444" t="s">
        <v>909</v>
      </c>
      <c r="F444" s="112">
        <v>10962.65</v>
      </c>
      <c r="G444" s="112">
        <v>10962.65</v>
      </c>
      <c r="H444" s="112">
        <v>0</v>
      </c>
      <c r="I444" t="s">
        <v>6383</v>
      </c>
      <c r="J444" t="s">
        <v>5883</v>
      </c>
    </row>
    <row r="445" spans="1:10" x14ac:dyDescent="0.2">
      <c r="A445" t="s">
        <v>5884</v>
      </c>
      <c r="B445" t="s">
        <v>1958</v>
      </c>
      <c r="C445" t="s">
        <v>1959</v>
      </c>
      <c r="D445" t="s">
        <v>335</v>
      </c>
      <c r="E445" t="s">
        <v>910</v>
      </c>
      <c r="F445" s="112">
        <v>2268.94</v>
      </c>
      <c r="G445" s="112">
        <v>2268.94</v>
      </c>
      <c r="H445" s="112">
        <v>0</v>
      </c>
      <c r="I445" t="s">
        <v>6383</v>
      </c>
      <c r="J445" t="s">
        <v>5886</v>
      </c>
    </row>
    <row r="446" spans="1:10" x14ac:dyDescent="0.2">
      <c r="A446" t="s">
        <v>5887</v>
      </c>
      <c r="B446" t="s">
        <v>1960</v>
      </c>
      <c r="C446" t="s">
        <v>1961</v>
      </c>
      <c r="D446" t="s">
        <v>335</v>
      </c>
      <c r="E446" t="s">
        <v>911</v>
      </c>
      <c r="F446" s="112">
        <v>5507.83</v>
      </c>
      <c r="G446" s="112">
        <v>5507.83</v>
      </c>
      <c r="H446" s="112">
        <v>0</v>
      </c>
      <c r="I446" t="s">
        <v>6383</v>
      </c>
      <c r="J446" t="s">
        <v>5889</v>
      </c>
    </row>
    <row r="447" spans="1:10" x14ac:dyDescent="0.2">
      <c r="A447" t="s">
        <v>5890</v>
      </c>
      <c r="B447" t="s">
        <v>1962</v>
      </c>
      <c r="C447" t="s">
        <v>1963</v>
      </c>
      <c r="D447" t="s">
        <v>335</v>
      </c>
      <c r="E447" t="s">
        <v>912</v>
      </c>
      <c r="F447" s="112">
        <v>371.25</v>
      </c>
      <c r="G447" s="112">
        <v>371.25</v>
      </c>
      <c r="H447" s="112">
        <v>0</v>
      </c>
      <c r="I447" t="s">
        <v>6383</v>
      </c>
      <c r="J447" t="s">
        <v>5892</v>
      </c>
    </row>
    <row r="448" spans="1:10" x14ac:dyDescent="0.2">
      <c r="A448" t="s">
        <v>5893</v>
      </c>
      <c r="B448" t="s">
        <v>1964</v>
      </c>
      <c r="C448" t="s">
        <v>1965</v>
      </c>
      <c r="D448" t="s">
        <v>335</v>
      </c>
      <c r="E448" t="s">
        <v>1966</v>
      </c>
      <c r="F448" s="112">
        <v>66</v>
      </c>
      <c r="G448" s="112">
        <v>66</v>
      </c>
      <c r="H448" s="112">
        <v>0</v>
      </c>
      <c r="I448" t="s">
        <v>6383</v>
      </c>
      <c r="J448" t="s">
        <v>5895</v>
      </c>
    </row>
    <row r="449" spans="1:10" x14ac:dyDescent="0.2">
      <c r="A449" t="s">
        <v>5896</v>
      </c>
      <c r="B449" t="s">
        <v>1967</v>
      </c>
      <c r="C449" t="s">
        <v>1968</v>
      </c>
      <c r="D449" t="s">
        <v>335</v>
      </c>
      <c r="E449" t="s">
        <v>914</v>
      </c>
      <c r="F449" s="112">
        <v>10937.2</v>
      </c>
      <c r="G449" s="112">
        <v>10937.2</v>
      </c>
      <c r="H449" s="112">
        <v>0</v>
      </c>
      <c r="I449" t="s">
        <v>6383</v>
      </c>
      <c r="J449" t="s">
        <v>5898</v>
      </c>
    </row>
    <row r="450" spans="1:10" x14ac:dyDescent="0.2">
      <c r="A450" t="s">
        <v>5899</v>
      </c>
      <c r="B450" t="s">
        <v>1969</v>
      </c>
      <c r="C450" t="s">
        <v>1970</v>
      </c>
      <c r="D450" t="s">
        <v>24</v>
      </c>
      <c r="E450" t="s">
        <v>918</v>
      </c>
      <c r="F450" s="112">
        <v>77537.009999999995</v>
      </c>
      <c r="G450" s="112">
        <v>77537.009999999995</v>
      </c>
      <c r="H450" s="112">
        <v>0</v>
      </c>
      <c r="I450" t="s">
        <v>6383</v>
      </c>
      <c r="J450" t="s">
        <v>5901</v>
      </c>
    </row>
    <row r="451" spans="1:10" x14ac:dyDescent="0.2">
      <c r="A451" t="s">
        <v>5902</v>
      </c>
      <c r="B451" t="s">
        <v>1387</v>
      </c>
      <c r="C451" t="s">
        <v>1971</v>
      </c>
      <c r="D451" t="s">
        <v>56</v>
      </c>
      <c r="E451" t="s">
        <v>921</v>
      </c>
      <c r="F451" s="112">
        <v>5602.9</v>
      </c>
      <c r="G451" s="112">
        <v>5602.9</v>
      </c>
      <c r="H451" s="112">
        <v>0</v>
      </c>
      <c r="I451" t="s">
        <v>6383</v>
      </c>
      <c r="J451" t="s">
        <v>4843</v>
      </c>
    </row>
    <row r="452" spans="1:10" x14ac:dyDescent="0.2">
      <c r="A452" t="s">
        <v>5904</v>
      </c>
      <c r="B452" t="s">
        <v>1972</v>
      </c>
      <c r="C452" t="s">
        <v>1973</v>
      </c>
      <c r="D452" t="s">
        <v>56</v>
      </c>
      <c r="E452" t="s">
        <v>922</v>
      </c>
      <c r="F452" s="112">
        <v>2474.94</v>
      </c>
      <c r="G452" s="112">
        <v>2474.94</v>
      </c>
      <c r="H452" s="112">
        <v>0</v>
      </c>
      <c r="I452" t="s">
        <v>6383</v>
      </c>
      <c r="J452" t="s">
        <v>5906</v>
      </c>
    </row>
    <row r="453" spans="1:10" x14ac:dyDescent="0.2">
      <c r="A453" t="s">
        <v>5907</v>
      </c>
      <c r="B453" t="s">
        <v>1406</v>
      </c>
      <c r="C453" t="s">
        <v>1974</v>
      </c>
      <c r="D453" t="s">
        <v>56</v>
      </c>
      <c r="E453" t="s">
        <v>923</v>
      </c>
      <c r="F453" s="112">
        <v>8620.42</v>
      </c>
      <c r="G453" s="112">
        <v>8620.42</v>
      </c>
      <c r="H453" s="112">
        <v>0</v>
      </c>
      <c r="I453" t="s">
        <v>6383</v>
      </c>
      <c r="J453" t="s">
        <v>4889</v>
      </c>
    </row>
    <row r="454" spans="1:10" x14ac:dyDescent="0.2">
      <c r="A454" t="s">
        <v>5909</v>
      </c>
      <c r="B454" t="s">
        <v>1975</v>
      </c>
      <c r="C454" t="s">
        <v>1976</v>
      </c>
      <c r="D454" t="s">
        <v>56</v>
      </c>
      <c r="E454" t="s">
        <v>924</v>
      </c>
      <c r="F454" s="112">
        <v>312.61</v>
      </c>
      <c r="G454" s="112">
        <v>312.61</v>
      </c>
      <c r="H454" s="112">
        <v>0</v>
      </c>
      <c r="I454" t="s">
        <v>6383</v>
      </c>
      <c r="J454" t="s">
        <v>5911</v>
      </c>
    </row>
    <row r="455" spans="1:10" x14ac:dyDescent="0.2">
      <c r="A455" t="s">
        <v>5912</v>
      </c>
      <c r="B455" t="s">
        <v>1430</v>
      </c>
      <c r="C455" t="s">
        <v>1977</v>
      </c>
      <c r="D455" t="s">
        <v>56</v>
      </c>
      <c r="E455" t="s">
        <v>925</v>
      </c>
      <c r="F455" s="112">
        <v>3717.12</v>
      </c>
      <c r="G455" s="112">
        <v>3717.12</v>
      </c>
      <c r="H455" s="112">
        <v>0</v>
      </c>
      <c r="I455" t="s">
        <v>6383</v>
      </c>
      <c r="J455" t="s">
        <v>4942</v>
      </c>
    </row>
    <row r="456" spans="1:10" x14ac:dyDescent="0.2">
      <c r="A456" t="s">
        <v>5914</v>
      </c>
      <c r="B456" t="s">
        <v>1439</v>
      </c>
      <c r="C456" t="s">
        <v>1978</v>
      </c>
      <c r="D456" t="s">
        <v>24</v>
      </c>
      <c r="E456" t="s">
        <v>927</v>
      </c>
      <c r="F456" s="112">
        <v>104.01</v>
      </c>
      <c r="G456" s="112">
        <v>104.01</v>
      </c>
      <c r="H456" s="112">
        <v>0</v>
      </c>
      <c r="I456" t="s">
        <v>6383</v>
      </c>
      <c r="J456" t="s">
        <v>5916</v>
      </c>
    </row>
    <row r="457" spans="1:10" x14ac:dyDescent="0.2">
      <c r="A457" t="s">
        <v>5917</v>
      </c>
      <c r="B457" t="s">
        <v>1979</v>
      </c>
      <c r="C457" t="s">
        <v>1980</v>
      </c>
      <c r="D457" t="s">
        <v>24</v>
      </c>
      <c r="E457" t="s">
        <v>929</v>
      </c>
      <c r="F457" s="112">
        <v>140.71</v>
      </c>
      <c r="G457" s="112">
        <v>140.71</v>
      </c>
      <c r="H457" s="112">
        <v>0</v>
      </c>
      <c r="I457" t="s">
        <v>6383</v>
      </c>
      <c r="J457" t="s">
        <v>5919</v>
      </c>
    </row>
    <row r="458" spans="1:10" x14ac:dyDescent="0.2">
      <c r="A458" t="s">
        <v>5920</v>
      </c>
      <c r="B458" t="s">
        <v>1981</v>
      </c>
      <c r="C458" t="s">
        <v>1982</v>
      </c>
      <c r="D458" t="s">
        <v>24</v>
      </c>
      <c r="E458" t="s">
        <v>931</v>
      </c>
      <c r="F458" s="112">
        <v>106.39</v>
      </c>
      <c r="G458" s="112">
        <v>106.39</v>
      </c>
      <c r="H458" s="112">
        <v>0</v>
      </c>
      <c r="I458" t="s">
        <v>6383</v>
      </c>
      <c r="J458" t="s">
        <v>5922</v>
      </c>
    </row>
    <row r="459" spans="1:10" x14ac:dyDescent="0.2">
      <c r="A459" t="s">
        <v>5923</v>
      </c>
      <c r="B459" t="s">
        <v>1983</v>
      </c>
      <c r="C459" t="s">
        <v>1984</v>
      </c>
      <c r="D459" t="s">
        <v>24</v>
      </c>
      <c r="E459" t="s">
        <v>933</v>
      </c>
      <c r="F459" s="112">
        <v>44.63</v>
      </c>
      <c r="G459" s="112">
        <v>44.63</v>
      </c>
      <c r="H459" s="112">
        <v>0</v>
      </c>
      <c r="I459" t="s">
        <v>6383</v>
      </c>
      <c r="J459" t="s">
        <v>5925</v>
      </c>
    </row>
    <row r="460" spans="1:10" x14ac:dyDescent="0.2">
      <c r="A460" t="s">
        <v>5926</v>
      </c>
      <c r="B460" t="s">
        <v>1985</v>
      </c>
      <c r="C460" t="s">
        <v>1986</v>
      </c>
      <c r="D460" t="s">
        <v>24</v>
      </c>
      <c r="E460" t="s">
        <v>1987</v>
      </c>
      <c r="F460" s="112">
        <v>99.53</v>
      </c>
      <c r="G460" s="112">
        <v>99.53</v>
      </c>
      <c r="H460" s="112">
        <v>0</v>
      </c>
      <c r="I460" t="s">
        <v>6383</v>
      </c>
      <c r="J460" t="s">
        <v>5928</v>
      </c>
    </row>
    <row r="461" spans="1:10" x14ac:dyDescent="0.2">
      <c r="A461" t="s">
        <v>5929</v>
      </c>
      <c r="B461" t="s">
        <v>1988</v>
      </c>
      <c r="C461" t="s">
        <v>1989</v>
      </c>
      <c r="D461" t="s">
        <v>56</v>
      </c>
      <c r="E461" t="s">
        <v>936</v>
      </c>
      <c r="F461" s="112">
        <v>178.04</v>
      </c>
      <c r="G461" s="112">
        <v>178.04</v>
      </c>
      <c r="H461" s="112">
        <v>0</v>
      </c>
      <c r="I461" t="s">
        <v>6383</v>
      </c>
      <c r="J461" t="s">
        <v>5931</v>
      </c>
    </row>
    <row r="462" spans="1:10" x14ac:dyDescent="0.2">
      <c r="A462" t="s">
        <v>5932</v>
      </c>
      <c r="B462" t="s">
        <v>1990</v>
      </c>
      <c r="C462" t="s">
        <v>1991</v>
      </c>
      <c r="D462" t="s">
        <v>56</v>
      </c>
      <c r="E462" t="s">
        <v>937</v>
      </c>
      <c r="F462" s="112">
        <v>303.18</v>
      </c>
      <c r="G462" s="112">
        <v>303.18</v>
      </c>
      <c r="H462" s="112">
        <v>0</v>
      </c>
      <c r="I462" t="s">
        <v>6383</v>
      </c>
      <c r="J462" t="s">
        <v>5934</v>
      </c>
    </row>
    <row r="463" spans="1:10" x14ac:dyDescent="0.2">
      <c r="A463" t="s">
        <v>5935</v>
      </c>
      <c r="B463" t="s">
        <v>1992</v>
      </c>
      <c r="C463" t="s">
        <v>938</v>
      </c>
      <c r="D463" t="s">
        <v>209</v>
      </c>
      <c r="E463" t="s">
        <v>939</v>
      </c>
      <c r="F463" s="112">
        <v>1441.63</v>
      </c>
      <c r="G463" s="112">
        <v>1441.63</v>
      </c>
      <c r="H463" s="112">
        <v>0</v>
      </c>
      <c r="I463" t="s">
        <v>6383</v>
      </c>
      <c r="J463" t="s">
        <v>5936</v>
      </c>
    </row>
    <row r="464" spans="1:10" x14ac:dyDescent="0.2">
      <c r="A464" t="s">
        <v>5937</v>
      </c>
      <c r="B464" t="s">
        <v>1993</v>
      </c>
      <c r="C464" t="s">
        <v>940</v>
      </c>
      <c r="D464" t="s">
        <v>209</v>
      </c>
      <c r="E464" t="s">
        <v>941</v>
      </c>
      <c r="F464" s="112">
        <v>7801.04</v>
      </c>
      <c r="G464" s="112">
        <v>7801.04</v>
      </c>
      <c r="H464" s="112">
        <v>0</v>
      </c>
      <c r="I464" t="s">
        <v>6383</v>
      </c>
      <c r="J464" t="s">
        <v>5938</v>
      </c>
    </row>
    <row r="465" spans="1:10" x14ac:dyDescent="0.2">
      <c r="A465" t="s">
        <v>5939</v>
      </c>
      <c r="B465" t="s">
        <v>1994</v>
      </c>
      <c r="C465" t="s">
        <v>1634</v>
      </c>
      <c r="D465" t="s">
        <v>56</v>
      </c>
      <c r="E465" t="s">
        <v>942</v>
      </c>
      <c r="F465" s="112">
        <v>578.76</v>
      </c>
      <c r="G465" s="112">
        <v>578.76</v>
      </c>
      <c r="H465" s="112">
        <v>0</v>
      </c>
      <c r="I465" t="s">
        <v>6383</v>
      </c>
      <c r="J465" t="s">
        <v>5940</v>
      </c>
    </row>
    <row r="466" spans="1:10" x14ac:dyDescent="0.2">
      <c r="A466" t="s">
        <v>5941</v>
      </c>
      <c r="B466" t="s">
        <v>1995</v>
      </c>
      <c r="C466" t="s">
        <v>1996</v>
      </c>
      <c r="D466" t="s">
        <v>56</v>
      </c>
      <c r="E466" t="s">
        <v>943</v>
      </c>
      <c r="F466" s="112">
        <v>2363.5500000000002</v>
      </c>
      <c r="G466" s="112">
        <v>2363.5500000000002</v>
      </c>
      <c r="H466" s="112">
        <v>0</v>
      </c>
      <c r="I466" t="s">
        <v>6383</v>
      </c>
      <c r="J466" t="s">
        <v>5943</v>
      </c>
    </row>
    <row r="467" spans="1:10" x14ac:dyDescent="0.2">
      <c r="A467" t="s">
        <v>5944</v>
      </c>
      <c r="B467" t="s">
        <v>1997</v>
      </c>
      <c r="C467" t="s">
        <v>1688</v>
      </c>
      <c r="D467" t="s">
        <v>56</v>
      </c>
      <c r="E467" t="s">
        <v>1689</v>
      </c>
      <c r="F467" s="112">
        <v>4114.46</v>
      </c>
      <c r="G467" s="112">
        <v>4114.46</v>
      </c>
      <c r="H467" s="112">
        <v>0</v>
      </c>
      <c r="I467" t="s">
        <v>6383</v>
      </c>
      <c r="J467" t="s">
        <v>5945</v>
      </c>
    </row>
    <row r="468" spans="1:10" x14ac:dyDescent="0.2">
      <c r="A468" t="s">
        <v>5946</v>
      </c>
      <c r="B468" t="s">
        <v>1998</v>
      </c>
      <c r="C468" t="s">
        <v>1999</v>
      </c>
      <c r="D468" t="s">
        <v>56</v>
      </c>
      <c r="E468" t="s">
        <v>2000</v>
      </c>
      <c r="F468" s="112">
        <v>16.13</v>
      </c>
      <c r="G468" s="112">
        <v>16.13</v>
      </c>
      <c r="H468" s="112">
        <v>0</v>
      </c>
      <c r="I468" t="s">
        <v>6383</v>
      </c>
      <c r="J468" t="s">
        <v>5948</v>
      </c>
    </row>
    <row r="469" spans="1:10" x14ac:dyDescent="0.2">
      <c r="A469" t="s">
        <v>5949</v>
      </c>
      <c r="B469" t="s">
        <v>2001</v>
      </c>
      <c r="C469" t="s">
        <v>2002</v>
      </c>
      <c r="D469" t="s">
        <v>56</v>
      </c>
      <c r="E469" t="s">
        <v>2003</v>
      </c>
      <c r="F469" s="112">
        <v>13851.86</v>
      </c>
      <c r="G469" s="112">
        <v>13851.86</v>
      </c>
      <c r="H469" s="112">
        <v>0</v>
      </c>
      <c r="I469" t="s">
        <v>6383</v>
      </c>
      <c r="J469" t="s">
        <v>5951</v>
      </c>
    </row>
    <row r="470" spans="1:10" x14ac:dyDescent="0.2">
      <c r="A470" t="s">
        <v>5952</v>
      </c>
      <c r="B470" t="s">
        <v>2004</v>
      </c>
      <c r="C470" t="s">
        <v>2005</v>
      </c>
      <c r="D470" t="s">
        <v>56</v>
      </c>
      <c r="E470" t="s">
        <v>946</v>
      </c>
      <c r="F470" s="112">
        <v>6053.3</v>
      </c>
      <c r="G470" s="112">
        <v>6053.3</v>
      </c>
      <c r="H470" s="112">
        <v>0</v>
      </c>
      <c r="I470" t="s">
        <v>6383</v>
      </c>
      <c r="J470" t="s">
        <v>5954</v>
      </c>
    </row>
    <row r="471" spans="1:10" x14ac:dyDescent="0.2">
      <c r="A471" t="s">
        <v>5955</v>
      </c>
      <c r="B471" t="s">
        <v>2006</v>
      </c>
      <c r="C471" t="s">
        <v>2007</v>
      </c>
      <c r="D471" t="s">
        <v>56</v>
      </c>
      <c r="E471" t="s">
        <v>947</v>
      </c>
      <c r="F471" s="112">
        <v>545.28</v>
      </c>
      <c r="G471" s="112">
        <v>545.28</v>
      </c>
      <c r="H471" s="112">
        <v>0</v>
      </c>
      <c r="I471" t="s">
        <v>6383</v>
      </c>
      <c r="J471" t="s">
        <v>5957</v>
      </c>
    </row>
    <row r="472" spans="1:10" x14ac:dyDescent="0.2">
      <c r="A472" t="s">
        <v>5958</v>
      </c>
      <c r="B472" t="s">
        <v>2008</v>
      </c>
      <c r="C472" t="s">
        <v>2009</v>
      </c>
      <c r="D472" t="s">
        <v>56</v>
      </c>
      <c r="E472" t="s">
        <v>948</v>
      </c>
      <c r="F472" s="112">
        <v>283.69</v>
      </c>
      <c r="G472" s="112">
        <v>283.69</v>
      </c>
      <c r="H472" s="112">
        <v>0</v>
      </c>
      <c r="I472" t="s">
        <v>6383</v>
      </c>
      <c r="J472" t="s">
        <v>5960</v>
      </c>
    </row>
    <row r="473" spans="1:10" x14ac:dyDescent="0.2">
      <c r="A473" t="s">
        <v>5961</v>
      </c>
      <c r="B473" t="s">
        <v>2010</v>
      </c>
      <c r="C473" t="s">
        <v>2011</v>
      </c>
      <c r="D473" t="s">
        <v>56</v>
      </c>
      <c r="E473" t="s">
        <v>2012</v>
      </c>
      <c r="F473" s="112">
        <v>97.28</v>
      </c>
      <c r="G473" s="112">
        <v>97.28</v>
      </c>
      <c r="H473" s="112">
        <v>0</v>
      </c>
      <c r="I473" t="s">
        <v>6383</v>
      </c>
      <c r="J473" t="s">
        <v>5963</v>
      </c>
    </row>
    <row r="474" spans="1:10" x14ac:dyDescent="0.2">
      <c r="A474" t="s">
        <v>5964</v>
      </c>
      <c r="B474" t="s">
        <v>2013</v>
      </c>
      <c r="C474" t="s">
        <v>2014</v>
      </c>
      <c r="D474" t="s">
        <v>56</v>
      </c>
      <c r="E474" t="s">
        <v>950</v>
      </c>
      <c r="F474" s="112">
        <v>122.51</v>
      </c>
      <c r="G474" s="112">
        <v>122.51</v>
      </c>
      <c r="H474" s="112">
        <v>0</v>
      </c>
      <c r="I474" t="s">
        <v>6383</v>
      </c>
      <c r="J474" t="s">
        <v>5966</v>
      </c>
    </row>
    <row r="475" spans="1:10" x14ac:dyDescent="0.2">
      <c r="A475" t="s">
        <v>5967</v>
      </c>
      <c r="B475" t="s">
        <v>2015</v>
      </c>
      <c r="C475" t="s">
        <v>2016</v>
      </c>
      <c r="D475" t="s">
        <v>56</v>
      </c>
      <c r="E475" t="s">
        <v>951</v>
      </c>
      <c r="F475" s="112">
        <v>580.79</v>
      </c>
      <c r="G475" s="112">
        <v>580.79</v>
      </c>
      <c r="H475" s="112">
        <v>0</v>
      </c>
      <c r="I475" t="s">
        <v>6383</v>
      </c>
      <c r="J475" t="s">
        <v>5969</v>
      </c>
    </row>
    <row r="476" spans="1:10" x14ac:dyDescent="0.2">
      <c r="A476" t="s">
        <v>5970</v>
      </c>
      <c r="B476" t="s">
        <v>2017</v>
      </c>
      <c r="C476" t="s">
        <v>2018</v>
      </c>
      <c r="D476" t="s">
        <v>335</v>
      </c>
      <c r="E476" t="s">
        <v>952</v>
      </c>
      <c r="F476" s="112">
        <v>268.14</v>
      </c>
      <c r="G476" s="112">
        <v>268.14</v>
      </c>
      <c r="H476" s="112">
        <v>0</v>
      </c>
      <c r="I476" t="s">
        <v>6383</v>
      </c>
      <c r="J476" t="s">
        <v>5972</v>
      </c>
    </row>
    <row r="477" spans="1:10" x14ac:dyDescent="0.2">
      <c r="A477" t="s">
        <v>5973</v>
      </c>
      <c r="B477" t="s">
        <v>2019</v>
      </c>
      <c r="C477" t="s">
        <v>2020</v>
      </c>
      <c r="D477" t="s">
        <v>24</v>
      </c>
      <c r="E477" t="s">
        <v>954</v>
      </c>
      <c r="F477" s="112">
        <v>38106.75</v>
      </c>
      <c r="G477" s="112">
        <v>38106.75</v>
      </c>
      <c r="H477" s="112">
        <v>0</v>
      </c>
      <c r="I477" t="s">
        <v>6383</v>
      </c>
      <c r="J477" t="s">
        <v>5975</v>
      </c>
    </row>
    <row r="478" spans="1:10" x14ac:dyDescent="0.2">
      <c r="A478" t="s">
        <v>5976</v>
      </c>
      <c r="B478" t="s">
        <v>2021</v>
      </c>
      <c r="C478" t="s">
        <v>2022</v>
      </c>
      <c r="D478" t="s">
        <v>24</v>
      </c>
      <c r="E478" t="s">
        <v>956</v>
      </c>
      <c r="F478" s="112">
        <v>20613.66</v>
      </c>
      <c r="G478" s="112">
        <v>20613.66</v>
      </c>
      <c r="H478" s="112">
        <v>0</v>
      </c>
      <c r="I478" t="s">
        <v>6383</v>
      </c>
      <c r="J478" t="s">
        <v>5978</v>
      </c>
    </row>
    <row r="479" spans="1:10" x14ac:dyDescent="0.2">
      <c r="A479" t="s">
        <v>5979</v>
      </c>
      <c r="B479" t="s">
        <v>2023</v>
      </c>
      <c r="C479" t="s">
        <v>2024</v>
      </c>
      <c r="D479" t="s">
        <v>335</v>
      </c>
      <c r="E479" t="s">
        <v>957</v>
      </c>
      <c r="F479" s="112">
        <v>43.5</v>
      </c>
      <c r="G479" s="112">
        <v>43.5</v>
      </c>
      <c r="H479" s="112">
        <v>0</v>
      </c>
      <c r="I479" t="s">
        <v>6383</v>
      </c>
      <c r="J479" t="s">
        <v>5981</v>
      </c>
    </row>
    <row r="480" spans="1:10" x14ac:dyDescent="0.2">
      <c r="A480" t="s">
        <v>5982</v>
      </c>
      <c r="B480" t="s">
        <v>2025</v>
      </c>
      <c r="C480" t="s">
        <v>2026</v>
      </c>
      <c r="D480" t="s">
        <v>335</v>
      </c>
      <c r="E480" t="s">
        <v>958</v>
      </c>
      <c r="F480" s="112">
        <v>124.54</v>
      </c>
      <c r="G480" s="112">
        <v>124.54</v>
      </c>
      <c r="H480" s="112">
        <v>0</v>
      </c>
      <c r="I480" t="s">
        <v>6383</v>
      </c>
      <c r="J480" t="s">
        <v>5984</v>
      </c>
    </row>
    <row r="481" spans="1:10" x14ac:dyDescent="0.2">
      <c r="A481" t="s">
        <v>5985</v>
      </c>
      <c r="B481" t="s">
        <v>2027</v>
      </c>
      <c r="C481" t="s">
        <v>2028</v>
      </c>
      <c r="D481" t="s">
        <v>56</v>
      </c>
      <c r="E481" t="s">
        <v>959</v>
      </c>
      <c r="F481" s="112">
        <v>12.83</v>
      </c>
      <c r="G481" s="112">
        <v>12.83</v>
      </c>
      <c r="H481" s="112">
        <v>0</v>
      </c>
      <c r="I481" t="s">
        <v>6383</v>
      </c>
      <c r="J481" t="s">
        <v>5987</v>
      </c>
    </row>
    <row r="482" spans="1:10" x14ac:dyDescent="0.2">
      <c r="A482" t="s">
        <v>5988</v>
      </c>
      <c r="B482" t="s">
        <v>2029</v>
      </c>
      <c r="C482" t="s">
        <v>2030</v>
      </c>
      <c r="D482" t="s">
        <v>56</v>
      </c>
      <c r="E482" t="s">
        <v>960</v>
      </c>
      <c r="F482" s="112">
        <v>97.12</v>
      </c>
      <c r="G482" s="112">
        <v>97.12</v>
      </c>
      <c r="H482" s="112">
        <v>0</v>
      </c>
      <c r="I482" t="s">
        <v>6383</v>
      </c>
      <c r="J482" t="s">
        <v>5990</v>
      </c>
    </row>
    <row r="483" spans="1:10" x14ac:dyDescent="0.2">
      <c r="A483" t="s">
        <v>5991</v>
      </c>
      <c r="B483" t="s">
        <v>2031</v>
      </c>
      <c r="C483" t="s">
        <v>2032</v>
      </c>
      <c r="D483" t="s">
        <v>56</v>
      </c>
      <c r="E483" t="s">
        <v>2033</v>
      </c>
      <c r="F483" s="112">
        <v>36.69</v>
      </c>
      <c r="G483" s="112">
        <v>36.69</v>
      </c>
      <c r="H483" s="112">
        <v>0</v>
      </c>
      <c r="I483" t="s">
        <v>6383</v>
      </c>
      <c r="J483" t="s">
        <v>5993</v>
      </c>
    </row>
    <row r="484" spans="1:10" x14ac:dyDescent="0.2">
      <c r="A484" t="s">
        <v>5994</v>
      </c>
      <c r="B484" t="s">
        <v>2034</v>
      </c>
      <c r="C484" t="s">
        <v>2035</v>
      </c>
      <c r="D484" t="s">
        <v>335</v>
      </c>
      <c r="E484" t="s">
        <v>962</v>
      </c>
      <c r="F484" s="112">
        <v>94.2</v>
      </c>
      <c r="G484" s="112">
        <v>94.2</v>
      </c>
      <c r="H484" s="112">
        <v>0</v>
      </c>
      <c r="I484" t="s">
        <v>6383</v>
      </c>
      <c r="J484" t="s">
        <v>5996</v>
      </c>
    </row>
    <row r="485" spans="1:10" x14ac:dyDescent="0.2">
      <c r="A485" t="s">
        <v>5997</v>
      </c>
      <c r="B485" t="s">
        <v>2036</v>
      </c>
      <c r="C485" t="s">
        <v>2037</v>
      </c>
      <c r="D485" t="s">
        <v>56</v>
      </c>
      <c r="E485" t="s">
        <v>963</v>
      </c>
      <c r="F485" s="112">
        <v>6340.32</v>
      </c>
      <c r="G485" s="112">
        <v>6340.32</v>
      </c>
      <c r="H485" s="112">
        <v>0</v>
      </c>
      <c r="I485" t="s">
        <v>6383</v>
      </c>
      <c r="J485" t="s">
        <v>5999</v>
      </c>
    </row>
    <row r="486" spans="1:10" x14ac:dyDescent="0.2">
      <c r="A486" t="s">
        <v>6000</v>
      </c>
      <c r="B486" t="s">
        <v>2038</v>
      </c>
      <c r="C486" t="s">
        <v>2039</v>
      </c>
      <c r="D486" t="s">
        <v>56</v>
      </c>
      <c r="E486" t="s">
        <v>966</v>
      </c>
      <c r="F486" s="112">
        <v>69485.39</v>
      </c>
      <c r="G486" s="112">
        <v>69485.39</v>
      </c>
      <c r="H486" s="112">
        <v>0</v>
      </c>
      <c r="I486" t="s">
        <v>6383</v>
      </c>
      <c r="J486" t="s">
        <v>6001</v>
      </c>
    </row>
    <row r="487" spans="1:10" x14ac:dyDescent="0.2">
      <c r="A487" t="s">
        <v>6002</v>
      </c>
      <c r="B487" t="s">
        <v>2040</v>
      </c>
      <c r="C487" t="s">
        <v>2041</v>
      </c>
      <c r="D487" t="s">
        <v>56</v>
      </c>
      <c r="E487" t="s">
        <v>967</v>
      </c>
      <c r="F487" s="112">
        <v>1985.26</v>
      </c>
      <c r="G487" s="112">
        <v>1985.26</v>
      </c>
      <c r="H487" s="112">
        <v>0</v>
      </c>
      <c r="I487" t="s">
        <v>6383</v>
      </c>
      <c r="J487" t="s">
        <v>6004</v>
      </c>
    </row>
    <row r="488" spans="1:10" x14ac:dyDescent="0.2">
      <c r="A488" t="s">
        <v>6005</v>
      </c>
      <c r="B488" t="s">
        <v>2042</v>
      </c>
      <c r="C488" t="s">
        <v>2043</v>
      </c>
      <c r="D488" t="s">
        <v>56</v>
      </c>
      <c r="E488" t="s">
        <v>968</v>
      </c>
      <c r="F488" s="112">
        <v>5023.2</v>
      </c>
      <c r="G488" s="112">
        <v>5023.2</v>
      </c>
      <c r="H488" s="112">
        <v>0</v>
      </c>
      <c r="I488" t="s">
        <v>6383</v>
      </c>
      <c r="J488" t="s">
        <v>6007</v>
      </c>
    </row>
    <row r="489" spans="1:10" x14ac:dyDescent="0.2">
      <c r="A489" t="s">
        <v>6008</v>
      </c>
      <c r="B489" t="s">
        <v>2044</v>
      </c>
      <c r="C489" t="s">
        <v>2045</v>
      </c>
      <c r="D489" t="s">
        <v>56</v>
      </c>
      <c r="E489" t="s">
        <v>2046</v>
      </c>
      <c r="F489" s="112">
        <v>39709.620000000003</v>
      </c>
      <c r="G489" s="112">
        <v>39709.620000000003</v>
      </c>
      <c r="H489" s="112">
        <v>0</v>
      </c>
      <c r="I489" t="s">
        <v>6383</v>
      </c>
      <c r="J489" t="s">
        <v>6009</v>
      </c>
    </row>
    <row r="490" spans="1:10" x14ac:dyDescent="0.2">
      <c r="A490" t="s">
        <v>6010</v>
      </c>
      <c r="B490" t="s">
        <v>2047</v>
      </c>
      <c r="C490" t="s">
        <v>2048</v>
      </c>
      <c r="D490" t="s">
        <v>56</v>
      </c>
      <c r="E490" t="s">
        <v>2049</v>
      </c>
      <c r="F490" s="112">
        <v>10004.33</v>
      </c>
      <c r="G490" s="112">
        <v>10004.33</v>
      </c>
      <c r="H490" s="112">
        <v>0</v>
      </c>
      <c r="I490" t="s">
        <v>6383</v>
      </c>
      <c r="J490" t="s">
        <v>6012</v>
      </c>
    </row>
    <row r="491" spans="1:10" x14ac:dyDescent="0.2">
      <c r="A491" t="s">
        <v>6013</v>
      </c>
      <c r="B491" t="s">
        <v>1480</v>
      </c>
      <c r="C491" t="s">
        <v>2050</v>
      </c>
      <c r="D491" t="s">
        <v>56</v>
      </c>
      <c r="E491" t="s">
        <v>2051</v>
      </c>
      <c r="F491" s="112">
        <v>13984.38</v>
      </c>
      <c r="G491" s="112">
        <v>13984.38</v>
      </c>
      <c r="H491" s="112">
        <v>0</v>
      </c>
      <c r="I491" t="s">
        <v>6383</v>
      </c>
      <c r="J491" t="s">
        <v>6015</v>
      </c>
    </row>
    <row r="492" spans="1:10" x14ac:dyDescent="0.2">
      <c r="A492" t="s">
        <v>6016</v>
      </c>
      <c r="B492" t="s">
        <v>2052</v>
      </c>
      <c r="C492" t="s">
        <v>2053</v>
      </c>
      <c r="D492" t="s">
        <v>56</v>
      </c>
      <c r="E492" t="s">
        <v>2054</v>
      </c>
      <c r="F492" s="112">
        <v>5750.51</v>
      </c>
      <c r="G492" s="112">
        <v>5750.51</v>
      </c>
      <c r="H492" s="112">
        <v>0</v>
      </c>
      <c r="I492" t="s">
        <v>6383</v>
      </c>
      <c r="J492" t="s">
        <v>6018</v>
      </c>
    </row>
    <row r="493" spans="1:10" x14ac:dyDescent="0.2">
      <c r="A493" t="s">
        <v>6019</v>
      </c>
      <c r="B493" t="s">
        <v>2055</v>
      </c>
      <c r="C493" t="s">
        <v>2056</v>
      </c>
      <c r="D493" t="s">
        <v>56</v>
      </c>
      <c r="E493" t="s">
        <v>973</v>
      </c>
      <c r="F493" s="112">
        <v>536.66</v>
      </c>
      <c r="G493" s="112">
        <v>536.66</v>
      </c>
      <c r="H493" s="112">
        <v>0</v>
      </c>
      <c r="I493" t="s">
        <v>6383</v>
      </c>
      <c r="J493" t="s">
        <v>6021</v>
      </c>
    </row>
    <row r="494" spans="1:10" x14ac:dyDescent="0.2">
      <c r="A494" t="s">
        <v>6022</v>
      </c>
      <c r="B494" t="s">
        <v>2057</v>
      </c>
      <c r="C494" t="s">
        <v>2058</v>
      </c>
      <c r="D494" t="s">
        <v>56</v>
      </c>
      <c r="E494" t="s">
        <v>974</v>
      </c>
      <c r="F494" s="112">
        <v>10606.65</v>
      </c>
      <c r="G494" s="112">
        <v>10606.65</v>
      </c>
      <c r="H494" s="112">
        <v>0</v>
      </c>
      <c r="I494" t="s">
        <v>6383</v>
      </c>
      <c r="J494" t="s">
        <v>6024</v>
      </c>
    </row>
    <row r="495" spans="1:10" x14ac:dyDescent="0.2">
      <c r="A495" t="s">
        <v>6025</v>
      </c>
      <c r="B495" t="s">
        <v>2059</v>
      </c>
      <c r="C495" t="s">
        <v>2060</v>
      </c>
      <c r="D495" t="s">
        <v>56</v>
      </c>
      <c r="E495" t="s">
        <v>975</v>
      </c>
      <c r="F495" s="112">
        <v>1927.28</v>
      </c>
      <c r="G495" s="112">
        <v>1927.28</v>
      </c>
      <c r="H495" s="112">
        <v>0</v>
      </c>
      <c r="I495" t="s">
        <v>6383</v>
      </c>
      <c r="J495" t="s">
        <v>6027</v>
      </c>
    </row>
    <row r="496" spans="1:10" x14ac:dyDescent="0.2">
      <c r="A496" t="s">
        <v>6028</v>
      </c>
      <c r="B496" t="s">
        <v>2061</v>
      </c>
      <c r="C496" t="s">
        <v>2062</v>
      </c>
      <c r="D496" t="s">
        <v>56</v>
      </c>
      <c r="E496" t="s">
        <v>976</v>
      </c>
      <c r="F496" s="112">
        <v>16699.490000000002</v>
      </c>
      <c r="G496" s="112">
        <v>16699.490000000002</v>
      </c>
      <c r="H496" s="112">
        <v>0</v>
      </c>
      <c r="I496" t="s">
        <v>6383</v>
      </c>
      <c r="J496" t="s">
        <v>6030</v>
      </c>
    </row>
    <row r="497" spans="1:10" x14ac:dyDescent="0.2">
      <c r="A497" t="s">
        <v>6031</v>
      </c>
      <c r="B497" t="s">
        <v>2063</v>
      </c>
      <c r="C497" t="s">
        <v>2064</v>
      </c>
      <c r="D497" t="s">
        <v>56</v>
      </c>
      <c r="E497" t="s">
        <v>977</v>
      </c>
      <c r="F497" s="112">
        <v>44450.83</v>
      </c>
      <c r="G497" s="112">
        <v>44450.83</v>
      </c>
      <c r="H497" s="112">
        <v>0</v>
      </c>
      <c r="I497" t="s">
        <v>6383</v>
      </c>
      <c r="J497" t="s">
        <v>6032</v>
      </c>
    </row>
    <row r="498" spans="1:10" x14ac:dyDescent="0.2">
      <c r="A498" t="s">
        <v>6033</v>
      </c>
      <c r="B498" t="s">
        <v>2065</v>
      </c>
      <c r="C498" t="s">
        <v>2066</v>
      </c>
      <c r="D498" t="s">
        <v>56</v>
      </c>
      <c r="E498" t="s">
        <v>978</v>
      </c>
      <c r="F498" s="112">
        <v>43003.32</v>
      </c>
      <c r="G498" s="112">
        <v>43003.32</v>
      </c>
      <c r="H498" s="112">
        <v>0</v>
      </c>
      <c r="I498" t="s">
        <v>6383</v>
      </c>
      <c r="J498" t="s">
        <v>6034</v>
      </c>
    </row>
    <row r="499" spans="1:10" x14ac:dyDescent="0.2">
      <c r="A499" t="s">
        <v>6035</v>
      </c>
      <c r="B499" t="s">
        <v>2067</v>
      </c>
      <c r="C499" t="s">
        <v>979</v>
      </c>
      <c r="D499" t="s">
        <v>209</v>
      </c>
      <c r="E499" t="s">
        <v>2068</v>
      </c>
      <c r="F499" s="112">
        <v>261643.44</v>
      </c>
      <c r="G499" s="112">
        <v>261643.44</v>
      </c>
      <c r="H499" s="112">
        <v>0</v>
      </c>
      <c r="I499" t="s">
        <v>6383</v>
      </c>
      <c r="J499" t="s">
        <v>6036</v>
      </c>
    </row>
    <row r="500" spans="1:10" x14ac:dyDescent="0.2">
      <c r="A500" t="s">
        <v>6037</v>
      </c>
      <c r="B500" t="s">
        <v>2069</v>
      </c>
      <c r="C500" t="s">
        <v>2070</v>
      </c>
      <c r="D500" t="s">
        <v>56</v>
      </c>
      <c r="E500" t="s">
        <v>983</v>
      </c>
      <c r="F500" s="112">
        <v>1227.3599999999999</v>
      </c>
      <c r="G500" s="112">
        <v>1227.3599999999999</v>
      </c>
      <c r="H500" s="112">
        <v>0</v>
      </c>
      <c r="I500" t="s">
        <v>6383</v>
      </c>
      <c r="J500" t="s">
        <v>6039</v>
      </c>
    </row>
    <row r="501" spans="1:10" x14ac:dyDescent="0.2">
      <c r="A501" t="s">
        <v>6040</v>
      </c>
      <c r="B501" t="s">
        <v>2071</v>
      </c>
      <c r="C501" t="s">
        <v>984</v>
      </c>
      <c r="D501" t="s">
        <v>209</v>
      </c>
      <c r="E501" t="s">
        <v>985</v>
      </c>
      <c r="F501" s="112">
        <v>2477.3200000000002</v>
      </c>
      <c r="G501" s="112">
        <v>2477.3200000000002</v>
      </c>
      <c r="H501" s="112">
        <v>0</v>
      </c>
      <c r="I501" t="s">
        <v>6383</v>
      </c>
      <c r="J501" t="s">
        <v>6041</v>
      </c>
    </row>
    <row r="502" spans="1:10" x14ac:dyDescent="0.2">
      <c r="A502" t="s">
        <v>6042</v>
      </c>
      <c r="B502" t="s">
        <v>2072</v>
      </c>
      <c r="C502" t="s">
        <v>2073</v>
      </c>
      <c r="D502" t="s">
        <v>335</v>
      </c>
      <c r="E502" t="s">
        <v>986</v>
      </c>
      <c r="F502" s="112">
        <v>5344.72</v>
      </c>
      <c r="G502" s="112">
        <v>5344.72</v>
      </c>
      <c r="H502" s="112">
        <v>0</v>
      </c>
      <c r="I502" t="s">
        <v>6383</v>
      </c>
      <c r="J502" t="s">
        <v>6044</v>
      </c>
    </row>
    <row r="503" spans="1:10" x14ac:dyDescent="0.2">
      <c r="A503" t="s">
        <v>6045</v>
      </c>
      <c r="B503" t="s">
        <v>2074</v>
      </c>
      <c r="C503" t="s">
        <v>987</v>
      </c>
      <c r="D503" t="s">
        <v>209</v>
      </c>
      <c r="E503" t="s">
        <v>2075</v>
      </c>
      <c r="F503" s="112">
        <v>5990.28</v>
      </c>
      <c r="G503" s="112">
        <v>5990.28</v>
      </c>
      <c r="H503" s="112">
        <v>0</v>
      </c>
      <c r="I503" t="s">
        <v>6383</v>
      </c>
      <c r="J503" t="s">
        <v>6046</v>
      </c>
    </row>
    <row r="504" spans="1:10" x14ac:dyDescent="0.2">
      <c r="A504" t="s">
        <v>6047</v>
      </c>
      <c r="B504" t="s">
        <v>2076</v>
      </c>
      <c r="C504" t="s">
        <v>989</v>
      </c>
      <c r="D504" t="s">
        <v>209</v>
      </c>
      <c r="E504" t="s">
        <v>990</v>
      </c>
      <c r="F504" s="112">
        <v>6224.71</v>
      </c>
      <c r="G504" s="112">
        <v>6224.71</v>
      </c>
      <c r="H504" s="112">
        <v>0</v>
      </c>
      <c r="I504" t="s">
        <v>6383</v>
      </c>
      <c r="J504" t="s">
        <v>6048</v>
      </c>
    </row>
    <row r="505" spans="1:10" x14ac:dyDescent="0.2">
      <c r="A505" t="s">
        <v>6049</v>
      </c>
      <c r="B505" t="s">
        <v>2077</v>
      </c>
      <c r="C505" t="s">
        <v>2078</v>
      </c>
      <c r="D505" t="s">
        <v>56</v>
      </c>
      <c r="E505" t="s">
        <v>991</v>
      </c>
      <c r="F505" s="112">
        <v>885.48</v>
      </c>
      <c r="G505" s="112">
        <v>885.48</v>
      </c>
      <c r="H505" s="112">
        <v>0</v>
      </c>
      <c r="I505" t="s">
        <v>6383</v>
      </c>
      <c r="J505" t="s">
        <v>6051</v>
      </c>
    </row>
    <row r="506" spans="1:10" x14ac:dyDescent="0.2">
      <c r="A506" t="s">
        <v>6052</v>
      </c>
      <c r="B506" t="s">
        <v>2079</v>
      </c>
      <c r="C506" t="s">
        <v>2080</v>
      </c>
      <c r="D506" t="s">
        <v>56</v>
      </c>
      <c r="E506" t="s">
        <v>992</v>
      </c>
      <c r="F506" s="112">
        <v>218.76</v>
      </c>
      <c r="G506" s="112">
        <v>218.76</v>
      </c>
      <c r="H506" s="112">
        <v>0</v>
      </c>
      <c r="I506" t="s">
        <v>6383</v>
      </c>
      <c r="J506" t="s">
        <v>6054</v>
      </c>
    </row>
    <row r="507" spans="1:10" x14ac:dyDescent="0.2">
      <c r="A507" t="s">
        <v>6055</v>
      </c>
      <c r="B507" t="s">
        <v>2081</v>
      </c>
      <c r="C507" t="s">
        <v>2082</v>
      </c>
      <c r="D507" t="s">
        <v>56</v>
      </c>
      <c r="E507" t="s">
        <v>2083</v>
      </c>
      <c r="F507" s="112">
        <v>25.35</v>
      </c>
      <c r="G507" s="112">
        <v>25.35</v>
      </c>
      <c r="H507" s="112">
        <v>0</v>
      </c>
      <c r="I507" t="s">
        <v>6383</v>
      </c>
      <c r="J507" t="s">
        <v>6057</v>
      </c>
    </row>
    <row r="508" spans="1:10" x14ac:dyDescent="0.2">
      <c r="A508" t="s">
        <v>6058</v>
      </c>
      <c r="B508" t="s">
        <v>2084</v>
      </c>
      <c r="C508" t="s">
        <v>2085</v>
      </c>
      <c r="D508" t="s">
        <v>56</v>
      </c>
      <c r="E508" t="s">
        <v>2086</v>
      </c>
      <c r="F508" s="112">
        <v>47</v>
      </c>
      <c r="G508" s="112">
        <v>47</v>
      </c>
      <c r="H508" s="112">
        <v>0</v>
      </c>
      <c r="I508" t="s">
        <v>6383</v>
      </c>
      <c r="J508" t="s">
        <v>6060</v>
      </c>
    </row>
    <row r="509" spans="1:10" x14ac:dyDescent="0.2">
      <c r="A509" t="s">
        <v>6061</v>
      </c>
      <c r="B509" t="s">
        <v>2087</v>
      </c>
      <c r="C509" t="s">
        <v>2088</v>
      </c>
      <c r="D509" t="s">
        <v>56</v>
      </c>
      <c r="E509" t="s">
        <v>995</v>
      </c>
      <c r="F509" s="112">
        <v>206.07</v>
      </c>
      <c r="G509" s="112">
        <v>206.07</v>
      </c>
      <c r="H509" s="112">
        <v>0</v>
      </c>
      <c r="I509" t="s">
        <v>6383</v>
      </c>
      <c r="J509" t="s">
        <v>6063</v>
      </c>
    </row>
    <row r="510" spans="1:10" x14ac:dyDescent="0.2">
      <c r="A510" t="s">
        <v>6064</v>
      </c>
      <c r="B510" t="s">
        <v>2089</v>
      </c>
      <c r="C510" t="s">
        <v>2090</v>
      </c>
      <c r="D510" t="s">
        <v>56</v>
      </c>
      <c r="E510" t="s">
        <v>2091</v>
      </c>
      <c r="F510" s="112">
        <v>475.92</v>
      </c>
      <c r="G510" s="112">
        <v>475.92</v>
      </c>
      <c r="H510" s="112">
        <v>0</v>
      </c>
      <c r="I510" t="s">
        <v>6383</v>
      </c>
      <c r="J510" t="s">
        <v>6066</v>
      </c>
    </row>
    <row r="511" spans="1:10" x14ac:dyDescent="0.2">
      <c r="A511" t="s">
        <v>6067</v>
      </c>
      <c r="B511" t="s">
        <v>2092</v>
      </c>
      <c r="C511" t="s">
        <v>2093</v>
      </c>
      <c r="D511" t="s">
        <v>56</v>
      </c>
      <c r="E511" t="s">
        <v>2094</v>
      </c>
      <c r="F511" s="112">
        <v>59.49</v>
      </c>
      <c r="G511" s="112">
        <v>59.49</v>
      </c>
      <c r="H511" s="112">
        <v>0</v>
      </c>
      <c r="I511" t="s">
        <v>6383</v>
      </c>
      <c r="J511" t="s">
        <v>6069</v>
      </c>
    </row>
    <row r="512" spans="1:10" x14ac:dyDescent="0.2">
      <c r="A512" t="s">
        <v>6070</v>
      </c>
      <c r="B512" t="s">
        <v>2095</v>
      </c>
      <c r="C512" t="s">
        <v>2096</v>
      </c>
      <c r="D512" t="s">
        <v>24</v>
      </c>
      <c r="E512" t="s">
        <v>2097</v>
      </c>
      <c r="F512" s="112">
        <v>42.19</v>
      </c>
      <c r="G512" s="112">
        <v>42.19</v>
      </c>
      <c r="H512" s="112">
        <v>0</v>
      </c>
      <c r="I512" t="s">
        <v>6383</v>
      </c>
      <c r="J512" t="s">
        <v>6072</v>
      </c>
    </row>
    <row r="513" spans="1:10" x14ac:dyDescent="0.2">
      <c r="A513" t="s">
        <v>6073</v>
      </c>
      <c r="B513" t="s">
        <v>2098</v>
      </c>
      <c r="C513" t="s">
        <v>2099</v>
      </c>
      <c r="D513" t="s">
        <v>56</v>
      </c>
      <c r="E513" t="s">
        <v>2100</v>
      </c>
      <c r="F513" s="112">
        <v>1472.58</v>
      </c>
      <c r="G513" s="112">
        <v>1472.58</v>
      </c>
      <c r="H513" s="112">
        <v>0</v>
      </c>
      <c r="I513" t="s">
        <v>6383</v>
      </c>
      <c r="J513" t="s">
        <v>6075</v>
      </c>
    </row>
    <row r="514" spans="1:10" x14ac:dyDescent="0.2">
      <c r="A514" t="s">
        <v>6076</v>
      </c>
      <c r="B514" t="s">
        <v>2101</v>
      </c>
      <c r="C514" t="s">
        <v>2102</v>
      </c>
      <c r="D514" t="s">
        <v>24</v>
      </c>
      <c r="E514" t="s">
        <v>1002</v>
      </c>
      <c r="F514" s="112">
        <v>358.41</v>
      </c>
      <c r="G514" s="112">
        <v>358.41</v>
      </c>
      <c r="H514" s="112">
        <v>0</v>
      </c>
      <c r="I514" t="s">
        <v>6383</v>
      </c>
      <c r="J514" t="s">
        <v>6078</v>
      </c>
    </row>
    <row r="515" spans="1:10" x14ac:dyDescent="0.2">
      <c r="A515" t="s">
        <v>6079</v>
      </c>
      <c r="B515" t="s">
        <v>2103</v>
      </c>
      <c r="C515" t="s">
        <v>2104</v>
      </c>
      <c r="D515" t="s">
        <v>56</v>
      </c>
      <c r="E515" t="s">
        <v>1003</v>
      </c>
      <c r="F515" s="112">
        <v>1101.93</v>
      </c>
      <c r="G515" s="112">
        <v>1101.93</v>
      </c>
      <c r="H515" s="112">
        <v>0</v>
      </c>
      <c r="I515" t="s">
        <v>6383</v>
      </c>
      <c r="J515" t="s">
        <v>6081</v>
      </c>
    </row>
    <row r="516" spans="1:10" x14ac:dyDescent="0.2">
      <c r="A516" t="s">
        <v>6082</v>
      </c>
      <c r="B516" t="s">
        <v>2105</v>
      </c>
      <c r="C516" t="s">
        <v>2106</v>
      </c>
      <c r="D516" t="s">
        <v>56</v>
      </c>
      <c r="E516" t="s">
        <v>2107</v>
      </c>
      <c r="F516" s="112">
        <v>1737.99</v>
      </c>
      <c r="G516" s="112">
        <v>1737.99</v>
      </c>
      <c r="H516" s="112">
        <v>0</v>
      </c>
      <c r="I516" t="s">
        <v>6383</v>
      </c>
      <c r="J516" t="s">
        <v>6084</v>
      </c>
    </row>
    <row r="517" spans="1:10" x14ac:dyDescent="0.2">
      <c r="A517" t="s">
        <v>6085</v>
      </c>
      <c r="B517" t="s">
        <v>2108</v>
      </c>
      <c r="C517" t="s">
        <v>2109</v>
      </c>
      <c r="D517" t="s">
        <v>56</v>
      </c>
      <c r="E517" t="s">
        <v>2110</v>
      </c>
      <c r="F517" s="112">
        <v>755.26</v>
      </c>
      <c r="G517" s="112">
        <v>755.26</v>
      </c>
      <c r="H517" s="112">
        <v>0</v>
      </c>
      <c r="I517" t="s">
        <v>6383</v>
      </c>
      <c r="J517" t="s">
        <v>6087</v>
      </c>
    </row>
    <row r="518" spans="1:10" x14ac:dyDescent="0.2">
      <c r="A518" t="s">
        <v>6088</v>
      </c>
      <c r="B518" t="s">
        <v>2111</v>
      </c>
      <c r="C518" t="s">
        <v>2112</v>
      </c>
      <c r="D518" t="s">
        <v>56</v>
      </c>
      <c r="E518" t="s">
        <v>1006</v>
      </c>
      <c r="F518" s="112">
        <v>1415.67</v>
      </c>
      <c r="G518" s="112">
        <v>1415.67</v>
      </c>
      <c r="H518" s="112">
        <v>0</v>
      </c>
      <c r="I518" t="s">
        <v>6383</v>
      </c>
      <c r="J518" t="s">
        <v>6090</v>
      </c>
    </row>
    <row r="519" spans="1:10" x14ac:dyDescent="0.2">
      <c r="A519" t="s">
        <v>6091</v>
      </c>
      <c r="B519" t="s">
        <v>1523</v>
      </c>
      <c r="C519" t="s">
        <v>2113</v>
      </c>
      <c r="D519" t="s">
        <v>56</v>
      </c>
      <c r="E519" t="s">
        <v>1009</v>
      </c>
      <c r="F519" s="112">
        <v>1783.21</v>
      </c>
      <c r="G519" s="112">
        <v>1783.21</v>
      </c>
      <c r="H519" s="112">
        <v>0</v>
      </c>
      <c r="I519" t="s">
        <v>6383</v>
      </c>
      <c r="J519" t="s">
        <v>6093</v>
      </c>
    </row>
    <row r="520" spans="1:10" x14ac:dyDescent="0.2">
      <c r="A520" t="s">
        <v>6094</v>
      </c>
      <c r="B520" t="s">
        <v>1540</v>
      </c>
      <c r="C520" t="s">
        <v>2114</v>
      </c>
      <c r="D520" t="s">
        <v>56</v>
      </c>
      <c r="E520" t="s">
        <v>1010</v>
      </c>
      <c r="F520" s="112">
        <v>49.8</v>
      </c>
      <c r="G520" s="112">
        <v>49.8</v>
      </c>
      <c r="H520" s="112">
        <v>0</v>
      </c>
      <c r="I520" t="s">
        <v>6383</v>
      </c>
      <c r="J520" t="s">
        <v>6096</v>
      </c>
    </row>
    <row r="521" spans="1:10" x14ac:dyDescent="0.2">
      <c r="A521" t="s">
        <v>6097</v>
      </c>
      <c r="B521" t="s">
        <v>1550</v>
      </c>
      <c r="C521" t="s">
        <v>2115</v>
      </c>
      <c r="D521" t="s">
        <v>56</v>
      </c>
      <c r="E521" t="s">
        <v>1011</v>
      </c>
      <c r="F521" s="112">
        <v>66.569999999999993</v>
      </c>
      <c r="G521" s="112">
        <v>66.569999999999993</v>
      </c>
      <c r="H521" s="112">
        <v>0</v>
      </c>
      <c r="I521" t="s">
        <v>6383</v>
      </c>
      <c r="J521" t="s">
        <v>6099</v>
      </c>
    </row>
    <row r="522" spans="1:10" x14ac:dyDescent="0.2">
      <c r="A522" t="s">
        <v>6100</v>
      </c>
      <c r="B522" t="s">
        <v>2116</v>
      </c>
      <c r="C522" t="s">
        <v>2117</v>
      </c>
      <c r="D522" t="s">
        <v>56</v>
      </c>
      <c r="E522" t="s">
        <v>1012</v>
      </c>
      <c r="F522" s="112">
        <v>56.23</v>
      </c>
      <c r="G522" s="112">
        <v>56.23</v>
      </c>
      <c r="H522" s="112">
        <v>0</v>
      </c>
      <c r="I522" t="s">
        <v>6383</v>
      </c>
      <c r="J522" t="s">
        <v>6102</v>
      </c>
    </row>
    <row r="523" spans="1:10" x14ac:dyDescent="0.2">
      <c r="A523" t="s">
        <v>6103</v>
      </c>
      <c r="B523" t="s">
        <v>2118</v>
      </c>
      <c r="C523" t="s">
        <v>2119</v>
      </c>
      <c r="D523" t="s">
        <v>56</v>
      </c>
      <c r="E523" t="s">
        <v>1013</v>
      </c>
      <c r="F523" s="112">
        <v>2490.54</v>
      </c>
      <c r="G523" s="112">
        <v>2490.54</v>
      </c>
      <c r="H523" s="112">
        <v>0</v>
      </c>
      <c r="I523" t="s">
        <v>6383</v>
      </c>
      <c r="J523" t="s">
        <v>6105</v>
      </c>
    </row>
    <row r="524" spans="1:10" x14ac:dyDescent="0.2">
      <c r="A524" t="s">
        <v>6106</v>
      </c>
      <c r="B524" t="s">
        <v>2120</v>
      </c>
      <c r="C524" t="s">
        <v>2121</v>
      </c>
      <c r="D524" t="s">
        <v>56</v>
      </c>
      <c r="E524" t="s">
        <v>1014</v>
      </c>
      <c r="F524" s="112">
        <v>2135.62</v>
      </c>
      <c r="G524" s="112">
        <v>2135.62</v>
      </c>
      <c r="H524" s="112">
        <v>0</v>
      </c>
      <c r="I524" t="s">
        <v>6383</v>
      </c>
      <c r="J524" t="s">
        <v>6108</v>
      </c>
    </row>
    <row r="525" spans="1:10" x14ac:dyDescent="0.2">
      <c r="A525" t="s">
        <v>6109</v>
      </c>
      <c r="B525" t="s">
        <v>2122</v>
      </c>
      <c r="C525" t="s">
        <v>2123</v>
      </c>
      <c r="D525" t="s">
        <v>56</v>
      </c>
      <c r="E525" t="s">
        <v>1015</v>
      </c>
      <c r="F525" s="112">
        <v>9774.9599999999991</v>
      </c>
      <c r="G525" s="112">
        <v>9774.9599999999991</v>
      </c>
      <c r="H525" s="112">
        <v>0</v>
      </c>
      <c r="I525" t="s">
        <v>6383</v>
      </c>
      <c r="J525" t="s">
        <v>6111</v>
      </c>
    </row>
    <row r="526" spans="1:10" x14ac:dyDescent="0.2">
      <c r="A526" t="s">
        <v>6112</v>
      </c>
      <c r="B526" t="s">
        <v>2124</v>
      </c>
      <c r="C526" t="s">
        <v>2125</v>
      </c>
      <c r="D526" t="s">
        <v>56</v>
      </c>
      <c r="E526" t="s">
        <v>1016</v>
      </c>
      <c r="F526" s="112">
        <v>247.09</v>
      </c>
      <c r="G526" s="112">
        <v>247.09</v>
      </c>
      <c r="H526" s="112">
        <v>0</v>
      </c>
      <c r="I526" t="s">
        <v>6383</v>
      </c>
      <c r="J526" t="s">
        <v>6114</v>
      </c>
    </row>
    <row r="527" spans="1:10" x14ac:dyDescent="0.2">
      <c r="A527" t="s">
        <v>6115</v>
      </c>
      <c r="B527" t="s">
        <v>2126</v>
      </c>
      <c r="C527" t="s">
        <v>2127</v>
      </c>
      <c r="D527" t="s">
        <v>24</v>
      </c>
      <c r="E527" t="s">
        <v>2128</v>
      </c>
      <c r="F527" s="112">
        <v>103848.42</v>
      </c>
      <c r="G527" s="112">
        <v>103848.42</v>
      </c>
      <c r="H527" s="112">
        <v>0</v>
      </c>
      <c r="I527" t="s">
        <v>6383</v>
      </c>
      <c r="J527" t="s">
        <v>6117</v>
      </c>
    </row>
    <row r="528" spans="1:10" x14ac:dyDescent="0.2">
      <c r="A528" t="s">
        <v>6118</v>
      </c>
      <c r="B528" t="s">
        <v>2129</v>
      </c>
      <c r="C528" t="s">
        <v>2130</v>
      </c>
      <c r="D528" t="s">
        <v>56</v>
      </c>
      <c r="E528" t="s">
        <v>1019</v>
      </c>
      <c r="F528" s="112">
        <v>3180.46</v>
      </c>
      <c r="G528" s="112">
        <v>3180.46</v>
      </c>
      <c r="H528" s="112">
        <v>0</v>
      </c>
      <c r="I528" t="s">
        <v>6383</v>
      </c>
      <c r="J528" t="s">
        <v>6120</v>
      </c>
    </row>
    <row r="529" spans="1:10" x14ac:dyDescent="0.2">
      <c r="A529" t="s">
        <v>6121</v>
      </c>
      <c r="B529" t="s">
        <v>2131</v>
      </c>
      <c r="C529" t="s">
        <v>2132</v>
      </c>
      <c r="D529" t="s">
        <v>56</v>
      </c>
      <c r="E529" t="s">
        <v>1020</v>
      </c>
      <c r="F529" s="112">
        <v>108.56</v>
      </c>
      <c r="G529" s="112">
        <v>108.56</v>
      </c>
      <c r="H529" s="112">
        <v>0</v>
      </c>
      <c r="I529" t="s">
        <v>6383</v>
      </c>
      <c r="J529" t="s">
        <v>6123</v>
      </c>
    </row>
    <row r="530" spans="1:10" x14ac:dyDescent="0.2">
      <c r="A530" t="s">
        <v>6124</v>
      </c>
      <c r="B530" t="s">
        <v>2133</v>
      </c>
      <c r="C530" t="s">
        <v>2134</v>
      </c>
      <c r="D530" t="s">
        <v>335</v>
      </c>
      <c r="E530" t="s">
        <v>1021</v>
      </c>
      <c r="F530" s="112">
        <v>1570.57</v>
      </c>
      <c r="G530" s="112">
        <v>1570.57</v>
      </c>
      <c r="H530" s="112">
        <v>0</v>
      </c>
      <c r="I530" t="s">
        <v>6383</v>
      </c>
      <c r="J530" t="s">
        <v>6126</v>
      </c>
    </row>
    <row r="531" spans="1:10" x14ac:dyDescent="0.2">
      <c r="A531" t="s">
        <v>6127</v>
      </c>
      <c r="B531" t="s">
        <v>2135</v>
      </c>
      <c r="C531" t="s">
        <v>2136</v>
      </c>
      <c r="D531" t="s">
        <v>335</v>
      </c>
      <c r="E531" t="s">
        <v>1022</v>
      </c>
      <c r="F531" s="112">
        <v>761.85</v>
      </c>
      <c r="G531" s="112">
        <v>761.85</v>
      </c>
      <c r="H531" s="112">
        <v>0</v>
      </c>
      <c r="I531" t="s">
        <v>6383</v>
      </c>
      <c r="J531" t="s">
        <v>6129</v>
      </c>
    </row>
    <row r="532" spans="1:10" x14ac:dyDescent="0.2">
      <c r="A532" t="s">
        <v>6130</v>
      </c>
      <c r="B532" t="s">
        <v>1570</v>
      </c>
      <c r="C532" t="s">
        <v>2137</v>
      </c>
      <c r="D532" t="s">
        <v>56</v>
      </c>
      <c r="E532" t="s">
        <v>1025</v>
      </c>
      <c r="F532" s="112">
        <v>2504.1</v>
      </c>
      <c r="G532" s="112">
        <v>2504.1</v>
      </c>
      <c r="H532" s="112">
        <v>0</v>
      </c>
      <c r="I532" t="s">
        <v>6383</v>
      </c>
      <c r="J532" t="s">
        <v>5270</v>
      </c>
    </row>
    <row r="533" spans="1:10" x14ac:dyDescent="0.2">
      <c r="A533" t="s">
        <v>6132</v>
      </c>
      <c r="B533" t="s">
        <v>1641</v>
      </c>
      <c r="C533" t="s">
        <v>2138</v>
      </c>
      <c r="D533" t="s">
        <v>56</v>
      </c>
      <c r="E533" t="s">
        <v>1026</v>
      </c>
      <c r="F533" s="112">
        <v>1239.9000000000001</v>
      </c>
      <c r="G533" s="112">
        <v>1239.9000000000001</v>
      </c>
      <c r="H533" s="112">
        <v>0</v>
      </c>
      <c r="I533" t="s">
        <v>6383</v>
      </c>
      <c r="J533" t="s">
        <v>5379</v>
      </c>
    </row>
    <row r="534" spans="1:10" x14ac:dyDescent="0.2">
      <c r="A534" t="s">
        <v>6134</v>
      </c>
      <c r="B534" t="s">
        <v>1692</v>
      </c>
      <c r="C534" t="s">
        <v>1971</v>
      </c>
      <c r="D534" t="s">
        <v>56</v>
      </c>
      <c r="E534" t="s">
        <v>921</v>
      </c>
      <c r="F534" s="112">
        <v>2755.14</v>
      </c>
      <c r="G534" s="112">
        <v>2755.14</v>
      </c>
      <c r="H534" s="112">
        <v>0</v>
      </c>
      <c r="I534" t="s">
        <v>6383</v>
      </c>
      <c r="J534" t="s">
        <v>5469</v>
      </c>
    </row>
    <row r="535" spans="1:10" x14ac:dyDescent="0.2">
      <c r="A535" t="s">
        <v>6135</v>
      </c>
      <c r="B535" t="s">
        <v>1727</v>
      </c>
      <c r="C535" t="s">
        <v>2139</v>
      </c>
      <c r="D535" t="s">
        <v>56</v>
      </c>
      <c r="E535" t="s">
        <v>2140</v>
      </c>
      <c r="F535" s="112">
        <v>30.46</v>
      </c>
      <c r="G535" s="112">
        <v>30.46</v>
      </c>
      <c r="H535" s="112">
        <v>0</v>
      </c>
      <c r="I535" t="s">
        <v>6383</v>
      </c>
      <c r="J535" t="s">
        <v>5533</v>
      </c>
    </row>
    <row r="536" spans="1:10" x14ac:dyDescent="0.2">
      <c r="A536" t="s">
        <v>6137</v>
      </c>
      <c r="B536" t="s">
        <v>1794</v>
      </c>
      <c r="C536" t="s">
        <v>1028</v>
      </c>
      <c r="D536" t="s">
        <v>1029</v>
      </c>
      <c r="E536" t="s">
        <v>1030</v>
      </c>
      <c r="F536" s="112">
        <v>918.82</v>
      </c>
      <c r="G536" s="112">
        <v>918.82</v>
      </c>
      <c r="H536" s="112">
        <v>0</v>
      </c>
      <c r="I536" t="s">
        <v>6383</v>
      </c>
      <c r="J536" t="s">
        <v>6139</v>
      </c>
    </row>
    <row r="537" spans="1:10" x14ac:dyDescent="0.2">
      <c r="A537" t="s">
        <v>6140</v>
      </c>
      <c r="B537" t="s">
        <v>1816</v>
      </c>
      <c r="C537" t="s">
        <v>2141</v>
      </c>
      <c r="D537" t="s">
        <v>24</v>
      </c>
      <c r="E537" t="s">
        <v>1032</v>
      </c>
      <c r="F537" s="112">
        <v>13528.92</v>
      </c>
      <c r="G537" s="112">
        <v>13528.92</v>
      </c>
      <c r="H537" s="112">
        <v>0</v>
      </c>
      <c r="I537" t="s">
        <v>6383</v>
      </c>
      <c r="J537" t="s">
        <v>6142</v>
      </c>
    </row>
    <row r="538" spans="1:10" x14ac:dyDescent="0.2">
      <c r="A538" t="s">
        <v>6143</v>
      </c>
      <c r="B538" t="s">
        <v>1860</v>
      </c>
      <c r="C538" t="s">
        <v>2142</v>
      </c>
      <c r="D538" t="s">
        <v>24</v>
      </c>
      <c r="E538" t="s">
        <v>2143</v>
      </c>
      <c r="F538" s="112">
        <v>5166.07</v>
      </c>
      <c r="G538" s="112">
        <v>5166.07</v>
      </c>
      <c r="H538" s="112">
        <v>0</v>
      </c>
      <c r="I538" t="s">
        <v>6383</v>
      </c>
      <c r="J538" t="s">
        <v>6145</v>
      </c>
    </row>
    <row r="539" spans="1:10" x14ac:dyDescent="0.2">
      <c r="A539" t="s">
        <v>6146</v>
      </c>
      <c r="B539" t="s">
        <v>2144</v>
      </c>
      <c r="C539" t="s">
        <v>2145</v>
      </c>
      <c r="D539" t="s">
        <v>24</v>
      </c>
      <c r="E539" t="s">
        <v>2146</v>
      </c>
      <c r="F539" s="112">
        <v>1349.06</v>
      </c>
      <c r="G539" s="112">
        <v>1349.06</v>
      </c>
      <c r="H539" s="112">
        <v>0</v>
      </c>
      <c r="I539" t="s">
        <v>6383</v>
      </c>
      <c r="J539" t="s">
        <v>6148</v>
      </c>
    </row>
    <row r="540" spans="1:10" x14ac:dyDescent="0.2">
      <c r="A540" t="s">
        <v>6149</v>
      </c>
      <c r="B540" t="s">
        <v>1877</v>
      </c>
      <c r="C540" t="s">
        <v>2147</v>
      </c>
      <c r="D540" t="s">
        <v>24</v>
      </c>
      <c r="E540" t="s">
        <v>1038</v>
      </c>
      <c r="F540" s="112">
        <v>9153.16</v>
      </c>
      <c r="G540" s="112">
        <v>9153.16</v>
      </c>
      <c r="H540" s="112">
        <v>0</v>
      </c>
      <c r="I540" t="s">
        <v>6383</v>
      </c>
      <c r="J540" t="s">
        <v>6151</v>
      </c>
    </row>
    <row r="541" spans="1:10" x14ac:dyDescent="0.2">
      <c r="A541" t="s">
        <v>6152</v>
      </c>
      <c r="B541" t="s">
        <v>2148</v>
      </c>
      <c r="C541" t="s">
        <v>2149</v>
      </c>
      <c r="D541" t="s">
        <v>24</v>
      </c>
      <c r="E541" t="s">
        <v>1040</v>
      </c>
      <c r="F541" s="112">
        <v>549.59</v>
      </c>
      <c r="G541" s="112">
        <v>549.59</v>
      </c>
      <c r="H541" s="112">
        <v>0</v>
      </c>
      <c r="I541" t="s">
        <v>6383</v>
      </c>
      <c r="J541" t="s">
        <v>6154</v>
      </c>
    </row>
    <row r="542" spans="1:10" x14ac:dyDescent="0.2">
      <c r="A542" t="s">
        <v>6155</v>
      </c>
      <c r="B542" t="s">
        <v>2150</v>
      </c>
      <c r="C542" t="s">
        <v>1991</v>
      </c>
      <c r="D542" t="s">
        <v>56</v>
      </c>
      <c r="E542" t="s">
        <v>937</v>
      </c>
      <c r="F542" s="112">
        <v>406.87</v>
      </c>
      <c r="G542" s="112">
        <v>406.87</v>
      </c>
      <c r="H542" s="112">
        <v>0</v>
      </c>
      <c r="I542" t="s">
        <v>6383</v>
      </c>
      <c r="J542" t="s">
        <v>6156</v>
      </c>
    </row>
    <row r="543" spans="1:10" x14ac:dyDescent="0.2">
      <c r="A543" t="s">
        <v>6157</v>
      </c>
      <c r="B543" t="s">
        <v>2151</v>
      </c>
      <c r="C543" t="s">
        <v>2152</v>
      </c>
      <c r="D543" t="s">
        <v>56</v>
      </c>
      <c r="E543" t="s">
        <v>1042</v>
      </c>
      <c r="F543" s="112">
        <v>299.14</v>
      </c>
      <c r="G543" s="112">
        <v>299.14</v>
      </c>
      <c r="H543" s="112">
        <v>0</v>
      </c>
      <c r="I543" t="s">
        <v>6383</v>
      </c>
      <c r="J543" t="s">
        <v>6159</v>
      </c>
    </row>
    <row r="544" spans="1:10" x14ac:dyDescent="0.2">
      <c r="A544" t="s">
        <v>6160</v>
      </c>
      <c r="B544" t="s">
        <v>2153</v>
      </c>
      <c r="C544" t="s">
        <v>2011</v>
      </c>
      <c r="D544" t="s">
        <v>56</v>
      </c>
      <c r="E544" t="s">
        <v>2012</v>
      </c>
      <c r="F544" s="112">
        <v>143.21</v>
      </c>
      <c r="G544" s="112">
        <v>143.21</v>
      </c>
      <c r="H544" s="112">
        <v>0</v>
      </c>
      <c r="I544" t="s">
        <v>6383</v>
      </c>
      <c r="J544" t="s">
        <v>6161</v>
      </c>
    </row>
    <row r="545" spans="1:10" x14ac:dyDescent="0.2">
      <c r="A545" t="s">
        <v>6162</v>
      </c>
      <c r="B545" t="s">
        <v>2154</v>
      </c>
      <c r="C545" t="s">
        <v>2155</v>
      </c>
      <c r="D545" t="s">
        <v>56</v>
      </c>
      <c r="E545" t="s">
        <v>1044</v>
      </c>
      <c r="F545" s="112">
        <v>7521.21</v>
      </c>
      <c r="G545" s="112">
        <v>7521.21</v>
      </c>
      <c r="H545" s="112">
        <v>0</v>
      </c>
      <c r="I545" t="s">
        <v>6383</v>
      </c>
      <c r="J545" t="s">
        <v>6164</v>
      </c>
    </row>
    <row r="546" spans="1:10" x14ac:dyDescent="0.2">
      <c r="A546" t="s">
        <v>6165</v>
      </c>
      <c r="B546" t="s">
        <v>2156</v>
      </c>
      <c r="C546" t="s">
        <v>2157</v>
      </c>
      <c r="D546" t="s">
        <v>56</v>
      </c>
      <c r="E546" t="s">
        <v>1045</v>
      </c>
      <c r="F546" s="112">
        <v>42.4</v>
      </c>
      <c r="G546" s="112">
        <v>42.4</v>
      </c>
      <c r="H546" s="112">
        <v>0</v>
      </c>
      <c r="I546" t="s">
        <v>6383</v>
      </c>
      <c r="J546" t="s">
        <v>6167</v>
      </c>
    </row>
    <row r="547" spans="1:10" x14ac:dyDescent="0.2">
      <c r="A547" t="s">
        <v>6168</v>
      </c>
      <c r="B547" t="s">
        <v>2158</v>
      </c>
      <c r="C547" t="s">
        <v>2159</v>
      </c>
      <c r="D547" t="s">
        <v>335</v>
      </c>
      <c r="E547" t="s">
        <v>1046</v>
      </c>
      <c r="F547" s="112">
        <v>8.67</v>
      </c>
      <c r="G547" s="112">
        <v>8.67</v>
      </c>
      <c r="H547" s="112">
        <v>0</v>
      </c>
      <c r="I547" t="s">
        <v>6383</v>
      </c>
      <c r="J547" t="s">
        <v>6170</v>
      </c>
    </row>
    <row r="548" spans="1:10" x14ac:dyDescent="0.2">
      <c r="A548" t="s">
        <v>6171</v>
      </c>
      <c r="B548" t="s">
        <v>2160</v>
      </c>
      <c r="C548" t="s">
        <v>2161</v>
      </c>
      <c r="D548" t="s">
        <v>1047</v>
      </c>
      <c r="E548" t="s">
        <v>1048</v>
      </c>
      <c r="F548" s="112">
        <v>705.66</v>
      </c>
      <c r="G548" s="112">
        <v>705.66</v>
      </c>
      <c r="H548" s="112">
        <v>0</v>
      </c>
      <c r="I548" t="s">
        <v>6383</v>
      </c>
      <c r="J548" t="s">
        <v>6173</v>
      </c>
    </row>
    <row r="549" spans="1:10" x14ac:dyDescent="0.2">
      <c r="A549" t="s">
        <v>6174</v>
      </c>
      <c r="B549" t="s">
        <v>2162</v>
      </c>
      <c r="C549" t="s">
        <v>2163</v>
      </c>
      <c r="D549" t="s">
        <v>335</v>
      </c>
      <c r="E549" t="s">
        <v>1049</v>
      </c>
      <c r="F549" s="112">
        <v>2423.04</v>
      </c>
      <c r="G549" s="112">
        <v>2423.04</v>
      </c>
      <c r="H549" s="112">
        <v>0</v>
      </c>
      <c r="I549" t="s">
        <v>6383</v>
      </c>
      <c r="J549" t="s">
        <v>6176</v>
      </c>
    </row>
    <row r="550" spans="1:10" x14ac:dyDescent="0.2">
      <c r="A550" t="s">
        <v>6177</v>
      </c>
      <c r="B550" t="s">
        <v>2164</v>
      </c>
      <c r="C550" t="s">
        <v>2165</v>
      </c>
      <c r="D550" t="s">
        <v>56</v>
      </c>
      <c r="E550" t="s">
        <v>2166</v>
      </c>
      <c r="F550" s="112">
        <v>1433.35</v>
      </c>
      <c r="G550" s="112">
        <v>1433.35</v>
      </c>
      <c r="H550" s="112">
        <v>0</v>
      </c>
      <c r="I550" t="s">
        <v>6383</v>
      </c>
      <c r="J550" t="s">
        <v>6179</v>
      </c>
    </row>
    <row r="551" spans="1:10" x14ac:dyDescent="0.2">
      <c r="A551" t="s">
        <v>6180</v>
      </c>
      <c r="B551" t="s">
        <v>2167</v>
      </c>
      <c r="C551" t="s">
        <v>1051</v>
      </c>
      <c r="D551" t="s">
        <v>209</v>
      </c>
      <c r="E551" t="s">
        <v>1052</v>
      </c>
      <c r="F551" s="112">
        <v>13175.08</v>
      </c>
      <c r="G551" s="112">
        <v>13175.08</v>
      </c>
      <c r="H551" s="112">
        <v>0</v>
      </c>
      <c r="I551" t="s">
        <v>6383</v>
      </c>
      <c r="J551" t="s">
        <v>4403</v>
      </c>
    </row>
    <row r="552" spans="1:10" x14ac:dyDescent="0.2">
      <c r="A552" t="s">
        <v>6181</v>
      </c>
      <c r="B552" t="s">
        <v>1912</v>
      </c>
      <c r="C552" t="s">
        <v>1976</v>
      </c>
      <c r="D552" t="s">
        <v>56</v>
      </c>
      <c r="E552" t="s">
        <v>924</v>
      </c>
      <c r="F552" s="112">
        <v>625.23</v>
      </c>
      <c r="G552" s="112">
        <v>625.23</v>
      </c>
      <c r="H552" s="112">
        <v>0</v>
      </c>
      <c r="I552" t="s">
        <v>6383</v>
      </c>
      <c r="J552" t="s">
        <v>6182</v>
      </c>
    </row>
    <row r="553" spans="1:10" x14ac:dyDescent="0.2">
      <c r="A553" t="s">
        <v>6183</v>
      </c>
      <c r="B553" t="s">
        <v>2168</v>
      </c>
      <c r="C553" t="s">
        <v>2169</v>
      </c>
      <c r="D553" t="s">
        <v>56</v>
      </c>
      <c r="E553" t="s">
        <v>1056</v>
      </c>
      <c r="F553" s="112">
        <v>230.5</v>
      </c>
      <c r="G553" s="112">
        <v>230.5</v>
      </c>
      <c r="H553" s="112">
        <v>0</v>
      </c>
      <c r="I553" t="s">
        <v>6383</v>
      </c>
      <c r="J553" t="s">
        <v>6185</v>
      </c>
    </row>
    <row r="554" spans="1:10" x14ac:dyDescent="0.2">
      <c r="A554" t="s">
        <v>6186</v>
      </c>
      <c r="B554" t="s">
        <v>2170</v>
      </c>
      <c r="C554" t="s">
        <v>2171</v>
      </c>
      <c r="D554" t="s">
        <v>24</v>
      </c>
      <c r="E554" t="s">
        <v>1058</v>
      </c>
      <c r="F554" s="112">
        <v>1468.35</v>
      </c>
      <c r="G554" s="112">
        <v>1468.35</v>
      </c>
      <c r="H554" s="112">
        <v>0</v>
      </c>
      <c r="I554" t="s">
        <v>6383</v>
      </c>
      <c r="J554" t="s">
        <v>6188</v>
      </c>
    </row>
    <row r="555" spans="1:10" x14ac:dyDescent="0.2">
      <c r="A555" t="s">
        <v>6189</v>
      </c>
      <c r="B555" t="s">
        <v>2172</v>
      </c>
      <c r="C555" t="s">
        <v>2173</v>
      </c>
      <c r="D555" t="s">
        <v>56</v>
      </c>
      <c r="E555" t="s">
        <v>1059</v>
      </c>
      <c r="F555" s="112">
        <v>122.46</v>
      </c>
      <c r="G555" s="112">
        <v>122.46</v>
      </c>
      <c r="H555" s="112">
        <v>0</v>
      </c>
      <c r="I555" t="s">
        <v>6383</v>
      </c>
      <c r="J555" t="s">
        <v>6191</v>
      </c>
    </row>
    <row r="556" spans="1:10" x14ac:dyDescent="0.2">
      <c r="A556" t="s">
        <v>6192</v>
      </c>
      <c r="B556" t="s">
        <v>1985</v>
      </c>
      <c r="C556" t="s">
        <v>2174</v>
      </c>
      <c r="D556" t="s">
        <v>56</v>
      </c>
      <c r="E556" t="s">
        <v>2175</v>
      </c>
      <c r="F556" s="112">
        <v>146.41999999999999</v>
      </c>
      <c r="G556" s="112">
        <v>146.41999999999999</v>
      </c>
      <c r="H556" s="112">
        <v>0</v>
      </c>
      <c r="I556" t="s">
        <v>6383</v>
      </c>
      <c r="J556" t="s">
        <v>6194</v>
      </c>
    </row>
    <row r="557" spans="1:10" x14ac:dyDescent="0.2">
      <c r="A557" t="s">
        <v>6195</v>
      </c>
      <c r="B557" t="s">
        <v>2059</v>
      </c>
      <c r="C557" t="s">
        <v>2176</v>
      </c>
      <c r="D557" t="s">
        <v>56</v>
      </c>
      <c r="E557" t="s">
        <v>2177</v>
      </c>
      <c r="F557" s="112">
        <v>133.59</v>
      </c>
      <c r="G557" s="112">
        <v>133.59</v>
      </c>
      <c r="H557" s="112">
        <v>0</v>
      </c>
      <c r="I557" t="s">
        <v>6383</v>
      </c>
      <c r="J557" t="s">
        <v>6027</v>
      </c>
    </row>
    <row r="558" spans="1:10" x14ac:dyDescent="0.2">
      <c r="A558" t="s">
        <v>6197</v>
      </c>
      <c r="B558" t="s">
        <v>2087</v>
      </c>
      <c r="C558" t="s">
        <v>2178</v>
      </c>
      <c r="D558" t="s">
        <v>335</v>
      </c>
      <c r="E558" t="s">
        <v>1062</v>
      </c>
      <c r="F558" s="112">
        <v>528.41999999999996</v>
      </c>
      <c r="G558" s="112">
        <v>528.41999999999996</v>
      </c>
      <c r="H558" s="112">
        <v>0</v>
      </c>
      <c r="I558" t="s">
        <v>6383</v>
      </c>
      <c r="J558" t="s">
        <v>6199</v>
      </c>
    </row>
    <row r="559" spans="1:10" x14ac:dyDescent="0.2">
      <c r="A559" t="s">
        <v>6200</v>
      </c>
      <c r="B559" t="s">
        <v>2129</v>
      </c>
      <c r="C559" t="s">
        <v>2179</v>
      </c>
      <c r="D559" t="s">
        <v>24</v>
      </c>
      <c r="E559" t="s">
        <v>1064</v>
      </c>
      <c r="F559" s="112">
        <v>2251.42</v>
      </c>
      <c r="G559" s="112">
        <v>2251.42</v>
      </c>
      <c r="H559" s="112">
        <v>0</v>
      </c>
      <c r="I559" t="s">
        <v>6383</v>
      </c>
      <c r="J559" t="s">
        <v>6202</v>
      </c>
    </row>
    <row r="560" spans="1:10" x14ac:dyDescent="0.2">
      <c r="A560" t="s">
        <v>6203</v>
      </c>
      <c r="B560" t="s">
        <v>2148</v>
      </c>
      <c r="C560" t="s">
        <v>2180</v>
      </c>
      <c r="D560" t="s">
        <v>56</v>
      </c>
      <c r="E560" t="s">
        <v>2181</v>
      </c>
      <c r="F560" s="112">
        <v>28987.59</v>
      </c>
      <c r="G560" s="112">
        <v>28987.59</v>
      </c>
      <c r="H560" s="112">
        <v>0</v>
      </c>
      <c r="I560" t="s">
        <v>6383</v>
      </c>
      <c r="J560" t="s">
        <v>6205</v>
      </c>
    </row>
    <row r="561" spans="1:10" x14ac:dyDescent="0.2">
      <c r="A561" t="s">
        <v>6206</v>
      </c>
      <c r="B561" t="s">
        <v>2182</v>
      </c>
      <c r="C561" t="s">
        <v>2183</v>
      </c>
      <c r="D561" t="s">
        <v>56</v>
      </c>
      <c r="E561" t="s">
        <v>1066</v>
      </c>
      <c r="F561" s="112">
        <v>11220.56</v>
      </c>
      <c r="G561" s="112">
        <v>11220.56</v>
      </c>
      <c r="H561" s="112">
        <v>0</v>
      </c>
      <c r="I561" t="s">
        <v>6383</v>
      </c>
      <c r="J561" t="s">
        <v>6208</v>
      </c>
    </row>
    <row r="562" spans="1:10" x14ac:dyDescent="0.2">
      <c r="A562" t="s">
        <v>6209</v>
      </c>
      <c r="B562" t="s">
        <v>2184</v>
      </c>
      <c r="C562" t="s">
        <v>2185</v>
      </c>
      <c r="D562" t="s">
        <v>209</v>
      </c>
      <c r="E562" t="s">
        <v>1068</v>
      </c>
      <c r="F562" s="112">
        <v>4553.26</v>
      </c>
      <c r="G562" s="112">
        <v>4553.26</v>
      </c>
      <c r="H562" s="112">
        <v>0</v>
      </c>
      <c r="I562" t="s">
        <v>6383</v>
      </c>
      <c r="J562" t="s">
        <v>4477</v>
      </c>
    </row>
    <row r="563" spans="1:10" x14ac:dyDescent="0.2">
      <c r="A563" t="s">
        <v>6210</v>
      </c>
      <c r="B563" t="s">
        <v>2186</v>
      </c>
      <c r="C563" t="s">
        <v>1069</v>
      </c>
      <c r="D563" t="s">
        <v>209</v>
      </c>
      <c r="E563" t="s">
        <v>1070</v>
      </c>
      <c r="F563" s="112">
        <v>594.17999999999995</v>
      </c>
      <c r="G563" s="112">
        <v>594.17999999999995</v>
      </c>
      <c r="H563" s="112">
        <v>0</v>
      </c>
      <c r="I563" t="s">
        <v>6383</v>
      </c>
      <c r="J563" t="s">
        <v>4525</v>
      </c>
    </row>
    <row r="564" spans="1:10" x14ac:dyDescent="0.2">
      <c r="A564" t="s">
        <v>6211</v>
      </c>
      <c r="B564" t="s">
        <v>2187</v>
      </c>
      <c r="C564" t="s">
        <v>2188</v>
      </c>
      <c r="D564" t="s">
        <v>56</v>
      </c>
      <c r="E564" t="s">
        <v>1074</v>
      </c>
      <c r="F564" s="112">
        <v>34724.089999999997</v>
      </c>
      <c r="G564" s="112">
        <v>34724.089999999997</v>
      </c>
      <c r="H564" s="112">
        <v>0</v>
      </c>
      <c r="I564" t="s">
        <v>6383</v>
      </c>
      <c r="J564" t="s">
        <v>6212</v>
      </c>
    </row>
    <row r="565" spans="1:10" x14ac:dyDescent="0.2">
      <c r="A565" t="s">
        <v>6213</v>
      </c>
      <c r="B565" t="s">
        <v>2189</v>
      </c>
      <c r="C565" t="s">
        <v>2190</v>
      </c>
      <c r="D565" t="s">
        <v>56</v>
      </c>
      <c r="E565" t="s">
        <v>1075</v>
      </c>
      <c r="F565" s="112">
        <v>37737.300000000003</v>
      </c>
      <c r="G565" s="112">
        <v>37737.300000000003</v>
      </c>
      <c r="H565" s="112">
        <v>0</v>
      </c>
      <c r="I565" t="s">
        <v>6383</v>
      </c>
      <c r="J565" t="s">
        <v>6214</v>
      </c>
    </row>
    <row r="566" spans="1:10" x14ac:dyDescent="0.2">
      <c r="A566" t="s">
        <v>6215</v>
      </c>
      <c r="B566" t="s">
        <v>2191</v>
      </c>
      <c r="C566" t="s">
        <v>2192</v>
      </c>
      <c r="D566" t="s">
        <v>335</v>
      </c>
      <c r="E566" t="s">
        <v>2193</v>
      </c>
      <c r="F566" s="112">
        <v>11484.04</v>
      </c>
      <c r="G566" s="112">
        <v>11484.04</v>
      </c>
      <c r="H566" s="112">
        <v>0</v>
      </c>
      <c r="I566" t="s">
        <v>6383</v>
      </c>
      <c r="J566" t="s">
        <v>6217</v>
      </c>
    </row>
    <row r="567" spans="1:10" x14ac:dyDescent="0.2">
      <c r="A567" t="s">
        <v>6218</v>
      </c>
      <c r="B567" t="s">
        <v>2194</v>
      </c>
      <c r="C567" t="s">
        <v>2195</v>
      </c>
      <c r="D567" t="s">
        <v>56</v>
      </c>
      <c r="E567" t="s">
        <v>1077</v>
      </c>
      <c r="F567" s="112">
        <v>190644.92</v>
      </c>
      <c r="G567" s="112">
        <v>190644.92</v>
      </c>
      <c r="H567" s="112">
        <v>0</v>
      </c>
      <c r="I567" t="s">
        <v>6383</v>
      </c>
      <c r="J567" t="s">
        <v>6219</v>
      </c>
    </row>
    <row r="568" spans="1:10" x14ac:dyDescent="0.2">
      <c r="A568" t="s">
        <v>6220</v>
      </c>
      <c r="B568" t="s">
        <v>2196</v>
      </c>
      <c r="C568" t="s">
        <v>2197</v>
      </c>
      <c r="D568" t="s">
        <v>24</v>
      </c>
      <c r="E568" t="s">
        <v>1079</v>
      </c>
      <c r="F568" s="112">
        <v>6893.14</v>
      </c>
      <c r="G568" s="112">
        <v>6893.14</v>
      </c>
      <c r="H568" s="112">
        <v>0</v>
      </c>
      <c r="I568" t="s">
        <v>6383</v>
      </c>
      <c r="J568" t="s">
        <v>6222</v>
      </c>
    </row>
    <row r="569" spans="1:10" x14ac:dyDescent="0.2">
      <c r="A569" t="s">
        <v>6223</v>
      </c>
      <c r="B569" t="s">
        <v>2198</v>
      </c>
      <c r="C569" t="s">
        <v>2199</v>
      </c>
      <c r="D569" t="s">
        <v>56</v>
      </c>
      <c r="E569" t="s">
        <v>2200</v>
      </c>
      <c r="F569" s="112">
        <v>7801.51</v>
      </c>
      <c r="G569" s="112">
        <v>7801.51</v>
      </c>
      <c r="H569" s="112">
        <v>0</v>
      </c>
      <c r="I569" t="s">
        <v>6383</v>
      </c>
      <c r="J569" t="s">
        <v>6225</v>
      </c>
    </row>
    <row r="570" spans="1:10" x14ac:dyDescent="0.2">
      <c r="A570" t="s">
        <v>6226</v>
      </c>
      <c r="B570" t="s">
        <v>2201</v>
      </c>
      <c r="C570" t="s">
        <v>1081</v>
      </c>
      <c r="D570" t="s">
        <v>209</v>
      </c>
      <c r="E570" t="s">
        <v>1082</v>
      </c>
      <c r="F570" s="112">
        <v>13872.58</v>
      </c>
      <c r="G570" s="112">
        <v>13872.58</v>
      </c>
      <c r="H570" s="112">
        <v>0</v>
      </c>
      <c r="I570" t="s">
        <v>6383</v>
      </c>
      <c r="J570" t="s">
        <v>6227</v>
      </c>
    </row>
    <row r="571" spans="1:10" x14ac:dyDescent="0.2">
      <c r="A571" t="s">
        <v>6228</v>
      </c>
      <c r="B571" t="s">
        <v>2202</v>
      </c>
      <c r="C571" t="s">
        <v>2203</v>
      </c>
      <c r="D571" t="s">
        <v>24</v>
      </c>
      <c r="E571" t="s">
        <v>1086</v>
      </c>
      <c r="F571" s="112">
        <v>12732.28</v>
      </c>
      <c r="G571" s="112">
        <v>12732.28</v>
      </c>
      <c r="H571" s="112">
        <v>0</v>
      </c>
      <c r="I571" t="s">
        <v>6383</v>
      </c>
      <c r="J571" t="s">
        <v>6230</v>
      </c>
    </row>
    <row r="572" spans="1:10" x14ac:dyDescent="0.2">
      <c r="A572" t="s">
        <v>6231</v>
      </c>
      <c r="B572" t="s">
        <v>2204</v>
      </c>
      <c r="C572" t="s">
        <v>2205</v>
      </c>
      <c r="D572" t="s">
        <v>56</v>
      </c>
      <c r="E572" t="s">
        <v>1087</v>
      </c>
      <c r="F572" s="112">
        <v>14204.62</v>
      </c>
      <c r="G572" s="112">
        <v>14204.62</v>
      </c>
      <c r="H572" s="112">
        <v>0</v>
      </c>
      <c r="I572" t="s">
        <v>6383</v>
      </c>
      <c r="J572" t="s">
        <v>6233</v>
      </c>
    </row>
    <row r="573" spans="1:10" x14ac:dyDescent="0.2">
      <c r="A573" t="s">
        <v>6234</v>
      </c>
      <c r="B573" t="s">
        <v>2206</v>
      </c>
      <c r="C573" t="s">
        <v>2207</v>
      </c>
      <c r="D573" t="s">
        <v>56</v>
      </c>
      <c r="E573" t="s">
        <v>2208</v>
      </c>
      <c r="F573" s="112">
        <v>93485.03</v>
      </c>
      <c r="G573" s="112">
        <v>93485.03</v>
      </c>
      <c r="H573" s="112">
        <v>0</v>
      </c>
      <c r="I573" t="s">
        <v>6383</v>
      </c>
      <c r="J573" t="s">
        <v>6235</v>
      </c>
    </row>
    <row r="574" spans="1:10" x14ac:dyDescent="0.2">
      <c r="A574" t="s">
        <v>6236</v>
      </c>
      <c r="B574" t="s">
        <v>2209</v>
      </c>
      <c r="C574" t="s">
        <v>2210</v>
      </c>
      <c r="D574" t="s">
        <v>56</v>
      </c>
      <c r="E574" t="s">
        <v>1089</v>
      </c>
      <c r="F574" s="112">
        <v>7412.6</v>
      </c>
      <c r="G574" s="112">
        <v>7412.6</v>
      </c>
      <c r="H574" s="112">
        <v>0</v>
      </c>
      <c r="I574" t="s">
        <v>6383</v>
      </c>
      <c r="J574" t="s">
        <v>6238</v>
      </c>
    </row>
    <row r="575" spans="1:10" x14ac:dyDescent="0.2">
      <c r="A575" t="s">
        <v>6239</v>
      </c>
      <c r="B575" t="s">
        <v>2211</v>
      </c>
      <c r="C575" t="s">
        <v>2212</v>
      </c>
      <c r="D575" t="s">
        <v>56</v>
      </c>
      <c r="E575" t="s">
        <v>1090</v>
      </c>
      <c r="F575" s="112">
        <v>23164.81</v>
      </c>
      <c r="G575" s="112">
        <v>23164.81</v>
      </c>
      <c r="H575" s="112">
        <v>0</v>
      </c>
      <c r="I575" t="s">
        <v>6383</v>
      </c>
      <c r="J575" t="s">
        <v>6240</v>
      </c>
    </row>
    <row r="576" spans="1:10" x14ac:dyDescent="0.2">
      <c r="A576" t="s">
        <v>6241</v>
      </c>
      <c r="B576" t="s">
        <v>2213</v>
      </c>
      <c r="C576" t="s">
        <v>2214</v>
      </c>
      <c r="D576" t="s">
        <v>24</v>
      </c>
      <c r="E576" t="s">
        <v>2215</v>
      </c>
      <c r="F576" s="112">
        <v>3903.94</v>
      </c>
      <c r="G576" s="112">
        <v>3903.94</v>
      </c>
      <c r="H576" s="112">
        <v>0</v>
      </c>
      <c r="I576" t="s">
        <v>6383</v>
      </c>
      <c r="J576" t="s">
        <v>6243</v>
      </c>
    </row>
    <row r="577" spans="1:10" x14ac:dyDescent="0.2">
      <c r="A577" t="s">
        <v>6244</v>
      </c>
      <c r="B577" t="s">
        <v>2216</v>
      </c>
      <c r="C577" t="s">
        <v>1096</v>
      </c>
      <c r="D577" t="s">
        <v>24</v>
      </c>
      <c r="E577" t="s">
        <v>2217</v>
      </c>
      <c r="F577" s="112">
        <v>452.67</v>
      </c>
      <c r="G577" s="112">
        <v>452.67</v>
      </c>
      <c r="H577" s="112">
        <v>0</v>
      </c>
      <c r="I577" t="s">
        <v>6383</v>
      </c>
      <c r="J577" t="s">
        <v>6246</v>
      </c>
    </row>
    <row r="578" spans="1:10" x14ac:dyDescent="0.2">
      <c r="A578" t="s">
        <v>6247</v>
      </c>
      <c r="B578" t="s">
        <v>2218</v>
      </c>
      <c r="C578" t="s">
        <v>2219</v>
      </c>
      <c r="D578" t="s">
        <v>24</v>
      </c>
      <c r="E578" t="s">
        <v>1098</v>
      </c>
      <c r="F578" s="112">
        <v>1095.48</v>
      </c>
      <c r="G578" s="112">
        <v>1095.48</v>
      </c>
      <c r="H578" s="112">
        <v>0</v>
      </c>
      <c r="I578" t="s">
        <v>6383</v>
      </c>
      <c r="J578" t="s">
        <v>6249</v>
      </c>
    </row>
    <row r="579" spans="1:10" x14ac:dyDescent="0.2">
      <c r="A579" t="s">
        <v>6250</v>
      </c>
      <c r="B579" t="s">
        <v>2220</v>
      </c>
      <c r="C579" t="s">
        <v>2221</v>
      </c>
      <c r="D579" t="s">
        <v>335</v>
      </c>
      <c r="E579" t="s">
        <v>1099</v>
      </c>
      <c r="F579" s="112">
        <v>159.02000000000001</v>
      </c>
      <c r="G579" s="112">
        <v>159.02000000000001</v>
      </c>
      <c r="H579" s="112">
        <v>0</v>
      </c>
      <c r="I579" t="s">
        <v>6383</v>
      </c>
      <c r="J579" t="s">
        <v>6252</v>
      </c>
    </row>
    <row r="580" spans="1:10" x14ac:dyDescent="0.2">
      <c r="A580" t="s">
        <v>6253</v>
      </c>
      <c r="B580" t="s">
        <v>2222</v>
      </c>
      <c r="C580" t="s">
        <v>2223</v>
      </c>
      <c r="D580" t="s">
        <v>56</v>
      </c>
      <c r="E580" t="s">
        <v>1100</v>
      </c>
      <c r="F580" s="112">
        <v>172.5</v>
      </c>
      <c r="G580" s="112">
        <v>172.5</v>
      </c>
      <c r="H580" s="112">
        <v>0</v>
      </c>
      <c r="I580" t="s">
        <v>6383</v>
      </c>
      <c r="J580" t="s">
        <v>6255</v>
      </c>
    </row>
    <row r="581" spans="1:10" x14ac:dyDescent="0.2">
      <c r="A581" t="s">
        <v>6256</v>
      </c>
      <c r="B581" t="s">
        <v>2224</v>
      </c>
      <c r="C581" t="s">
        <v>2225</v>
      </c>
      <c r="D581" t="s">
        <v>335</v>
      </c>
      <c r="E581" t="s">
        <v>1101</v>
      </c>
      <c r="F581" s="112">
        <v>380.34</v>
      </c>
      <c r="G581" s="112">
        <v>380.34</v>
      </c>
      <c r="H581" s="112">
        <v>0</v>
      </c>
      <c r="I581" t="s">
        <v>6383</v>
      </c>
      <c r="J581" t="s">
        <v>6258</v>
      </c>
    </row>
    <row r="582" spans="1:10" x14ac:dyDescent="0.2">
      <c r="A582" t="s">
        <v>6259</v>
      </c>
      <c r="B582" t="s">
        <v>2226</v>
      </c>
      <c r="C582" t="s">
        <v>2227</v>
      </c>
      <c r="D582" t="s">
        <v>56</v>
      </c>
      <c r="E582" t="s">
        <v>1102</v>
      </c>
      <c r="F582" s="112">
        <v>837.25</v>
      </c>
      <c r="G582" s="112">
        <v>837.25</v>
      </c>
      <c r="H582" s="112">
        <v>0</v>
      </c>
      <c r="I582" t="s">
        <v>6383</v>
      </c>
      <c r="J582" t="s">
        <v>6261</v>
      </c>
    </row>
    <row r="583" spans="1:10" x14ac:dyDescent="0.2">
      <c r="A583" t="s">
        <v>6262</v>
      </c>
      <c r="B583" t="s">
        <v>2228</v>
      </c>
      <c r="C583" t="s">
        <v>2229</v>
      </c>
      <c r="D583" t="s">
        <v>56</v>
      </c>
      <c r="E583" t="s">
        <v>1103</v>
      </c>
      <c r="F583" s="112">
        <v>656.36</v>
      </c>
      <c r="G583" s="112">
        <v>656.36</v>
      </c>
      <c r="H583" s="112">
        <v>0</v>
      </c>
      <c r="I583" t="s">
        <v>6383</v>
      </c>
      <c r="J583" t="s">
        <v>6264</v>
      </c>
    </row>
    <row r="584" spans="1:10" x14ac:dyDescent="0.2">
      <c r="A584" t="s">
        <v>6265</v>
      </c>
      <c r="B584" t="s">
        <v>2230</v>
      </c>
      <c r="C584" t="s">
        <v>2231</v>
      </c>
      <c r="D584" t="s">
        <v>56</v>
      </c>
      <c r="E584" t="s">
        <v>2232</v>
      </c>
      <c r="F584" s="112">
        <v>1339.15</v>
      </c>
      <c r="G584" s="112">
        <v>1339.15</v>
      </c>
      <c r="H584" s="112">
        <v>0</v>
      </c>
      <c r="I584" t="s">
        <v>6383</v>
      </c>
      <c r="J584" t="s">
        <v>6267</v>
      </c>
    </row>
    <row r="585" spans="1:10" x14ac:dyDescent="0.2">
      <c r="A585" t="s">
        <v>6268</v>
      </c>
      <c r="B585" t="s">
        <v>2233</v>
      </c>
      <c r="C585" t="s">
        <v>2234</v>
      </c>
      <c r="D585" t="s">
        <v>56</v>
      </c>
      <c r="E585" t="s">
        <v>1105</v>
      </c>
      <c r="F585" s="112">
        <v>2395.35</v>
      </c>
      <c r="G585" s="112">
        <v>2395.35</v>
      </c>
      <c r="H585" s="112">
        <v>0</v>
      </c>
      <c r="I585" t="s">
        <v>6383</v>
      </c>
      <c r="J585" t="s">
        <v>6270</v>
      </c>
    </row>
    <row r="586" spans="1:10" x14ac:dyDescent="0.2">
      <c r="A586" t="s">
        <v>6271</v>
      </c>
      <c r="B586" t="s">
        <v>2235</v>
      </c>
      <c r="C586" t="s">
        <v>2236</v>
      </c>
      <c r="D586" t="s">
        <v>56</v>
      </c>
      <c r="E586" t="s">
        <v>2237</v>
      </c>
      <c r="F586" s="112">
        <v>318.69</v>
      </c>
      <c r="G586" s="112">
        <v>318.69</v>
      </c>
      <c r="H586" s="112">
        <v>0</v>
      </c>
      <c r="I586" t="s">
        <v>6383</v>
      </c>
      <c r="J586" t="s">
        <v>6273</v>
      </c>
    </row>
    <row r="587" spans="1:10" x14ac:dyDescent="0.2">
      <c r="A587" t="s">
        <v>6274</v>
      </c>
      <c r="B587" t="s">
        <v>2238</v>
      </c>
      <c r="C587" t="s">
        <v>2239</v>
      </c>
      <c r="D587" t="s">
        <v>56</v>
      </c>
      <c r="E587" t="s">
        <v>1107</v>
      </c>
      <c r="F587" s="112">
        <v>330.21</v>
      </c>
      <c r="G587" s="112">
        <v>330.21</v>
      </c>
      <c r="H587" s="112">
        <v>0</v>
      </c>
      <c r="I587" t="s">
        <v>6383</v>
      </c>
      <c r="J587" t="s">
        <v>6276</v>
      </c>
    </row>
    <row r="588" spans="1:10" x14ac:dyDescent="0.2">
      <c r="A588" t="s">
        <v>6277</v>
      </c>
      <c r="B588" t="s">
        <v>2240</v>
      </c>
      <c r="C588" t="s">
        <v>2241</v>
      </c>
      <c r="D588" t="s">
        <v>56</v>
      </c>
      <c r="E588" t="s">
        <v>1108</v>
      </c>
      <c r="F588" s="112">
        <v>1403.53</v>
      </c>
      <c r="G588" s="112">
        <v>1403.53</v>
      </c>
      <c r="H588" s="112">
        <v>0</v>
      </c>
      <c r="I588" t="s">
        <v>6383</v>
      </c>
      <c r="J588" t="s">
        <v>6279</v>
      </c>
    </row>
    <row r="589" spans="1:10" x14ac:dyDescent="0.2">
      <c r="A589" t="s">
        <v>6280</v>
      </c>
      <c r="B589" t="s">
        <v>2242</v>
      </c>
      <c r="C589" t="s">
        <v>2243</v>
      </c>
      <c r="D589" t="s">
        <v>56</v>
      </c>
      <c r="E589" t="s">
        <v>1109</v>
      </c>
      <c r="F589" s="112">
        <v>2098.7199999999998</v>
      </c>
      <c r="G589" s="112">
        <v>2098.7199999999998</v>
      </c>
      <c r="H589" s="112">
        <v>0</v>
      </c>
      <c r="I589" t="s">
        <v>6383</v>
      </c>
      <c r="J589" t="s">
        <v>6282</v>
      </c>
    </row>
    <row r="590" spans="1:10" x14ac:dyDescent="0.2">
      <c r="A590" t="s">
        <v>6283</v>
      </c>
      <c r="B590" t="s">
        <v>2244</v>
      </c>
      <c r="C590" t="s">
        <v>2245</v>
      </c>
      <c r="D590" t="s">
        <v>56</v>
      </c>
      <c r="E590" t="s">
        <v>1110</v>
      </c>
      <c r="F590" s="112">
        <v>1959.05</v>
      </c>
      <c r="G590" s="112">
        <v>1959.05</v>
      </c>
      <c r="H590" s="112">
        <v>0</v>
      </c>
      <c r="I590" t="s">
        <v>6383</v>
      </c>
      <c r="J590" t="s">
        <v>6285</v>
      </c>
    </row>
    <row r="591" spans="1:10" x14ac:dyDescent="0.2">
      <c r="A591" t="s">
        <v>6286</v>
      </c>
      <c r="B591" t="s">
        <v>2246</v>
      </c>
      <c r="C591" t="s">
        <v>2247</v>
      </c>
      <c r="D591" t="s">
        <v>56</v>
      </c>
      <c r="E591" t="s">
        <v>2248</v>
      </c>
      <c r="F591" s="112">
        <v>223.98</v>
      </c>
      <c r="G591" s="112">
        <v>223.98</v>
      </c>
      <c r="H591" s="112">
        <v>0</v>
      </c>
      <c r="I591" t="s">
        <v>6383</v>
      </c>
      <c r="J591" t="s">
        <v>6288</v>
      </c>
    </row>
    <row r="592" spans="1:10" x14ac:dyDescent="0.2">
      <c r="A592" t="s">
        <v>6289</v>
      </c>
      <c r="B592" t="s">
        <v>2249</v>
      </c>
      <c r="C592" t="s">
        <v>2250</v>
      </c>
      <c r="D592" t="s">
        <v>56</v>
      </c>
      <c r="E592" t="s">
        <v>1112</v>
      </c>
      <c r="F592" s="112">
        <v>123.6</v>
      </c>
      <c r="G592" s="112">
        <v>123.6</v>
      </c>
      <c r="H592" s="112">
        <v>0</v>
      </c>
      <c r="I592" t="s">
        <v>6383</v>
      </c>
      <c r="J592" t="s">
        <v>6291</v>
      </c>
    </row>
    <row r="593" spans="1:10" x14ac:dyDescent="0.2">
      <c r="A593" t="s">
        <v>6292</v>
      </c>
      <c r="B593" t="s">
        <v>2251</v>
      </c>
      <c r="C593" t="s">
        <v>2252</v>
      </c>
      <c r="D593" t="s">
        <v>56</v>
      </c>
      <c r="E593" t="s">
        <v>1113</v>
      </c>
      <c r="F593" s="112">
        <v>8428.8700000000008</v>
      </c>
      <c r="G593" s="112">
        <v>8428.8700000000008</v>
      </c>
      <c r="H593" s="112">
        <v>0</v>
      </c>
      <c r="I593" t="s">
        <v>6383</v>
      </c>
      <c r="J593" t="s">
        <v>6294</v>
      </c>
    </row>
    <row r="594" spans="1:10" x14ac:dyDescent="0.2">
      <c r="A594" t="s">
        <v>6295</v>
      </c>
      <c r="B594" t="s">
        <v>2253</v>
      </c>
      <c r="C594" t="s">
        <v>2254</v>
      </c>
      <c r="D594" t="s">
        <v>56</v>
      </c>
      <c r="E594" t="s">
        <v>1114</v>
      </c>
      <c r="F594" s="112">
        <v>4.38</v>
      </c>
      <c r="G594" s="112">
        <v>4.38</v>
      </c>
      <c r="H594" s="112">
        <v>0</v>
      </c>
      <c r="I594" t="s">
        <v>6383</v>
      </c>
      <c r="J594" t="s">
        <v>6297</v>
      </c>
    </row>
    <row r="595" spans="1:10" x14ac:dyDescent="0.2">
      <c r="A595" t="s">
        <v>6298</v>
      </c>
      <c r="B595" t="s">
        <v>2255</v>
      </c>
      <c r="C595" t="s">
        <v>2256</v>
      </c>
      <c r="D595" t="s">
        <v>56</v>
      </c>
      <c r="E595" t="s">
        <v>1115</v>
      </c>
      <c r="F595" s="112">
        <v>3264.29</v>
      </c>
      <c r="G595" s="112">
        <v>3264.29</v>
      </c>
      <c r="H595" s="112">
        <v>0</v>
      </c>
      <c r="I595" t="s">
        <v>6383</v>
      </c>
      <c r="J595" t="s">
        <v>6300</v>
      </c>
    </row>
    <row r="596" spans="1:10" x14ac:dyDescent="0.2">
      <c r="A596" t="s">
        <v>6301</v>
      </c>
      <c r="B596" t="s">
        <v>2257</v>
      </c>
      <c r="C596" t="s">
        <v>2258</v>
      </c>
      <c r="D596" t="s">
        <v>56</v>
      </c>
      <c r="E596" t="s">
        <v>1116</v>
      </c>
      <c r="F596" s="112">
        <v>3200.19</v>
      </c>
      <c r="G596" s="112">
        <v>3200.19</v>
      </c>
      <c r="H596" s="112">
        <v>0</v>
      </c>
      <c r="I596" t="s">
        <v>6383</v>
      </c>
      <c r="J596" t="s">
        <v>6303</v>
      </c>
    </row>
    <row r="597" spans="1:10" x14ac:dyDescent="0.2">
      <c r="A597" t="s">
        <v>6304</v>
      </c>
      <c r="B597" t="s">
        <v>2259</v>
      </c>
      <c r="C597" t="s">
        <v>2260</v>
      </c>
      <c r="D597" t="s">
        <v>56</v>
      </c>
      <c r="E597" t="s">
        <v>1117</v>
      </c>
      <c r="F597" s="112">
        <v>751.87</v>
      </c>
      <c r="G597" s="112">
        <v>751.87</v>
      </c>
      <c r="H597" s="112">
        <v>0</v>
      </c>
      <c r="I597" t="s">
        <v>6383</v>
      </c>
      <c r="J597" t="s">
        <v>6306</v>
      </c>
    </row>
    <row r="598" spans="1:10" x14ac:dyDescent="0.2">
      <c r="A598" t="s">
        <v>6307</v>
      </c>
      <c r="B598" t="s">
        <v>2261</v>
      </c>
      <c r="C598" t="s">
        <v>2262</v>
      </c>
      <c r="D598" t="s">
        <v>56</v>
      </c>
      <c r="E598" t="s">
        <v>1118</v>
      </c>
      <c r="F598" s="112">
        <v>657.05</v>
      </c>
      <c r="G598" s="112">
        <v>657.05</v>
      </c>
      <c r="H598" s="112">
        <v>0</v>
      </c>
      <c r="I598" t="s">
        <v>6383</v>
      </c>
      <c r="J598" t="s">
        <v>6309</v>
      </c>
    </row>
    <row r="599" spans="1:10" x14ac:dyDescent="0.2">
      <c r="A599" t="s">
        <v>6310</v>
      </c>
      <c r="B599" t="s">
        <v>2263</v>
      </c>
      <c r="C599" t="s">
        <v>2264</v>
      </c>
      <c r="D599" t="s">
        <v>56</v>
      </c>
      <c r="E599" t="s">
        <v>1121</v>
      </c>
      <c r="F599" s="112">
        <v>5560.06</v>
      </c>
      <c r="G599" s="112">
        <v>5560.06</v>
      </c>
      <c r="H599" s="112">
        <v>0</v>
      </c>
      <c r="I599" t="s">
        <v>6383</v>
      </c>
      <c r="J599" t="s">
        <v>6312</v>
      </c>
    </row>
    <row r="600" spans="1:10" x14ac:dyDescent="0.2">
      <c r="A600" t="s">
        <v>6313</v>
      </c>
      <c r="B600" t="s">
        <v>2265</v>
      </c>
      <c r="C600" t="s">
        <v>2266</v>
      </c>
      <c r="D600" t="s">
        <v>24</v>
      </c>
      <c r="E600" t="s">
        <v>1123</v>
      </c>
      <c r="F600" s="112">
        <v>805.69</v>
      </c>
      <c r="G600" s="112">
        <v>805.69</v>
      </c>
      <c r="H600" s="112">
        <v>0</v>
      </c>
      <c r="I600" t="s">
        <v>6383</v>
      </c>
      <c r="J600" t="s">
        <v>6315</v>
      </c>
    </row>
    <row r="601" spans="1:10" x14ac:dyDescent="0.2">
      <c r="A601" t="s">
        <v>6316</v>
      </c>
      <c r="B601" t="s">
        <v>2267</v>
      </c>
      <c r="C601" t="s">
        <v>2268</v>
      </c>
      <c r="D601" t="s">
        <v>24</v>
      </c>
      <c r="E601" t="s">
        <v>1125</v>
      </c>
      <c r="F601" s="112">
        <v>65.94</v>
      </c>
      <c r="G601" s="112">
        <v>65.94</v>
      </c>
      <c r="H601" s="112">
        <v>0</v>
      </c>
      <c r="I601" t="s">
        <v>6383</v>
      </c>
      <c r="J601" t="s">
        <v>6318</v>
      </c>
    </row>
    <row r="602" spans="1:10" x14ac:dyDescent="0.2">
      <c r="A602" t="s">
        <v>6319</v>
      </c>
      <c r="B602" t="s">
        <v>2269</v>
      </c>
      <c r="C602" t="s">
        <v>2270</v>
      </c>
      <c r="D602" t="s">
        <v>56</v>
      </c>
      <c r="E602" t="s">
        <v>1128</v>
      </c>
      <c r="F602" s="112">
        <v>741.75</v>
      </c>
      <c r="G602" s="112">
        <v>741.75</v>
      </c>
      <c r="H602" s="112">
        <v>0</v>
      </c>
      <c r="I602" t="s">
        <v>6383</v>
      </c>
      <c r="J602" t="s">
        <v>6321</v>
      </c>
    </row>
    <row r="603" spans="1:10" x14ac:dyDescent="0.2">
      <c r="A603" t="s">
        <v>6322</v>
      </c>
      <c r="B603" t="s">
        <v>2271</v>
      </c>
      <c r="C603" t="s">
        <v>2272</v>
      </c>
      <c r="D603" t="s">
        <v>24</v>
      </c>
      <c r="E603" t="s">
        <v>1130</v>
      </c>
      <c r="F603" s="112">
        <v>463.71</v>
      </c>
      <c r="G603" s="112">
        <v>463.71</v>
      </c>
      <c r="H603" s="112">
        <v>0</v>
      </c>
      <c r="I603" t="s">
        <v>6383</v>
      </c>
      <c r="J603" t="s">
        <v>6324</v>
      </c>
    </row>
    <row r="604" spans="1:10" x14ac:dyDescent="0.2">
      <c r="A604" t="s">
        <v>6325</v>
      </c>
      <c r="B604" t="s">
        <v>2273</v>
      </c>
      <c r="C604" t="s">
        <v>2274</v>
      </c>
      <c r="D604" t="s">
        <v>24</v>
      </c>
      <c r="E604" t="s">
        <v>1132</v>
      </c>
      <c r="F604" s="112">
        <v>230.73</v>
      </c>
      <c r="G604" s="112">
        <v>230.73</v>
      </c>
      <c r="H604" s="112">
        <v>0</v>
      </c>
      <c r="I604" t="s">
        <v>6383</v>
      </c>
      <c r="J604" t="s">
        <v>6327</v>
      </c>
    </row>
    <row r="605" spans="1:10" x14ac:dyDescent="0.2">
      <c r="A605" t="s">
        <v>6328</v>
      </c>
      <c r="B605" t="s">
        <v>2275</v>
      </c>
      <c r="C605" t="s">
        <v>2276</v>
      </c>
      <c r="D605" t="s">
        <v>24</v>
      </c>
      <c r="E605" t="s">
        <v>1134</v>
      </c>
      <c r="F605" s="112">
        <v>57.18</v>
      </c>
      <c r="G605" s="112">
        <v>57.18</v>
      </c>
      <c r="H605" s="112">
        <v>0</v>
      </c>
      <c r="I605" t="s">
        <v>6383</v>
      </c>
      <c r="J605" t="s">
        <v>6330</v>
      </c>
    </row>
    <row r="606" spans="1:10" x14ac:dyDescent="0.2">
      <c r="A606" t="s">
        <v>6331</v>
      </c>
      <c r="B606" t="s">
        <v>2277</v>
      </c>
      <c r="C606" t="s">
        <v>2278</v>
      </c>
      <c r="D606" t="s">
        <v>24</v>
      </c>
      <c r="E606" t="s">
        <v>1138</v>
      </c>
      <c r="F606" s="112">
        <v>113.61</v>
      </c>
      <c r="G606" s="112">
        <v>113.61</v>
      </c>
      <c r="H606" s="112">
        <v>0</v>
      </c>
      <c r="I606" t="s">
        <v>6383</v>
      </c>
      <c r="J606" t="s">
        <v>6333</v>
      </c>
    </row>
    <row r="607" spans="1:10" x14ac:dyDescent="0.2">
      <c r="A607" t="s">
        <v>6334</v>
      </c>
      <c r="B607" t="s">
        <v>2279</v>
      </c>
      <c r="C607" t="s">
        <v>2280</v>
      </c>
      <c r="D607" t="s">
        <v>24</v>
      </c>
      <c r="E607" t="s">
        <v>1140</v>
      </c>
      <c r="F607" s="112">
        <v>155.35</v>
      </c>
      <c r="G607" s="112">
        <v>155.35</v>
      </c>
      <c r="H607" s="112">
        <v>0</v>
      </c>
      <c r="I607" t="s">
        <v>6383</v>
      </c>
      <c r="J607" t="s">
        <v>6336</v>
      </c>
    </row>
    <row r="608" spans="1:10" x14ac:dyDescent="0.2">
      <c r="A608" t="s">
        <v>6337</v>
      </c>
      <c r="B608" t="s">
        <v>2281</v>
      </c>
      <c r="C608" t="s">
        <v>2282</v>
      </c>
      <c r="D608" t="s">
        <v>335</v>
      </c>
      <c r="E608" t="s">
        <v>1141</v>
      </c>
      <c r="F608" s="112">
        <v>1719.97</v>
      </c>
      <c r="G608" s="112">
        <v>1719.97</v>
      </c>
      <c r="H608" s="112">
        <v>0</v>
      </c>
      <c r="I608" t="s">
        <v>6383</v>
      </c>
      <c r="J608" t="s">
        <v>6339</v>
      </c>
    </row>
    <row r="609" spans="1:10" x14ac:dyDescent="0.2">
      <c r="A609" t="s">
        <v>6340</v>
      </c>
      <c r="B609" t="s">
        <v>2283</v>
      </c>
      <c r="C609" t="s">
        <v>2284</v>
      </c>
      <c r="D609" t="s">
        <v>335</v>
      </c>
      <c r="E609" t="s">
        <v>1142</v>
      </c>
      <c r="F609" s="112">
        <v>682.71</v>
      </c>
      <c r="G609" s="112">
        <v>682.71</v>
      </c>
      <c r="H609" s="112">
        <v>0</v>
      </c>
      <c r="I609" t="s">
        <v>6383</v>
      </c>
      <c r="J609" t="s">
        <v>6342</v>
      </c>
    </row>
    <row r="610" spans="1:10" x14ac:dyDescent="0.2">
      <c r="A610" t="s">
        <v>6343</v>
      </c>
      <c r="B610" t="s">
        <v>2285</v>
      </c>
      <c r="C610" t="s">
        <v>2286</v>
      </c>
      <c r="D610" t="s">
        <v>24</v>
      </c>
      <c r="E610" t="s">
        <v>1144</v>
      </c>
      <c r="F610" s="112">
        <v>1442.88</v>
      </c>
      <c r="G610" s="112">
        <v>1442.88</v>
      </c>
      <c r="H610" s="112">
        <v>0</v>
      </c>
      <c r="I610" t="s">
        <v>6383</v>
      </c>
      <c r="J610" t="s">
        <v>6345</v>
      </c>
    </row>
    <row r="611" spans="1:10" x14ac:dyDescent="0.2">
      <c r="A611" t="s">
        <v>6346</v>
      </c>
      <c r="B611" t="s">
        <v>2287</v>
      </c>
      <c r="C611" t="s">
        <v>2288</v>
      </c>
      <c r="D611" t="s">
        <v>335</v>
      </c>
      <c r="E611" t="s">
        <v>1145</v>
      </c>
      <c r="F611" s="112">
        <v>607.70000000000005</v>
      </c>
      <c r="G611" s="112">
        <v>607.70000000000005</v>
      </c>
      <c r="H611" s="112">
        <v>0</v>
      </c>
      <c r="I611" t="s">
        <v>6383</v>
      </c>
      <c r="J611" t="s">
        <v>6348</v>
      </c>
    </row>
    <row r="612" spans="1:10" x14ac:dyDescent="0.2">
      <c r="A612" t="s">
        <v>6349</v>
      </c>
      <c r="B612" t="s">
        <v>2289</v>
      </c>
      <c r="C612" t="s">
        <v>2155</v>
      </c>
      <c r="D612" t="s">
        <v>56</v>
      </c>
      <c r="E612" t="s">
        <v>1044</v>
      </c>
      <c r="F612" s="112">
        <v>642.69000000000005</v>
      </c>
      <c r="G612" s="112">
        <v>642.69000000000005</v>
      </c>
      <c r="H612" s="112">
        <v>0</v>
      </c>
      <c r="I612" t="s">
        <v>6383</v>
      </c>
      <c r="J612" t="s">
        <v>6350</v>
      </c>
    </row>
    <row r="613" spans="1:10" x14ac:dyDescent="0.2">
      <c r="A613" t="s">
        <v>6351</v>
      </c>
      <c r="B613" t="s">
        <v>2290</v>
      </c>
      <c r="C613" t="s">
        <v>2291</v>
      </c>
      <c r="D613" t="s">
        <v>24</v>
      </c>
      <c r="E613" t="s">
        <v>1150</v>
      </c>
      <c r="F613" s="112">
        <v>1628.43</v>
      </c>
      <c r="G613" s="112">
        <v>1628.43</v>
      </c>
      <c r="H613" s="112">
        <v>0</v>
      </c>
      <c r="I613" t="s">
        <v>6383</v>
      </c>
      <c r="J613" t="s">
        <v>6353</v>
      </c>
    </row>
    <row r="614" spans="1:10" x14ac:dyDescent="0.2">
      <c r="A614" t="s">
        <v>6354</v>
      </c>
      <c r="B614" t="s">
        <v>2292</v>
      </c>
      <c r="C614" t="s">
        <v>2293</v>
      </c>
      <c r="D614" t="s">
        <v>56</v>
      </c>
      <c r="E614" t="s">
        <v>1151</v>
      </c>
      <c r="F614" s="112">
        <v>475.63</v>
      </c>
      <c r="G614" s="112">
        <v>475.63</v>
      </c>
      <c r="H614" s="112">
        <v>0</v>
      </c>
      <c r="I614" t="s">
        <v>6383</v>
      </c>
      <c r="J614" t="s">
        <v>6356</v>
      </c>
    </row>
    <row r="615" spans="1:10" x14ac:dyDescent="0.2">
      <c r="A615" t="s">
        <v>6357</v>
      </c>
      <c r="B615" t="s">
        <v>2294</v>
      </c>
      <c r="C615" t="s">
        <v>2295</v>
      </c>
      <c r="D615" t="s">
        <v>56</v>
      </c>
      <c r="E615" t="s">
        <v>1152</v>
      </c>
      <c r="F615" s="112">
        <v>651.39</v>
      </c>
      <c r="G615" s="112">
        <v>651.39</v>
      </c>
      <c r="H615" s="112">
        <v>0</v>
      </c>
      <c r="I615" t="s">
        <v>6383</v>
      </c>
      <c r="J615" t="s">
        <v>6359</v>
      </c>
    </row>
    <row r="616" spans="1:10" x14ac:dyDescent="0.2">
      <c r="A616" t="s">
        <v>6360</v>
      </c>
      <c r="B616" t="s">
        <v>2296</v>
      </c>
      <c r="C616" t="s">
        <v>1153</v>
      </c>
      <c r="D616" t="s">
        <v>24</v>
      </c>
      <c r="E616" t="s">
        <v>1154</v>
      </c>
      <c r="F616" s="112">
        <v>10922.72</v>
      </c>
      <c r="G616" s="112">
        <v>10922.72</v>
      </c>
      <c r="H616" s="112">
        <v>0</v>
      </c>
      <c r="I616" t="s">
        <v>6383</v>
      </c>
      <c r="J616" t="s">
        <v>6362</v>
      </c>
    </row>
    <row r="617" spans="1:10" x14ac:dyDescent="0.2">
      <c r="A617" t="s">
        <v>6363</v>
      </c>
      <c r="B617" t="s">
        <v>2297</v>
      </c>
      <c r="C617" t="s">
        <v>2298</v>
      </c>
      <c r="D617" t="s">
        <v>56</v>
      </c>
      <c r="E617" t="s">
        <v>1157</v>
      </c>
      <c r="F617" s="112">
        <v>5617.99</v>
      </c>
      <c r="G617" s="112">
        <v>5617.99</v>
      </c>
      <c r="H617" s="112">
        <v>0</v>
      </c>
      <c r="I617" t="s">
        <v>6383</v>
      </c>
      <c r="J617" t="s">
        <v>6366</v>
      </c>
    </row>
    <row r="618" spans="1:10" x14ac:dyDescent="0.2">
      <c r="A618" t="s">
        <v>6369</v>
      </c>
      <c r="B618" t="s">
        <v>2299</v>
      </c>
      <c r="C618" t="s">
        <v>2300</v>
      </c>
      <c r="D618" t="s">
        <v>56</v>
      </c>
      <c r="E618" t="s">
        <v>1158</v>
      </c>
      <c r="F618" s="112">
        <v>4929.57</v>
      </c>
      <c r="G618" s="112">
        <v>4929.57</v>
      </c>
      <c r="H618" s="112">
        <v>0</v>
      </c>
      <c r="I618" t="s">
        <v>6383</v>
      </c>
      <c r="J618" t="s">
        <v>6371</v>
      </c>
    </row>
    <row r="619" spans="1:10" x14ac:dyDescent="0.2">
      <c r="A619" t="s">
        <v>6372</v>
      </c>
      <c r="B619" t="s">
        <v>2301</v>
      </c>
      <c r="C619" t="s">
        <v>2302</v>
      </c>
      <c r="D619" t="s">
        <v>56</v>
      </c>
      <c r="E619" t="s">
        <v>1159</v>
      </c>
      <c r="F619" s="112">
        <v>1407.6</v>
      </c>
      <c r="G619" s="112">
        <v>1407.6</v>
      </c>
      <c r="H619" s="112">
        <v>0</v>
      </c>
      <c r="I619" t="s">
        <v>6383</v>
      </c>
      <c r="J619" t="s">
        <v>6374</v>
      </c>
    </row>
    <row r="620" spans="1:10" x14ac:dyDescent="0.2">
      <c r="A620" t="s">
        <v>6375</v>
      </c>
      <c r="B620" t="s">
        <v>2303</v>
      </c>
      <c r="C620" t="s">
        <v>2304</v>
      </c>
      <c r="D620" t="s">
        <v>56</v>
      </c>
      <c r="E620" t="s">
        <v>1160</v>
      </c>
      <c r="F620" s="112">
        <v>11238.69</v>
      </c>
      <c r="G620" s="112">
        <v>11238.69</v>
      </c>
      <c r="H620" s="112">
        <v>0</v>
      </c>
      <c r="I620" t="s">
        <v>6383</v>
      </c>
      <c r="J620" t="s">
        <v>6377</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163"/>
  <sheetViews>
    <sheetView topLeftCell="K139" workbookViewId="0">
      <selection activeCell="I153" sqref="I153"/>
    </sheetView>
  </sheetViews>
  <sheetFormatPr defaultColWidth="8.83203125" defaultRowHeight="15" x14ac:dyDescent="0.2"/>
  <cols>
    <col min="1" max="1" width="9.33203125" style="2" customWidth="1"/>
    <col min="2" max="2" width="67.6640625" style="2" customWidth="1"/>
    <col min="3" max="3" width="23.33203125" style="2" customWidth="1"/>
    <col min="4" max="8" width="21" style="2" customWidth="1"/>
    <col min="9" max="9" width="31" style="2" customWidth="1"/>
    <col min="10" max="10" width="26.83203125" style="2" customWidth="1"/>
    <col min="11" max="11" width="27" style="2" customWidth="1"/>
    <col min="12" max="12" width="25.1640625" style="2" customWidth="1"/>
    <col min="13" max="13" width="28.6640625" style="2" customWidth="1"/>
    <col min="14" max="14" width="26.1640625" style="2" customWidth="1"/>
    <col min="15" max="15" width="33.5" style="2" customWidth="1"/>
    <col min="16" max="16" width="32.1640625" style="2" customWidth="1"/>
    <col min="17" max="17" width="26.83203125" style="2" customWidth="1"/>
    <col min="18" max="18" width="32.1640625" style="2" customWidth="1"/>
    <col min="19" max="19" width="33.1640625" style="2" customWidth="1"/>
    <col min="20" max="20" width="28.1640625" style="2" customWidth="1"/>
    <col min="21" max="21" width="23.1640625" style="2" customWidth="1"/>
    <col min="22" max="22" width="10.5" style="2" customWidth="1"/>
    <col min="23" max="23" width="3.33203125" style="2" customWidth="1"/>
    <col min="24" max="16384" width="8.83203125" style="2"/>
  </cols>
  <sheetData>
    <row r="1" spans="1:23" ht="49.15" customHeight="1" x14ac:dyDescent="0.2">
      <c r="A1" s="232" t="s">
        <v>1168</v>
      </c>
      <c r="B1" s="232"/>
      <c r="C1" s="232"/>
      <c r="D1" s="232"/>
      <c r="E1" s="232"/>
      <c r="F1" s="232"/>
      <c r="G1" s="232"/>
      <c r="H1" s="154"/>
      <c r="I1" s="154"/>
      <c r="J1" s="154"/>
      <c r="K1" s="154"/>
      <c r="L1" s="154"/>
      <c r="M1" s="154"/>
      <c r="N1" s="154"/>
      <c r="O1" s="154"/>
      <c r="P1" s="154"/>
      <c r="Q1" s="154"/>
      <c r="R1" s="154"/>
      <c r="S1" s="154"/>
      <c r="T1" s="154"/>
      <c r="U1" s="154"/>
      <c r="V1" s="100"/>
      <c r="W1" s="100"/>
    </row>
    <row r="2" spans="1:23" ht="193.15" customHeight="1" x14ac:dyDescent="0.2">
      <c r="A2" s="232" t="s">
        <v>4</v>
      </c>
      <c r="B2" s="232"/>
      <c r="C2" s="234" t="s">
        <v>1169</v>
      </c>
      <c r="D2" s="234"/>
      <c r="E2" s="155">
        <v>0.23230000000000001</v>
      </c>
      <c r="F2" s="154"/>
      <c r="G2" s="154" t="s">
        <v>1170</v>
      </c>
      <c r="H2" s="154"/>
      <c r="I2" s="154"/>
      <c r="J2" s="154"/>
      <c r="K2" s="154"/>
      <c r="L2" s="154"/>
      <c r="M2" s="154"/>
      <c r="N2" s="154"/>
      <c r="O2" s="154"/>
      <c r="P2" s="154"/>
      <c r="Q2" s="154"/>
      <c r="R2" s="154"/>
      <c r="S2" s="154"/>
      <c r="T2" s="154"/>
      <c r="U2" s="154"/>
      <c r="V2" s="100"/>
      <c r="W2" s="100"/>
    </row>
    <row r="3" spans="1:23" ht="36.6" customHeight="1" x14ac:dyDescent="0.2">
      <c r="A3" s="156"/>
      <c r="B3" s="154" t="s">
        <v>1171</v>
      </c>
      <c r="C3" s="154"/>
      <c r="D3" s="154"/>
      <c r="E3" s="154"/>
      <c r="F3" s="154"/>
      <c r="G3" s="154"/>
      <c r="H3" s="154"/>
      <c r="I3" s="154"/>
      <c r="J3" s="154"/>
      <c r="K3" s="154"/>
      <c r="L3" s="154"/>
      <c r="M3" s="154"/>
      <c r="N3" s="154"/>
      <c r="O3" s="154"/>
      <c r="P3" s="154"/>
      <c r="Q3" s="154"/>
      <c r="R3" s="154"/>
      <c r="S3" s="154"/>
      <c r="T3" s="154"/>
      <c r="U3" s="154"/>
      <c r="V3" s="100"/>
      <c r="W3" s="100"/>
    </row>
    <row r="4" spans="1:23" ht="25.15" customHeight="1" x14ac:dyDescent="0.2">
      <c r="A4" s="157" t="s">
        <v>8</v>
      </c>
      <c r="B4" s="154" t="s">
        <v>11</v>
      </c>
      <c r="C4" s="154" t="s">
        <v>1172</v>
      </c>
      <c r="D4" s="154" t="s">
        <v>1173</v>
      </c>
      <c r="E4" s="154" t="s">
        <v>1174</v>
      </c>
      <c r="F4" s="154" t="s">
        <v>1175</v>
      </c>
      <c r="G4" s="154" t="s">
        <v>1176</v>
      </c>
      <c r="H4" s="154" t="s">
        <v>1177</v>
      </c>
      <c r="I4" s="154" t="s">
        <v>1178</v>
      </c>
      <c r="J4" s="158" t="s">
        <v>1179</v>
      </c>
      <c r="K4" s="154" t="s">
        <v>1180</v>
      </c>
      <c r="L4" s="154" t="s">
        <v>1181</v>
      </c>
      <c r="M4" s="154" t="s">
        <v>1182</v>
      </c>
      <c r="N4" s="154" t="s">
        <v>1183</v>
      </c>
      <c r="O4" s="158" t="s">
        <v>1184</v>
      </c>
      <c r="P4" s="154" t="s">
        <v>1185</v>
      </c>
      <c r="Q4" s="154" t="s">
        <v>1186</v>
      </c>
      <c r="R4" s="154" t="s">
        <v>1187</v>
      </c>
      <c r="S4" s="154" t="s">
        <v>1188</v>
      </c>
      <c r="T4" s="154" t="s">
        <v>1189</v>
      </c>
      <c r="U4" s="154" t="s">
        <v>1190</v>
      </c>
      <c r="V4" s="101"/>
      <c r="W4" s="101"/>
    </row>
    <row r="5" spans="1:23" ht="25.15" customHeight="1" x14ac:dyDescent="0.2">
      <c r="A5" s="159" t="s">
        <v>1191</v>
      </c>
      <c r="B5" s="160" t="s">
        <v>18</v>
      </c>
      <c r="C5" s="161">
        <v>1</v>
      </c>
      <c r="D5" s="162"/>
      <c r="E5" s="162"/>
      <c r="F5" s="163">
        <v>0.769306342388966</v>
      </c>
      <c r="G5" s="163">
        <v>0.230693657611034</v>
      </c>
      <c r="H5" s="162"/>
      <c r="I5" s="162"/>
      <c r="J5" s="162"/>
      <c r="K5" s="162"/>
      <c r="L5" s="162"/>
      <c r="M5" s="162"/>
      <c r="N5" s="162"/>
      <c r="O5" s="162"/>
      <c r="P5" s="162"/>
      <c r="Q5" s="162"/>
      <c r="R5" s="162"/>
      <c r="S5" s="162"/>
      <c r="T5" s="162"/>
      <c r="U5" s="162"/>
      <c r="V5" s="101"/>
      <c r="W5" s="101"/>
    </row>
    <row r="6" spans="1:23" ht="25.15" customHeight="1" x14ac:dyDescent="0.2">
      <c r="A6" s="159"/>
      <c r="B6" s="160"/>
      <c r="C6" s="164">
        <f>'PLANILHA RESUMIDA'!I5</f>
        <v>225484.51</v>
      </c>
      <c r="D6" s="162"/>
      <c r="E6" s="165"/>
      <c r="F6" s="166">
        <f>F5*C6</f>
        <v>173466.66365346825</v>
      </c>
      <c r="G6" s="166">
        <f>G5*C6</f>
        <v>52017.846346531776</v>
      </c>
      <c r="H6" s="165"/>
      <c r="I6" s="162"/>
      <c r="J6" s="162"/>
      <c r="K6" s="162"/>
      <c r="L6" s="162"/>
      <c r="M6" s="162"/>
      <c r="N6" s="162"/>
      <c r="O6" s="162"/>
      <c r="P6" s="162"/>
      <c r="Q6" s="162"/>
      <c r="R6" s="162"/>
      <c r="S6" s="162"/>
      <c r="T6" s="162"/>
      <c r="U6" s="162"/>
      <c r="V6" s="101"/>
      <c r="W6" s="101"/>
    </row>
    <row r="7" spans="1:23" ht="25.15" customHeight="1" x14ac:dyDescent="0.2">
      <c r="A7" s="159" t="s">
        <v>20</v>
      </c>
      <c r="B7" s="160" t="s">
        <v>21</v>
      </c>
      <c r="C7" s="161">
        <v>1</v>
      </c>
      <c r="D7" s="162"/>
      <c r="E7" s="162"/>
      <c r="F7" s="163">
        <v>1</v>
      </c>
      <c r="G7" s="162"/>
      <c r="H7" s="162"/>
      <c r="I7" s="162"/>
      <c r="J7" s="162"/>
      <c r="K7" s="162"/>
      <c r="L7" s="162"/>
      <c r="M7" s="162"/>
      <c r="N7" s="162"/>
      <c r="O7" s="162"/>
      <c r="P7" s="162"/>
      <c r="Q7" s="162"/>
      <c r="R7" s="162"/>
      <c r="S7" s="162"/>
      <c r="T7" s="162"/>
      <c r="U7" s="162"/>
      <c r="V7" s="101"/>
      <c r="W7" s="101"/>
    </row>
    <row r="8" spans="1:23" ht="25.15" customHeight="1" x14ac:dyDescent="0.2">
      <c r="A8" s="159"/>
      <c r="B8" s="160"/>
      <c r="C8" s="164">
        <f>'PLANILHA RESUMIDA'!I6</f>
        <v>173466.66</v>
      </c>
      <c r="D8" s="162"/>
      <c r="E8" s="162"/>
      <c r="F8" s="166">
        <f>F7*C8</f>
        <v>173466.66</v>
      </c>
      <c r="G8" s="162"/>
      <c r="H8" s="162"/>
      <c r="I8" s="162"/>
      <c r="J8" s="162"/>
      <c r="K8" s="162"/>
      <c r="L8" s="162"/>
      <c r="M8" s="162"/>
      <c r="N8" s="162"/>
      <c r="O8" s="162"/>
      <c r="P8" s="162"/>
      <c r="Q8" s="162"/>
      <c r="R8" s="162"/>
      <c r="S8" s="162"/>
      <c r="T8" s="162"/>
      <c r="U8" s="162"/>
      <c r="V8" s="101"/>
      <c r="W8" s="101"/>
    </row>
    <row r="9" spans="1:23" ht="25.15" customHeight="1" x14ac:dyDescent="0.2">
      <c r="A9" s="159" t="s">
        <v>30</v>
      </c>
      <c r="B9" s="160" t="s">
        <v>31</v>
      </c>
      <c r="C9" s="161">
        <v>1</v>
      </c>
      <c r="D9" s="162"/>
      <c r="E9" s="162"/>
      <c r="F9" s="162"/>
      <c r="G9" s="163">
        <v>1</v>
      </c>
      <c r="H9" s="162"/>
      <c r="I9" s="162"/>
      <c r="J9" s="162"/>
      <c r="K9" s="162"/>
      <c r="L9" s="162"/>
      <c r="M9" s="162"/>
      <c r="N9" s="162"/>
      <c r="O9" s="162"/>
      <c r="P9" s="162"/>
      <c r="Q9" s="162"/>
      <c r="R9" s="162"/>
      <c r="S9" s="162"/>
      <c r="T9" s="162"/>
      <c r="U9" s="162"/>
      <c r="V9" s="101"/>
      <c r="W9" s="101"/>
    </row>
    <row r="10" spans="1:23" ht="25.15" customHeight="1" x14ac:dyDescent="0.2">
      <c r="A10" s="159"/>
      <c r="B10" s="160"/>
      <c r="C10" s="164">
        <f>'PLANILHA RESUMIDA'!I7</f>
        <v>52017.850000000006</v>
      </c>
      <c r="D10" s="162"/>
      <c r="E10" s="162"/>
      <c r="F10" s="162"/>
      <c r="G10" s="166">
        <f>G9*C10</f>
        <v>52017.850000000006</v>
      </c>
      <c r="H10" s="162"/>
      <c r="I10" s="162"/>
      <c r="J10" s="162"/>
      <c r="K10" s="162"/>
      <c r="L10" s="162"/>
      <c r="M10" s="162"/>
      <c r="N10" s="162"/>
      <c r="O10" s="162"/>
      <c r="P10" s="162"/>
      <c r="Q10" s="162"/>
      <c r="R10" s="162"/>
      <c r="S10" s="162"/>
      <c r="T10" s="162"/>
      <c r="U10" s="162"/>
      <c r="V10" s="101"/>
      <c r="W10" s="101"/>
    </row>
    <row r="11" spans="1:23" ht="25.15" customHeight="1" x14ac:dyDescent="0.2">
      <c r="A11" s="159" t="s">
        <v>1192</v>
      </c>
      <c r="B11" s="160" t="s">
        <v>52</v>
      </c>
      <c r="C11" s="161">
        <v>1</v>
      </c>
      <c r="D11" s="162"/>
      <c r="E11" s="162"/>
      <c r="F11" s="162"/>
      <c r="G11" s="163">
        <v>6.67000029193935E-2</v>
      </c>
      <c r="H11" s="163">
        <v>6.6699999999999995E-2</v>
      </c>
      <c r="I11" s="163">
        <v>6.6699999999999995E-2</v>
      </c>
      <c r="J11" s="167">
        <v>6.6699999999999995E-2</v>
      </c>
      <c r="K11" s="163">
        <v>6.6699999999999995E-2</v>
      </c>
      <c r="L11" s="163">
        <v>6.6699999999999995E-2</v>
      </c>
      <c r="M11" s="163">
        <v>6.6699999999999995E-2</v>
      </c>
      <c r="N11" s="163">
        <v>6.6699999999999995E-2</v>
      </c>
      <c r="O11" s="167">
        <v>6.6699999999999995E-2</v>
      </c>
      <c r="P11" s="163">
        <v>6.6699999999999995E-2</v>
      </c>
      <c r="Q11" s="163">
        <v>6.6699999999999995E-2</v>
      </c>
      <c r="R11" s="163">
        <v>6.6699999999999995E-2</v>
      </c>
      <c r="S11" s="163">
        <v>6.6699999999999995E-2</v>
      </c>
      <c r="T11" s="163">
        <v>6.6699999999999995E-2</v>
      </c>
      <c r="U11" s="163">
        <v>6.6199997052542703E-2</v>
      </c>
      <c r="V11" s="101"/>
      <c r="W11" s="101"/>
    </row>
    <row r="12" spans="1:23" ht="25.15" customHeight="1" x14ac:dyDescent="0.2">
      <c r="A12" s="159"/>
      <c r="B12" s="160"/>
      <c r="C12" s="164">
        <f>'PLANILHA RESUMIDA'!I8</f>
        <v>988818.35000000009</v>
      </c>
      <c r="D12" s="162"/>
      <c r="E12" s="162"/>
      <c r="F12" s="168"/>
      <c r="G12" s="166">
        <f>G11*$C$12</f>
        <v>65954.186831749874</v>
      </c>
      <c r="H12" s="166">
        <f t="shared" ref="H12:T12" si="0">H11*$C$12</f>
        <v>65954.183944999997</v>
      </c>
      <c r="I12" s="166">
        <f t="shared" si="0"/>
        <v>65954.183944999997</v>
      </c>
      <c r="J12" s="166">
        <f t="shared" si="0"/>
        <v>65954.183944999997</v>
      </c>
      <c r="K12" s="166">
        <f t="shared" si="0"/>
        <v>65954.183944999997</v>
      </c>
      <c r="L12" s="166">
        <f t="shared" si="0"/>
        <v>65954.183944999997</v>
      </c>
      <c r="M12" s="166">
        <f t="shared" si="0"/>
        <v>65954.183944999997</v>
      </c>
      <c r="N12" s="166">
        <f t="shared" si="0"/>
        <v>65954.183944999997</v>
      </c>
      <c r="O12" s="166">
        <f t="shared" si="0"/>
        <v>65954.183944999997</v>
      </c>
      <c r="P12" s="166">
        <f t="shared" si="0"/>
        <v>65954.183944999997</v>
      </c>
      <c r="Q12" s="166">
        <f t="shared" si="0"/>
        <v>65954.183944999997</v>
      </c>
      <c r="R12" s="166">
        <f t="shared" si="0"/>
        <v>65954.183944999997</v>
      </c>
      <c r="S12" s="166">
        <f t="shared" si="0"/>
        <v>65954.183944999997</v>
      </c>
      <c r="T12" s="166">
        <f t="shared" si="0"/>
        <v>65954.183944999997</v>
      </c>
      <c r="U12" s="166">
        <f>U11*C12</f>
        <v>65459.771855500148</v>
      </c>
      <c r="V12" s="101"/>
      <c r="W12" s="101"/>
    </row>
    <row r="13" spans="1:23" ht="25.15" customHeight="1" x14ac:dyDescent="0.2">
      <c r="A13" s="159" t="s">
        <v>1193</v>
      </c>
      <c r="B13" s="160" t="s">
        <v>106</v>
      </c>
      <c r="C13" s="161">
        <v>1</v>
      </c>
      <c r="D13" s="162"/>
      <c r="E13" s="162"/>
      <c r="F13" s="162"/>
      <c r="G13" s="163">
        <v>0.64755411711826705</v>
      </c>
      <c r="H13" s="162"/>
      <c r="I13" s="162"/>
      <c r="J13" s="162"/>
      <c r="K13" s="162"/>
      <c r="L13" s="163">
        <v>0.35244588288173301</v>
      </c>
      <c r="M13" s="162"/>
      <c r="N13" s="162"/>
      <c r="O13" s="162"/>
      <c r="P13" s="162"/>
      <c r="Q13" s="162"/>
      <c r="R13" s="162"/>
      <c r="S13" s="162"/>
      <c r="T13" s="162"/>
      <c r="U13" s="162"/>
      <c r="V13" s="101"/>
      <c r="W13" s="101"/>
    </row>
    <row r="14" spans="1:23" ht="25.15" customHeight="1" x14ac:dyDescent="0.2">
      <c r="A14" s="159"/>
      <c r="B14" s="160"/>
      <c r="C14" s="164">
        <f>'PLANILHA RESUMIDA'!I12</f>
        <v>129751.90000000001</v>
      </c>
      <c r="D14" s="162"/>
      <c r="E14" s="162"/>
      <c r="F14" s="168"/>
      <c r="G14" s="166">
        <f>G13*C14</f>
        <v>84021.377048917682</v>
      </c>
      <c r="H14" s="162"/>
      <c r="I14" s="162"/>
      <c r="J14" s="162"/>
      <c r="K14" s="162"/>
      <c r="L14" s="166">
        <f>L13*C14</f>
        <v>45730.522951082334</v>
      </c>
      <c r="M14" s="165"/>
      <c r="N14" s="162"/>
      <c r="O14" s="162"/>
      <c r="P14" s="162"/>
      <c r="Q14" s="162"/>
      <c r="R14" s="162"/>
      <c r="S14" s="162"/>
      <c r="T14" s="162"/>
      <c r="U14" s="169"/>
      <c r="V14" s="101"/>
      <c r="W14" s="101"/>
    </row>
    <row r="15" spans="1:23" ht="25.15" customHeight="1" x14ac:dyDescent="0.2">
      <c r="A15" s="159" t="s">
        <v>107</v>
      </c>
      <c r="B15" s="160" t="s">
        <v>108</v>
      </c>
      <c r="C15" s="161">
        <v>1</v>
      </c>
      <c r="D15" s="162"/>
      <c r="E15" s="162"/>
      <c r="F15" s="162"/>
      <c r="G15" s="162"/>
      <c r="H15" s="162"/>
      <c r="I15" s="162"/>
      <c r="J15" s="162"/>
      <c r="K15" s="162"/>
      <c r="L15" s="163">
        <v>1</v>
      </c>
      <c r="M15" s="162"/>
      <c r="N15" s="162"/>
      <c r="O15" s="162"/>
      <c r="P15" s="162"/>
      <c r="Q15" s="162"/>
      <c r="R15" s="162"/>
      <c r="S15" s="162"/>
      <c r="T15" s="162"/>
      <c r="U15" s="162"/>
      <c r="V15" s="101"/>
      <c r="W15" s="101"/>
    </row>
    <row r="16" spans="1:23" ht="25.15" customHeight="1" x14ac:dyDescent="0.2">
      <c r="A16" s="159"/>
      <c r="B16" s="160"/>
      <c r="C16" s="164">
        <f>'PLANILHA RESUMIDA'!I13</f>
        <v>45730.520000000004</v>
      </c>
      <c r="D16" s="162"/>
      <c r="E16" s="162"/>
      <c r="F16" s="162"/>
      <c r="G16" s="162"/>
      <c r="H16" s="162"/>
      <c r="I16" s="162"/>
      <c r="J16" s="162"/>
      <c r="K16" s="162"/>
      <c r="L16" s="166">
        <f>L15*C16</f>
        <v>45730.520000000004</v>
      </c>
      <c r="M16" s="162"/>
      <c r="N16" s="162"/>
      <c r="O16" s="162"/>
      <c r="P16" s="162"/>
      <c r="Q16" s="162"/>
      <c r="R16" s="162"/>
      <c r="S16" s="162"/>
      <c r="T16" s="162"/>
      <c r="U16" s="162"/>
      <c r="V16" s="101"/>
      <c r="W16" s="101"/>
    </row>
    <row r="17" spans="1:23" ht="25.15" customHeight="1" x14ac:dyDescent="0.2">
      <c r="A17" s="159" t="s">
        <v>119</v>
      </c>
      <c r="B17" s="160" t="s">
        <v>120</v>
      </c>
      <c r="C17" s="161">
        <v>1</v>
      </c>
      <c r="D17" s="162"/>
      <c r="E17" s="162"/>
      <c r="F17" s="162"/>
      <c r="G17" s="163">
        <v>1</v>
      </c>
      <c r="H17" s="162"/>
      <c r="I17" s="162"/>
      <c r="J17" s="162"/>
      <c r="K17" s="162"/>
      <c r="L17" s="162"/>
      <c r="M17" s="162"/>
      <c r="N17" s="162"/>
      <c r="O17" s="162"/>
      <c r="P17" s="162"/>
      <c r="Q17" s="162"/>
      <c r="R17" s="162"/>
      <c r="S17" s="162"/>
      <c r="T17" s="162"/>
      <c r="U17" s="162"/>
      <c r="V17" s="101"/>
      <c r="W17" s="101"/>
    </row>
    <row r="18" spans="1:23" ht="25.15" customHeight="1" x14ac:dyDescent="0.2">
      <c r="A18" s="159"/>
      <c r="B18" s="160"/>
      <c r="C18" s="164">
        <f>'PLANILHA RESUMIDA'!I14</f>
        <v>28056.92</v>
      </c>
      <c r="D18" s="162"/>
      <c r="E18" s="162"/>
      <c r="F18" s="162"/>
      <c r="G18" s="166">
        <f>G17*C18</f>
        <v>28056.92</v>
      </c>
      <c r="H18" s="162"/>
      <c r="I18" s="162"/>
      <c r="J18" s="162"/>
      <c r="K18" s="162"/>
      <c r="L18" s="162"/>
      <c r="M18" s="162"/>
      <c r="N18" s="162"/>
      <c r="O18" s="162"/>
      <c r="P18" s="162"/>
      <c r="Q18" s="162"/>
      <c r="R18" s="162"/>
      <c r="S18" s="162"/>
      <c r="T18" s="162"/>
      <c r="U18" s="162"/>
      <c r="V18" s="101"/>
      <c r="W18" s="101"/>
    </row>
    <row r="19" spans="1:23" ht="25.15" customHeight="1" x14ac:dyDescent="0.2">
      <c r="A19" s="159" t="s">
        <v>136</v>
      </c>
      <c r="B19" s="160" t="s">
        <v>137</v>
      </c>
      <c r="C19" s="161">
        <v>1</v>
      </c>
      <c r="D19" s="162"/>
      <c r="E19" s="162"/>
      <c r="F19" s="162"/>
      <c r="G19" s="163">
        <v>1</v>
      </c>
      <c r="H19" s="162"/>
      <c r="I19" s="162"/>
      <c r="J19" s="162"/>
      <c r="K19" s="162"/>
      <c r="L19" s="162"/>
      <c r="M19" s="162"/>
      <c r="N19" s="162"/>
      <c r="O19" s="162"/>
      <c r="P19" s="162"/>
      <c r="Q19" s="162"/>
      <c r="R19" s="162"/>
      <c r="S19" s="162"/>
      <c r="T19" s="162"/>
      <c r="U19" s="162"/>
      <c r="V19" s="101"/>
      <c r="W19" s="101"/>
    </row>
    <row r="20" spans="1:23" ht="25.15" customHeight="1" x14ac:dyDescent="0.2">
      <c r="A20" s="159"/>
      <c r="B20" s="160"/>
      <c r="C20" s="164">
        <f>'PLANILHA RESUMIDA'!I15</f>
        <v>55964.460000000006</v>
      </c>
      <c r="D20" s="162"/>
      <c r="E20" s="162"/>
      <c r="F20" s="162"/>
      <c r="G20" s="166">
        <f>G19*C20</f>
        <v>55964.460000000006</v>
      </c>
      <c r="H20" s="162"/>
      <c r="I20" s="162"/>
      <c r="J20" s="162"/>
      <c r="K20" s="162"/>
      <c r="L20" s="162"/>
      <c r="M20" s="162"/>
      <c r="N20" s="162"/>
      <c r="O20" s="162"/>
      <c r="P20" s="162"/>
      <c r="Q20" s="162"/>
      <c r="R20" s="162"/>
      <c r="S20" s="162"/>
      <c r="T20" s="162"/>
      <c r="U20" s="162"/>
      <c r="V20" s="101"/>
      <c r="W20" s="101"/>
    </row>
    <row r="21" spans="1:23" ht="25.15" customHeight="1" x14ac:dyDescent="0.2">
      <c r="A21" s="159" t="s">
        <v>1194</v>
      </c>
      <c r="B21" s="160" t="s">
        <v>154</v>
      </c>
      <c r="C21" s="161">
        <v>1</v>
      </c>
      <c r="D21" s="162"/>
      <c r="E21" s="162"/>
      <c r="F21" s="162"/>
      <c r="G21" s="162"/>
      <c r="H21" s="163">
        <v>1</v>
      </c>
      <c r="I21" s="162"/>
      <c r="J21" s="162"/>
      <c r="K21" s="162"/>
      <c r="L21" s="162"/>
      <c r="M21" s="162"/>
      <c r="N21" s="162"/>
      <c r="O21" s="162"/>
      <c r="P21" s="162"/>
      <c r="Q21" s="162"/>
      <c r="R21" s="162"/>
      <c r="S21" s="162"/>
      <c r="T21" s="162"/>
      <c r="U21" s="162"/>
      <c r="V21" s="101"/>
      <c r="W21" s="101"/>
    </row>
    <row r="22" spans="1:23" ht="25.15" customHeight="1" x14ac:dyDescent="0.2">
      <c r="A22" s="159"/>
      <c r="B22" s="160"/>
      <c r="C22" s="164">
        <f>'PLANILHA RESUMIDA'!I16</f>
        <v>498154.44</v>
      </c>
      <c r="D22" s="162"/>
      <c r="E22" s="162"/>
      <c r="F22" s="162"/>
      <c r="G22" s="162"/>
      <c r="H22" s="166">
        <f>H21*C22</f>
        <v>498154.44</v>
      </c>
      <c r="I22" s="162"/>
      <c r="J22" s="162"/>
      <c r="K22" s="162"/>
      <c r="L22" s="162"/>
      <c r="M22" s="162"/>
      <c r="N22" s="162"/>
      <c r="O22" s="162"/>
      <c r="P22" s="162"/>
      <c r="Q22" s="162"/>
      <c r="R22" s="162"/>
      <c r="S22" s="162"/>
      <c r="T22" s="162"/>
      <c r="U22" s="162"/>
      <c r="V22" s="102"/>
      <c r="W22" s="102"/>
    </row>
    <row r="23" spans="1:23" ht="25.15" customHeight="1" x14ac:dyDescent="0.2">
      <c r="A23" s="159" t="s">
        <v>155</v>
      </c>
      <c r="B23" s="160" t="s">
        <v>156</v>
      </c>
      <c r="C23" s="161">
        <v>1</v>
      </c>
      <c r="D23" s="162"/>
      <c r="E23" s="162"/>
      <c r="F23" s="162"/>
      <c r="G23" s="162"/>
      <c r="H23" s="163">
        <v>1</v>
      </c>
      <c r="I23" s="162"/>
      <c r="J23" s="162"/>
      <c r="K23" s="162"/>
      <c r="L23" s="162"/>
      <c r="M23" s="162"/>
      <c r="N23" s="162"/>
      <c r="O23" s="162"/>
      <c r="P23" s="162"/>
      <c r="Q23" s="162"/>
      <c r="R23" s="162"/>
      <c r="S23" s="162"/>
      <c r="T23" s="162"/>
      <c r="U23" s="162"/>
      <c r="V23" s="101"/>
      <c r="W23" s="101"/>
    </row>
    <row r="24" spans="1:23" ht="25.15" customHeight="1" x14ac:dyDescent="0.2">
      <c r="A24" s="159"/>
      <c r="B24" s="160"/>
      <c r="C24" s="164">
        <f>'PLANILHA RESUMIDA'!I17</f>
        <v>32455.040000000001</v>
      </c>
      <c r="D24" s="162"/>
      <c r="E24" s="162"/>
      <c r="F24" s="162"/>
      <c r="G24" s="162"/>
      <c r="H24" s="166">
        <f>H23*C24</f>
        <v>32455.040000000001</v>
      </c>
      <c r="I24" s="162"/>
      <c r="J24" s="162"/>
      <c r="K24" s="162"/>
      <c r="L24" s="162"/>
      <c r="M24" s="162"/>
      <c r="N24" s="162"/>
      <c r="O24" s="162"/>
      <c r="P24" s="162"/>
      <c r="Q24" s="162"/>
      <c r="R24" s="162"/>
      <c r="S24" s="162"/>
      <c r="T24" s="162"/>
      <c r="U24" s="162"/>
      <c r="V24" s="102"/>
      <c r="W24" s="102"/>
    </row>
    <row r="25" spans="1:23" ht="25.15" customHeight="1" x14ac:dyDescent="0.2">
      <c r="A25" s="159" t="s">
        <v>163</v>
      </c>
      <c r="B25" s="160" t="s">
        <v>164</v>
      </c>
      <c r="C25" s="161">
        <v>1</v>
      </c>
      <c r="D25" s="162"/>
      <c r="E25" s="162"/>
      <c r="F25" s="162"/>
      <c r="G25" s="162"/>
      <c r="H25" s="163">
        <v>1</v>
      </c>
      <c r="I25" s="162"/>
      <c r="J25" s="162"/>
      <c r="K25" s="162"/>
      <c r="L25" s="162"/>
      <c r="M25" s="162"/>
      <c r="N25" s="162"/>
      <c r="O25" s="162"/>
      <c r="P25" s="162"/>
      <c r="Q25" s="162"/>
      <c r="R25" s="162"/>
      <c r="S25" s="162"/>
      <c r="T25" s="162"/>
      <c r="U25" s="162"/>
      <c r="V25" s="101"/>
      <c r="W25" s="101"/>
    </row>
    <row r="26" spans="1:23" ht="25.15" customHeight="1" x14ac:dyDescent="0.2">
      <c r="A26" s="159"/>
      <c r="B26" s="160"/>
      <c r="C26" s="164">
        <f>'PLANILHA RESUMIDA'!I18</f>
        <v>465699.4</v>
      </c>
      <c r="D26" s="162"/>
      <c r="E26" s="162"/>
      <c r="F26" s="162"/>
      <c r="G26" s="162"/>
      <c r="H26" s="166">
        <f>H25*C26</f>
        <v>465699.4</v>
      </c>
      <c r="I26" s="170"/>
      <c r="J26" s="170"/>
      <c r="K26" s="170"/>
      <c r="L26" s="170"/>
      <c r="M26" s="162"/>
      <c r="N26" s="162"/>
      <c r="O26" s="162"/>
      <c r="P26" s="162"/>
      <c r="Q26" s="162"/>
      <c r="R26" s="162"/>
      <c r="S26" s="162"/>
      <c r="T26" s="162"/>
      <c r="U26" s="162"/>
      <c r="V26" s="102"/>
      <c r="W26" s="102"/>
    </row>
    <row r="27" spans="1:23" ht="25.15" customHeight="1" x14ac:dyDescent="0.2">
      <c r="A27" s="159" t="s">
        <v>1195</v>
      </c>
      <c r="B27" s="160" t="s">
        <v>169</v>
      </c>
      <c r="C27" s="161">
        <v>1</v>
      </c>
      <c r="D27" s="162"/>
      <c r="E27" s="162"/>
      <c r="F27" s="162"/>
      <c r="G27" s="162"/>
      <c r="H27" s="162"/>
      <c r="I27" s="163">
        <v>0.13843230440823301</v>
      </c>
      <c r="J27" s="167">
        <v>9.7621693924983099E-2</v>
      </c>
      <c r="K27" s="163">
        <v>0.60525296239216497</v>
      </c>
      <c r="L27" s="163">
        <v>0.158693039274619</v>
      </c>
      <c r="M27" s="162"/>
      <c r="N27" s="162"/>
      <c r="O27" s="162"/>
      <c r="P27" s="162"/>
      <c r="Q27" s="162"/>
      <c r="R27" s="162"/>
      <c r="S27" s="162"/>
      <c r="T27" s="162"/>
      <c r="U27" s="162"/>
      <c r="V27" s="101"/>
      <c r="W27" s="101"/>
    </row>
    <row r="28" spans="1:23" ht="25.15" customHeight="1" x14ac:dyDescent="0.2">
      <c r="A28" s="159"/>
      <c r="B28" s="160"/>
      <c r="C28" s="164">
        <f>'PLANILHA RESUMIDA'!I19</f>
        <v>1522459.14</v>
      </c>
      <c r="D28" s="162"/>
      <c r="E28" s="162"/>
      <c r="F28" s="162"/>
      <c r="G28" s="162"/>
      <c r="H28" s="162"/>
      <c r="I28" s="166">
        <f>I27*$C$28</f>
        <v>210757.52711757662</v>
      </c>
      <c r="J28" s="166">
        <f t="shared" ref="J28:L28" si="1">J27*$C$28</f>
        <v>148625.04017837299</v>
      </c>
      <c r="K28" s="166">
        <f t="shared" si="1"/>
        <v>921472.90460602776</v>
      </c>
      <c r="L28" s="166">
        <f t="shared" si="1"/>
        <v>241603.66809802267</v>
      </c>
      <c r="M28" s="162"/>
      <c r="N28" s="162"/>
      <c r="O28" s="162"/>
      <c r="P28" s="162"/>
      <c r="Q28" s="162"/>
      <c r="R28" s="162"/>
      <c r="S28" s="162"/>
      <c r="T28" s="162"/>
      <c r="U28" s="162"/>
      <c r="V28" s="101"/>
      <c r="W28" s="101"/>
    </row>
    <row r="29" spans="1:23" ht="25.15" customHeight="1" x14ac:dyDescent="0.2">
      <c r="A29" s="159" t="s">
        <v>170</v>
      </c>
      <c r="B29" s="160" t="s">
        <v>171</v>
      </c>
      <c r="C29" s="161">
        <v>1</v>
      </c>
      <c r="D29" s="162"/>
      <c r="E29" s="162"/>
      <c r="F29" s="162"/>
      <c r="G29" s="162"/>
      <c r="H29" s="162"/>
      <c r="I29" s="163">
        <v>1</v>
      </c>
      <c r="J29" s="162"/>
      <c r="K29" s="162"/>
      <c r="L29" s="162"/>
      <c r="M29" s="162"/>
      <c r="N29" s="162"/>
      <c r="O29" s="162"/>
      <c r="P29" s="162"/>
      <c r="Q29" s="162"/>
      <c r="R29" s="162"/>
      <c r="S29" s="162"/>
      <c r="T29" s="162"/>
      <c r="U29" s="162"/>
      <c r="V29" s="101"/>
      <c r="W29" s="101"/>
    </row>
    <row r="30" spans="1:23" ht="25.15" customHeight="1" x14ac:dyDescent="0.2">
      <c r="A30" s="159"/>
      <c r="B30" s="160"/>
      <c r="C30" s="164">
        <f>'PLANILHA RESUMIDA'!I20</f>
        <v>210757.52999999997</v>
      </c>
      <c r="D30" s="162"/>
      <c r="E30" s="162"/>
      <c r="F30" s="162"/>
      <c r="G30" s="162"/>
      <c r="H30" s="162"/>
      <c r="I30" s="166">
        <f>I29*C30</f>
        <v>210757.52999999997</v>
      </c>
      <c r="J30" s="162"/>
      <c r="K30" s="162"/>
      <c r="L30" s="162"/>
      <c r="M30" s="162"/>
      <c r="N30" s="162"/>
      <c r="O30" s="162"/>
      <c r="P30" s="162"/>
      <c r="Q30" s="162"/>
      <c r="R30" s="162"/>
      <c r="S30" s="162"/>
      <c r="T30" s="162"/>
      <c r="U30" s="162"/>
      <c r="V30" s="101"/>
      <c r="W30" s="101"/>
    </row>
    <row r="31" spans="1:23" ht="25.15" customHeight="1" x14ac:dyDescent="0.2">
      <c r="A31" s="159" t="s">
        <v>195</v>
      </c>
      <c r="B31" s="160" t="s">
        <v>196</v>
      </c>
      <c r="C31" s="161">
        <v>1</v>
      </c>
      <c r="D31" s="162"/>
      <c r="E31" s="162"/>
      <c r="F31" s="162"/>
      <c r="G31" s="162"/>
      <c r="H31" s="162"/>
      <c r="I31" s="162"/>
      <c r="J31" s="167">
        <v>1</v>
      </c>
      <c r="K31" s="162"/>
      <c r="L31" s="162"/>
      <c r="M31" s="162"/>
      <c r="N31" s="162"/>
      <c r="O31" s="162"/>
      <c r="P31" s="162"/>
      <c r="Q31" s="162"/>
      <c r="R31" s="162"/>
      <c r="S31" s="162"/>
      <c r="T31" s="162"/>
      <c r="U31" s="162"/>
      <c r="V31" s="101"/>
      <c r="W31" s="101"/>
    </row>
    <row r="32" spans="1:23" ht="25.15" customHeight="1" x14ac:dyDescent="0.2">
      <c r="A32" s="159"/>
      <c r="B32" s="160"/>
      <c r="C32" s="164">
        <f>'PLANILHA RESUMIDA'!I21</f>
        <v>148625.05000000002</v>
      </c>
      <c r="D32" s="162"/>
      <c r="E32" s="162"/>
      <c r="F32" s="162"/>
      <c r="G32" s="162"/>
      <c r="H32" s="162"/>
      <c r="I32" s="162"/>
      <c r="J32" s="171">
        <f>J31*C32</f>
        <v>148625.05000000002</v>
      </c>
      <c r="K32" s="162"/>
      <c r="L32" s="162"/>
      <c r="M32" s="162"/>
      <c r="N32" s="162"/>
      <c r="O32" s="162"/>
      <c r="P32" s="162"/>
      <c r="Q32" s="162"/>
      <c r="R32" s="162"/>
      <c r="S32" s="162"/>
      <c r="T32" s="162"/>
      <c r="U32" s="162"/>
      <c r="V32" s="101"/>
      <c r="W32" s="101"/>
    </row>
    <row r="33" spans="1:23" ht="25.15" customHeight="1" x14ac:dyDescent="0.2">
      <c r="A33" s="159" t="s">
        <v>211</v>
      </c>
      <c r="B33" s="160" t="s">
        <v>212</v>
      </c>
      <c r="C33" s="161">
        <v>1</v>
      </c>
      <c r="D33" s="162"/>
      <c r="E33" s="162"/>
      <c r="F33" s="162"/>
      <c r="G33" s="162"/>
      <c r="H33" s="162"/>
      <c r="I33" s="162"/>
      <c r="J33" s="162"/>
      <c r="K33" s="163">
        <v>1</v>
      </c>
      <c r="L33" s="162"/>
      <c r="M33" s="162"/>
      <c r="N33" s="162"/>
      <c r="O33" s="162"/>
      <c r="P33" s="162"/>
      <c r="Q33" s="162"/>
      <c r="R33" s="162"/>
      <c r="S33" s="162"/>
      <c r="T33" s="162"/>
      <c r="U33" s="162"/>
      <c r="V33" s="101"/>
      <c r="W33" s="101"/>
    </row>
    <row r="34" spans="1:23" ht="25.15" customHeight="1" x14ac:dyDescent="0.2">
      <c r="A34" s="159"/>
      <c r="B34" s="160"/>
      <c r="C34" s="164">
        <f>'PLANILHA RESUMIDA'!I22</f>
        <v>921472.93</v>
      </c>
      <c r="D34" s="162"/>
      <c r="E34" s="162"/>
      <c r="F34" s="162"/>
      <c r="G34" s="162"/>
      <c r="H34" s="162"/>
      <c r="I34" s="162"/>
      <c r="J34" s="162"/>
      <c r="K34" s="166">
        <f>K33*C34</f>
        <v>921472.93</v>
      </c>
      <c r="L34" s="162"/>
      <c r="M34" s="162"/>
      <c r="N34" s="162"/>
      <c r="O34" s="162"/>
      <c r="P34" s="162"/>
      <c r="Q34" s="162"/>
      <c r="R34" s="162"/>
      <c r="S34" s="162"/>
      <c r="T34" s="162"/>
      <c r="U34" s="162"/>
      <c r="V34" s="101"/>
      <c r="W34" s="101"/>
    </row>
    <row r="35" spans="1:23" ht="25.15" customHeight="1" x14ac:dyDescent="0.2">
      <c r="A35" s="159" t="s">
        <v>238</v>
      </c>
      <c r="B35" s="160" t="s">
        <v>239</v>
      </c>
      <c r="C35" s="161">
        <v>1</v>
      </c>
      <c r="D35" s="162"/>
      <c r="E35" s="162"/>
      <c r="F35" s="162"/>
      <c r="G35" s="162"/>
      <c r="H35" s="162"/>
      <c r="I35" s="162"/>
      <c r="J35" s="162"/>
      <c r="K35" s="162"/>
      <c r="L35" s="163">
        <v>1</v>
      </c>
      <c r="M35" s="162"/>
      <c r="N35" s="162"/>
      <c r="O35" s="162"/>
      <c r="P35" s="162"/>
      <c r="Q35" s="162"/>
      <c r="R35" s="162"/>
      <c r="S35" s="162"/>
      <c r="T35" s="162"/>
      <c r="U35" s="162"/>
      <c r="V35" s="101"/>
      <c r="W35" s="101"/>
    </row>
    <row r="36" spans="1:23" ht="25.15" customHeight="1" x14ac:dyDescent="0.2">
      <c r="A36" s="159"/>
      <c r="B36" s="160"/>
      <c r="C36" s="164">
        <f>'PLANILHA RESUMIDA'!I23</f>
        <v>14107.949999999999</v>
      </c>
      <c r="D36" s="162"/>
      <c r="E36" s="162"/>
      <c r="F36" s="162"/>
      <c r="G36" s="162"/>
      <c r="H36" s="162"/>
      <c r="I36" s="162"/>
      <c r="J36" s="162"/>
      <c r="K36" s="162"/>
      <c r="L36" s="166">
        <f>L35*C36</f>
        <v>14107.949999999999</v>
      </c>
      <c r="M36" s="162"/>
      <c r="N36" s="162"/>
      <c r="O36" s="162"/>
      <c r="P36" s="162"/>
      <c r="Q36" s="162"/>
      <c r="R36" s="162"/>
      <c r="S36" s="162"/>
      <c r="T36" s="162"/>
      <c r="U36" s="162"/>
      <c r="V36" s="101"/>
      <c r="W36" s="101"/>
    </row>
    <row r="37" spans="1:23" ht="25.15" customHeight="1" x14ac:dyDescent="0.2">
      <c r="A37" s="159" t="s">
        <v>252</v>
      </c>
      <c r="B37" s="160" t="s">
        <v>253</v>
      </c>
      <c r="C37" s="161">
        <v>1</v>
      </c>
      <c r="D37" s="162"/>
      <c r="E37" s="162"/>
      <c r="F37" s="162"/>
      <c r="G37" s="162"/>
      <c r="H37" s="162"/>
      <c r="I37" s="162"/>
      <c r="J37" s="162"/>
      <c r="K37" s="162"/>
      <c r="L37" s="163">
        <v>1</v>
      </c>
      <c r="M37" s="162"/>
      <c r="N37" s="162"/>
      <c r="O37" s="162"/>
      <c r="P37" s="162"/>
      <c r="Q37" s="162"/>
      <c r="R37" s="162"/>
      <c r="S37" s="162"/>
      <c r="T37" s="162"/>
      <c r="U37" s="162"/>
      <c r="V37" s="101"/>
      <c r="W37" s="101"/>
    </row>
    <row r="38" spans="1:23" ht="25.15" customHeight="1" x14ac:dyDescent="0.2">
      <c r="A38" s="159"/>
      <c r="B38" s="160"/>
      <c r="C38" s="164">
        <f>'PLANILHA RESUMIDA'!I24</f>
        <v>98390.52</v>
      </c>
      <c r="D38" s="162"/>
      <c r="E38" s="162"/>
      <c r="F38" s="162"/>
      <c r="G38" s="162"/>
      <c r="H38" s="162"/>
      <c r="I38" s="162"/>
      <c r="J38" s="162"/>
      <c r="K38" s="162"/>
      <c r="L38" s="166">
        <f>L37*C38</f>
        <v>98390.52</v>
      </c>
      <c r="M38" s="162"/>
      <c r="N38" s="162"/>
      <c r="O38" s="162"/>
      <c r="P38" s="162"/>
      <c r="Q38" s="162"/>
      <c r="R38" s="162"/>
      <c r="S38" s="162"/>
      <c r="T38" s="162"/>
      <c r="U38" s="162"/>
      <c r="V38" s="101"/>
      <c r="W38" s="101"/>
    </row>
    <row r="39" spans="1:23" ht="25.15" customHeight="1" x14ac:dyDescent="0.2">
      <c r="A39" s="159" t="s">
        <v>274</v>
      </c>
      <c r="B39" s="160" t="s">
        <v>275</v>
      </c>
      <c r="C39" s="161">
        <v>1</v>
      </c>
      <c r="D39" s="162"/>
      <c r="E39" s="162"/>
      <c r="F39" s="162"/>
      <c r="G39" s="162"/>
      <c r="H39" s="162"/>
      <c r="I39" s="162"/>
      <c r="J39" s="162"/>
      <c r="K39" s="162"/>
      <c r="L39" s="163">
        <v>1</v>
      </c>
      <c r="M39" s="162"/>
      <c r="N39" s="162"/>
      <c r="O39" s="162"/>
      <c r="P39" s="162"/>
      <c r="Q39" s="162"/>
      <c r="R39" s="162"/>
      <c r="S39" s="162"/>
      <c r="T39" s="162"/>
      <c r="U39" s="162"/>
      <c r="V39" s="101"/>
      <c r="W39" s="101"/>
    </row>
    <row r="40" spans="1:23" ht="25.15" customHeight="1" x14ac:dyDescent="0.2">
      <c r="A40" s="159"/>
      <c r="B40" s="160"/>
      <c r="C40" s="164">
        <f>'PLANILHA RESUMIDA'!I25</f>
        <v>129105.16</v>
      </c>
      <c r="D40" s="162"/>
      <c r="E40" s="162"/>
      <c r="F40" s="162"/>
      <c r="G40" s="162"/>
      <c r="H40" s="162"/>
      <c r="I40" s="162"/>
      <c r="J40" s="162"/>
      <c r="K40" s="162"/>
      <c r="L40" s="166">
        <f>L39*C40</f>
        <v>129105.16</v>
      </c>
      <c r="M40" s="162"/>
      <c r="N40" s="162"/>
      <c r="O40" s="162"/>
      <c r="P40" s="162"/>
      <c r="Q40" s="162"/>
      <c r="R40" s="162"/>
      <c r="S40" s="162"/>
      <c r="T40" s="162"/>
      <c r="U40" s="162"/>
      <c r="V40" s="101"/>
      <c r="W40" s="101"/>
    </row>
    <row r="41" spans="1:23" ht="25.15" customHeight="1" x14ac:dyDescent="0.2">
      <c r="A41" s="159" t="s">
        <v>1196</v>
      </c>
      <c r="B41" s="160" t="s">
        <v>288</v>
      </c>
      <c r="C41" s="161">
        <v>1</v>
      </c>
      <c r="D41" s="162"/>
      <c r="E41" s="162"/>
      <c r="F41" s="162"/>
      <c r="G41" s="162"/>
      <c r="H41" s="162"/>
      <c r="I41" s="162"/>
      <c r="J41" s="162"/>
      <c r="K41" s="162"/>
      <c r="L41" s="163">
        <v>7.6668565201636701E-2</v>
      </c>
      <c r="M41" s="163">
        <v>0.17199099563553699</v>
      </c>
      <c r="N41" s="163">
        <v>0.17919799895390601</v>
      </c>
      <c r="O41" s="167">
        <v>0.153790613873176</v>
      </c>
      <c r="P41" s="163">
        <v>0.25051634661472999</v>
      </c>
      <c r="Q41" s="162"/>
      <c r="R41" s="162"/>
      <c r="S41" s="163">
        <v>0.16783547972101401</v>
      </c>
      <c r="T41" s="162"/>
      <c r="U41" s="162"/>
      <c r="V41" s="101"/>
      <c r="W41" s="101"/>
    </row>
    <row r="42" spans="1:23" ht="25.15" customHeight="1" x14ac:dyDescent="0.2">
      <c r="A42" s="159"/>
      <c r="B42" s="160"/>
      <c r="C42" s="164">
        <f>'PLANILHA RESUMIDA'!I26</f>
        <v>2099381.87</v>
      </c>
      <c r="D42" s="162"/>
      <c r="E42" s="162"/>
      <c r="F42" s="162"/>
      <c r="G42" s="162"/>
      <c r="H42" s="162"/>
      <c r="I42" s="162"/>
      <c r="J42" s="162"/>
      <c r="K42" s="162"/>
      <c r="L42" s="166">
        <f>L41*$C$42</f>
        <v>160956.59578322899</v>
      </c>
      <c r="M42" s="166">
        <f t="shared" ref="M42:P42" si="2">M41*$C$42</f>
        <v>361074.77804049553</v>
      </c>
      <c r="N42" s="166">
        <f t="shared" si="2"/>
        <v>376205.03014410927</v>
      </c>
      <c r="O42" s="166">
        <f t="shared" si="2"/>
        <v>322865.2265415162</v>
      </c>
      <c r="P42" s="166">
        <f t="shared" si="2"/>
        <v>525929.47622160008</v>
      </c>
      <c r="Q42" s="162"/>
      <c r="R42" s="162"/>
      <c r="S42" s="166">
        <f>S41*C42</f>
        <v>352350.76326904946</v>
      </c>
      <c r="T42" s="162"/>
      <c r="U42" s="162"/>
      <c r="V42" s="101"/>
      <c r="W42" s="101"/>
    </row>
    <row r="43" spans="1:23" ht="25.15" customHeight="1" x14ac:dyDescent="0.2">
      <c r="A43" s="159" t="s">
        <v>289</v>
      </c>
      <c r="B43" s="160" t="s">
        <v>290</v>
      </c>
      <c r="C43" s="161">
        <v>1</v>
      </c>
      <c r="D43" s="162"/>
      <c r="E43" s="162"/>
      <c r="F43" s="162"/>
      <c r="G43" s="162"/>
      <c r="H43" s="162"/>
      <c r="I43" s="162"/>
      <c r="J43" s="162"/>
      <c r="K43" s="162"/>
      <c r="L43" s="163">
        <v>1</v>
      </c>
      <c r="M43" s="162"/>
      <c r="N43" s="162"/>
      <c r="O43" s="162"/>
      <c r="P43" s="162"/>
      <c r="Q43" s="162"/>
      <c r="R43" s="162"/>
      <c r="S43" s="162"/>
      <c r="T43" s="162"/>
      <c r="U43" s="162"/>
      <c r="V43" s="101"/>
      <c r="W43" s="101"/>
    </row>
    <row r="44" spans="1:23" ht="25.15" customHeight="1" x14ac:dyDescent="0.2">
      <c r="A44" s="159"/>
      <c r="B44" s="160"/>
      <c r="C44" s="164">
        <f>'PLANILHA RESUMIDA'!I27</f>
        <v>160956.59000000003</v>
      </c>
      <c r="D44" s="162"/>
      <c r="E44" s="162"/>
      <c r="F44" s="162"/>
      <c r="G44" s="162"/>
      <c r="H44" s="162"/>
      <c r="I44" s="162"/>
      <c r="J44" s="162"/>
      <c r="K44" s="162"/>
      <c r="L44" s="166">
        <f>L43*C44</f>
        <v>160956.59000000003</v>
      </c>
      <c r="M44" s="162"/>
      <c r="N44" s="162"/>
      <c r="O44" s="162"/>
      <c r="P44" s="162"/>
      <c r="Q44" s="162"/>
      <c r="R44" s="162"/>
      <c r="S44" s="162"/>
      <c r="T44" s="162"/>
      <c r="U44" s="162"/>
      <c r="V44" s="101"/>
      <c r="W44" s="101"/>
    </row>
    <row r="45" spans="1:23" ht="25.15" customHeight="1" x14ac:dyDescent="0.2">
      <c r="A45" s="159" t="s">
        <v>305</v>
      </c>
      <c r="B45" s="160" t="s">
        <v>306</v>
      </c>
      <c r="C45" s="161">
        <v>1</v>
      </c>
      <c r="D45" s="162"/>
      <c r="E45" s="162"/>
      <c r="F45" s="162"/>
      <c r="G45" s="162"/>
      <c r="H45" s="162"/>
      <c r="I45" s="162"/>
      <c r="J45" s="162"/>
      <c r="K45" s="162"/>
      <c r="L45" s="162"/>
      <c r="M45" s="162"/>
      <c r="N45" s="163">
        <v>1</v>
      </c>
      <c r="O45" s="162"/>
      <c r="P45" s="162"/>
      <c r="Q45" s="162"/>
      <c r="R45" s="162"/>
      <c r="S45" s="162"/>
      <c r="T45" s="162"/>
      <c r="U45" s="162"/>
      <c r="V45" s="101"/>
      <c r="W45" s="101"/>
    </row>
    <row r="46" spans="1:23" ht="25.15" customHeight="1" x14ac:dyDescent="0.2">
      <c r="A46" s="159"/>
      <c r="B46" s="160"/>
      <c r="C46" s="164">
        <f>'PLANILHA RESUMIDA'!I28</f>
        <v>376205.03</v>
      </c>
      <c r="D46" s="162"/>
      <c r="E46" s="162"/>
      <c r="F46" s="162"/>
      <c r="G46" s="162"/>
      <c r="H46" s="162"/>
      <c r="I46" s="162"/>
      <c r="J46" s="162"/>
      <c r="K46" s="162"/>
      <c r="L46" s="162"/>
      <c r="M46" s="162"/>
      <c r="N46" s="166">
        <f>N45*C46</f>
        <v>376205.03</v>
      </c>
      <c r="O46" s="162"/>
      <c r="P46" s="162"/>
      <c r="Q46" s="162"/>
      <c r="R46" s="162"/>
      <c r="S46" s="162"/>
      <c r="T46" s="162"/>
      <c r="U46" s="162"/>
      <c r="V46" s="102"/>
      <c r="W46" s="102"/>
    </row>
    <row r="47" spans="1:23" ht="25.15" customHeight="1" x14ac:dyDescent="0.2">
      <c r="A47" s="159" t="s">
        <v>324</v>
      </c>
      <c r="B47" s="160" t="s">
        <v>325</v>
      </c>
      <c r="C47" s="161">
        <v>1</v>
      </c>
      <c r="D47" s="162"/>
      <c r="E47" s="162"/>
      <c r="F47" s="162"/>
      <c r="G47" s="162"/>
      <c r="H47" s="162"/>
      <c r="I47" s="162"/>
      <c r="J47" s="162"/>
      <c r="K47" s="162"/>
      <c r="L47" s="162"/>
      <c r="M47" s="163">
        <v>1</v>
      </c>
      <c r="N47" s="162"/>
      <c r="O47" s="162"/>
      <c r="P47" s="162"/>
      <c r="Q47" s="162"/>
      <c r="R47" s="162"/>
      <c r="S47" s="162"/>
      <c r="T47" s="162"/>
      <c r="U47" s="162"/>
      <c r="V47" s="101"/>
      <c r="W47" s="101"/>
    </row>
    <row r="48" spans="1:23" ht="25.15" customHeight="1" x14ac:dyDescent="0.2">
      <c r="A48" s="159"/>
      <c r="B48" s="160"/>
      <c r="C48" s="164">
        <f>'PLANILHA RESUMIDA'!I29</f>
        <v>361074.79</v>
      </c>
      <c r="D48" s="162"/>
      <c r="E48" s="162"/>
      <c r="F48" s="162"/>
      <c r="G48" s="162"/>
      <c r="H48" s="162"/>
      <c r="I48" s="162"/>
      <c r="J48" s="162"/>
      <c r="K48" s="162"/>
      <c r="L48" s="162"/>
      <c r="M48" s="166">
        <f>M47*C48</f>
        <v>361074.79</v>
      </c>
      <c r="N48" s="162"/>
      <c r="O48" s="162"/>
      <c r="P48" s="162"/>
      <c r="Q48" s="162"/>
      <c r="R48" s="162"/>
      <c r="S48" s="162"/>
      <c r="T48" s="162"/>
      <c r="U48" s="162"/>
      <c r="V48" s="102"/>
      <c r="W48" s="102"/>
    </row>
    <row r="49" spans="1:23" ht="25.15" customHeight="1" x14ac:dyDescent="0.2">
      <c r="A49" s="159" t="s">
        <v>343</v>
      </c>
      <c r="B49" s="160" t="s">
        <v>344</v>
      </c>
      <c r="C49" s="161">
        <v>1</v>
      </c>
      <c r="D49" s="162"/>
      <c r="E49" s="162"/>
      <c r="F49" s="162"/>
      <c r="G49" s="162"/>
      <c r="H49" s="162"/>
      <c r="I49" s="162"/>
      <c r="J49" s="162"/>
      <c r="K49" s="162"/>
      <c r="L49" s="162"/>
      <c r="M49" s="162"/>
      <c r="N49" s="162"/>
      <c r="O49" s="167">
        <v>1</v>
      </c>
      <c r="P49" s="162"/>
      <c r="Q49" s="162"/>
      <c r="R49" s="162"/>
      <c r="S49" s="162"/>
      <c r="T49" s="162"/>
      <c r="U49" s="162"/>
      <c r="V49" s="101"/>
      <c r="W49" s="101"/>
    </row>
    <row r="50" spans="1:23" ht="25.15" customHeight="1" x14ac:dyDescent="0.2">
      <c r="A50" s="159"/>
      <c r="B50" s="160"/>
      <c r="C50" s="164">
        <f>'PLANILHA RESUMIDA'!I30</f>
        <v>248257.64</v>
      </c>
      <c r="D50" s="162"/>
      <c r="E50" s="162"/>
      <c r="F50" s="162"/>
      <c r="G50" s="162"/>
      <c r="H50" s="162"/>
      <c r="I50" s="162"/>
      <c r="J50" s="162"/>
      <c r="K50" s="162"/>
      <c r="L50" s="162"/>
      <c r="M50" s="162"/>
      <c r="N50" s="162"/>
      <c r="O50" s="171">
        <f>O49*C50</f>
        <v>248257.64</v>
      </c>
      <c r="P50" s="162"/>
      <c r="Q50" s="162"/>
      <c r="R50" s="162"/>
      <c r="S50" s="162"/>
      <c r="T50" s="162"/>
      <c r="U50" s="162"/>
      <c r="V50" s="102"/>
      <c r="W50" s="102"/>
    </row>
    <row r="51" spans="1:23" ht="25.15" customHeight="1" x14ac:dyDescent="0.2">
      <c r="A51" s="159" t="s">
        <v>354</v>
      </c>
      <c r="B51" s="160" t="s">
        <v>355</v>
      </c>
      <c r="C51" s="161">
        <v>1</v>
      </c>
      <c r="D51" s="162"/>
      <c r="E51" s="162"/>
      <c r="F51" s="162"/>
      <c r="G51" s="162"/>
      <c r="H51" s="162"/>
      <c r="I51" s="162"/>
      <c r="J51" s="162"/>
      <c r="K51" s="162"/>
      <c r="L51" s="162"/>
      <c r="M51" s="162"/>
      <c r="N51" s="162"/>
      <c r="O51" s="162"/>
      <c r="P51" s="163">
        <v>1</v>
      </c>
      <c r="Q51" s="162"/>
      <c r="R51" s="162"/>
      <c r="S51" s="162"/>
      <c r="T51" s="162"/>
      <c r="U51" s="162"/>
      <c r="V51" s="101"/>
      <c r="W51" s="101"/>
    </row>
    <row r="52" spans="1:23" ht="25.15" customHeight="1" x14ac:dyDescent="0.2">
      <c r="A52" s="159"/>
      <c r="B52" s="160"/>
      <c r="C52" s="164">
        <f>'PLANILHA RESUMIDA'!I31</f>
        <v>154417.01</v>
      </c>
      <c r="D52" s="162"/>
      <c r="E52" s="162"/>
      <c r="F52" s="162"/>
      <c r="G52" s="162"/>
      <c r="H52" s="162"/>
      <c r="I52" s="162"/>
      <c r="J52" s="162"/>
      <c r="K52" s="162"/>
      <c r="L52" s="162"/>
      <c r="M52" s="162"/>
      <c r="N52" s="162"/>
      <c r="O52" s="162"/>
      <c r="P52" s="166">
        <f>P51*C52</f>
        <v>154417.01</v>
      </c>
      <c r="Q52" s="162"/>
      <c r="R52" s="162"/>
      <c r="S52" s="162"/>
      <c r="T52" s="162"/>
      <c r="U52" s="162"/>
      <c r="V52" s="102"/>
      <c r="W52" s="102"/>
    </row>
    <row r="53" spans="1:23" ht="25.15" customHeight="1" x14ac:dyDescent="0.2">
      <c r="A53" s="159" t="s">
        <v>362</v>
      </c>
      <c r="B53" s="160" t="s">
        <v>363</v>
      </c>
      <c r="C53" s="161">
        <v>1</v>
      </c>
      <c r="D53" s="162"/>
      <c r="E53" s="162"/>
      <c r="F53" s="162"/>
      <c r="G53" s="162"/>
      <c r="H53" s="162"/>
      <c r="I53" s="162"/>
      <c r="J53" s="162"/>
      <c r="K53" s="162"/>
      <c r="L53" s="162"/>
      <c r="M53" s="162"/>
      <c r="N53" s="162"/>
      <c r="O53" s="162"/>
      <c r="P53" s="163">
        <v>1</v>
      </c>
      <c r="Q53" s="162"/>
      <c r="R53" s="162"/>
      <c r="S53" s="162"/>
      <c r="T53" s="162"/>
      <c r="U53" s="162"/>
      <c r="V53" s="101"/>
      <c r="W53" s="101"/>
    </row>
    <row r="54" spans="1:23" ht="25.15" customHeight="1" x14ac:dyDescent="0.2">
      <c r="A54" s="159"/>
      <c r="B54" s="160"/>
      <c r="C54" s="164">
        <f>'PLANILHA RESUMIDA'!I32</f>
        <v>371512.47000000003</v>
      </c>
      <c r="D54" s="162"/>
      <c r="E54" s="162"/>
      <c r="F54" s="162"/>
      <c r="G54" s="162"/>
      <c r="H54" s="162"/>
      <c r="I54" s="162"/>
      <c r="J54" s="162"/>
      <c r="K54" s="162"/>
      <c r="L54" s="162"/>
      <c r="M54" s="162"/>
      <c r="N54" s="162"/>
      <c r="O54" s="162"/>
      <c r="P54" s="166">
        <f>P53*C54</f>
        <v>371512.47000000003</v>
      </c>
      <c r="Q54" s="162"/>
      <c r="R54" s="162"/>
      <c r="S54" s="162"/>
      <c r="T54" s="162"/>
      <c r="U54" s="162"/>
      <c r="V54" s="101"/>
      <c r="W54" s="101"/>
    </row>
    <row r="55" spans="1:23" ht="25.15" customHeight="1" x14ac:dyDescent="0.2">
      <c r="A55" s="159" t="s">
        <v>390</v>
      </c>
      <c r="B55" s="160" t="s">
        <v>391</v>
      </c>
      <c r="C55" s="161">
        <v>1</v>
      </c>
      <c r="D55" s="162"/>
      <c r="E55" s="162"/>
      <c r="F55" s="162"/>
      <c r="G55" s="162"/>
      <c r="H55" s="162"/>
      <c r="I55" s="162"/>
      <c r="J55" s="162"/>
      <c r="K55" s="162"/>
      <c r="L55" s="162"/>
      <c r="M55" s="162"/>
      <c r="N55" s="162"/>
      <c r="O55" s="162"/>
      <c r="P55" s="162"/>
      <c r="Q55" s="162"/>
      <c r="R55" s="162"/>
      <c r="S55" s="163">
        <v>1</v>
      </c>
      <c r="T55" s="162"/>
      <c r="U55" s="162"/>
      <c r="V55" s="101"/>
      <c r="W55" s="101"/>
    </row>
    <row r="56" spans="1:23" ht="25.15" customHeight="1" x14ac:dyDescent="0.2">
      <c r="A56" s="159"/>
      <c r="B56" s="160"/>
      <c r="C56" s="164">
        <f>'PLANILHA RESUMIDA'!I33</f>
        <v>352350.76</v>
      </c>
      <c r="D56" s="162"/>
      <c r="E56" s="162"/>
      <c r="F56" s="162"/>
      <c r="G56" s="162"/>
      <c r="H56" s="162"/>
      <c r="I56" s="162"/>
      <c r="J56" s="162"/>
      <c r="K56" s="162"/>
      <c r="L56" s="162"/>
      <c r="M56" s="162"/>
      <c r="N56" s="162"/>
      <c r="O56" s="162"/>
      <c r="P56" s="162"/>
      <c r="Q56" s="162"/>
      <c r="R56" s="162"/>
      <c r="S56" s="166">
        <f>S55*C56</f>
        <v>352350.76</v>
      </c>
      <c r="T56" s="162"/>
      <c r="U56" s="162"/>
      <c r="V56" s="101"/>
      <c r="W56" s="101"/>
    </row>
    <row r="57" spans="1:23" ht="25.15" customHeight="1" x14ac:dyDescent="0.2">
      <c r="A57" s="159" t="s">
        <v>402</v>
      </c>
      <c r="B57" s="160" t="s">
        <v>403</v>
      </c>
      <c r="C57" s="161">
        <v>1</v>
      </c>
      <c r="D57" s="162"/>
      <c r="E57" s="162"/>
      <c r="F57" s="162"/>
      <c r="G57" s="162"/>
      <c r="H57" s="162"/>
      <c r="I57" s="162"/>
      <c r="J57" s="162"/>
      <c r="K57" s="162"/>
      <c r="L57" s="162"/>
      <c r="M57" s="162"/>
      <c r="N57" s="162"/>
      <c r="O57" s="167">
        <v>1</v>
      </c>
      <c r="P57" s="162"/>
      <c r="Q57" s="162"/>
      <c r="R57" s="162"/>
      <c r="S57" s="162"/>
      <c r="T57" s="162"/>
      <c r="U57" s="162"/>
      <c r="V57" s="101"/>
      <c r="W57" s="101"/>
    </row>
    <row r="58" spans="1:23" ht="25.15" customHeight="1" x14ac:dyDescent="0.2">
      <c r="A58" s="159"/>
      <c r="B58" s="160"/>
      <c r="C58" s="164">
        <f>'PLANILHA RESUMIDA'!I34</f>
        <v>74607.58</v>
      </c>
      <c r="D58" s="162"/>
      <c r="E58" s="162"/>
      <c r="F58" s="162"/>
      <c r="G58" s="162"/>
      <c r="H58" s="162"/>
      <c r="I58" s="162"/>
      <c r="J58" s="162"/>
      <c r="K58" s="162"/>
      <c r="L58" s="162"/>
      <c r="M58" s="162"/>
      <c r="N58" s="162"/>
      <c r="O58" s="171">
        <f>O57*C58</f>
        <v>74607.58</v>
      </c>
      <c r="P58" s="162"/>
      <c r="Q58" s="162"/>
      <c r="R58" s="162"/>
      <c r="S58" s="162"/>
      <c r="T58" s="162"/>
      <c r="U58" s="162"/>
      <c r="V58" s="101"/>
      <c r="W58" s="101"/>
    </row>
    <row r="59" spans="1:23" ht="25.15" customHeight="1" x14ac:dyDescent="0.2">
      <c r="A59" s="159" t="s">
        <v>1197</v>
      </c>
      <c r="B59" s="160" t="s">
        <v>413</v>
      </c>
      <c r="C59" s="161">
        <v>1</v>
      </c>
      <c r="D59" s="162"/>
      <c r="E59" s="162"/>
      <c r="F59" s="162"/>
      <c r="G59" s="162"/>
      <c r="H59" s="162"/>
      <c r="I59" s="162"/>
      <c r="J59" s="162"/>
      <c r="K59" s="162"/>
      <c r="L59" s="162"/>
      <c r="M59" s="162"/>
      <c r="N59" s="162"/>
      <c r="O59" s="162"/>
      <c r="P59" s="163">
        <v>0.51976167382178695</v>
      </c>
      <c r="Q59" s="163">
        <v>8.6671775846582696E-3</v>
      </c>
      <c r="R59" s="163">
        <v>0.45012275140569802</v>
      </c>
      <c r="S59" s="163">
        <v>2.1448397187856801E-2</v>
      </c>
      <c r="T59" s="162"/>
      <c r="U59" s="162"/>
      <c r="V59" s="101"/>
      <c r="W59" s="101"/>
    </row>
    <row r="60" spans="1:23" ht="25.15" customHeight="1" x14ac:dyDescent="0.2">
      <c r="A60" s="159"/>
      <c r="B60" s="160"/>
      <c r="C60" s="164">
        <f>'PLANILHA RESUMIDA'!I35</f>
        <v>223705.16</v>
      </c>
      <c r="D60" s="162"/>
      <c r="E60" s="162"/>
      <c r="F60" s="162"/>
      <c r="G60" s="162"/>
      <c r="H60" s="162"/>
      <c r="I60" s="162"/>
      <c r="J60" s="162"/>
      <c r="K60" s="162"/>
      <c r="L60" s="162"/>
      <c r="M60" s="162"/>
      <c r="N60" s="162"/>
      <c r="O60" s="162"/>
      <c r="P60" s="166">
        <f>P59*$C$60</f>
        <v>116273.36840417066</v>
      </c>
      <c r="Q60" s="166">
        <f t="shared" ref="Q60:S60" si="3">Q59*$C$60</f>
        <v>1938.8923483243918</v>
      </c>
      <c r="R60" s="166">
        <f t="shared" si="3"/>
        <v>100694.7821228519</v>
      </c>
      <c r="S60" s="166">
        <f t="shared" si="3"/>
        <v>4798.1171246530557</v>
      </c>
      <c r="T60" s="162"/>
      <c r="U60" s="162"/>
      <c r="V60" s="101"/>
      <c r="W60" s="101"/>
    </row>
    <row r="61" spans="1:23" ht="25.15" customHeight="1" x14ac:dyDescent="0.2">
      <c r="A61" s="159" t="s">
        <v>414</v>
      </c>
      <c r="B61" s="160" t="s">
        <v>415</v>
      </c>
      <c r="C61" s="161">
        <v>1</v>
      </c>
      <c r="D61" s="162"/>
      <c r="E61" s="162"/>
      <c r="F61" s="162"/>
      <c r="G61" s="162"/>
      <c r="H61" s="162"/>
      <c r="I61" s="162"/>
      <c r="J61" s="162"/>
      <c r="K61" s="162"/>
      <c r="L61" s="162"/>
      <c r="M61" s="162"/>
      <c r="N61" s="162"/>
      <c r="O61" s="162"/>
      <c r="P61" s="162"/>
      <c r="Q61" s="162"/>
      <c r="R61" s="163">
        <v>1</v>
      </c>
      <c r="S61" s="162"/>
      <c r="T61" s="162"/>
      <c r="U61" s="162"/>
      <c r="V61" s="101"/>
      <c r="W61" s="101"/>
    </row>
    <row r="62" spans="1:23" ht="25.15" customHeight="1" x14ac:dyDescent="0.2">
      <c r="A62" s="159"/>
      <c r="B62" s="160"/>
      <c r="C62" s="164">
        <f>'PLANILHA RESUMIDA'!I36</f>
        <v>100694.79000000001</v>
      </c>
      <c r="D62" s="162"/>
      <c r="E62" s="162"/>
      <c r="F62" s="162"/>
      <c r="G62" s="162"/>
      <c r="H62" s="162"/>
      <c r="I62" s="162"/>
      <c r="J62" s="162"/>
      <c r="K62" s="162"/>
      <c r="L62" s="162"/>
      <c r="M62" s="162"/>
      <c r="N62" s="162"/>
      <c r="O62" s="162"/>
      <c r="P62" s="162"/>
      <c r="Q62" s="162"/>
      <c r="R62" s="166">
        <f>R61*C62</f>
        <v>100694.79000000001</v>
      </c>
      <c r="S62" s="162"/>
      <c r="T62" s="162"/>
      <c r="U62" s="162"/>
      <c r="V62" s="101"/>
      <c r="W62" s="101"/>
    </row>
    <row r="63" spans="1:23" ht="25.15" customHeight="1" x14ac:dyDescent="0.2">
      <c r="A63" s="159" t="s">
        <v>422</v>
      </c>
      <c r="B63" s="160" t="s">
        <v>423</v>
      </c>
      <c r="C63" s="161">
        <v>1</v>
      </c>
      <c r="D63" s="162"/>
      <c r="E63" s="162"/>
      <c r="F63" s="162"/>
      <c r="G63" s="162"/>
      <c r="H63" s="162"/>
      <c r="I63" s="162"/>
      <c r="J63" s="162"/>
      <c r="K63" s="162"/>
      <c r="L63" s="162"/>
      <c r="M63" s="162"/>
      <c r="N63" s="162"/>
      <c r="O63" s="162"/>
      <c r="P63" s="163">
        <v>1</v>
      </c>
      <c r="Q63" s="162"/>
      <c r="R63" s="162"/>
      <c r="S63" s="162"/>
      <c r="T63" s="162"/>
      <c r="U63" s="162"/>
      <c r="V63" s="101"/>
      <c r="W63" s="101"/>
    </row>
    <row r="64" spans="1:23" ht="25.15" customHeight="1" x14ac:dyDescent="0.2">
      <c r="A64" s="159"/>
      <c r="B64" s="160"/>
      <c r="C64" s="164">
        <f>'PLANILHA RESUMIDA'!I37</f>
        <v>116273.37</v>
      </c>
      <c r="D64" s="162"/>
      <c r="E64" s="162"/>
      <c r="F64" s="162"/>
      <c r="G64" s="162"/>
      <c r="H64" s="162"/>
      <c r="I64" s="162"/>
      <c r="J64" s="162"/>
      <c r="K64" s="162"/>
      <c r="L64" s="162"/>
      <c r="M64" s="162"/>
      <c r="N64" s="162"/>
      <c r="O64" s="162"/>
      <c r="P64" s="166">
        <f>P63*C64</f>
        <v>116273.37</v>
      </c>
      <c r="Q64" s="162"/>
      <c r="R64" s="162"/>
      <c r="S64" s="162"/>
      <c r="T64" s="162"/>
      <c r="U64" s="162"/>
      <c r="V64" s="101"/>
      <c r="W64" s="101"/>
    </row>
    <row r="65" spans="1:23" ht="25.15" customHeight="1" x14ac:dyDescent="0.2">
      <c r="A65" s="159" t="s">
        <v>433</v>
      </c>
      <c r="B65" s="160" t="s">
        <v>434</v>
      </c>
      <c r="C65" s="161">
        <v>1</v>
      </c>
      <c r="D65" s="162"/>
      <c r="E65" s="162"/>
      <c r="F65" s="162"/>
      <c r="G65" s="162"/>
      <c r="H65" s="162"/>
      <c r="I65" s="162"/>
      <c r="J65" s="162"/>
      <c r="K65" s="162"/>
      <c r="L65" s="162"/>
      <c r="M65" s="162"/>
      <c r="N65" s="162"/>
      <c r="O65" s="162"/>
      <c r="P65" s="162"/>
      <c r="Q65" s="162"/>
      <c r="R65" s="162"/>
      <c r="S65" s="163">
        <v>1</v>
      </c>
      <c r="T65" s="162"/>
      <c r="U65" s="162"/>
      <c r="V65" s="101"/>
      <c r="W65" s="101"/>
    </row>
    <row r="66" spans="1:23" ht="25.15" customHeight="1" x14ac:dyDescent="0.2">
      <c r="A66" s="159"/>
      <c r="B66" s="160"/>
      <c r="C66" s="164">
        <f>'PLANILHA RESUMIDA'!I38</f>
        <v>4798.12</v>
      </c>
      <c r="D66" s="162"/>
      <c r="E66" s="162"/>
      <c r="F66" s="162"/>
      <c r="G66" s="162"/>
      <c r="H66" s="162"/>
      <c r="I66" s="162"/>
      <c r="J66" s="162"/>
      <c r="K66" s="162"/>
      <c r="L66" s="162"/>
      <c r="M66" s="162"/>
      <c r="N66" s="162"/>
      <c r="O66" s="162"/>
      <c r="P66" s="162"/>
      <c r="Q66" s="162"/>
      <c r="R66" s="162"/>
      <c r="S66" s="166">
        <f>S65*C66</f>
        <v>4798.12</v>
      </c>
      <c r="T66" s="162"/>
      <c r="U66" s="162"/>
      <c r="V66" s="101"/>
      <c r="W66" s="101"/>
    </row>
    <row r="67" spans="1:23" ht="25.15" customHeight="1" x14ac:dyDescent="0.2">
      <c r="A67" s="159" t="s">
        <v>439</v>
      </c>
      <c r="B67" s="160" t="s">
        <v>440</v>
      </c>
      <c r="C67" s="161">
        <v>1</v>
      </c>
      <c r="D67" s="162"/>
      <c r="E67" s="162"/>
      <c r="F67" s="162"/>
      <c r="G67" s="162"/>
      <c r="H67" s="162"/>
      <c r="I67" s="162"/>
      <c r="J67" s="162"/>
      <c r="K67" s="162"/>
      <c r="L67" s="162"/>
      <c r="M67" s="162"/>
      <c r="N67" s="162"/>
      <c r="O67" s="162"/>
      <c r="P67" s="162"/>
      <c r="Q67" s="163">
        <v>1</v>
      </c>
      <c r="R67" s="162"/>
      <c r="S67" s="162"/>
      <c r="T67" s="162"/>
      <c r="U67" s="162"/>
      <c r="V67" s="101"/>
      <c r="W67" s="101"/>
    </row>
    <row r="68" spans="1:23" ht="25.15" customHeight="1" x14ac:dyDescent="0.2">
      <c r="A68" s="159"/>
      <c r="B68" s="160"/>
      <c r="C68" s="164">
        <f>'PLANILHA RESUMIDA'!I39</f>
        <v>1938.88</v>
      </c>
      <c r="D68" s="162"/>
      <c r="E68" s="162"/>
      <c r="F68" s="162"/>
      <c r="G68" s="162"/>
      <c r="H68" s="162"/>
      <c r="I68" s="162"/>
      <c r="J68" s="162"/>
      <c r="K68" s="162"/>
      <c r="L68" s="162"/>
      <c r="M68" s="162"/>
      <c r="N68" s="162"/>
      <c r="O68" s="162"/>
      <c r="P68" s="162"/>
      <c r="Q68" s="166">
        <f>Q67*C68</f>
        <v>1938.88</v>
      </c>
      <c r="R68" s="162"/>
      <c r="S68" s="162"/>
      <c r="T68" s="162"/>
      <c r="U68" s="162"/>
      <c r="V68" s="101"/>
      <c r="W68" s="101"/>
    </row>
    <row r="69" spans="1:23" ht="25.15" customHeight="1" x14ac:dyDescent="0.2">
      <c r="A69" s="159" t="s">
        <v>1198</v>
      </c>
      <c r="B69" s="160" t="s">
        <v>447</v>
      </c>
      <c r="C69" s="161">
        <v>1</v>
      </c>
      <c r="D69" s="162"/>
      <c r="E69" s="162"/>
      <c r="F69" s="162"/>
      <c r="G69" s="162"/>
      <c r="H69" s="162"/>
      <c r="I69" s="162"/>
      <c r="J69" s="162"/>
      <c r="K69" s="162"/>
      <c r="L69" s="162"/>
      <c r="M69" s="162"/>
      <c r="N69" s="162"/>
      <c r="O69" s="162"/>
      <c r="P69" s="162"/>
      <c r="Q69" s="163">
        <v>0.53269640220433101</v>
      </c>
      <c r="R69" s="163">
        <v>0.233554842078077</v>
      </c>
      <c r="S69" s="163">
        <v>0.210330659280864</v>
      </c>
      <c r="T69" s="162"/>
      <c r="U69" s="163">
        <v>2.3418096436727699E-2</v>
      </c>
      <c r="V69" s="101"/>
      <c r="W69" s="101"/>
    </row>
    <row r="70" spans="1:23" ht="25.15" customHeight="1" x14ac:dyDescent="0.2">
      <c r="A70" s="172"/>
      <c r="B70" s="173"/>
      <c r="C70" s="164">
        <f>'PLANILHA RESUMIDA'!I40</f>
        <v>776170.2100000002</v>
      </c>
      <c r="D70" s="162"/>
      <c r="E70" s="162"/>
      <c r="F70" s="162"/>
      <c r="G70" s="162"/>
      <c r="H70" s="162"/>
      <c r="I70" s="162"/>
      <c r="J70" s="162"/>
      <c r="K70" s="162"/>
      <c r="L70" s="162"/>
      <c r="M70" s="162"/>
      <c r="N70" s="162"/>
      <c r="O70" s="162"/>
      <c r="P70" s="162"/>
      <c r="Q70" s="166">
        <f>Q69*$C$70</f>
        <v>413463.07836518018</v>
      </c>
      <c r="R70" s="166">
        <f t="shared" ref="R70:U70" si="4">R69*$C$70</f>
        <v>181278.31082225792</v>
      </c>
      <c r="S70" s="166">
        <f t="shared" si="4"/>
        <v>163252.39198346669</v>
      </c>
      <c r="T70" s="166"/>
      <c r="U70" s="166">
        <f t="shared" si="4"/>
        <v>18176.428829095195</v>
      </c>
      <c r="V70" s="101"/>
      <c r="W70" s="101"/>
    </row>
    <row r="71" spans="1:23" ht="25.15" customHeight="1" x14ac:dyDescent="0.2">
      <c r="A71" s="159" t="s">
        <v>448</v>
      </c>
      <c r="B71" s="160" t="s">
        <v>449</v>
      </c>
      <c r="C71" s="161">
        <v>1</v>
      </c>
      <c r="D71" s="162"/>
      <c r="E71" s="162"/>
      <c r="F71" s="162"/>
      <c r="G71" s="162"/>
      <c r="H71" s="162"/>
      <c r="I71" s="162"/>
      <c r="J71" s="162"/>
      <c r="K71" s="162"/>
      <c r="L71" s="162"/>
      <c r="M71" s="162"/>
      <c r="N71" s="162"/>
      <c r="O71" s="162"/>
      <c r="P71" s="162"/>
      <c r="Q71" s="163">
        <v>1</v>
      </c>
      <c r="R71" s="162"/>
      <c r="S71" s="162"/>
      <c r="T71" s="162"/>
      <c r="U71" s="162"/>
      <c r="V71" s="101"/>
      <c r="W71" s="101"/>
    </row>
    <row r="72" spans="1:23" ht="25.15" customHeight="1" x14ac:dyDescent="0.2">
      <c r="A72" s="159"/>
      <c r="B72" s="160"/>
      <c r="C72" s="164">
        <f>'PLANILHA RESUMIDA'!I41</f>
        <v>203394.77000000002</v>
      </c>
      <c r="D72" s="162"/>
      <c r="E72" s="162"/>
      <c r="F72" s="162"/>
      <c r="G72" s="162"/>
      <c r="H72" s="162"/>
      <c r="I72" s="162"/>
      <c r="J72" s="162"/>
      <c r="K72" s="162"/>
      <c r="L72" s="162"/>
      <c r="M72" s="162"/>
      <c r="N72" s="162"/>
      <c r="O72" s="162"/>
      <c r="P72" s="162"/>
      <c r="Q72" s="166">
        <f>Q71*C72</f>
        <v>203394.77000000002</v>
      </c>
      <c r="R72" s="162"/>
      <c r="S72" s="162"/>
      <c r="T72" s="162"/>
      <c r="U72" s="162"/>
      <c r="V72" s="102"/>
      <c r="W72" s="102"/>
    </row>
    <row r="73" spans="1:23" ht="25.15" customHeight="1" x14ac:dyDescent="0.2">
      <c r="A73" s="159" t="s">
        <v>476</v>
      </c>
      <c r="B73" s="160" t="s">
        <v>477</v>
      </c>
      <c r="C73" s="161">
        <v>1</v>
      </c>
      <c r="D73" s="162"/>
      <c r="E73" s="162"/>
      <c r="F73" s="162"/>
      <c r="G73" s="162"/>
      <c r="H73" s="162"/>
      <c r="I73" s="162"/>
      <c r="J73" s="162"/>
      <c r="K73" s="162"/>
      <c r="L73" s="162"/>
      <c r="M73" s="162"/>
      <c r="N73" s="162"/>
      <c r="O73" s="162"/>
      <c r="P73" s="162"/>
      <c r="Q73" s="163">
        <v>1</v>
      </c>
      <c r="R73" s="162"/>
      <c r="S73" s="162"/>
      <c r="T73" s="162"/>
      <c r="U73" s="162"/>
      <c r="V73" s="101"/>
      <c r="W73" s="101"/>
    </row>
    <row r="74" spans="1:23" ht="25.15" customHeight="1" x14ac:dyDescent="0.2">
      <c r="A74" s="159"/>
      <c r="B74" s="160"/>
      <c r="C74" s="164">
        <f>'PLANILHA RESUMIDA'!I42</f>
        <v>210068.30000000002</v>
      </c>
      <c r="D74" s="162"/>
      <c r="E74" s="162"/>
      <c r="F74" s="162"/>
      <c r="G74" s="162"/>
      <c r="H74" s="162"/>
      <c r="I74" s="162"/>
      <c r="J74" s="162"/>
      <c r="K74" s="162"/>
      <c r="L74" s="162"/>
      <c r="M74" s="162"/>
      <c r="N74" s="162"/>
      <c r="O74" s="162"/>
      <c r="P74" s="162"/>
      <c r="Q74" s="166">
        <f>Q73*C74</f>
        <v>210068.30000000002</v>
      </c>
      <c r="R74" s="162"/>
      <c r="S74" s="162"/>
      <c r="T74" s="162"/>
      <c r="U74" s="162"/>
      <c r="V74" s="101"/>
      <c r="W74" s="101"/>
    </row>
    <row r="75" spans="1:23" ht="25.15" customHeight="1" x14ac:dyDescent="0.2">
      <c r="A75" s="159" t="s">
        <v>504</v>
      </c>
      <c r="B75" s="160" t="s">
        <v>505</v>
      </c>
      <c r="C75" s="161">
        <v>1</v>
      </c>
      <c r="D75" s="162"/>
      <c r="E75" s="162"/>
      <c r="F75" s="162"/>
      <c r="G75" s="162"/>
      <c r="H75" s="162"/>
      <c r="I75" s="162"/>
      <c r="J75" s="162"/>
      <c r="K75" s="162"/>
      <c r="L75" s="162"/>
      <c r="M75" s="162"/>
      <c r="N75" s="162"/>
      <c r="O75" s="162"/>
      <c r="P75" s="162"/>
      <c r="Q75" s="162"/>
      <c r="R75" s="163">
        <v>1</v>
      </c>
      <c r="S75" s="162"/>
      <c r="T75" s="162"/>
      <c r="U75" s="162"/>
      <c r="V75" s="101"/>
      <c r="W75" s="101"/>
    </row>
    <row r="76" spans="1:23" ht="25.15" customHeight="1" x14ac:dyDescent="0.2">
      <c r="A76" s="159"/>
      <c r="B76" s="160"/>
      <c r="C76" s="164">
        <f>'PLANILHA RESUMIDA'!I43</f>
        <v>181278.31</v>
      </c>
      <c r="D76" s="162"/>
      <c r="E76" s="162"/>
      <c r="F76" s="162"/>
      <c r="G76" s="162"/>
      <c r="H76" s="162"/>
      <c r="I76" s="162"/>
      <c r="J76" s="162"/>
      <c r="K76" s="162"/>
      <c r="L76" s="162"/>
      <c r="M76" s="162"/>
      <c r="N76" s="162"/>
      <c r="O76" s="162"/>
      <c r="P76" s="162"/>
      <c r="Q76" s="162"/>
      <c r="R76" s="166">
        <f>R75*C76</f>
        <v>181278.31</v>
      </c>
      <c r="S76" s="162"/>
      <c r="T76" s="162"/>
      <c r="U76" s="162"/>
      <c r="V76" s="101"/>
      <c r="W76" s="101"/>
    </row>
    <row r="77" spans="1:23" ht="25.15" customHeight="1" x14ac:dyDescent="0.2">
      <c r="A77" s="159" t="s">
        <v>535</v>
      </c>
      <c r="B77" s="160" t="s">
        <v>536</v>
      </c>
      <c r="C77" s="161">
        <v>1</v>
      </c>
      <c r="D77" s="162"/>
      <c r="E77" s="162"/>
      <c r="F77" s="162"/>
      <c r="G77" s="162"/>
      <c r="H77" s="162"/>
      <c r="I77" s="162"/>
      <c r="J77" s="162"/>
      <c r="K77" s="162"/>
      <c r="L77" s="162"/>
      <c r="M77" s="162"/>
      <c r="N77" s="162"/>
      <c r="O77" s="162"/>
      <c r="P77" s="162"/>
      <c r="Q77" s="162"/>
      <c r="R77" s="162"/>
      <c r="S77" s="163">
        <v>1</v>
      </c>
      <c r="T77" s="162"/>
      <c r="U77" s="162"/>
      <c r="V77" s="101"/>
      <c r="W77" s="101"/>
    </row>
    <row r="78" spans="1:23" ht="25.15" customHeight="1" x14ac:dyDescent="0.2">
      <c r="A78" s="159"/>
      <c r="B78" s="160"/>
      <c r="C78" s="164">
        <f>'PLANILHA RESUMIDA'!I44</f>
        <v>163252.4</v>
      </c>
      <c r="D78" s="162"/>
      <c r="E78" s="162"/>
      <c r="F78" s="162"/>
      <c r="G78" s="162"/>
      <c r="H78" s="162"/>
      <c r="I78" s="162"/>
      <c r="J78" s="162"/>
      <c r="K78" s="162"/>
      <c r="L78" s="162"/>
      <c r="M78" s="162"/>
      <c r="N78" s="162"/>
      <c r="O78" s="162"/>
      <c r="P78" s="162"/>
      <c r="Q78" s="162"/>
      <c r="R78" s="162"/>
      <c r="S78" s="166">
        <f>S77*C78</f>
        <v>163252.4</v>
      </c>
      <c r="T78" s="162"/>
      <c r="U78" s="162"/>
      <c r="V78" s="101"/>
      <c r="W78" s="101"/>
    </row>
    <row r="79" spans="1:23" ht="25.15" customHeight="1" x14ac:dyDescent="0.2">
      <c r="A79" s="159" t="s">
        <v>548</v>
      </c>
      <c r="B79" s="160" t="s">
        <v>549</v>
      </c>
      <c r="C79" s="161">
        <v>1</v>
      </c>
      <c r="D79" s="162"/>
      <c r="E79" s="162"/>
      <c r="F79" s="162"/>
      <c r="G79" s="162"/>
      <c r="H79" s="162"/>
      <c r="I79" s="162"/>
      <c r="J79" s="162"/>
      <c r="K79" s="162"/>
      <c r="L79" s="162"/>
      <c r="M79" s="162"/>
      <c r="N79" s="162"/>
      <c r="O79" s="162"/>
      <c r="P79" s="162"/>
      <c r="Q79" s="162"/>
      <c r="R79" s="162"/>
      <c r="S79" s="162"/>
      <c r="T79" s="162"/>
      <c r="U79" s="163">
        <v>1</v>
      </c>
      <c r="V79" s="101"/>
      <c r="W79" s="101"/>
    </row>
    <row r="80" spans="1:23" ht="25.15" customHeight="1" x14ac:dyDescent="0.2">
      <c r="A80" s="159"/>
      <c r="B80" s="160"/>
      <c r="C80" s="164">
        <f>'PLANILHA RESUMIDA'!I45</f>
        <v>18176.43</v>
      </c>
      <c r="D80" s="162"/>
      <c r="E80" s="162"/>
      <c r="F80" s="162"/>
      <c r="G80" s="162"/>
      <c r="H80" s="162"/>
      <c r="I80" s="162"/>
      <c r="J80" s="162"/>
      <c r="K80" s="162"/>
      <c r="L80" s="162"/>
      <c r="M80" s="162"/>
      <c r="N80" s="162"/>
      <c r="O80" s="162"/>
      <c r="P80" s="162"/>
      <c r="Q80" s="162"/>
      <c r="R80" s="162"/>
      <c r="S80" s="162"/>
      <c r="T80" s="162"/>
      <c r="U80" s="166">
        <f>U79*C80</f>
        <v>18176.43</v>
      </c>
      <c r="V80" s="101"/>
      <c r="W80" s="101"/>
    </row>
    <row r="81" spans="1:23" ht="25.15" customHeight="1" x14ac:dyDescent="0.2">
      <c r="A81" s="159" t="s">
        <v>1199</v>
      </c>
      <c r="B81" s="160" t="s">
        <v>553</v>
      </c>
      <c r="C81" s="161">
        <v>1</v>
      </c>
      <c r="D81" s="162"/>
      <c r="E81" s="162"/>
      <c r="F81" s="162"/>
      <c r="G81" s="162"/>
      <c r="H81" s="162"/>
      <c r="I81" s="162"/>
      <c r="J81" s="162"/>
      <c r="K81" s="162"/>
      <c r="L81" s="163">
        <v>5.34036130357297E-2</v>
      </c>
      <c r="M81" s="162"/>
      <c r="N81" s="162"/>
      <c r="O81" s="162"/>
      <c r="P81" s="163">
        <v>7.9650435336944103E-2</v>
      </c>
      <c r="Q81" s="163">
        <v>0.112249694646191</v>
      </c>
      <c r="R81" s="163">
        <v>0.50757650233663798</v>
      </c>
      <c r="S81" s="163">
        <v>3.6279560806783802E-2</v>
      </c>
      <c r="T81" s="163">
        <v>0.21084019383771299</v>
      </c>
      <c r="U81" s="162"/>
      <c r="V81" s="101"/>
      <c r="W81" s="101"/>
    </row>
    <row r="82" spans="1:23" ht="25.15" customHeight="1" x14ac:dyDescent="0.2">
      <c r="A82" s="159"/>
      <c r="B82" s="160"/>
      <c r="C82" s="164">
        <f>'PLANILHA RESUMIDA'!I46</f>
        <v>338195.32000000007</v>
      </c>
      <c r="D82" s="162"/>
      <c r="E82" s="162"/>
      <c r="F82" s="162"/>
      <c r="G82" s="162"/>
      <c r="H82" s="162"/>
      <c r="I82" s="162"/>
      <c r="J82" s="162"/>
      <c r="K82" s="162"/>
      <c r="L82" s="166">
        <f>L81*$C$82</f>
        <v>18060.851999774779</v>
      </c>
      <c r="M82" s="166"/>
      <c r="N82" s="166"/>
      <c r="O82" s="166"/>
      <c r="P82" s="166">
        <f t="shared" ref="P82:T82" si="5">P81*$C$82</f>
        <v>26937.404466917124</v>
      </c>
      <c r="Q82" s="166">
        <f t="shared" si="5"/>
        <v>37962.321400770859</v>
      </c>
      <c r="R82" s="166">
        <f t="shared" si="5"/>
        <v>171659.99763222007</v>
      </c>
      <c r="S82" s="166">
        <f t="shared" si="5"/>
        <v>12269.577676509709</v>
      </c>
      <c r="T82" s="166">
        <f t="shared" si="5"/>
        <v>71305.166823807391</v>
      </c>
      <c r="U82" s="162"/>
      <c r="V82" s="101"/>
      <c r="W82" s="101"/>
    </row>
    <row r="83" spans="1:23" ht="25.15" customHeight="1" x14ac:dyDescent="0.2">
      <c r="A83" s="159" t="s">
        <v>554</v>
      </c>
      <c r="B83" s="160" t="s">
        <v>555</v>
      </c>
      <c r="C83" s="161">
        <v>1</v>
      </c>
      <c r="D83" s="162"/>
      <c r="E83" s="162"/>
      <c r="F83" s="162"/>
      <c r="G83" s="162"/>
      <c r="H83" s="162"/>
      <c r="I83" s="162"/>
      <c r="J83" s="162"/>
      <c r="K83" s="162"/>
      <c r="L83" s="163">
        <v>1</v>
      </c>
      <c r="M83" s="162"/>
      <c r="N83" s="162"/>
      <c r="O83" s="162"/>
      <c r="P83" s="162"/>
      <c r="Q83" s="162"/>
      <c r="R83" s="162"/>
      <c r="S83" s="162"/>
      <c r="T83" s="162"/>
      <c r="U83" s="162"/>
      <c r="V83" s="101"/>
      <c r="W83" s="101"/>
    </row>
    <row r="84" spans="1:23" ht="25.15" customHeight="1" x14ac:dyDescent="0.2">
      <c r="A84" s="159"/>
      <c r="B84" s="160"/>
      <c r="C84" s="164">
        <f>'PLANILHA RESUMIDA'!I47</f>
        <v>18060.789999999994</v>
      </c>
      <c r="D84" s="162"/>
      <c r="E84" s="162"/>
      <c r="F84" s="162"/>
      <c r="G84" s="162"/>
      <c r="H84" s="162"/>
      <c r="I84" s="162"/>
      <c r="J84" s="162"/>
      <c r="K84" s="162"/>
      <c r="L84" s="166">
        <f>L83*C84</f>
        <v>18060.789999999994</v>
      </c>
      <c r="M84" s="162"/>
      <c r="N84" s="162"/>
      <c r="O84" s="162"/>
      <c r="P84" s="162"/>
      <c r="Q84" s="162"/>
      <c r="R84" s="162"/>
      <c r="S84" s="162"/>
      <c r="T84" s="162"/>
      <c r="U84" s="162"/>
      <c r="V84" s="101"/>
      <c r="W84" s="101"/>
    </row>
    <row r="85" spans="1:23" ht="25.15" customHeight="1" x14ac:dyDescent="0.2">
      <c r="A85" s="159" t="s">
        <v>606</v>
      </c>
      <c r="B85" s="160" t="s">
        <v>607</v>
      </c>
      <c r="C85" s="161">
        <v>1</v>
      </c>
      <c r="D85" s="162"/>
      <c r="E85" s="162"/>
      <c r="F85" s="162"/>
      <c r="G85" s="162"/>
      <c r="H85" s="162"/>
      <c r="I85" s="162"/>
      <c r="J85" s="162"/>
      <c r="K85" s="162"/>
      <c r="L85" s="162"/>
      <c r="M85" s="162"/>
      <c r="N85" s="162"/>
      <c r="O85" s="162"/>
      <c r="P85" s="163">
        <v>1</v>
      </c>
      <c r="Q85" s="162"/>
      <c r="R85" s="162"/>
      <c r="S85" s="162"/>
      <c r="T85" s="162"/>
      <c r="U85" s="162"/>
      <c r="V85" s="101"/>
      <c r="W85" s="101"/>
    </row>
    <row r="86" spans="1:23" ht="25.15" customHeight="1" x14ac:dyDescent="0.2">
      <c r="A86" s="159"/>
      <c r="B86" s="160"/>
      <c r="C86" s="164">
        <f>'PLANILHA RESUMIDA'!I48</f>
        <v>21390.739999999994</v>
      </c>
      <c r="D86" s="162"/>
      <c r="E86" s="162"/>
      <c r="F86" s="162"/>
      <c r="G86" s="162"/>
      <c r="H86" s="162"/>
      <c r="I86" s="162"/>
      <c r="J86" s="162"/>
      <c r="K86" s="162"/>
      <c r="L86" s="162"/>
      <c r="M86" s="162"/>
      <c r="N86" s="162"/>
      <c r="O86" s="162"/>
      <c r="P86" s="166">
        <f>P85*C86</f>
        <v>21390.739999999994</v>
      </c>
      <c r="Q86" s="162"/>
      <c r="R86" s="162"/>
      <c r="S86" s="162"/>
      <c r="T86" s="162"/>
      <c r="U86" s="162"/>
      <c r="V86" s="101"/>
      <c r="W86" s="101"/>
    </row>
    <row r="87" spans="1:23" ht="25.15" customHeight="1" x14ac:dyDescent="0.2">
      <c r="A87" s="159" t="s">
        <v>643</v>
      </c>
      <c r="B87" s="160" t="s">
        <v>644</v>
      </c>
      <c r="C87" s="161">
        <v>1</v>
      </c>
      <c r="D87" s="162"/>
      <c r="E87" s="162"/>
      <c r="F87" s="162"/>
      <c r="G87" s="162"/>
      <c r="H87" s="162"/>
      <c r="I87" s="162"/>
      <c r="J87" s="162"/>
      <c r="K87" s="162"/>
      <c r="L87" s="162"/>
      <c r="M87" s="162"/>
      <c r="N87" s="162"/>
      <c r="O87" s="162"/>
      <c r="P87" s="163">
        <v>1</v>
      </c>
      <c r="Q87" s="162"/>
      <c r="R87" s="162"/>
      <c r="S87" s="162"/>
      <c r="T87" s="162"/>
      <c r="U87" s="162"/>
      <c r="V87" s="101"/>
      <c r="W87" s="101"/>
    </row>
    <row r="88" spans="1:23" ht="25.15" customHeight="1" x14ac:dyDescent="0.2">
      <c r="A88" s="159"/>
      <c r="B88" s="160"/>
      <c r="C88" s="164">
        <f>'PLANILHA RESUMIDA'!I49</f>
        <v>5546.58</v>
      </c>
      <c r="D88" s="162"/>
      <c r="E88" s="162"/>
      <c r="F88" s="162"/>
      <c r="G88" s="162"/>
      <c r="H88" s="162"/>
      <c r="I88" s="162"/>
      <c r="J88" s="162"/>
      <c r="K88" s="162"/>
      <c r="L88" s="162"/>
      <c r="M88" s="162"/>
      <c r="N88" s="162"/>
      <c r="O88" s="162"/>
      <c r="P88" s="166">
        <f>P87*C88</f>
        <v>5546.58</v>
      </c>
      <c r="Q88" s="162"/>
      <c r="R88" s="162"/>
      <c r="S88" s="162"/>
      <c r="T88" s="162"/>
      <c r="U88" s="162"/>
      <c r="V88" s="101"/>
      <c r="W88" s="101"/>
    </row>
    <row r="89" spans="1:23" ht="25.15" customHeight="1" x14ac:dyDescent="0.2">
      <c r="A89" s="159" t="s">
        <v>669</v>
      </c>
      <c r="B89" s="160" t="s">
        <v>670</v>
      </c>
      <c r="C89" s="161">
        <v>1</v>
      </c>
      <c r="D89" s="162"/>
      <c r="E89" s="162"/>
      <c r="F89" s="162"/>
      <c r="G89" s="162"/>
      <c r="H89" s="162"/>
      <c r="I89" s="162"/>
      <c r="J89" s="162"/>
      <c r="K89" s="162"/>
      <c r="L89" s="162"/>
      <c r="M89" s="162"/>
      <c r="N89" s="162"/>
      <c r="O89" s="162"/>
      <c r="P89" s="162"/>
      <c r="Q89" s="163">
        <v>1</v>
      </c>
      <c r="R89" s="162"/>
      <c r="S89" s="162"/>
      <c r="T89" s="162"/>
      <c r="U89" s="162"/>
      <c r="V89" s="101"/>
      <c r="W89" s="101"/>
    </row>
    <row r="90" spans="1:23" ht="25.15" customHeight="1" x14ac:dyDescent="0.2">
      <c r="A90" s="159"/>
      <c r="B90" s="160"/>
      <c r="C90" s="164">
        <f>'PLANILHA RESUMIDA'!I50</f>
        <v>33074.689999999995</v>
      </c>
      <c r="D90" s="162"/>
      <c r="E90" s="162"/>
      <c r="F90" s="162"/>
      <c r="G90" s="162"/>
      <c r="H90" s="162"/>
      <c r="I90" s="162"/>
      <c r="J90" s="162"/>
      <c r="K90" s="162"/>
      <c r="L90" s="162"/>
      <c r="M90" s="162"/>
      <c r="N90" s="162"/>
      <c r="O90" s="162"/>
      <c r="P90" s="162"/>
      <c r="Q90" s="166">
        <f>Q89*C90</f>
        <v>33074.689999999995</v>
      </c>
      <c r="R90" s="162"/>
      <c r="S90" s="162"/>
      <c r="T90" s="162"/>
      <c r="U90" s="162"/>
      <c r="V90" s="101"/>
      <c r="W90" s="101"/>
    </row>
    <row r="91" spans="1:23" ht="25.15" customHeight="1" x14ac:dyDescent="0.2">
      <c r="A91" s="159" t="s">
        <v>714</v>
      </c>
      <c r="B91" s="160" t="s">
        <v>715</v>
      </c>
      <c r="C91" s="161">
        <v>1</v>
      </c>
      <c r="D91" s="162"/>
      <c r="E91" s="162"/>
      <c r="F91" s="162"/>
      <c r="G91" s="162"/>
      <c r="H91" s="162"/>
      <c r="I91" s="162"/>
      <c r="J91" s="162"/>
      <c r="K91" s="162"/>
      <c r="L91" s="162"/>
      <c r="M91" s="162"/>
      <c r="N91" s="162"/>
      <c r="O91" s="162"/>
      <c r="P91" s="162"/>
      <c r="Q91" s="163">
        <v>1</v>
      </c>
      <c r="R91" s="162"/>
      <c r="S91" s="162"/>
      <c r="T91" s="162"/>
      <c r="U91" s="162"/>
    </row>
    <row r="92" spans="1:23" ht="25.15" customHeight="1" x14ac:dyDescent="0.2">
      <c r="A92" s="159"/>
      <c r="B92" s="160"/>
      <c r="C92" s="164">
        <f>'PLANILHA RESUMIDA'!I51</f>
        <v>4887.5600000000004</v>
      </c>
      <c r="D92" s="162"/>
      <c r="E92" s="162"/>
      <c r="F92" s="162"/>
      <c r="G92" s="162"/>
      <c r="H92" s="162"/>
      <c r="I92" s="162"/>
      <c r="J92" s="162"/>
      <c r="K92" s="162"/>
      <c r="L92" s="162"/>
      <c r="M92" s="162"/>
      <c r="N92" s="162"/>
      <c r="O92" s="162"/>
      <c r="P92" s="162"/>
      <c r="Q92" s="166">
        <f>Q91*C92</f>
        <v>4887.5600000000004</v>
      </c>
      <c r="R92" s="162"/>
      <c r="S92" s="162"/>
      <c r="T92" s="162"/>
      <c r="U92" s="162"/>
    </row>
    <row r="93" spans="1:23" ht="25.15" customHeight="1" x14ac:dyDescent="0.2">
      <c r="A93" s="159" t="s">
        <v>740</v>
      </c>
      <c r="B93" s="160" t="s">
        <v>741</v>
      </c>
      <c r="C93" s="161">
        <v>1</v>
      </c>
      <c r="D93" s="162"/>
      <c r="E93" s="162"/>
      <c r="F93" s="162"/>
      <c r="G93" s="162"/>
      <c r="H93" s="162"/>
      <c r="I93" s="162"/>
      <c r="J93" s="162"/>
      <c r="K93" s="162"/>
      <c r="L93" s="162"/>
      <c r="M93" s="162"/>
      <c r="N93" s="162"/>
      <c r="O93" s="162"/>
      <c r="P93" s="162"/>
      <c r="Q93" s="162"/>
      <c r="R93" s="163">
        <v>1</v>
      </c>
      <c r="S93" s="162"/>
      <c r="T93" s="162"/>
      <c r="U93" s="162"/>
    </row>
    <row r="94" spans="1:23" ht="33.6" customHeight="1" x14ac:dyDescent="0.2">
      <c r="A94" s="159"/>
      <c r="B94" s="160"/>
      <c r="C94" s="164">
        <f>'PLANILHA RESUMIDA'!I52</f>
        <v>136557.19000000003</v>
      </c>
      <c r="D94" s="162"/>
      <c r="E94" s="162"/>
      <c r="F94" s="162"/>
      <c r="G94" s="162"/>
      <c r="H94" s="162"/>
      <c r="I94" s="162"/>
      <c r="J94" s="162"/>
      <c r="K94" s="162"/>
      <c r="L94" s="162"/>
      <c r="M94" s="162"/>
      <c r="N94" s="162"/>
      <c r="O94" s="162"/>
      <c r="P94" s="162"/>
      <c r="Q94" s="162"/>
      <c r="R94" s="166">
        <f>R93*C94</f>
        <v>136557.19000000003</v>
      </c>
      <c r="S94" s="162"/>
      <c r="T94" s="162"/>
      <c r="U94" s="162"/>
    </row>
    <row r="95" spans="1:23" ht="25.15" customHeight="1" x14ac:dyDescent="0.2">
      <c r="A95" s="159" t="s">
        <v>781</v>
      </c>
      <c r="B95" s="160" t="s">
        <v>782</v>
      </c>
      <c r="C95" s="161">
        <v>1</v>
      </c>
      <c r="D95" s="162"/>
      <c r="E95" s="162"/>
      <c r="F95" s="162"/>
      <c r="G95" s="162"/>
      <c r="H95" s="162"/>
      <c r="I95" s="162"/>
      <c r="J95" s="162"/>
      <c r="K95" s="162"/>
      <c r="L95" s="162"/>
      <c r="M95" s="162"/>
      <c r="N95" s="162"/>
      <c r="O95" s="162"/>
      <c r="P95" s="162"/>
      <c r="Q95" s="162"/>
      <c r="R95" s="162"/>
      <c r="S95" s="163">
        <v>1</v>
      </c>
      <c r="T95" s="162"/>
      <c r="U95" s="162"/>
    </row>
    <row r="96" spans="1:23" ht="25.15" customHeight="1" x14ac:dyDescent="0.2">
      <c r="A96" s="159"/>
      <c r="B96" s="160"/>
      <c r="C96" s="164">
        <f>'PLANILHA RESUMIDA'!I53</f>
        <v>12269.570000000003</v>
      </c>
      <c r="D96" s="162"/>
      <c r="E96" s="162"/>
      <c r="F96" s="162"/>
      <c r="G96" s="162"/>
      <c r="H96" s="162"/>
      <c r="I96" s="162"/>
      <c r="J96" s="162"/>
      <c r="K96" s="162"/>
      <c r="L96" s="162"/>
      <c r="M96" s="162"/>
      <c r="N96" s="162"/>
      <c r="O96" s="162"/>
      <c r="P96" s="162"/>
      <c r="Q96" s="162"/>
      <c r="R96" s="162"/>
      <c r="S96" s="166">
        <f>S95*C96</f>
        <v>12269.570000000003</v>
      </c>
      <c r="T96" s="162"/>
      <c r="U96" s="162"/>
    </row>
    <row r="97" spans="1:21" ht="25.15" customHeight="1" x14ac:dyDescent="0.2">
      <c r="A97" s="159" t="s">
        <v>801</v>
      </c>
      <c r="B97" s="160" t="s">
        <v>802</v>
      </c>
      <c r="C97" s="161">
        <v>1</v>
      </c>
      <c r="D97" s="162"/>
      <c r="E97" s="162"/>
      <c r="F97" s="162"/>
      <c r="G97" s="162"/>
      <c r="H97" s="162"/>
      <c r="I97" s="162"/>
      <c r="J97" s="162"/>
      <c r="K97" s="162"/>
      <c r="L97" s="162"/>
      <c r="M97" s="162"/>
      <c r="N97" s="162"/>
      <c r="O97" s="162"/>
      <c r="P97" s="162"/>
      <c r="Q97" s="162"/>
      <c r="R97" s="163">
        <v>1</v>
      </c>
      <c r="S97" s="162"/>
      <c r="T97" s="162"/>
      <c r="U97" s="162"/>
    </row>
    <row r="98" spans="1:21" ht="25.15" customHeight="1" x14ac:dyDescent="0.2">
      <c r="A98" s="159"/>
      <c r="B98" s="160"/>
      <c r="C98" s="164">
        <f>'PLANILHA RESUMIDA'!I54</f>
        <v>35102.980000000003</v>
      </c>
      <c r="D98" s="162"/>
      <c r="E98" s="162"/>
      <c r="F98" s="162"/>
      <c r="G98" s="162"/>
      <c r="H98" s="162"/>
      <c r="I98" s="162"/>
      <c r="J98" s="162"/>
      <c r="K98" s="162"/>
      <c r="L98" s="162"/>
      <c r="M98" s="162"/>
      <c r="N98" s="162"/>
      <c r="O98" s="162"/>
      <c r="P98" s="162"/>
      <c r="Q98" s="162"/>
      <c r="R98" s="166">
        <f>R97*C98</f>
        <v>35102.980000000003</v>
      </c>
      <c r="S98" s="162"/>
      <c r="T98" s="162"/>
      <c r="U98" s="162"/>
    </row>
    <row r="99" spans="1:21" ht="25.15" customHeight="1" x14ac:dyDescent="0.2">
      <c r="A99" s="159" t="s">
        <v>811</v>
      </c>
      <c r="B99" s="160" t="s">
        <v>812</v>
      </c>
      <c r="C99" s="161">
        <v>1</v>
      </c>
      <c r="D99" s="162"/>
      <c r="E99" s="162"/>
      <c r="F99" s="162"/>
      <c r="G99" s="162"/>
      <c r="H99" s="162"/>
      <c r="I99" s="162"/>
      <c r="J99" s="162"/>
      <c r="K99" s="162"/>
      <c r="L99" s="162"/>
      <c r="M99" s="162"/>
      <c r="N99" s="162"/>
      <c r="O99" s="162"/>
      <c r="P99" s="162"/>
      <c r="Q99" s="162"/>
      <c r="R99" s="162"/>
      <c r="S99" s="162"/>
      <c r="T99" s="163">
        <v>1</v>
      </c>
      <c r="U99" s="162"/>
    </row>
    <row r="100" spans="1:21" ht="25.15" customHeight="1" x14ac:dyDescent="0.2">
      <c r="A100" s="159"/>
      <c r="B100" s="160"/>
      <c r="C100" s="164">
        <f>'PLANILHA RESUMIDA'!I55</f>
        <v>71305.22</v>
      </c>
      <c r="D100" s="162"/>
      <c r="E100" s="162"/>
      <c r="F100" s="162"/>
      <c r="G100" s="162"/>
      <c r="H100" s="162"/>
      <c r="I100" s="162"/>
      <c r="J100" s="162"/>
      <c r="K100" s="162"/>
      <c r="L100" s="162"/>
      <c r="M100" s="162"/>
      <c r="N100" s="162"/>
      <c r="O100" s="162"/>
      <c r="P100" s="162"/>
      <c r="Q100" s="162"/>
      <c r="R100" s="162"/>
      <c r="S100" s="162"/>
      <c r="T100" s="166">
        <f>T99*C100</f>
        <v>71305.22</v>
      </c>
      <c r="U100" s="162"/>
    </row>
    <row r="101" spans="1:21" ht="25.15" customHeight="1" x14ac:dyDescent="0.2">
      <c r="A101" s="174">
        <v>10</v>
      </c>
      <c r="B101" s="160" t="s">
        <v>844</v>
      </c>
      <c r="C101" s="161">
        <v>1</v>
      </c>
      <c r="D101" s="162"/>
      <c r="E101" s="162"/>
      <c r="F101" s="162"/>
      <c r="G101" s="162"/>
      <c r="H101" s="162"/>
      <c r="I101" s="162"/>
      <c r="J101" s="162"/>
      <c r="K101" s="162"/>
      <c r="L101" s="162"/>
      <c r="M101" s="162"/>
      <c r="N101" s="162"/>
      <c r="O101" s="175">
        <v>4.8243444628207302E-2</v>
      </c>
      <c r="P101" s="163">
        <v>7.7956890736672294E-2</v>
      </c>
      <c r="Q101" s="163">
        <v>0.404979478706886</v>
      </c>
      <c r="R101" s="163">
        <v>8.9772391269429305E-2</v>
      </c>
      <c r="S101" s="163">
        <v>7.4891925106339005E-2</v>
      </c>
      <c r="T101" s="163">
        <v>0.27234062633005202</v>
      </c>
      <c r="U101" s="163">
        <v>3.1815243222416002E-2</v>
      </c>
    </row>
    <row r="102" spans="1:21" ht="25.15" customHeight="1" x14ac:dyDescent="0.2">
      <c r="A102" s="174"/>
      <c r="B102" s="160"/>
      <c r="C102" s="164">
        <f>'PLANILHA RESUMIDA'!I56</f>
        <v>1607202.81</v>
      </c>
      <c r="D102" s="162"/>
      <c r="E102" s="162"/>
      <c r="F102" s="162"/>
      <c r="G102" s="162"/>
      <c r="H102" s="162"/>
      <c r="I102" s="162"/>
      <c r="J102" s="162"/>
      <c r="K102" s="162"/>
      <c r="L102" s="162"/>
      <c r="M102" s="162"/>
      <c r="N102" s="162"/>
      <c r="O102" s="176">
        <f>O101*$C$102</f>
        <v>77536.999770534181</v>
      </c>
      <c r="P102" s="176">
        <f t="shared" ref="P102:U102" si="6">P101*$C$102</f>
        <v>125292.53385084268</v>
      </c>
      <c r="Q102" s="176">
        <f t="shared" si="6"/>
        <v>650884.15617004235</v>
      </c>
      <c r="R102" s="176">
        <f t="shared" si="6"/>
        <v>144282.43950864626</v>
      </c>
      <c r="S102" s="176">
        <f t="shared" si="6"/>
        <v>120366.51247721761</v>
      </c>
      <c r="T102" s="176">
        <f t="shared" si="6"/>
        <v>437706.6199148196</v>
      </c>
      <c r="U102" s="176">
        <f t="shared" si="6"/>
        <v>51133.548307900455</v>
      </c>
    </row>
    <row r="103" spans="1:21" ht="25.15" customHeight="1" x14ac:dyDescent="0.2">
      <c r="A103" s="159" t="s">
        <v>845</v>
      </c>
      <c r="B103" s="160" t="s">
        <v>846</v>
      </c>
      <c r="C103" s="161">
        <v>1</v>
      </c>
      <c r="D103" s="162"/>
      <c r="E103" s="162"/>
      <c r="F103" s="162"/>
      <c r="G103" s="162"/>
      <c r="H103" s="162"/>
      <c r="I103" s="162"/>
      <c r="J103" s="162"/>
      <c r="K103" s="162"/>
      <c r="L103" s="162"/>
      <c r="M103" s="162"/>
      <c r="N103" s="162"/>
      <c r="O103" s="162"/>
      <c r="P103" s="162"/>
      <c r="Q103" s="162"/>
      <c r="R103" s="162"/>
      <c r="S103" s="163">
        <v>1</v>
      </c>
      <c r="T103" s="162"/>
      <c r="U103" s="162"/>
    </row>
    <row r="104" spans="1:21" ht="25.15" customHeight="1" x14ac:dyDescent="0.2">
      <c r="A104" s="159"/>
      <c r="B104" s="160"/>
      <c r="C104" s="164">
        <f>'PLANILHA RESUMIDA'!I57</f>
        <v>120366.5</v>
      </c>
      <c r="D104" s="162"/>
      <c r="E104" s="162"/>
      <c r="F104" s="162"/>
      <c r="G104" s="162"/>
      <c r="H104" s="162"/>
      <c r="I104" s="162"/>
      <c r="J104" s="162"/>
      <c r="K104" s="162"/>
      <c r="L104" s="162"/>
      <c r="M104" s="162"/>
      <c r="N104" s="162"/>
      <c r="O104" s="162"/>
      <c r="P104" s="162"/>
      <c r="Q104" s="162"/>
      <c r="R104" s="162"/>
      <c r="S104" s="166">
        <f>S103*C104</f>
        <v>120366.5</v>
      </c>
      <c r="T104" s="162"/>
      <c r="U104" s="162"/>
    </row>
    <row r="105" spans="1:21" ht="25.15" customHeight="1" x14ac:dyDescent="0.2">
      <c r="A105" s="159" t="s">
        <v>883</v>
      </c>
      <c r="B105" s="160" t="s">
        <v>884</v>
      </c>
      <c r="C105" s="161">
        <v>1</v>
      </c>
      <c r="D105" s="162"/>
      <c r="E105" s="162"/>
      <c r="F105" s="162"/>
      <c r="G105" s="162"/>
      <c r="H105" s="162"/>
      <c r="I105" s="162"/>
      <c r="J105" s="162"/>
      <c r="K105" s="162"/>
      <c r="L105" s="162"/>
      <c r="M105" s="162"/>
      <c r="N105" s="162"/>
      <c r="O105" s="162"/>
      <c r="P105" s="162"/>
      <c r="Q105" s="162"/>
      <c r="R105" s="162"/>
      <c r="S105" s="162"/>
      <c r="T105" s="163">
        <v>1</v>
      </c>
      <c r="U105" s="162"/>
    </row>
    <row r="106" spans="1:21" ht="25.15" customHeight="1" x14ac:dyDescent="0.2">
      <c r="A106" s="159"/>
      <c r="B106" s="160"/>
      <c r="C106" s="164">
        <f>'PLANILHA RESUMIDA'!I58</f>
        <v>437706.68999999994</v>
      </c>
      <c r="D106" s="162"/>
      <c r="E106" s="162"/>
      <c r="F106" s="162"/>
      <c r="G106" s="162"/>
      <c r="H106" s="162"/>
      <c r="I106" s="162"/>
      <c r="J106" s="162"/>
      <c r="K106" s="162"/>
      <c r="L106" s="162"/>
      <c r="M106" s="162"/>
      <c r="N106" s="162"/>
      <c r="O106" s="162"/>
      <c r="P106" s="162"/>
      <c r="Q106" s="162"/>
      <c r="R106" s="162"/>
      <c r="S106" s="162"/>
      <c r="T106" s="166">
        <f>T105*C106</f>
        <v>437706.68999999994</v>
      </c>
      <c r="U106" s="162"/>
    </row>
    <row r="107" spans="1:21" ht="25.15" customHeight="1" x14ac:dyDescent="0.2">
      <c r="A107" s="159" t="s">
        <v>903</v>
      </c>
      <c r="B107" s="160" t="s">
        <v>904</v>
      </c>
      <c r="C107" s="161">
        <v>1</v>
      </c>
      <c r="D107" s="162"/>
      <c r="E107" s="162"/>
      <c r="F107" s="162"/>
      <c r="G107" s="162"/>
      <c r="H107" s="162"/>
      <c r="I107" s="162"/>
      <c r="J107" s="162"/>
      <c r="K107" s="162"/>
      <c r="L107" s="162"/>
      <c r="M107" s="162"/>
      <c r="N107" s="162"/>
      <c r="O107" s="162"/>
      <c r="P107" s="162"/>
      <c r="Q107" s="162"/>
      <c r="R107" s="162"/>
      <c r="S107" s="162"/>
      <c r="T107" s="162"/>
      <c r="U107" s="163">
        <v>1</v>
      </c>
    </row>
    <row r="108" spans="1:21" ht="25.15" customHeight="1" x14ac:dyDescent="0.2">
      <c r="A108" s="159"/>
      <c r="B108" s="160"/>
      <c r="C108" s="164">
        <f>'PLANILHA RESUMIDA'!I59</f>
        <v>51133.540000000008</v>
      </c>
      <c r="D108" s="162"/>
      <c r="E108" s="162"/>
      <c r="F108" s="162"/>
      <c r="G108" s="162"/>
      <c r="H108" s="162"/>
      <c r="I108" s="162"/>
      <c r="J108" s="162"/>
      <c r="K108" s="162"/>
      <c r="L108" s="162"/>
      <c r="M108" s="162"/>
      <c r="N108" s="162"/>
      <c r="O108" s="162"/>
      <c r="P108" s="162"/>
      <c r="Q108" s="162"/>
      <c r="R108" s="162"/>
      <c r="S108" s="162"/>
      <c r="T108" s="162"/>
      <c r="U108" s="166">
        <f>U107*C108</f>
        <v>51133.540000000008</v>
      </c>
    </row>
    <row r="109" spans="1:21" ht="25.15" customHeight="1" x14ac:dyDescent="0.2">
      <c r="A109" s="159" t="s">
        <v>915</v>
      </c>
      <c r="B109" s="160" t="s">
        <v>916</v>
      </c>
      <c r="C109" s="161">
        <v>1</v>
      </c>
      <c r="D109" s="162"/>
      <c r="E109" s="162"/>
      <c r="F109" s="162"/>
      <c r="G109" s="162"/>
      <c r="H109" s="162"/>
      <c r="I109" s="162"/>
      <c r="J109" s="162"/>
      <c r="K109" s="162"/>
      <c r="L109" s="162"/>
      <c r="M109" s="162"/>
      <c r="N109" s="162"/>
      <c r="O109" s="175">
        <v>1</v>
      </c>
      <c r="P109" s="162"/>
      <c r="Q109" s="162"/>
      <c r="R109" s="162"/>
      <c r="S109" s="162"/>
      <c r="T109" s="162"/>
      <c r="U109" s="162"/>
    </row>
    <row r="110" spans="1:21" ht="25.15" customHeight="1" x14ac:dyDescent="0.2">
      <c r="A110" s="159"/>
      <c r="B110" s="160"/>
      <c r="C110" s="164">
        <f>'PLANILHA RESUMIDA'!I60</f>
        <v>77537.009999999995</v>
      </c>
      <c r="D110" s="162"/>
      <c r="E110" s="162"/>
      <c r="F110" s="162"/>
      <c r="G110" s="162"/>
      <c r="H110" s="162"/>
      <c r="I110" s="162"/>
      <c r="J110" s="162"/>
      <c r="K110" s="162"/>
      <c r="L110" s="162"/>
      <c r="M110" s="162"/>
      <c r="N110" s="162"/>
      <c r="O110" s="176">
        <f>O109*C110</f>
        <v>77537.009999999995</v>
      </c>
      <c r="P110" s="162"/>
      <c r="Q110" s="162"/>
      <c r="R110" s="162"/>
      <c r="S110" s="162"/>
      <c r="T110" s="162"/>
      <c r="U110" s="162"/>
    </row>
    <row r="111" spans="1:21" ht="25.15" customHeight="1" x14ac:dyDescent="0.2">
      <c r="A111" s="159" t="s">
        <v>919</v>
      </c>
      <c r="B111" s="160" t="s">
        <v>920</v>
      </c>
      <c r="C111" s="161">
        <v>1</v>
      </c>
      <c r="D111" s="162"/>
      <c r="E111" s="162"/>
      <c r="F111" s="162"/>
      <c r="G111" s="162"/>
      <c r="H111" s="162"/>
      <c r="I111" s="162"/>
      <c r="J111" s="162"/>
      <c r="K111" s="162"/>
      <c r="L111" s="162"/>
      <c r="M111" s="162"/>
      <c r="N111" s="162"/>
      <c r="O111" s="162"/>
      <c r="P111" s="163">
        <v>1</v>
      </c>
      <c r="Q111" s="162"/>
      <c r="R111" s="162"/>
      <c r="S111" s="162"/>
      <c r="T111" s="162"/>
      <c r="U111" s="162"/>
    </row>
    <row r="112" spans="1:21" ht="25.15" customHeight="1" x14ac:dyDescent="0.2">
      <c r="A112" s="159"/>
      <c r="B112" s="160"/>
      <c r="C112" s="164">
        <f>'PLANILHA RESUMIDA'!I61</f>
        <v>125292.50999999998</v>
      </c>
      <c r="D112" s="162"/>
      <c r="E112" s="162"/>
      <c r="F112" s="162"/>
      <c r="G112" s="162"/>
      <c r="H112" s="162"/>
      <c r="I112" s="162"/>
      <c r="J112" s="162"/>
      <c r="K112" s="162"/>
      <c r="L112" s="162"/>
      <c r="M112" s="162"/>
      <c r="N112" s="162"/>
      <c r="O112" s="162"/>
      <c r="P112" s="166">
        <f>P111*C112</f>
        <v>125292.50999999998</v>
      </c>
      <c r="Q112" s="162"/>
      <c r="R112" s="162"/>
      <c r="S112" s="162"/>
      <c r="T112" s="162"/>
      <c r="U112" s="162"/>
    </row>
    <row r="113" spans="1:21" ht="25.15" customHeight="1" x14ac:dyDescent="0.2">
      <c r="A113" s="159" t="s">
        <v>964</v>
      </c>
      <c r="B113" s="160" t="s">
        <v>965</v>
      </c>
      <c r="C113" s="161">
        <v>1</v>
      </c>
      <c r="D113" s="162"/>
      <c r="E113" s="162"/>
      <c r="F113" s="162"/>
      <c r="G113" s="162"/>
      <c r="H113" s="162"/>
      <c r="I113" s="162"/>
      <c r="J113" s="162"/>
      <c r="K113" s="162"/>
      <c r="L113" s="162"/>
      <c r="M113" s="162"/>
      <c r="N113" s="162"/>
      <c r="O113" s="162"/>
      <c r="P113" s="162"/>
      <c r="Q113" s="163">
        <v>1</v>
      </c>
      <c r="R113" s="162"/>
      <c r="S113" s="162"/>
      <c r="T113" s="162"/>
      <c r="U113" s="162"/>
    </row>
    <row r="114" spans="1:21" ht="25.15" customHeight="1" x14ac:dyDescent="0.2">
      <c r="A114" s="159"/>
      <c r="B114" s="160"/>
      <c r="C114" s="164">
        <f>'PLANILHA RESUMIDA'!I62</f>
        <v>524810.36</v>
      </c>
      <c r="D114" s="162"/>
      <c r="E114" s="162"/>
      <c r="F114" s="162"/>
      <c r="G114" s="162"/>
      <c r="H114" s="162"/>
      <c r="I114" s="162"/>
      <c r="J114" s="162"/>
      <c r="K114" s="162"/>
      <c r="L114" s="162"/>
      <c r="M114" s="162"/>
      <c r="N114" s="162"/>
      <c r="O114" s="162"/>
      <c r="P114" s="162"/>
      <c r="Q114" s="166">
        <f>Q113*C114</f>
        <v>524810.36</v>
      </c>
      <c r="R114" s="162"/>
      <c r="S114" s="162"/>
      <c r="T114" s="162"/>
      <c r="U114" s="162"/>
    </row>
    <row r="115" spans="1:21" ht="25.15" customHeight="1" x14ac:dyDescent="0.2">
      <c r="A115" s="159" t="s">
        <v>981</v>
      </c>
      <c r="B115" s="160" t="s">
        <v>982</v>
      </c>
      <c r="C115" s="161">
        <v>1</v>
      </c>
      <c r="D115" s="162"/>
      <c r="E115" s="162"/>
      <c r="F115" s="162"/>
      <c r="G115" s="162"/>
      <c r="H115" s="162"/>
      <c r="I115" s="162"/>
      <c r="J115" s="162"/>
      <c r="K115" s="162"/>
      <c r="L115" s="162"/>
      <c r="M115" s="162"/>
      <c r="N115" s="162"/>
      <c r="O115" s="162"/>
      <c r="P115" s="162"/>
      <c r="Q115" s="162"/>
      <c r="R115" s="163">
        <v>1</v>
      </c>
      <c r="S115" s="162"/>
      <c r="T115" s="162"/>
      <c r="U115" s="162"/>
    </row>
    <row r="116" spans="1:21" ht="25.15" customHeight="1" x14ac:dyDescent="0.2">
      <c r="A116" s="159"/>
      <c r="B116" s="160"/>
      <c r="C116" s="164">
        <f>'PLANILHA RESUMIDA'!I63</f>
        <v>30066.489999999998</v>
      </c>
      <c r="D116" s="162"/>
      <c r="E116" s="162"/>
      <c r="F116" s="162"/>
      <c r="G116" s="162"/>
      <c r="H116" s="162"/>
      <c r="I116" s="162"/>
      <c r="J116" s="162"/>
      <c r="K116" s="162"/>
      <c r="L116" s="162"/>
      <c r="M116" s="162"/>
      <c r="N116" s="162"/>
      <c r="O116" s="162"/>
      <c r="P116" s="162"/>
      <c r="Q116" s="162"/>
      <c r="R116" s="166">
        <f>R115*C116</f>
        <v>30066.489999999998</v>
      </c>
      <c r="S116" s="162"/>
      <c r="T116" s="162"/>
      <c r="U116" s="162"/>
    </row>
    <row r="117" spans="1:21" ht="25.15" customHeight="1" x14ac:dyDescent="0.2">
      <c r="A117" s="159" t="s">
        <v>1007</v>
      </c>
      <c r="B117" s="160" t="s">
        <v>1008</v>
      </c>
      <c r="C117" s="161">
        <v>1</v>
      </c>
      <c r="D117" s="162"/>
      <c r="E117" s="162"/>
      <c r="F117" s="162"/>
      <c r="G117" s="162"/>
      <c r="H117" s="162"/>
      <c r="I117" s="162"/>
      <c r="J117" s="162"/>
      <c r="K117" s="162"/>
      <c r="L117" s="162"/>
      <c r="M117" s="162"/>
      <c r="N117" s="162"/>
      <c r="O117" s="162"/>
      <c r="P117" s="162"/>
      <c r="Q117" s="163">
        <v>1</v>
      </c>
      <c r="R117" s="162"/>
      <c r="S117" s="162"/>
      <c r="T117" s="162"/>
      <c r="U117" s="162"/>
    </row>
    <row r="118" spans="1:21" ht="25.15" customHeight="1" x14ac:dyDescent="0.2">
      <c r="A118" s="159"/>
      <c r="B118" s="160"/>
      <c r="C118" s="164">
        <f>'PLANILHA RESUMIDA'!I64</f>
        <v>126073.88000000002</v>
      </c>
      <c r="D118" s="162"/>
      <c r="E118" s="162"/>
      <c r="F118" s="162"/>
      <c r="G118" s="162"/>
      <c r="H118" s="162"/>
      <c r="I118" s="162"/>
      <c r="J118" s="162"/>
      <c r="K118" s="162"/>
      <c r="L118" s="162"/>
      <c r="M118" s="162"/>
      <c r="N118" s="162"/>
      <c r="O118" s="162"/>
      <c r="P118" s="162"/>
      <c r="Q118" s="166">
        <f>Q117*C118</f>
        <v>126073.88000000002</v>
      </c>
      <c r="R118" s="162"/>
      <c r="S118" s="162"/>
      <c r="T118" s="162"/>
      <c r="U118" s="162"/>
    </row>
    <row r="119" spans="1:21" ht="25.15" customHeight="1" x14ac:dyDescent="0.2">
      <c r="A119" s="159" t="s">
        <v>1023</v>
      </c>
      <c r="B119" s="160" t="s">
        <v>1024</v>
      </c>
      <c r="C119" s="161">
        <v>1</v>
      </c>
      <c r="D119" s="162"/>
      <c r="E119" s="162"/>
      <c r="F119" s="162"/>
      <c r="G119" s="162"/>
      <c r="H119" s="162"/>
      <c r="I119" s="162"/>
      <c r="J119" s="162"/>
      <c r="K119" s="162"/>
      <c r="L119" s="162"/>
      <c r="M119" s="162"/>
      <c r="N119" s="162"/>
      <c r="O119" s="162"/>
      <c r="P119" s="162"/>
      <c r="Q119" s="162"/>
      <c r="R119" s="163">
        <v>1</v>
      </c>
      <c r="S119" s="162"/>
      <c r="T119" s="162"/>
      <c r="U119" s="162"/>
    </row>
    <row r="120" spans="1:21" ht="25.15" customHeight="1" x14ac:dyDescent="0.2">
      <c r="A120" s="159"/>
      <c r="B120" s="160"/>
      <c r="C120" s="164">
        <f>'PLANILHA RESUMIDA'!I65</f>
        <v>63353.850000000006</v>
      </c>
      <c r="D120" s="162"/>
      <c r="E120" s="162"/>
      <c r="F120" s="162"/>
      <c r="G120" s="162"/>
      <c r="H120" s="162"/>
      <c r="I120" s="162"/>
      <c r="J120" s="162"/>
      <c r="K120" s="162"/>
      <c r="L120" s="162"/>
      <c r="M120" s="162"/>
      <c r="N120" s="162"/>
      <c r="O120" s="162"/>
      <c r="P120" s="162"/>
      <c r="Q120" s="162"/>
      <c r="R120" s="166">
        <f>R119*C120</f>
        <v>63353.850000000006</v>
      </c>
      <c r="S120" s="162"/>
      <c r="T120" s="162"/>
      <c r="U120" s="162"/>
    </row>
    <row r="121" spans="1:21" ht="25.15" customHeight="1" x14ac:dyDescent="0.2">
      <c r="A121" s="159" t="s">
        <v>1053</v>
      </c>
      <c r="B121" s="160" t="s">
        <v>1054</v>
      </c>
      <c r="C121" s="161">
        <v>1</v>
      </c>
      <c r="D121" s="162"/>
      <c r="E121" s="162"/>
      <c r="F121" s="162"/>
      <c r="G121" s="162"/>
      <c r="H121" s="162"/>
      <c r="I121" s="162"/>
      <c r="J121" s="162"/>
      <c r="K121" s="162"/>
      <c r="L121" s="162"/>
      <c r="M121" s="162"/>
      <c r="N121" s="162"/>
      <c r="O121" s="162"/>
      <c r="P121" s="162"/>
      <c r="Q121" s="162"/>
      <c r="R121" s="163">
        <v>1</v>
      </c>
      <c r="S121" s="162"/>
      <c r="T121" s="162"/>
      <c r="U121" s="162"/>
    </row>
    <row r="122" spans="1:21" ht="25.15" customHeight="1" x14ac:dyDescent="0.2">
      <c r="A122" s="159"/>
      <c r="B122" s="160"/>
      <c r="C122" s="164">
        <f>'PLANILHA RESUMIDA'!I66</f>
        <v>50861.98</v>
      </c>
      <c r="D122" s="162"/>
      <c r="E122" s="162"/>
      <c r="F122" s="162"/>
      <c r="G122" s="162"/>
      <c r="H122" s="162"/>
      <c r="I122" s="162"/>
      <c r="J122" s="162"/>
      <c r="K122" s="162"/>
      <c r="L122" s="162"/>
      <c r="M122" s="162"/>
      <c r="N122" s="162"/>
      <c r="O122" s="162"/>
      <c r="P122" s="162"/>
      <c r="Q122" s="162"/>
      <c r="R122" s="166">
        <f>R121*C122</f>
        <v>50861.98</v>
      </c>
      <c r="S122" s="162"/>
      <c r="T122" s="162"/>
      <c r="U122" s="162"/>
    </row>
    <row r="123" spans="1:21" ht="42.6" customHeight="1" x14ac:dyDescent="0.2">
      <c r="A123" s="174">
        <v>11</v>
      </c>
      <c r="B123" s="160" t="s">
        <v>1071</v>
      </c>
      <c r="C123" s="161">
        <v>1</v>
      </c>
      <c r="D123" s="162"/>
      <c r="E123" s="162"/>
      <c r="F123" s="162"/>
      <c r="G123" s="162"/>
      <c r="H123" s="162"/>
      <c r="I123" s="162"/>
      <c r="J123" s="162"/>
      <c r="K123" s="162"/>
      <c r="L123" s="162"/>
      <c r="M123" s="162"/>
      <c r="N123" s="162"/>
      <c r="O123" s="162"/>
      <c r="P123" s="162"/>
      <c r="Q123" s="162"/>
      <c r="R123" s="163">
        <v>1</v>
      </c>
      <c r="S123" s="162"/>
      <c r="T123" s="162"/>
      <c r="U123" s="162"/>
    </row>
    <row r="124" spans="1:21" ht="25.15" customHeight="1" x14ac:dyDescent="0.2">
      <c r="A124" s="174"/>
      <c r="B124" s="160"/>
      <c r="C124" s="164">
        <f>'PLANILHA RESUMIDA'!I67</f>
        <v>454156.92000000004</v>
      </c>
      <c r="D124" s="162"/>
      <c r="E124" s="162"/>
      <c r="F124" s="162"/>
      <c r="G124" s="162"/>
      <c r="H124" s="162"/>
      <c r="I124" s="162"/>
      <c r="J124" s="162"/>
      <c r="K124" s="162"/>
      <c r="L124" s="162"/>
      <c r="M124" s="162"/>
      <c r="N124" s="162"/>
      <c r="O124" s="162"/>
      <c r="P124" s="162"/>
      <c r="Q124" s="162"/>
      <c r="R124" s="166">
        <f>R123*C124</f>
        <v>454156.92000000004</v>
      </c>
      <c r="S124" s="162"/>
      <c r="T124" s="162"/>
      <c r="U124" s="162"/>
    </row>
    <row r="125" spans="1:21" ht="25.15" customHeight="1" x14ac:dyDescent="0.2">
      <c r="A125" s="159" t="s">
        <v>1072</v>
      </c>
      <c r="B125" s="160" t="s">
        <v>1073</v>
      </c>
      <c r="C125" s="161">
        <v>1</v>
      </c>
      <c r="D125" s="162"/>
      <c r="E125" s="162"/>
      <c r="F125" s="162"/>
      <c r="G125" s="162"/>
      <c r="H125" s="162"/>
      <c r="I125" s="162"/>
      <c r="J125" s="162"/>
      <c r="K125" s="162"/>
      <c r="L125" s="162"/>
      <c r="M125" s="162"/>
      <c r="N125" s="162"/>
      <c r="O125" s="162"/>
      <c r="P125" s="162"/>
      <c r="Q125" s="162"/>
      <c r="R125" s="163">
        <v>1</v>
      </c>
      <c r="S125" s="162"/>
      <c r="T125" s="162"/>
      <c r="U125" s="162"/>
    </row>
    <row r="126" spans="1:21" ht="25.15" customHeight="1" x14ac:dyDescent="0.2">
      <c r="A126" s="159"/>
      <c r="B126" s="160"/>
      <c r="C126" s="164">
        <f>'PLANILHA RESUMIDA'!I68</f>
        <v>303157.58</v>
      </c>
      <c r="D126" s="162"/>
      <c r="E126" s="162"/>
      <c r="F126" s="162"/>
      <c r="G126" s="162"/>
      <c r="H126" s="162"/>
      <c r="I126" s="162"/>
      <c r="J126" s="162"/>
      <c r="K126" s="162"/>
      <c r="L126" s="162"/>
      <c r="M126" s="162"/>
      <c r="N126" s="162"/>
      <c r="O126" s="162"/>
      <c r="P126" s="162"/>
      <c r="Q126" s="162"/>
      <c r="R126" s="166">
        <f>R125*C126</f>
        <v>303157.58</v>
      </c>
      <c r="S126" s="162"/>
      <c r="T126" s="162"/>
      <c r="U126" s="162"/>
    </row>
    <row r="127" spans="1:21" ht="25.15" customHeight="1" x14ac:dyDescent="0.2">
      <c r="A127" s="159" t="s">
        <v>1083</v>
      </c>
      <c r="B127" s="160" t="s">
        <v>1084</v>
      </c>
      <c r="C127" s="161">
        <v>1</v>
      </c>
      <c r="D127" s="162"/>
      <c r="E127" s="162"/>
      <c r="F127" s="162"/>
      <c r="G127" s="162"/>
      <c r="H127" s="162"/>
      <c r="I127" s="162"/>
      <c r="J127" s="162"/>
      <c r="K127" s="162"/>
      <c r="L127" s="162"/>
      <c r="M127" s="162"/>
      <c r="N127" s="162"/>
      <c r="O127" s="162"/>
      <c r="P127" s="162"/>
      <c r="Q127" s="162"/>
      <c r="R127" s="163">
        <v>1</v>
      </c>
      <c r="S127" s="162"/>
      <c r="T127" s="162"/>
      <c r="U127" s="162"/>
    </row>
    <row r="128" spans="1:21" ht="25.15" customHeight="1" x14ac:dyDescent="0.2">
      <c r="A128" s="159"/>
      <c r="B128" s="160"/>
      <c r="C128" s="164">
        <f>'PLANILHA RESUMIDA'!I69</f>
        <v>150999.34</v>
      </c>
      <c r="D128" s="162"/>
      <c r="E128" s="162"/>
      <c r="F128" s="162"/>
      <c r="G128" s="162"/>
      <c r="H128" s="162"/>
      <c r="I128" s="162"/>
      <c r="J128" s="162"/>
      <c r="K128" s="162"/>
      <c r="L128" s="162"/>
      <c r="M128" s="162"/>
      <c r="N128" s="162"/>
      <c r="O128" s="162"/>
      <c r="P128" s="162"/>
      <c r="Q128" s="162"/>
      <c r="R128" s="166">
        <f>R127*C128</f>
        <v>150999.34</v>
      </c>
      <c r="S128" s="162"/>
      <c r="T128" s="162"/>
      <c r="U128" s="162"/>
    </row>
    <row r="129" spans="1:21" ht="25.15" customHeight="1" x14ac:dyDescent="0.2">
      <c r="A129" s="174">
        <v>12</v>
      </c>
      <c r="B129" s="160" t="s">
        <v>1091</v>
      </c>
      <c r="C129" s="161">
        <v>1</v>
      </c>
      <c r="D129" s="162"/>
      <c r="E129" s="162"/>
      <c r="F129" s="162"/>
      <c r="G129" s="162"/>
      <c r="H129" s="162"/>
      <c r="I129" s="162"/>
      <c r="J129" s="162"/>
      <c r="K129" s="162"/>
      <c r="L129" s="162"/>
      <c r="M129" s="162"/>
      <c r="N129" s="162"/>
      <c r="O129" s="162"/>
      <c r="P129" s="162"/>
      <c r="Q129" s="165"/>
      <c r="R129" s="163">
        <v>0.71989489443207</v>
      </c>
      <c r="S129" s="163">
        <v>0.28010510556793</v>
      </c>
      <c r="T129" s="162"/>
      <c r="U129" s="162"/>
    </row>
    <row r="130" spans="1:21" ht="25.15" customHeight="1" x14ac:dyDescent="0.2">
      <c r="A130" s="174"/>
      <c r="B130" s="160"/>
      <c r="C130" s="164">
        <f>'PLANILHA RESUMIDA'!I70</f>
        <v>47446.460000000006</v>
      </c>
      <c r="D130" s="162"/>
      <c r="E130" s="162"/>
      <c r="F130" s="162"/>
      <c r="G130" s="162"/>
      <c r="H130" s="162"/>
      <c r="I130" s="162"/>
      <c r="J130" s="162"/>
      <c r="K130" s="162"/>
      <c r="L130" s="162"/>
      <c r="M130" s="162"/>
      <c r="N130" s="162"/>
      <c r="O130" s="162"/>
      <c r="P130" s="162"/>
      <c r="Q130" s="162"/>
      <c r="R130" s="166">
        <f>R129*C130</f>
        <v>34156.46431287544</v>
      </c>
      <c r="S130" s="166">
        <f>S129*C130</f>
        <v>13289.99568712457</v>
      </c>
      <c r="T130" s="170"/>
      <c r="U130" s="162"/>
    </row>
    <row r="131" spans="1:21" ht="25.15" customHeight="1" x14ac:dyDescent="0.2">
      <c r="A131" s="159" t="s">
        <v>1092</v>
      </c>
      <c r="B131" s="160" t="s">
        <v>1093</v>
      </c>
      <c r="C131" s="161">
        <v>1</v>
      </c>
      <c r="D131" s="162"/>
      <c r="E131" s="162"/>
      <c r="F131" s="162"/>
      <c r="G131" s="162"/>
      <c r="H131" s="162"/>
      <c r="I131" s="162"/>
      <c r="J131" s="162"/>
      <c r="K131" s="162"/>
      <c r="L131" s="162"/>
      <c r="M131" s="162"/>
      <c r="N131" s="162"/>
      <c r="O131" s="162"/>
      <c r="P131" s="162"/>
      <c r="Q131" s="162"/>
      <c r="R131" s="163">
        <v>1</v>
      </c>
      <c r="S131" s="162"/>
      <c r="T131" s="162"/>
      <c r="U131" s="162"/>
    </row>
    <row r="132" spans="1:21" ht="25.15" customHeight="1" x14ac:dyDescent="0.2">
      <c r="A132" s="159"/>
      <c r="B132" s="160"/>
      <c r="C132" s="164">
        <f>'PLANILHA RESUMIDA'!I71</f>
        <v>34156.490000000005</v>
      </c>
      <c r="D132" s="162"/>
      <c r="E132" s="162"/>
      <c r="F132" s="162"/>
      <c r="G132" s="162"/>
      <c r="H132" s="162"/>
      <c r="I132" s="162"/>
      <c r="J132" s="162"/>
      <c r="K132" s="162"/>
      <c r="L132" s="162"/>
      <c r="M132" s="162"/>
      <c r="N132" s="162"/>
      <c r="O132" s="162"/>
      <c r="P132" s="162"/>
      <c r="Q132" s="162"/>
      <c r="R132" s="166">
        <f>R131*C132</f>
        <v>34156.490000000005</v>
      </c>
      <c r="S132" s="162"/>
      <c r="T132" s="162"/>
      <c r="U132" s="162"/>
    </row>
    <row r="133" spans="1:21" ht="25.15" customHeight="1" x14ac:dyDescent="0.2">
      <c r="A133" s="159" t="s">
        <v>1119</v>
      </c>
      <c r="B133" s="160" t="s">
        <v>1120</v>
      </c>
      <c r="C133" s="161">
        <v>1</v>
      </c>
      <c r="D133" s="162"/>
      <c r="E133" s="162"/>
      <c r="F133" s="162"/>
      <c r="G133" s="162"/>
      <c r="H133" s="162"/>
      <c r="I133" s="162"/>
      <c r="J133" s="162"/>
      <c r="K133" s="162"/>
      <c r="L133" s="162"/>
      <c r="M133" s="162"/>
      <c r="N133" s="162"/>
      <c r="O133" s="162"/>
      <c r="P133" s="162"/>
      <c r="Q133" s="162"/>
      <c r="R133" s="162"/>
      <c r="S133" s="163">
        <v>1</v>
      </c>
      <c r="T133" s="162"/>
      <c r="U133" s="162"/>
    </row>
    <row r="134" spans="1:21" ht="25.15" customHeight="1" x14ac:dyDescent="0.2">
      <c r="A134" s="159"/>
      <c r="B134" s="160"/>
      <c r="C134" s="164">
        <f>'PLANILHA RESUMIDA'!I72</f>
        <v>6431.69</v>
      </c>
      <c r="D134" s="162"/>
      <c r="E134" s="162"/>
      <c r="F134" s="162"/>
      <c r="G134" s="162"/>
      <c r="H134" s="162"/>
      <c r="I134" s="162"/>
      <c r="J134" s="162"/>
      <c r="K134" s="162"/>
      <c r="L134" s="162"/>
      <c r="M134" s="162"/>
      <c r="N134" s="162"/>
      <c r="O134" s="162"/>
      <c r="P134" s="162"/>
      <c r="Q134" s="162"/>
      <c r="R134" s="162"/>
      <c r="S134" s="166">
        <f>S133*C134</f>
        <v>6431.69</v>
      </c>
      <c r="T134" s="162"/>
      <c r="U134" s="162"/>
    </row>
    <row r="135" spans="1:21" ht="25.15" customHeight="1" x14ac:dyDescent="0.2">
      <c r="A135" s="159" t="s">
        <v>1126</v>
      </c>
      <c r="B135" s="160" t="s">
        <v>1127</v>
      </c>
      <c r="C135" s="161">
        <v>1</v>
      </c>
      <c r="D135" s="162"/>
      <c r="E135" s="162"/>
      <c r="F135" s="162"/>
      <c r="G135" s="162"/>
      <c r="H135" s="162"/>
      <c r="I135" s="162"/>
      <c r="J135" s="162"/>
      <c r="K135" s="162"/>
      <c r="L135" s="162"/>
      <c r="M135" s="162"/>
      <c r="N135" s="162"/>
      <c r="O135" s="162"/>
      <c r="P135" s="162"/>
      <c r="Q135" s="162"/>
      <c r="R135" s="162"/>
      <c r="S135" s="163">
        <v>1</v>
      </c>
      <c r="T135" s="162"/>
      <c r="U135" s="162"/>
    </row>
    <row r="136" spans="1:21" ht="25.15" customHeight="1" x14ac:dyDescent="0.2">
      <c r="A136" s="159"/>
      <c r="B136" s="160"/>
      <c r="C136" s="164">
        <f>'PLANILHA RESUMIDA'!I73</f>
        <v>1493.3700000000001</v>
      </c>
      <c r="D136" s="162"/>
      <c r="E136" s="162"/>
      <c r="F136" s="162"/>
      <c r="G136" s="162"/>
      <c r="H136" s="162"/>
      <c r="I136" s="162"/>
      <c r="J136" s="162"/>
      <c r="K136" s="162"/>
      <c r="L136" s="162"/>
      <c r="M136" s="162"/>
      <c r="N136" s="162"/>
      <c r="O136" s="162"/>
      <c r="P136" s="162"/>
      <c r="Q136" s="162"/>
      <c r="R136" s="162"/>
      <c r="S136" s="166">
        <f>S135*C136</f>
        <v>1493.3700000000001</v>
      </c>
      <c r="T136" s="162"/>
      <c r="U136" s="162"/>
    </row>
    <row r="137" spans="1:21" ht="25.15" customHeight="1" x14ac:dyDescent="0.2">
      <c r="A137" s="159" t="s">
        <v>1135</v>
      </c>
      <c r="B137" s="160" t="s">
        <v>1136</v>
      </c>
      <c r="C137" s="161">
        <v>1</v>
      </c>
      <c r="D137" s="162"/>
      <c r="E137" s="162"/>
      <c r="F137" s="162"/>
      <c r="G137" s="162"/>
      <c r="H137" s="162"/>
      <c r="I137" s="162"/>
      <c r="J137" s="162"/>
      <c r="K137" s="162"/>
      <c r="L137" s="162"/>
      <c r="M137" s="162"/>
      <c r="N137" s="162"/>
      <c r="O137" s="162"/>
      <c r="P137" s="162"/>
      <c r="Q137" s="162"/>
      <c r="R137" s="162"/>
      <c r="S137" s="163">
        <v>1</v>
      </c>
      <c r="T137" s="162"/>
      <c r="U137" s="162"/>
    </row>
    <row r="138" spans="1:21" ht="25.15" customHeight="1" x14ac:dyDescent="0.2">
      <c r="A138" s="159"/>
      <c r="B138" s="160"/>
      <c r="C138" s="164">
        <f>'PLANILHA RESUMIDA'!I74</f>
        <v>5364.91</v>
      </c>
      <c r="D138" s="162"/>
      <c r="E138" s="162"/>
      <c r="F138" s="162"/>
      <c r="G138" s="162"/>
      <c r="H138" s="162"/>
      <c r="I138" s="162"/>
      <c r="J138" s="162"/>
      <c r="K138" s="162"/>
      <c r="L138" s="162"/>
      <c r="M138" s="162"/>
      <c r="N138" s="162"/>
      <c r="O138" s="162"/>
      <c r="P138" s="162"/>
      <c r="Q138" s="162"/>
      <c r="R138" s="162"/>
      <c r="S138" s="166">
        <f>S137*C138</f>
        <v>5364.91</v>
      </c>
      <c r="T138" s="162"/>
      <c r="U138" s="162"/>
    </row>
    <row r="139" spans="1:21" ht="25.15" customHeight="1" x14ac:dyDescent="0.2">
      <c r="A139" s="174">
        <v>13</v>
      </c>
      <c r="B139" s="160" t="s">
        <v>1146</v>
      </c>
      <c r="C139" s="161">
        <v>1</v>
      </c>
      <c r="D139" s="162"/>
      <c r="E139" s="162"/>
      <c r="F139" s="162"/>
      <c r="G139" s="162"/>
      <c r="H139" s="162"/>
      <c r="I139" s="162"/>
      <c r="J139" s="162"/>
      <c r="K139" s="162"/>
      <c r="L139" s="162"/>
      <c r="M139" s="162"/>
      <c r="N139" s="162"/>
      <c r="O139" s="162"/>
      <c r="P139" s="162"/>
      <c r="Q139" s="162"/>
      <c r="R139" s="162"/>
      <c r="S139" s="162"/>
      <c r="T139" s="162"/>
      <c r="U139" s="163">
        <v>1</v>
      </c>
    </row>
    <row r="140" spans="1:21" ht="25.15" customHeight="1" x14ac:dyDescent="0.2">
      <c r="A140" s="174"/>
      <c r="B140" s="160"/>
      <c r="C140" s="164">
        <f>'PLANILHA RESUMIDA'!I75</f>
        <v>36872.019999999997</v>
      </c>
      <c r="D140" s="162"/>
      <c r="E140" s="162"/>
      <c r="F140" s="162"/>
      <c r="G140" s="162"/>
      <c r="H140" s="162"/>
      <c r="I140" s="162"/>
      <c r="J140" s="162"/>
      <c r="K140" s="162"/>
      <c r="L140" s="162"/>
      <c r="M140" s="162"/>
      <c r="N140" s="162"/>
      <c r="O140" s="162"/>
      <c r="P140" s="162"/>
      <c r="Q140" s="162"/>
      <c r="R140" s="162"/>
      <c r="S140" s="162"/>
      <c r="T140" s="162"/>
      <c r="U140" s="166">
        <f>U139*C140</f>
        <v>36872.019999999997</v>
      </c>
    </row>
    <row r="141" spans="1:21" ht="25.15" customHeight="1" x14ac:dyDescent="0.2">
      <c r="A141" s="159" t="s">
        <v>1147</v>
      </c>
      <c r="B141" s="160" t="s">
        <v>1148</v>
      </c>
      <c r="C141" s="161">
        <v>1</v>
      </c>
      <c r="D141" s="162"/>
      <c r="E141" s="162"/>
      <c r="F141" s="162"/>
      <c r="G141" s="162"/>
      <c r="H141" s="162"/>
      <c r="I141" s="162"/>
      <c r="J141" s="162"/>
      <c r="K141" s="162"/>
      <c r="L141" s="162"/>
      <c r="M141" s="162"/>
      <c r="N141" s="162"/>
      <c r="O141" s="162"/>
      <c r="P141" s="162"/>
      <c r="Q141" s="162"/>
      <c r="R141" s="162"/>
      <c r="S141" s="162"/>
      <c r="T141" s="162"/>
      <c r="U141" s="163">
        <v>1</v>
      </c>
    </row>
    <row r="142" spans="1:21" ht="25.15" customHeight="1" x14ac:dyDescent="0.2">
      <c r="A142" s="172"/>
      <c r="B142" s="173"/>
      <c r="C142" s="164">
        <f>'PLANILHA RESUMIDA'!I76</f>
        <v>13678.169999999998</v>
      </c>
      <c r="D142" s="162"/>
      <c r="E142" s="162"/>
      <c r="F142" s="162"/>
      <c r="G142" s="162"/>
      <c r="H142" s="162"/>
      <c r="I142" s="162"/>
      <c r="J142" s="162"/>
      <c r="K142" s="162"/>
      <c r="L142" s="162"/>
      <c r="M142" s="162"/>
      <c r="N142" s="162"/>
      <c r="O142" s="162"/>
      <c r="P142" s="162"/>
      <c r="Q142" s="162"/>
      <c r="R142" s="162"/>
      <c r="S142" s="162"/>
      <c r="T142" s="162"/>
      <c r="U142" s="166">
        <f>U141*C142</f>
        <v>13678.169999999998</v>
      </c>
    </row>
    <row r="143" spans="1:21" ht="25.15" customHeight="1" x14ac:dyDescent="0.2">
      <c r="A143" s="159" t="s">
        <v>1155</v>
      </c>
      <c r="B143" s="160" t="s">
        <v>1156</v>
      </c>
      <c r="C143" s="161">
        <v>1</v>
      </c>
      <c r="D143" s="162"/>
      <c r="E143" s="162"/>
      <c r="F143" s="162"/>
      <c r="G143" s="162"/>
      <c r="H143" s="162"/>
      <c r="I143" s="162"/>
      <c r="J143" s="162"/>
      <c r="K143" s="162"/>
      <c r="L143" s="162"/>
      <c r="M143" s="162"/>
      <c r="N143" s="162"/>
      <c r="O143" s="162"/>
      <c r="P143" s="162"/>
      <c r="Q143" s="162"/>
      <c r="R143" s="162"/>
      <c r="S143" s="162"/>
      <c r="T143" s="162"/>
      <c r="U143" s="163">
        <v>1</v>
      </c>
    </row>
    <row r="144" spans="1:21" ht="25.15" customHeight="1" x14ac:dyDescent="0.2">
      <c r="A144" s="177"/>
      <c r="B144" s="160"/>
      <c r="C144" s="164">
        <f>'PLANILHA RESUMIDA'!I77</f>
        <v>23193.85</v>
      </c>
      <c r="D144" s="162"/>
      <c r="E144" s="162"/>
      <c r="F144" s="162"/>
      <c r="G144" s="162"/>
      <c r="H144" s="162"/>
      <c r="I144" s="162"/>
      <c r="J144" s="162"/>
      <c r="K144" s="162"/>
      <c r="L144" s="162"/>
      <c r="M144" s="162"/>
      <c r="N144" s="162"/>
      <c r="O144" s="162"/>
      <c r="P144" s="162"/>
      <c r="Q144" s="162"/>
      <c r="R144" s="162"/>
      <c r="S144" s="162"/>
      <c r="T144" s="162"/>
      <c r="U144" s="166">
        <f>U143*C144</f>
        <v>23193.85</v>
      </c>
    </row>
    <row r="145" spans="1:22" ht="25.15" customHeight="1" x14ac:dyDescent="0.2">
      <c r="A145" s="177"/>
      <c r="B145" s="160"/>
      <c r="C145" s="164">
        <f>C6+C12+C14+C22+C28+C42+C60+C70+C82+C102+C124+C130+C140</f>
        <v>8947799.1100000013</v>
      </c>
      <c r="D145" s="162"/>
      <c r="E145" s="162"/>
      <c r="F145" s="162"/>
      <c r="G145" s="162"/>
      <c r="H145" s="162"/>
      <c r="I145" s="162"/>
      <c r="J145" s="162"/>
      <c r="K145" s="162"/>
      <c r="L145" s="162"/>
      <c r="M145" s="162"/>
      <c r="N145" s="162"/>
      <c r="O145" s="162"/>
      <c r="P145" s="162"/>
      <c r="Q145" s="162"/>
      <c r="R145" s="162"/>
      <c r="S145" s="162"/>
      <c r="T145" s="162"/>
      <c r="U145" s="166"/>
    </row>
    <row r="146" spans="1:22" ht="25.15" customHeight="1" x14ac:dyDescent="0.2">
      <c r="A146" s="233" t="s">
        <v>1200</v>
      </c>
      <c r="B146" s="233"/>
      <c r="C146" s="178"/>
      <c r="D146" s="178">
        <v>0</v>
      </c>
      <c r="E146" s="178">
        <v>0</v>
      </c>
      <c r="F146" s="179">
        <v>1.9386515146746299E-2</v>
      </c>
      <c r="G146" s="179">
        <v>2.257464533567E-2</v>
      </c>
      <c r="H146" s="178">
        <v>6.3044391510578404E-2</v>
      </c>
      <c r="I146" s="180">
        <v>3.0925111022048299E-2</v>
      </c>
      <c r="J146" s="181">
        <v>2.3981226782789099E-2</v>
      </c>
      <c r="K146" s="179">
        <v>0.110354175452869</v>
      </c>
      <c r="L146" s="179">
        <v>5.9490136982408903E-2</v>
      </c>
      <c r="M146" s="179">
        <v>4.7724463231557102E-2</v>
      </c>
      <c r="N146" s="182">
        <v>4.9415409817968797E-2</v>
      </c>
      <c r="O146" s="179">
        <v>5.2119673601904601E-2</v>
      </c>
      <c r="P146" s="179">
        <v>9.6156263991305196E-2</v>
      </c>
      <c r="Q146" s="180">
        <v>0.13078106472620099</v>
      </c>
      <c r="R146" s="179">
        <v>0.12876723208076701</v>
      </c>
      <c r="S146" s="179">
        <v>8.1839291145339194E-2</v>
      </c>
      <c r="T146" s="179">
        <v>6.4257822694217204E-2</v>
      </c>
      <c r="U146" s="179">
        <v>1.9182568933876099E-2</v>
      </c>
      <c r="V146" s="104"/>
    </row>
    <row r="147" spans="1:22" ht="25.15" customHeight="1" x14ac:dyDescent="0.2">
      <c r="A147" s="233" t="s">
        <v>1201</v>
      </c>
      <c r="B147" s="233"/>
      <c r="C147" s="183"/>
      <c r="D147" s="183">
        <v>0</v>
      </c>
      <c r="E147" s="183">
        <v>0</v>
      </c>
      <c r="F147" s="184">
        <f>F146*$C$145</f>
        <v>173466.64297605806</v>
      </c>
      <c r="G147" s="184">
        <f t="shared" ref="G147:U147" si="7">G146*$C$145</f>
        <v>201993.39144307369</v>
      </c>
      <c r="H147" s="184">
        <f t="shared" si="7"/>
        <v>564108.55024884513</v>
      </c>
      <c r="I147" s="184">
        <f t="shared" si="7"/>
        <v>276711.68087973498</v>
      </c>
      <c r="J147" s="184">
        <f t="shared" si="7"/>
        <v>214579.1996637485</v>
      </c>
      <c r="K147" s="184">
        <f t="shared" si="7"/>
        <v>987426.99290196528</v>
      </c>
      <c r="L147" s="184">
        <f>L146*$C$145</f>
        <v>532305.79474497656</v>
      </c>
      <c r="M147" s="184">
        <f t="shared" si="7"/>
        <v>427028.90962855442</v>
      </c>
      <c r="N147" s="184">
        <f t="shared" si="7"/>
        <v>442159.15998950653</v>
      </c>
      <c r="O147" s="184">
        <f t="shared" si="7"/>
        <v>466356.36906861252</v>
      </c>
      <c r="P147" s="184">
        <f t="shared" si="7"/>
        <v>860386.93336232577</v>
      </c>
      <c r="Q147" s="184">
        <f t="shared" si="7"/>
        <v>1170202.6945619539</v>
      </c>
      <c r="R147" s="184">
        <f t="shared" si="7"/>
        <v>1152183.3246094508</v>
      </c>
      <c r="S147" s="184">
        <f t="shared" si="7"/>
        <v>732281.53647329705</v>
      </c>
      <c r="T147" s="184">
        <f t="shared" si="7"/>
        <v>574966.08871385455</v>
      </c>
      <c r="U147" s="184">
        <f t="shared" si="7"/>
        <v>171641.77323405023</v>
      </c>
      <c r="V147" s="105"/>
    </row>
    <row r="148" spans="1:22" ht="25.15" customHeight="1" x14ac:dyDescent="0.2">
      <c r="A148" s="233" t="s">
        <v>1202</v>
      </c>
      <c r="B148" s="233"/>
      <c r="C148" s="178"/>
      <c r="D148" s="178">
        <v>0</v>
      </c>
      <c r="E148" s="178">
        <v>0</v>
      </c>
      <c r="F148" s="179">
        <v>1.9400000000000001E-2</v>
      </c>
      <c r="G148" s="178">
        <v>4.2000000000000003E-2</v>
      </c>
      <c r="H148" s="178">
        <v>0.105</v>
      </c>
      <c r="I148" s="180">
        <v>0.13589999999999999</v>
      </c>
      <c r="J148" s="180">
        <v>0.15989999999999999</v>
      </c>
      <c r="K148" s="179">
        <v>0.27029999999999998</v>
      </c>
      <c r="L148" s="179">
        <v>0.32979999999999998</v>
      </c>
      <c r="M148" s="179">
        <v>0.3775</v>
      </c>
      <c r="N148" s="182">
        <v>0.4269</v>
      </c>
      <c r="O148" s="178">
        <v>0.47899999999999998</v>
      </c>
      <c r="P148" s="179">
        <v>0.57520000000000004</v>
      </c>
      <c r="Q148" s="181">
        <v>0.70599999999999996</v>
      </c>
      <c r="R148" s="179">
        <v>0.8347</v>
      </c>
      <c r="S148" s="179">
        <v>0.91659999999999997</v>
      </c>
      <c r="T148" s="179">
        <v>0.98080000000000001</v>
      </c>
      <c r="U148" s="178">
        <v>1</v>
      </c>
      <c r="V148" s="103"/>
    </row>
    <row r="149" spans="1:22" ht="25.15" customHeight="1" x14ac:dyDescent="0.2">
      <c r="A149" s="233" t="s">
        <v>1203</v>
      </c>
      <c r="B149" s="233"/>
      <c r="C149" s="183"/>
      <c r="D149" s="183">
        <v>0</v>
      </c>
      <c r="E149" s="183">
        <v>0</v>
      </c>
      <c r="F149" s="184">
        <f>F147</f>
        <v>173466.64297605806</v>
      </c>
      <c r="G149" s="184">
        <f>F149+G147</f>
        <v>375460.03441913176</v>
      </c>
      <c r="H149" s="184">
        <f t="shared" ref="H149:S149" si="8">G149+H147</f>
        <v>939568.58466797695</v>
      </c>
      <c r="I149" s="184">
        <f t="shared" si="8"/>
        <v>1216280.2655477119</v>
      </c>
      <c r="J149" s="184">
        <f t="shared" si="8"/>
        <v>1430859.4652114604</v>
      </c>
      <c r="K149" s="184">
        <f t="shared" si="8"/>
        <v>2418286.4581134254</v>
      </c>
      <c r="L149" s="184">
        <f t="shared" si="8"/>
        <v>2950592.2528584022</v>
      </c>
      <c r="M149" s="184">
        <f t="shared" si="8"/>
        <v>3377621.1624869565</v>
      </c>
      <c r="N149" s="184">
        <f t="shared" si="8"/>
        <v>3819780.3224764629</v>
      </c>
      <c r="O149" s="184">
        <f t="shared" si="8"/>
        <v>4286136.6915450757</v>
      </c>
      <c r="P149" s="184">
        <f t="shared" si="8"/>
        <v>5146523.6249074014</v>
      </c>
      <c r="Q149" s="184">
        <f t="shared" si="8"/>
        <v>6316726.319469355</v>
      </c>
      <c r="R149" s="184">
        <f t="shared" si="8"/>
        <v>7468909.644078806</v>
      </c>
      <c r="S149" s="184">
        <f t="shared" si="8"/>
        <v>8201191.1805521026</v>
      </c>
      <c r="T149" s="184">
        <f>S149+T147</f>
        <v>8776157.2692659572</v>
      </c>
      <c r="U149" s="184">
        <f>'PLANILHA ORÇAMENTARIA'!J700</f>
        <v>8947799.1100000013</v>
      </c>
      <c r="V149" s="100"/>
    </row>
    <row r="151" spans="1:22" ht="27.6" customHeight="1" x14ac:dyDescent="0.2">
      <c r="T151" s="85"/>
    </row>
    <row r="152" spans="1:22" ht="27.6" customHeight="1" x14ac:dyDescent="0.2">
      <c r="F152" s="85"/>
    </row>
    <row r="153" spans="1:22" ht="27.6" customHeight="1" x14ac:dyDescent="0.2">
      <c r="F153" s="106"/>
    </row>
    <row r="154" spans="1:22" ht="27.6" customHeight="1" x14ac:dyDescent="0.2"/>
    <row r="155" spans="1:22" ht="27.6" customHeight="1" x14ac:dyDescent="0.2"/>
    <row r="156" spans="1:22" ht="27.6" customHeight="1" x14ac:dyDescent="0.2"/>
    <row r="157" spans="1:22" ht="27.6" customHeight="1" x14ac:dyDescent="0.2"/>
    <row r="158" spans="1:22" ht="27.6" customHeight="1" x14ac:dyDescent="0.2"/>
    <row r="159" spans="1:22" ht="27.6" customHeight="1" x14ac:dyDescent="0.2"/>
    <row r="160" spans="1:22" ht="27.6" customHeight="1" x14ac:dyDescent="0.2"/>
    <row r="161" ht="27.6" customHeight="1" x14ac:dyDescent="0.2"/>
    <row r="162" ht="27.6" customHeight="1" x14ac:dyDescent="0.2"/>
    <row r="163" ht="27.6" customHeight="1" x14ac:dyDescent="0.2"/>
  </sheetData>
  <mergeCells count="7">
    <mergeCell ref="A1:G1"/>
    <mergeCell ref="A149:B149"/>
    <mergeCell ref="A2:B2"/>
    <mergeCell ref="C2:D2"/>
    <mergeCell ref="A146:B146"/>
    <mergeCell ref="A147:B147"/>
    <mergeCell ref="A148:B148"/>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7"/>
  <sheetViews>
    <sheetView workbookViewId="0"/>
  </sheetViews>
  <sheetFormatPr defaultRowHeight="12.75" x14ac:dyDescent="0.2"/>
  <cols>
    <col min="1" max="1" width="24" customWidth="1"/>
    <col min="2" max="2" width="80" customWidth="1"/>
  </cols>
  <sheetData>
    <row r="1" spans="1:2" x14ac:dyDescent="0.2">
      <c r="A1" s="207" t="s">
        <v>6384</v>
      </c>
      <c r="B1" s="207" t="s">
        <v>6385</v>
      </c>
    </row>
    <row r="2" spans="1:2" x14ac:dyDescent="0.2">
      <c r="A2" t="s">
        <v>1191</v>
      </c>
      <c r="B2" t="s">
        <v>6386</v>
      </c>
    </row>
    <row r="3" spans="1:2" x14ac:dyDescent="0.2">
      <c r="A3" t="s">
        <v>1192</v>
      </c>
      <c r="B3" t="s">
        <v>6387</v>
      </c>
    </row>
    <row r="4" spans="1:2" x14ac:dyDescent="0.2">
      <c r="A4" t="s">
        <v>1193</v>
      </c>
      <c r="B4" t="s">
        <v>6388</v>
      </c>
    </row>
    <row r="5" spans="1:2" x14ac:dyDescent="0.2">
      <c r="A5" t="s">
        <v>1194</v>
      </c>
      <c r="B5" t="s">
        <v>6389</v>
      </c>
    </row>
    <row r="6" spans="1:2" x14ac:dyDescent="0.2">
      <c r="A6" t="s">
        <v>1195</v>
      </c>
      <c r="B6" t="s">
        <v>6390</v>
      </c>
    </row>
    <row r="7" spans="1:2" x14ac:dyDescent="0.2">
      <c r="A7" t="s">
        <v>1196</v>
      </c>
      <c r="B7" t="s">
        <v>6391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81"/>
  <sheetViews>
    <sheetView topLeftCell="A74" workbookViewId="0">
      <selection activeCell="I84" sqref="I84"/>
    </sheetView>
  </sheetViews>
  <sheetFormatPr defaultColWidth="8.83203125" defaultRowHeight="12.75" x14ac:dyDescent="0.2"/>
  <cols>
    <col min="1" max="1" width="13.83203125" style="98" customWidth="1"/>
    <col min="2" max="2" width="12.33203125" style="98" customWidth="1"/>
    <col min="3" max="3" width="2.1640625" style="98" customWidth="1"/>
    <col min="4" max="4" width="44.1640625" style="98" customWidth="1"/>
    <col min="5" max="5" width="33" style="98" customWidth="1"/>
    <col min="6" max="6" width="4.6640625" style="98" customWidth="1"/>
    <col min="7" max="7" width="9.1640625" style="98" customWidth="1"/>
    <col min="8" max="8" width="7.5" style="99" customWidth="1"/>
    <col min="9" max="9" width="21.33203125" style="98" customWidth="1"/>
    <col min="10" max="10" width="12.83203125" style="98" customWidth="1"/>
    <col min="11" max="16384" width="8.83203125" style="98"/>
  </cols>
  <sheetData>
    <row r="1" spans="1:10" ht="38.450000000000003" customHeight="1" x14ac:dyDescent="0.2">
      <c r="A1" s="236"/>
      <c r="B1" s="236"/>
      <c r="C1" s="139"/>
      <c r="D1" s="140" t="s">
        <v>0</v>
      </c>
      <c r="E1" s="140" t="s">
        <v>1</v>
      </c>
      <c r="F1" s="237" t="s">
        <v>2</v>
      </c>
      <c r="G1" s="237"/>
      <c r="H1" s="237"/>
      <c r="I1" s="237" t="s">
        <v>3</v>
      </c>
      <c r="J1" s="237"/>
    </row>
    <row r="2" spans="1:10" ht="96.6" customHeight="1" x14ac:dyDescent="0.2">
      <c r="A2" s="236"/>
      <c r="B2" s="236"/>
      <c r="C2" s="138"/>
      <c r="D2" s="141" t="s">
        <v>4</v>
      </c>
      <c r="E2" s="138" t="s">
        <v>1204</v>
      </c>
      <c r="F2" s="237" t="s">
        <v>1205</v>
      </c>
      <c r="G2" s="237"/>
      <c r="H2" s="237"/>
      <c r="I2" s="238" t="s">
        <v>6</v>
      </c>
      <c r="J2" s="238"/>
    </row>
    <row r="3" spans="1:10" ht="19.149999999999999" customHeight="1" x14ac:dyDescent="0.2">
      <c r="A3" s="235" t="s">
        <v>1206</v>
      </c>
      <c r="B3" s="235"/>
      <c r="C3" s="235"/>
      <c r="D3" s="235"/>
      <c r="E3" s="235"/>
      <c r="F3" s="235"/>
      <c r="G3" s="235"/>
      <c r="H3" s="235"/>
      <c r="I3" s="235"/>
      <c r="J3" s="235"/>
    </row>
    <row r="4" spans="1:10" ht="15" customHeight="1" x14ac:dyDescent="0.2">
      <c r="A4" s="238" t="s">
        <v>8</v>
      </c>
      <c r="B4" s="238"/>
      <c r="C4" s="238"/>
      <c r="D4" s="238" t="s">
        <v>11</v>
      </c>
      <c r="E4" s="238"/>
      <c r="F4" s="238"/>
      <c r="G4" s="142"/>
      <c r="H4" s="140" t="s">
        <v>13</v>
      </c>
      <c r="I4" s="143" t="s">
        <v>1207</v>
      </c>
      <c r="J4" s="143" t="s">
        <v>17</v>
      </c>
    </row>
    <row r="5" spans="1:10" ht="34.700000000000003" customHeight="1" x14ac:dyDescent="0.2">
      <c r="A5" s="144">
        <v>1</v>
      </c>
      <c r="B5" s="145"/>
      <c r="C5" s="145"/>
      <c r="D5" s="146" t="s">
        <v>18</v>
      </c>
      <c r="E5" s="145"/>
      <c r="F5" s="145"/>
      <c r="G5" s="145"/>
      <c r="H5" s="147">
        <v>1</v>
      </c>
      <c r="I5" s="148">
        <f>'PLANILHA ORÇAMENTARIA'!J5</f>
        <v>225484.51</v>
      </c>
      <c r="J5" s="149" t="s">
        <v>1208</v>
      </c>
    </row>
    <row r="6" spans="1:10" ht="34.700000000000003" customHeight="1" x14ac:dyDescent="0.2">
      <c r="A6" s="150">
        <v>1.1000000000000001</v>
      </c>
      <c r="B6" s="145"/>
      <c r="C6" s="145"/>
      <c r="D6" s="146" t="s">
        <v>21</v>
      </c>
      <c r="E6" s="145"/>
      <c r="F6" s="145"/>
      <c r="G6" s="145"/>
      <c r="H6" s="147">
        <v>1</v>
      </c>
      <c r="I6" s="148">
        <f>'PLANILHA ORÇAMENTARIA'!J6</f>
        <v>173466.66</v>
      </c>
      <c r="J6" s="149" t="s">
        <v>1209</v>
      </c>
    </row>
    <row r="7" spans="1:10" ht="34.700000000000003" customHeight="1" x14ac:dyDescent="0.2">
      <c r="A7" s="150">
        <v>1.2</v>
      </c>
      <c r="B7" s="145"/>
      <c r="C7" s="145"/>
      <c r="D7" s="146" t="s">
        <v>31</v>
      </c>
      <c r="E7" s="145"/>
      <c r="F7" s="145"/>
      <c r="G7" s="145"/>
      <c r="H7" s="147">
        <v>1</v>
      </c>
      <c r="I7" s="148">
        <f>'PLANILHA ORÇAMENTARIA'!J9</f>
        <v>52017.850000000006</v>
      </c>
      <c r="J7" s="149" t="s">
        <v>1210</v>
      </c>
    </row>
    <row r="8" spans="1:10" ht="34.700000000000003" customHeight="1" x14ac:dyDescent="0.2">
      <c r="A8" s="144">
        <v>2</v>
      </c>
      <c r="B8" s="145"/>
      <c r="C8" s="145"/>
      <c r="D8" s="146" t="s">
        <v>52</v>
      </c>
      <c r="E8" s="145"/>
      <c r="F8" s="145"/>
      <c r="G8" s="145"/>
      <c r="H8" s="147">
        <v>1</v>
      </c>
      <c r="I8" s="148">
        <f>'PLANILHA ORÇAMENTARIA'!J16</f>
        <v>988818.35000000009</v>
      </c>
      <c r="J8" s="149" t="s">
        <v>1211</v>
      </c>
    </row>
    <row r="9" spans="1:10" ht="34.700000000000003" customHeight="1" x14ac:dyDescent="0.2">
      <c r="A9" s="150">
        <v>2.1</v>
      </c>
      <c r="B9" s="145"/>
      <c r="C9" s="145"/>
      <c r="D9" s="146" t="s">
        <v>54</v>
      </c>
      <c r="E9" s="145"/>
      <c r="F9" s="145"/>
      <c r="G9" s="145"/>
      <c r="H9" s="147">
        <v>1</v>
      </c>
      <c r="I9" s="148">
        <f>'PLANILHA ORÇAMENTARIA'!J17</f>
        <v>697252.46000000008</v>
      </c>
      <c r="J9" s="149" t="s">
        <v>1212</v>
      </c>
    </row>
    <row r="10" spans="1:10" ht="34.700000000000003" customHeight="1" x14ac:dyDescent="0.2">
      <c r="A10" s="150">
        <v>2.2000000000000002</v>
      </c>
      <c r="B10" s="145"/>
      <c r="C10" s="145"/>
      <c r="D10" s="146" t="s">
        <v>74</v>
      </c>
      <c r="E10" s="145"/>
      <c r="F10" s="145"/>
      <c r="G10" s="145"/>
      <c r="H10" s="147">
        <v>1</v>
      </c>
      <c r="I10" s="148">
        <f>'PLANILHA ORÇAMENTARIA'!J24</f>
        <v>61216.3</v>
      </c>
      <c r="J10" s="149" t="s">
        <v>1213</v>
      </c>
    </row>
    <row r="11" spans="1:10" ht="34.700000000000003" customHeight="1" x14ac:dyDescent="0.2">
      <c r="A11" s="150">
        <v>2.2999999999999998</v>
      </c>
      <c r="B11" s="145"/>
      <c r="C11" s="145"/>
      <c r="D11" s="146" t="s">
        <v>94</v>
      </c>
      <c r="E11" s="145"/>
      <c r="F11" s="145"/>
      <c r="G11" s="145"/>
      <c r="H11" s="147">
        <v>1</v>
      </c>
      <c r="I11" s="148">
        <f>'PLANILHA ORÇAMENTARIA'!J31</f>
        <v>230349.59</v>
      </c>
      <c r="J11" s="149" t="s">
        <v>1214</v>
      </c>
    </row>
    <row r="12" spans="1:10" ht="34.700000000000003" customHeight="1" x14ac:dyDescent="0.2">
      <c r="A12" s="144">
        <v>3</v>
      </c>
      <c r="B12" s="145"/>
      <c r="C12" s="145"/>
      <c r="D12" s="146" t="s">
        <v>106</v>
      </c>
      <c r="E12" s="145"/>
      <c r="F12" s="145"/>
      <c r="G12" s="145"/>
      <c r="H12" s="147">
        <v>1</v>
      </c>
      <c r="I12" s="148">
        <f>'PLANILHA ORÇAMENTARIA'!J36</f>
        <v>129751.90000000001</v>
      </c>
      <c r="J12" s="149" t="s">
        <v>1215</v>
      </c>
    </row>
    <row r="13" spans="1:10" ht="34.700000000000003" customHeight="1" x14ac:dyDescent="0.2">
      <c r="A13" s="150">
        <v>3.1</v>
      </c>
      <c r="B13" s="145"/>
      <c r="C13" s="145"/>
      <c r="D13" s="146" t="s">
        <v>108</v>
      </c>
      <c r="E13" s="145"/>
      <c r="F13" s="145"/>
      <c r="G13" s="145"/>
      <c r="H13" s="147">
        <v>1</v>
      </c>
      <c r="I13" s="148">
        <f>'PLANILHA ORÇAMENTARIA'!J37</f>
        <v>45730.520000000004</v>
      </c>
      <c r="J13" s="149" t="s">
        <v>1216</v>
      </c>
    </row>
    <row r="14" spans="1:10" ht="34.700000000000003" customHeight="1" x14ac:dyDescent="0.2">
      <c r="A14" s="150">
        <v>3.2</v>
      </c>
      <c r="B14" s="145"/>
      <c r="C14" s="145"/>
      <c r="D14" s="146" t="s">
        <v>120</v>
      </c>
      <c r="E14" s="145"/>
      <c r="F14" s="145"/>
      <c r="G14" s="145"/>
      <c r="H14" s="147">
        <v>1</v>
      </c>
      <c r="I14" s="148">
        <f>'PLANILHA ORÇAMENTARIA'!J41</f>
        <v>28056.92</v>
      </c>
      <c r="J14" s="149" t="s">
        <v>1217</v>
      </c>
    </row>
    <row r="15" spans="1:10" ht="34.700000000000003" customHeight="1" x14ac:dyDescent="0.2">
      <c r="A15" s="150">
        <v>3.3</v>
      </c>
      <c r="B15" s="145"/>
      <c r="C15" s="145"/>
      <c r="D15" s="146" t="s">
        <v>137</v>
      </c>
      <c r="E15" s="145"/>
      <c r="F15" s="145"/>
      <c r="G15" s="145"/>
      <c r="H15" s="147">
        <v>1</v>
      </c>
      <c r="I15" s="148">
        <f>'PLANILHA ORÇAMENTARIA'!J47</f>
        <v>55964.460000000006</v>
      </c>
      <c r="J15" s="149" t="s">
        <v>1218</v>
      </c>
    </row>
    <row r="16" spans="1:10" ht="34.700000000000003" customHeight="1" x14ac:dyDescent="0.2">
      <c r="A16" s="144">
        <v>4</v>
      </c>
      <c r="B16" s="145"/>
      <c r="C16" s="145"/>
      <c r="D16" s="146" t="s">
        <v>154</v>
      </c>
      <c r="E16" s="145"/>
      <c r="F16" s="145"/>
      <c r="G16" s="145"/>
      <c r="H16" s="147">
        <v>1</v>
      </c>
      <c r="I16" s="148">
        <f>'PLANILHA ORÇAMENTARIA'!J56</f>
        <v>498154.44</v>
      </c>
      <c r="J16" s="149" t="s">
        <v>1219</v>
      </c>
    </row>
    <row r="17" spans="1:10" ht="34.700000000000003" customHeight="1" x14ac:dyDescent="0.2">
      <c r="A17" s="150">
        <v>4.0999999999999996</v>
      </c>
      <c r="B17" s="145"/>
      <c r="C17" s="145"/>
      <c r="D17" s="146" t="s">
        <v>156</v>
      </c>
      <c r="E17" s="145"/>
      <c r="F17" s="145"/>
      <c r="G17" s="145"/>
      <c r="H17" s="147">
        <v>1</v>
      </c>
      <c r="I17" s="148">
        <f>'PLANILHA ORÇAMENTARIA'!J57</f>
        <v>32455.040000000001</v>
      </c>
      <c r="J17" s="149" t="s">
        <v>1220</v>
      </c>
    </row>
    <row r="18" spans="1:10" ht="34.700000000000003" customHeight="1" x14ac:dyDescent="0.2">
      <c r="A18" s="150">
        <v>4.2</v>
      </c>
      <c r="B18" s="145"/>
      <c r="C18" s="145"/>
      <c r="D18" s="146" t="s">
        <v>164</v>
      </c>
      <c r="E18" s="145"/>
      <c r="F18" s="145"/>
      <c r="G18" s="145"/>
      <c r="H18" s="147">
        <v>1</v>
      </c>
      <c r="I18" s="148">
        <f>'PLANILHA ORÇAMENTARIA'!J60</f>
        <v>465699.4</v>
      </c>
      <c r="J18" s="149" t="s">
        <v>1221</v>
      </c>
    </row>
    <row r="19" spans="1:10" ht="34.700000000000003" customHeight="1" x14ac:dyDescent="0.2">
      <c r="A19" s="144">
        <v>5</v>
      </c>
      <c r="B19" s="145"/>
      <c r="C19" s="145"/>
      <c r="D19" s="146" t="s">
        <v>169</v>
      </c>
      <c r="E19" s="145"/>
      <c r="F19" s="145"/>
      <c r="G19" s="145"/>
      <c r="H19" s="147">
        <v>1</v>
      </c>
      <c r="I19" s="148">
        <f>'PLANILHA ORÇAMENTARIA'!J63</f>
        <v>1522459.14</v>
      </c>
      <c r="J19" s="149" t="s">
        <v>1222</v>
      </c>
    </row>
    <row r="20" spans="1:10" ht="34.700000000000003" customHeight="1" x14ac:dyDescent="0.2">
      <c r="A20" s="150">
        <v>5.0999999999999996</v>
      </c>
      <c r="B20" s="145"/>
      <c r="C20" s="145"/>
      <c r="D20" s="146" t="s">
        <v>171</v>
      </c>
      <c r="E20" s="145"/>
      <c r="F20" s="145"/>
      <c r="G20" s="145"/>
      <c r="H20" s="147">
        <v>1</v>
      </c>
      <c r="I20" s="148">
        <f>'PLANILHA ORÇAMENTARIA'!J64</f>
        <v>210757.52999999997</v>
      </c>
      <c r="J20" s="149" t="s">
        <v>1223</v>
      </c>
    </row>
    <row r="21" spans="1:10" ht="34.700000000000003" customHeight="1" x14ac:dyDescent="0.2">
      <c r="A21" s="150">
        <v>5.2</v>
      </c>
      <c r="B21" s="145"/>
      <c r="C21" s="145"/>
      <c r="D21" s="146" t="s">
        <v>196</v>
      </c>
      <c r="E21" s="145"/>
      <c r="F21" s="145"/>
      <c r="G21" s="145"/>
      <c r="H21" s="147">
        <v>1</v>
      </c>
      <c r="I21" s="148">
        <f>'PLANILHA ORÇAMENTARIA'!J78</f>
        <v>148625.05000000002</v>
      </c>
      <c r="J21" s="149" t="s">
        <v>1224</v>
      </c>
    </row>
    <row r="22" spans="1:10" ht="34.700000000000003" customHeight="1" x14ac:dyDescent="0.2">
      <c r="A22" s="150">
        <v>5.3</v>
      </c>
      <c r="B22" s="145"/>
      <c r="C22" s="145"/>
      <c r="D22" s="146" t="s">
        <v>212</v>
      </c>
      <c r="E22" s="145"/>
      <c r="F22" s="145"/>
      <c r="G22" s="145"/>
      <c r="H22" s="147">
        <v>1</v>
      </c>
      <c r="I22" s="148">
        <f>'PLANILHA ORÇAMENTARIA'!J85</f>
        <v>921472.93</v>
      </c>
      <c r="J22" s="149" t="s">
        <v>1225</v>
      </c>
    </row>
    <row r="23" spans="1:10" ht="34.700000000000003" customHeight="1" x14ac:dyDescent="0.2">
      <c r="A23" s="150">
        <v>5.4</v>
      </c>
      <c r="B23" s="145"/>
      <c r="C23" s="145"/>
      <c r="D23" s="146" t="s">
        <v>239</v>
      </c>
      <c r="E23" s="145"/>
      <c r="F23" s="145"/>
      <c r="G23" s="145"/>
      <c r="H23" s="147">
        <v>1</v>
      </c>
      <c r="I23" s="148">
        <f>'PLANILHA ORÇAMENTARIA'!J101</f>
        <v>14107.949999999999</v>
      </c>
      <c r="J23" s="149" t="s">
        <v>1226</v>
      </c>
    </row>
    <row r="24" spans="1:10" ht="34.700000000000003" customHeight="1" x14ac:dyDescent="0.2">
      <c r="A24" s="150">
        <v>5.5</v>
      </c>
      <c r="B24" s="145"/>
      <c r="C24" s="145"/>
      <c r="D24" s="146" t="s">
        <v>253</v>
      </c>
      <c r="E24" s="145"/>
      <c r="F24" s="145"/>
      <c r="G24" s="145"/>
      <c r="H24" s="147">
        <v>1</v>
      </c>
      <c r="I24" s="148">
        <f>'PLANILHA ORÇAMENTARIA'!J108</f>
        <v>98390.52</v>
      </c>
      <c r="J24" s="149" t="s">
        <v>1227</v>
      </c>
    </row>
    <row r="25" spans="1:10" ht="34.700000000000003" customHeight="1" x14ac:dyDescent="0.2">
      <c r="A25" s="150">
        <v>5.6</v>
      </c>
      <c r="B25" s="145"/>
      <c r="C25" s="145"/>
      <c r="D25" s="146" t="s">
        <v>275</v>
      </c>
      <c r="E25" s="145"/>
      <c r="F25" s="145"/>
      <c r="G25" s="145"/>
      <c r="H25" s="147">
        <v>1</v>
      </c>
      <c r="I25" s="148">
        <f>'PLANILHA ORÇAMENTARIA'!J123</f>
        <v>129105.16</v>
      </c>
      <c r="J25" s="149" t="s">
        <v>1228</v>
      </c>
    </row>
    <row r="26" spans="1:10" ht="34.700000000000003" customHeight="1" x14ac:dyDescent="0.2">
      <c r="A26" s="144">
        <v>6</v>
      </c>
      <c r="B26" s="145"/>
      <c r="C26" s="145"/>
      <c r="D26" s="146" t="s">
        <v>288</v>
      </c>
      <c r="E26" s="145"/>
      <c r="F26" s="145"/>
      <c r="G26" s="145"/>
      <c r="H26" s="147">
        <v>1</v>
      </c>
      <c r="I26" s="148">
        <f>'PLANILHA ORÇAMENTARIA'!J135</f>
        <v>2099381.87</v>
      </c>
      <c r="J26" s="149" t="s">
        <v>1229</v>
      </c>
    </row>
    <row r="27" spans="1:10" ht="34.700000000000003" customHeight="1" x14ac:dyDescent="0.2">
      <c r="A27" s="150">
        <v>6.1</v>
      </c>
      <c r="B27" s="145"/>
      <c r="C27" s="145"/>
      <c r="D27" s="146" t="s">
        <v>290</v>
      </c>
      <c r="E27" s="145"/>
      <c r="F27" s="145"/>
      <c r="G27" s="145"/>
      <c r="H27" s="147">
        <v>1</v>
      </c>
      <c r="I27" s="148">
        <f>'PLANILHA ORÇAMENTARIA'!J136</f>
        <v>160956.59000000003</v>
      </c>
      <c r="J27" s="149" t="s">
        <v>1230</v>
      </c>
    </row>
    <row r="28" spans="1:10" ht="34.700000000000003" customHeight="1" x14ac:dyDescent="0.2">
      <c r="A28" s="150">
        <v>6.2</v>
      </c>
      <c r="B28" s="145"/>
      <c r="C28" s="145"/>
      <c r="D28" s="146" t="s">
        <v>306</v>
      </c>
      <c r="E28" s="145"/>
      <c r="F28" s="145"/>
      <c r="G28" s="145"/>
      <c r="H28" s="147">
        <v>1</v>
      </c>
      <c r="I28" s="148">
        <f>'PLANILHA ORÇAMENTARIA'!J144</f>
        <v>376205.03</v>
      </c>
      <c r="J28" s="149" t="s">
        <v>1231</v>
      </c>
    </row>
    <row r="29" spans="1:10" ht="34.700000000000003" customHeight="1" x14ac:dyDescent="0.2">
      <c r="A29" s="150">
        <v>6.3</v>
      </c>
      <c r="B29" s="145"/>
      <c r="C29" s="145"/>
      <c r="D29" s="146" t="s">
        <v>325</v>
      </c>
      <c r="E29" s="145"/>
      <c r="F29" s="145"/>
      <c r="G29" s="145"/>
      <c r="H29" s="147">
        <v>1</v>
      </c>
      <c r="I29" s="148">
        <f>'PLANILHA ORÇAMENTARIA'!J151</f>
        <v>361074.79</v>
      </c>
      <c r="J29" s="149" t="s">
        <v>1232</v>
      </c>
    </row>
    <row r="30" spans="1:10" ht="34.700000000000003" customHeight="1" x14ac:dyDescent="0.2">
      <c r="A30" s="150">
        <v>6.4</v>
      </c>
      <c r="B30" s="145"/>
      <c r="C30" s="145"/>
      <c r="D30" s="146" t="s">
        <v>344</v>
      </c>
      <c r="E30" s="145"/>
      <c r="F30" s="145"/>
      <c r="G30" s="145"/>
      <c r="H30" s="147">
        <v>1</v>
      </c>
      <c r="I30" s="148">
        <f>'PLANILHA ORÇAMENTARIA'!J159</f>
        <v>248257.64</v>
      </c>
      <c r="J30" s="149" t="s">
        <v>1233</v>
      </c>
    </row>
    <row r="31" spans="1:10" ht="34.700000000000003" customHeight="1" x14ac:dyDescent="0.2">
      <c r="A31" s="150">
        <v>6.5</v>
      </c>
      <c r="B31" s="145"/>
      <c r="C31" s="145"/>
      <c r="D31" s="146" t="s">
        <v>355</v>
      </c>
      <c r="E31" s="145"/>
      <c r="F31" s="145"/>
      <c r="G31" s="145"/>
      <c r="H31" s="147">
        <v>1</v>
      </c>
      <c r="I31" s="148">
        <f>'PLANILHA ORÇAMENTARIA'!J163</f>
        <v>154417.01</v>
      </c>
      <c r="J31" s="149" t="s">
        <v>1234</v>
      </c>
    </row>
    <row r="32" spans="1:10" ht="34.700000000000003" customHeight="1" x14ac:dyDescent="0.2">
      <c r="A32" s="150">
        <v>6.6</v>
      </c>
      <c r="B32" s="145"/>
      <c r="C32" s="145"/>
      <c r="D32" s="146" t="s">
        <v>363</v>
      </c>
      <c r="E32" s="145"/>
      <c r="F32" s="145"/>
      <c r="G32" s="145"/>
      <c r="H32" s="147">
        <v>1</v>
      </c>
      <c r="I32" s="148">
        <f>'PLANILHA ORÇAMENTARIA'!J167</f>
        <v>371512.47000000003</v>
      </c>
      <c r="J32" s="149" t="s">
        <v>1235</v>
      </c>
    </row>
    <row r="33" spans="1:10" ht="34.700000000000003" customHeight="1" x14ac:dyDescent="0.2">
      <c r="A33" s="150">
        <v>6.7</v>
      </c>
      <c r="B33" s="145"/>
      <c r="C33" s="145"/>
      <c r="D33" s="146" t="s">
        <v>391</v>
      </c>
      <c r="E33" s="145"/>
      <c r="F33" s="145"/>
      <c r="G33" s="145"/>
      <c r="H33" s="147">
        <v>1</v>
      </c>
      <c r="I33" s="148">
        <f>'PLANILHA ORÇAMENTARIA'!J180</f>
        <v>352350.76</v>
      </c>
      <c r="J33" s="149" t="s">
        <v>1236</v>
      </c>
    </row>
    <row r="34" spans="1:10" ht="34.700000000000003" customHeight="1" x14ac:dyDescent="0.2">
      <c r="A34" s="150">
        <v>6.8</v>
      </c>
      <c r="B34" s="145"/>
      <c r="C34" s="145"/>
      <c r="D34" s="146" t="s">
        <v>403</v>
      </c>
      <c r="E34" s="145"/>
      <c r="F34" s="145"/>
      <c r="G34" s="145"/>
      <c r="H34" s="147">
        <v>1</v>
      </c>
      <c r="I34" s="148">
        <f>'PLANILHA ORÇAMENTARIA'!J186</f>
        <v>74607.58</v>
      </c>
      <c r="J34" s="149" t="s">
        <v>1237</v>
      </c>
    </row>
    <row r="35" spans="1:10" ht="34.700000000000003" customHeight="1" x14ac:dyDescent="0.2">
      <c r="A35" s="144">
        <v>7</v>
      </c>
      <c r="B35" s="145"/>
      <c r="C35" s="145"/>
      <c r="D35" s="146" t="s">
        <v>413</v>
      </c>
      <c r="E35" s="145"/>
      <c r="F35" s="145"/>
      <c r="G35" s="145"/>
      <c r="H35" s="147">
        <v>1</v>
      </c>
      <c r="I35" s="148">
        <f>'PLANILHA ORÇAMENTARIA'!J191</f>
        <v>223705.16</v>
      </c>
      <c r="J35" s="149" t="s">
        <v>1238</v>
      </c>
    </row>
    <row r="36" spans="1:10" ht="34.700000000000003" customHeight="1" x14ac:dyDescent="0.2">
      <c r="A36" s="150">
        <v>7.1</v>
      </c>
      <c r="B36" s="145"/>
      <c r="C36" s="145"/>
      <c r="D36" s="146" t="s">
        <v>415</v>
      </c>
      <c r="E36" s="145"/>
      <c r="F36" s="145"/>
      <c r="G36" s="145"/>
      <c r="H36" s="147">
        <v>1</v>
      </c>
      <c r="I36" s="148">
        <f>'PLANILHA ORÇAMENTARIA'!J192</f>
        <v>100694.79000000001</v>
      </c>
      <c r="J36" s="149" t="s">
        <v>1239</v>
      </c>
    </row>
    <row r="37" spans="1:10" ht="34.700000000000003" customHeight="1" x14ac:dyDescent="0.2">
      <c r="A37" s="150">
        <v>7.2</v>
      </c>
      <c r="B37" s="145"/>
      <c r="C37" s="145"/>
      <c r="D37" s="146" t="s">
        <v>423</v>
      </c>
      <c r="E37" s="145"/>
      <c r="F37" s="145"/>
      <c r="G37" s="145"/>
      <c r="H37" s="147">
        <v>1</v>
      </c>
      <c r="I37" s="148">
        <f>'PLANILHA ORÇAMENTARIA'!J196</f>
        <v>116273.37</v>
      </c>
      <c r="J37" s="149" t="s">
        <v>1240</v>
      </c>
    </row>
    <row r="38" spans="1:10" ht="34.700000000000003" customHeight="1" x14ac:dyDescent="0.2">
      <c r="A38" s="150">
        <v>7.3</v>
      </c>
      <c r="B38" s="145"/>
      <c r="C38" s="145"/>
      <c r="D38" s="146" t="s">
        <v>434</v>
      </c>
      <c r="E38" s="145"/>
      <c r="F38" s="145"/>
      <c r="G38" s="145"/>
      <c r="H38" s="147">
        <v>1</v>
      </c>
      <c r="I38" s="148">
        <f>'PLANILHA ORÇAMENTARIA'!J201</f>
        <v>4798.12</v>
      </c>
      <c r="J38" s="149" t="s">
        <v>1241</v>
      </c>
    </row>
    <row r="39" spans="1:10" ht="34.700000000000003" customHeight="1" x14ac:dyDescent="0.2">
      <c r="A39" s="150">
        <v>7.4</v>
      </c>
      <c r="B39" s="145"/>
      <c r="C39" s="145"/>
      <c r="D39" s="146" t="s">
        <v>440</v>
      </c>
      <c r="E39" s="145"/>
      <c r="F39" s="145"/>
      <c r="G39" s="145"/>
      <c r="H39" s="147">
        <v>1</v>
      </c>
      <c r="I39" s="148">
        <f>'PLANILHA ORÇAMENTARIA'!J204</f>
        <v>1938.88</v>
      </c>
      <c r="J39" s="149" t="s">
        <v>1242</v>
      </c>
    </row>
    <row r="40" spans="1:10" ht="34.700000000000003" customHeight="1" x14ac:dyDescent="0.2">
      <c r="A40" s="144">
        <v>8</v>
      </c>
      <c r="B40" s="151"/>
      <c r="C40" s="151"/>
      <c r="D40" s="146" t="s">
        <v>447</v>
      </c>
      <c r="E40" s="151"/>
      <c r="F40" s="151"/>
      <c r="G40" s="151"/>
      <c r="H40" s="147">
        <v>1</v>
      </c>
      <c r="I40" s="148">
        <f>'PLANILHA ORÇAMENTARIA'!J208</f>
        <v>776170.2100000002</v>
      </c>
      <c r="J40" s="149" t="s">
        <v>1243</v>
      </c>
    </row>
    <row r="41" spans="1:10" ht="34.700000000000003" customHeight="1" x14ac:dyDescent="0.2">
      <c r="A41" s="150">
        <v>8.1</v>
      </c>
      <c r="B41" s="145"/>
      <c r="C41" s="145"/>
      <c r="D41" s="146" t="s">
        <v>449</v>
      </c>
      <c r="E41" s="145"/>
      <c r="F41" s="145"/>
      <c r="G41" s="145"/>
      <c r="H41" s="147">
        <v>1</v>
      </c>
      <c r="I41" s="148">
        <f>'PLANILHA ORÇAMENTARIA'!J209</f>
        <v>203394.77000000002</v>
      </c>
      <c r="J41" s="149" t="s">
        <v>1244</v>
      </c>
    </row>
    <row r="42" spans="1:10" ht="34.700000000000003" customHeight="1" x14ac:dyDescent="0.2">
      <c r="A42" s="150">
        <v>8.1999999999999993</v>
      </c>
      <c r="B42" s="145"/>
      <c r="C42" s="145"/>
      <c r="D42" s="146" t="s">
        <v>477</v>
      </c>
      <c r="E42" s="145"/>
      <c r="F42" s="145"/>
      <c r="G42" s="145"/>
      <c r="H42" s="147">
        <v>1</v>
      </c>
      <c r="I42" s="148">
        <f>'PLANILHA ORÇAMENTARIA'!J222</f>
        <v>210068.30000000002</v>
      </c>
      <c r="J42" s="149" t="s">
        <v>1245</v>
      </c>
    </row>
    <row r="43" spans="1:10" ht="34.700000000000003" customHeight="1" x14ac:dyDescent="0.2">
      <c r="A43" s="150">
        <v>8.3000000000000007</v>
      </c>
      <c r="B43" s="145"/>
      <c r="C43" s="145"/>
      <c r="D43" s="146" t="s">
        <v>505</v>
      </c>
      <c r="E43" s="145"/>
      <c r="F43" s="145"/>
      <c r="G43" s="145"/>
      <c r="H43" s="147">
        <v>1</v>
      </c>
      <c r="I43" s="148">
        <f>'PLANILHA ORÇAMENTARIA'!J233</f>
        <v>181278.31</v>
      </c>
      <c r="J43" s="149" t="s">
        <v>1246</v>
      </c>
    </row>
    <row r="44" spans="1:10" ht="34.700000000000003" customHeight="1" x14ac:dyDescent="0.2">
      <c r="A44" s="150">
        <v>8.4</v>
      </c>
      <c r="B44" s="145"/>
      <c r="C44" s="145"/>
      <c r="D44" s="146" t="s">
        <v>536</v>
      </c>
      <c r="E44" s="145"/>
      <c r="F44" s="145"/>
      <c r="G44" s="145"/>
      <c r="H44" s="147">
        <v>1</v>
      </c>
      <c r="I44" s="148">
        <f>'PLANILHA ORÇAMENTARIA'!J246</f>
        <v>163252.4</v>
      </c>
      <c r="J44" s="149" t="s">
        <v>1247</v>
      </c>
    </row>
    <row r="45" spans="1:10" ht="34.700000000000003" customHeight="1" x14ac:dyDescent="0.2">
      <c r="A45" s="150">
        <v>8.5</v>
      </c>
      <c r="B45" s="145"/>
      <c r="C45" s="145"/>
      <c r="D45" s="146" t="s">
        <v>549</v>
      </c>
      <c r="E45" s="145"/>
      <c r="F45" s="145"/>
      <c r="G45" s="145"/>
      <c r="H45" s="147">
        <v>1</v>
      </c>
      <c r="I45" s="148">
        <f>'PLANILHA ORÇAMENTARIA'!J251</f>
        <v>18176.43</v>
      </c>
      <c r="J45" s="149" t="s">
        <v>1248</v>
      </c>
    </row>
    <row r="46" spans="1:10" ht="34.700000000000003" customHeight="1" x14ac:dyDescent="0.2">
      <c r="A46" s="144">
        <v>9</v>
      </c>
      <c r="B46" s="145"/>
      <c r="C46" s="145"/>
      <c r="D46" s="146" t="s">
        <v>553</v>
      </c>
      <c r="E46" s="145"/>
      <c r="F46" s="145"/>
      <c r="G46" s="145"/>
      <c r="H46" s="147">
        <v>1</v>
      </c>
      <c r="I46" s="148">
        <f>'PLANILHA ORÇAMENTARIA'!J253</f>
        <v>338195.32000000007</v>
      </c>
      <c r="J46" s="149" t="s">
        <v>1249</v>
      </c>
    </row>
    <row r="47" spans="1:10" ht="34.700000000000003" customHeight="1" x14ac:dyDescent="0.2">
      <c r="A47" s="150">
        <v>9.1</v>
      </c>
      <c r="B47" s="145"/>
      <c r="C47" s="145"/>
      <c r="D47" s="146" t="s">
        <v>555</v>
      </c>
      <c r="E47" s="145"/>
      <c r="F47" s="145"/>
      <c r="G47" s="145"/>
      <c r="H47" s="147">
        <v>1</v>
      </c>
      <c r="I47" s="148">
        <f>'PLANILHA ORÇAMENTARIA'!J254</f>
        <v>18060.789999999994</v>
      </c>
      <c r="J47" s="149" t="s">
        <v>1248</v>
      </c>
    </row>
    <row r="48" spans="1:10" ht="34.700000000000003" customHeight="1" x14ac:dyDescent="0.2">
      <c r="A48" s="150">
        <v>9.1999999999999993</v>
      </c>
      <c r="B48" s="145"/>
      <c r="C48" s="145"/>
      <c r="D48" s="146" t="s">
        <v>607</v>
      </c>
      <c r="E48" s="145"/>
      <c r="F48" s="145"/>
      <c r="G48" s="145"/>
      <c r="H48" s="147">
        <v>1</v>
      </c>
      <c r="I48" s="148">
        <f>'PLANILHA ORÇAMENTARIA'!J294</f>
        <v>21390.739999999994</v>
      </c>
      <c r="J48" s="149" t="s">
        <v>1250</v>
      </c>
    </row>
    <row r="49" spans="1:10" ht="34.700000000000003" customHeight="1" x14ac:dyDescent="0.2">
      <c r="A49" s="150">
        <v>9.3000000000000007</v>
      </c>
      <c r="B49" s="145"/>
      <c r="C49" s="145"/>
      <c r="D49" s="146" t="s">
        <v>644</v>
      </c>
      <c r="E49" s="145"/>
      <c r="F49" s="145"/>
      <c r="G49" s="145"/>
      <c r="H49" s="147">
        <v>1</v>
      </c>
      <c r="I49" s="148">
        <f>'PLANILHA ORÇAMENTARIA'!J329</f>
        <v>5546.58</v>
      </c>
      <c r="J49" s="149" t="s">
        <v>1251</v>
      </c>
    </row>
    <row r="50" spans="1:10" ht="34.700000000000003" customHeight="1" x14ac:dyDescent="0.2">
      <c r="A50" s="150">
        <v>9.4</v>
      </c>
      <c r="B50" s="145"/>
      <c r="C50" s="145"/>
      <c r="D50" s="146" t="s">
        <v>670</v>
      </c>
      <c r="E50" s="145"/>
      <c r="F50" s="145"/>
      <c r="G50" s="145"/>
      <c r="H50" s="147">
        <v>1</v>
      </c>
      <c r="I50" s="148">
        <f>'PLANILHA ORÇAMENTARIA'!J354</f>
        <v>33074.689999999995</v>
      </c>
      <c r="J50" s="149" t="s">
        <v>1252</v>
      </c>
    </row>
    <row r="51" spans="1:10" ht="34.700000000000003" customHeight="1" x14ac:dyDescent="0.2">
      <c r="A51" s="150">
        <v>9.5</v>
      </c>
      <c r="B51" s="145"/>
      <c r="C51" s="145"/>
      <c r="D51" s="146" t="s">
        <v>715</v>
      </c>
      <c r="E51" s="145"/>
      <c r="F51" s="145"/>
      <c r="G51" s="145"/>
      <c r="H51" s="147">
        <v>1</v>
      </c>
      <c r="I51" s="148">
        <f>'PLANILHA ORÇAMENTARIA'!J390</f>
        <v>4887.5600000000004</v>
      </c>
      <c r="J51" s="149" t="s">
        <v>1241</v>
      </c>
    </row>
    <row r="52" spans="1:10" ht="34.700000000000003" customHeight="1" x14ac:dyDescent="0.2">
      <c r="A52" s="150">
        <v>9.6</v>
      </c>
      <c r="B52" s="145"/>
      <c r="C52" s="145"/>
      <c r="D52" s="146" t="s">
        <v>741</v>
      </c>
      <c r="E52" s="145"/>
      <c r="F52" s="145"/>
      <c r="G52" s="145"/>
      <c r="H52" s="147">
        <v>1</v>
      </c>
      <c r="I52" s="148">
        <f>'PLANILHA ORÇAMENTARIA'!J406</f>
        <v>136557.19000000003</v>
      </c>
      <c r="J52" s="149" t="s">
        <v>1253</v>
      </c>
    </row>
    <row r="53" spans="1:10" ht="34.700000000000003" customHeight="1" x14ac:dyDescent="0.2">
      <c r="A53" s="150">
        <v>9.6999999999999993</v>
      </c>
      <c r="B53" s="145"/>
      <c r="C53" s="145"/>
      <c r="D53" s="146" t="s">
        <v>782</v>
      </c>
      <c r="E53" s="145"/>
      <c r="F53" s="145"/>
      <c r="G53" s="145"/>
      <c r="H53" s="147">
        <v>1</v>
      </c>
      <c r="I53" s="148">
        <f>'PLANILHA ORÇAMENTARIA'!J432</f>
        <v>12269.570000000003</v>
      </c>
      <c r="J53" s="149" t="s">
        <v>1254</v>
      </c>
    </row>
    <row r="54" spans="1:10" ht="34.700000000000003" customHeight="1" x14ac:dyDescent="0.2">
      <c r="A54" s="150">
        <v>9.8000000000000007</v>
      </c>
      <c r="B54" s="145"/>
      <c r="C54" s="145"/>
      <c r="D54" s="146" t="s">
        <v>802</v>
      </c>
      <c r="E54" s="145"/>
      <c r="F54" s="145"/>
      <c r="G54" s="145"/>
      <c r="H54" s="147">
        <v>1</v>
      </c>
      <c r="I54" s="148">
        <f>'PLANILHA ORÇAMENTARIA'!J444</f>
        <v>35102.980000000003</v>
      </c>
      <c r="J54" s="149" t="s">
        <v>1255</v>
      </c>
    </row>
    <row r="55" spans="1:10" ht="34.700000000000003" customHeight="1" x14ac:dyDescent="0.2">
      <c r="A55" s="150">
        <v>9.9</v>
      </c>
      <c r="B55" s="145"/>
      <c r="C55" s="145"/>
      <c r="D55" s="146" t="s">
        <v>812</v>
      </c>
      <c r="E55" s="145"/>
      <c r="F55" s="145"/>
      <c r="G55" s="145"/>
      <c r="H55" s="147">
        <v>1</v>
      </c>
      <c r="I55" s="148">
        <f>'PLANILHA ORÇAMENTARIA'!J449</f>
        <v>71305.22</v>
      </c>
      <c r="J55" s="149" t="s">
        <v>1256</v>
      </c>
    </row>
    <row r="56" spans="1:10" ht="34.700000000000003" customHeight="1" x14ac:dyDescent="0.2">
      <c r="A56" s="144">
        <v>10</v>
      </c>
      <c r="B56" s="145"/>
      <c r="C56" s="145"/>
      <c r="D56" s="146" t="s">
        <v>844</v>
      </c>
      <c r="E56" s="145"/>
      <c r="F56" s="145"/>
      <c r="G56" s="145"/>
      <c r="H56" s="147">
        <v>1</v>
      </c>
      <c r="I56" s="148">
        <f>'PLANILHA ORÇAMENTARIA'!J467</f>
        <v>1607202.81</v>
      </c>
      <c r="J56" s="149" t="s">
        <v>1257</v>
      </c>
    </row>
    <row r="57" spans="1:10" ht="34.700000000000003" customHeight="1" x14ac:dyDescent="0.2">
      <c r="A57" s="150">
        <v>10.1</v>
      </c>
      <c r="B57" s="145"/>
      <c r="C57" s="145"/>
      <c r="D57" s="146" t="s">
        <v>846</v>
      </c>
      <c r="E57" s="145"/>
      <c r="F57" s="145"/>
      <c r="G57" s="145"/>
      <c r="H57" s="147">
        <v>1</v>
      </c>
      <c r="I57" s="148">
        <f>'PLANILHA ORÇAMENTARIA'!J468</f>
        <v>120366.5</v>
      </c>
      <c r="J57" s="149" t="s">
        <v>1258</v>
      </c>
    </row>
    <row r="58" spans="1:10" ht="34.700000000000003" customHeight="1" x14ac:dyDescent="0.2">
      <c r="A58" s="150">
        <v>10.199999999999999</v>
      </c>
      <c r="B58" s="145"/>
      <c r="C58" s="145"/>
      <c r="D58" s="146" t="s">
        <v>884</v>
      </c>
      <c r="E58" s="145"/>
      <c r="F58" s="145"/>
      <c r="G58" s="145"/>
      <c r="H58" s="147">
        <v>1</v>
      </c>
      <c r="I58" s="148">
        <f>'PLANILHA ORÇAMENTARIA'!J490</f>
        <v>437706.68999999994</v>
      </c>
      <c r="J58" s="149" t="s">
        <v>1259</v>
      </c>
    </row>
    <row r="59" spans="1:10" ht="34.700000000000003" customHeight="1" x14ac:dyDescent="0.2">
      <c r="A59" s="150">
        <v>10.3</v>
      </c>
      <c r="B59" s="145"/>
      <c r="C59" s="145"/>
      <c r="D59" s="146" t="s">
        <v>904</v>
      </c>
      <c r="E59" s="145"/>
      <c r="F59" s="145"/>
      <c r="G59" s="145"/>
      <c r="H59" s="147">
        <v>1</v>
      </c>
      <c r="I59" s="148">
        <f>'PLANILHA ORÇAMENTARIA'!J499</f>
        <v>51133.540000000008</v>
      </c>
      <c r="J59" s="149" t="s">
        <v>1260</v>
      </c>
    </row>
    <row r="60" spans="1:10" ht="34.700000000000003" customHeight="1" x14ac:dyDescent="0.2">
      <c r="A60" s="150">
        <v>10.4</v>
      </c>
      <c r="B60" s="145"/>
      <c r="C60" s="145"/>
      <c r="D60" s="146" t="s">
        <v>916</v>
      </c>
      <c r="E60" s="145"/>
      <c r="F60" s="145"/>
      <c r="G60" s="145"/>
      <c r="H60" s="147">
        <v>1</v>
      </c>
      <c r="I60" s="148">
        <f>'PLANILHA ORÇAMENTARIA'!J508</f>
        <v>77537.009999999995</v>
      </c>
      <c r="J60" s="149" t="s">
        <v>1261</v>
      </c>
    </row>
    <row r="61" spans="1:10" ht="34.700000000000003" customHeight="1" x14ac:dyDescent="0.2">
      <c r="A61" s="150">
        <v>10.5</v>
      </c>
      <c r="B61" s="145"/>
      <c r="C61" s="145"/>
      <c r="D61" s="146" t="s">
        <v>920</v>
      </c>
      <c r="E61" s="145"/>
      <c r="F61" s="145"/>
      <c r="G61" s="145"/>
      <c r="H61" s="147">
        <v>1</v>
      </c>
      <c r="I61" s="148">
        <f>'PLANILHA ORÇAMENTARIA'!J510</f>
        <v>125292.50999999998</v>
      </c>
      <c r="J61" s="149" t="s">
        <v>1262</v>
      </c>
    </row>
    <row r="62" spans="1:10" ht="34.700000000000003" customHeight="1" x14ac:dyDescent="0.2">
      <c r="A62" s="150">
        <v>10.6</v>
      </c>
      <c r="B62" s="145"/>
      <c r="C62" s="145"/>
      <c r="D62" s="146" t="s">
        <v>965</v>
      </c>
      <c r="E62" s="145"/>
      <c r="F62" s="145"/>
      <c r="G62" s="145"/>
      <c r="H62" s="147">
        <v>1</v>
      </c>
      <c r="I62" s="148">
        <f>'PLANILHA ORÇAMENTARIA'!J546</f>
        <v>524810.36</v>
      </c>
      <c r="J62" s="149" t="s">
        <v>1263</v>
      </c>
    </row>
    <row r="63" spans="1:10" ht="34.700000000000003" customHeight="1" x14ac:dyDescent="0.2">
      <c r="A63" s="150">
        <v>10.7</v>
      </c>
      <c r="B63" s="145"/>
      <c r="C63" s="145"/>
      <c r="D63" s="146" t="s">
        <v>982</v>
      </c>
      <c r="E63" s="145"/>
      <c r="F63" s="145"/>
      <c r="G63" s="145"/>
      <c r="H63" s="147">
        <v>1</v>
      </c>
      <c r="I63" s="148">
        <f>'PLANILHA ORÇAMENTARIA'!J561</f>
        <v>30066.489999999998</v>
      </c>
      <c r="J63" s="149" t="s">
        <v>1264</v>
      </c>
    </row>
    <row r="64" spans="1:10" ht="34.700000000000003" customHeight="1" x14ac:dyDescent="0.2">
      <c r="A64" s="150">
        <v>10.8</v>
      </c>
      <c r="B64" s="145"/>
      <c r="C64" s="145"/>
      <c r="D64" s="146" t="s">
        <v>1008</v>
      </c>
      <c r="E64" s="145"/>
      <c r="F64" s="145"/>
      <c r="G64" s="145"/>
      <c r="H64" s="147">
        <v>1</v>
      </c>
      <c r="I64" s="148">
        <f>'PLANILHA ORÇAMENTARIA'!J581</f>
        <v>126073.88000000002</v>
      </c>
      <c r="J64" s="149" t="s">
        <v>1265</v>
      </c>
    </row>
    <row r="65" spans="1:10" ht="34.700000000000003" customHeight="1" x14ac:dyDescent="0.2">
      <c r="A65" s="150">
        <v>10.9</v>
      </c>
      <c r="B65" s="145"/>
      <c r="C65" s="145"/>
      <c r="D65" s="146" t="s">
        <v>1024</v>
      </c>
      <c r="E65" s="145"/>
      <c r="F65" s="145"/>
      <c r="G65" s="145"/>
      <c r="H65" s="147">
        <v>1</v>
      </c>
      <c r="I65" s="148">
        <f>'PLANILHA ORÇAMENTARIA'!J595</f>
        <v>63353.850000000006</v>
      </c>
      <c r="J65" s="149" t="s">
        <v>1266</v>
      </c>
    </row>
    <row r="66" spans="1:10" ht="34.700000000000003" customHeight="1" x14ac:dyDescent="0.2">
      <c r="A66" s="152">
        <v>10.1</v>
      </c>
      <c r="B66" s="145"/>
      <c r="C66" s="145"/>
      <c r="D66" s="146" t="s">
        <v>1054</v>
      </c>
      <c r="E66" s="145"/>
      <c r="F66" s="145"/>
      <c r="G66" s="145"/>
      <c r="H66" s="147">
        <v>1</v>
      </c>
      <c r="I66" s="148">
        <f>'PLANILHA ORÇAMENTARIA'!J616</f>
        <v>50861.98</v>
      </c>
      <c r="J66" s="149" t="s">
        <v>1260</v>
      </c>
    </row>
    <row r="67" spans="1:10" ht="34.700000000000003" customHeight="1" x14ac:dyDescent="0.2">
      <c r="A67" s="144">
        <v>11</v>
      </c>
      <c r="B67" s="145"/>
      <c r="C67" s="145"/>
      <c r="D67" s="146" t="s">
        <v>1071</v>
      </c>
      <c r="E67" s="145"/>
      <c r="F67" s="145"/>
      <c r="G67" s="145"/>
      <c r="H67" s="147">
        <v>1</v>
      </c>
      <c r="I67" s="148">
        <f>'PLANILHA ORÇAMENTARIA'!J629</f>
        <v>454156.92000000004</v>
      </c>
      <c r="J67" s="149" t="s">
        <v>1267</v>
      </c>
    </row>
    <row r="68" spans="1:10" ht="34.700000000000003" customHeight="1" x14ac:dyDescent="0.2">
      <c r="A68" s="150">
        <v>11.1</v>
      </c>
      <c r="B68" s="145"/>
      <c r="C68" s="145"/>
      <c r="D68" s="146" t="s">
        <v>1073</v>
      </c>
      <c r="E68" s="145"/>
      <c r="F68" s="145"/>
      <c r="G68" s="145"/>
      <c r="H68" s="147">
        <v>1</v>
      </c>
      <c r="I68" s="148">
        <f>'PLANILHA ORÇAMENTARIA'!J630</f>
        <v>303157.58</v>
      </c>
      <c r="J68" s="149" t="s">
        <v>1268</v>
      </c>
    </row>
    <row r="69" spans="1:10" ht="34.700000000000003" customHeight="1" x14ac:dyDescent="0.2">
      <c r="A69" s="150">
        <v>11.2</v>
      </c>
      <c r="B69" s="145"/>
      <c r="C69" s="145"/>
      <c r="D69" s="146" t="s">
        <v>1084</v>
      </c>
      <c r="E69" s="145"/>
      <c r="F69" s="145"/>
      <c r="G69" s="145"/>
      <c r="H69" s="147">
        <v>1</v>
      </c>
      <c r="I69" s="148">
        <f>'PLANILHA ORÇAMENTARIA'!J638</f>
        <v>150999.34</v>
      </c>
      <c r="J69" s="149" t="s">
        <v>1269</v>
      </c>
    </row>
    <row r="70" spans="1:10" ht="34.700000000000003" customHeight="1" x14ac:dyDescent="0.2">
      <c r="A70" s="144">
        <v>12</v>
      </c>
      <c r="B70" s="145"/>
      <c r="C70" s="145"/>
      <c r="D70" s="146" t="s">
        <v>1091</v>
      </c>
      <c r="E70" s="145"/>
      <c r="F70" s="145"/>
      <c r="G70" s="145"/>
      <c r="H70" s="147">
        <v>1</v>
      </c>
      <c r="I70" s="148">
        <f>'PLANILHA ORÇAMENTARIA'!J644</f>
        <v>47446.460000000006</v>
      </c>
      <c r="J70" s="149" t="s">
        <v>1270</v>
      </c>
    </row>
    <row r="71" spans="1:10" ht="34.700000000000003" customHeight="1" x14ac:dyDescent="0.2">
      <c r="A71" s="150">
        <v>12.1</v>
      </c>
      <c r="B71" s="145"/>
      <c r="C71" s="145"/>
      <c r="D71" s="146" t="s">
        <v>1093</v>
      </c>
      <c r="E71" s="145"/>
      <c r="F71" s="145"/>
      <c r="G71" s="145"/>
      <c r="H71" s="147">
        <v>1</v>
      </c>
      <c r="I71" s="148">
        <f>'PLANILHA ORÇAMENTARIA'!J645</f>
        <v>34156.490000000005</v>
      </c>
      <c r="J71" s="149" t="s">
        <v>1271</v>
      </c>
    </row>
    <row r="72" spans="1:10" ht="34.700000000000003" customHeight="1" x14ac:dyDescent="0.2">
      <c r="A72" s="150">
        <v>12.2</v>
      </c>
      <c r="B72" s="145"/>
      <c r="C72" s="145"/>
      <c r="D72" s="146" t="s">
        <v>1120</v>
      </c>
      <c r="E72" s="145"/>
      <c r="F72" s="145"/>
      <c r="G72" s="145"/>
      <c r="H72" s="147">
        <v>1</v>
      </c>
      <c r="I72" s="148">
        <f>'PLANILHA ORÇAMENTARIA'!J669</f>
        <v>6431.69</v>
      </c>
      <c r="J72" s="149" t="s">
        <v>1272</v>
      </c>
    </row>
    <row r="73" spans="1:10" ht="34.700000000000003" customHeight="1" x14ac:dyDescent="0.2">
      <c r="A73" s="150">
        <v>12.3</v>
      </c>
      <c r="B73" s="145"/>
      <c r="C73" s="145"/>
      <c r="D73" s="146" t="s">
        <v>1127</v>
      </c>
      <c r="E73" s="145"/>
      <c r="F73" s="145"/>
      <c r="G73" s="145"/>
      <c r="H73" s="147">
        <v>1</v>
      </c>
      <c r="I73" s="148">
        <f>'PLANILHA ORÇAMENTARIA'!J673</f>
        <v>1493.3700000000001</v>
      </c>
      <c r="J73" s="149" t="s">
        <v>1242</v>
      </c>
    </row>
    <row r="74" spans="1:10" ht="34.700000000000003" customHeight="1" x14ac:dyDescent="0.2">
      <c r="A74" s="150">
        <v>12.4</v>
      </c>
      <c r="B74" s="145"/>
      <c r="C74" s="145"/>
      <c r="D74" s="146" t="s">
        <v>1136</v>
      </c>
      <c r="E74" s="145"/>
      <c r="F74" s="145"/>
      <c r="G74" s="145"/>
      <c r="H74" s="147">
        <v>1</v>
      </c>
      <c r="I74" s="148">
        <f>'PLANILHA ORÇAMENTARIA'!J678</f>
        <v>5364.91</v>
      </c>
      <c r="J74" s="149" t="s">
        <v>1251</v>
      </c>
    </row>
    <row r="75" spans="1:10" ht="34.700000000000003" customHeight="1" x14ac:dyDescent="0.2">
      <c r="A75" s="144">
        <v>13</v>
      </c>
      <c r="B75" s="145"/>
      <c r="C75" s="145"/>
      <c r="D75" s="146" t="s">
        <v>1146</v>
      </c>
      <c r="E75" s="145"/>
      <c r="F75" s="145"/>
      <c r="G75" s="145"/>
      <c r="H75" s="147">
        <v>1</v>
      </c>
      <c r="I75" s="148">
        <f>'PLANILHA ORÇAMENTARIA'!J686</f>
        <v>36872.019999999997</v>
      </c>
      <c r="J75" s="149" t="s">
        <v>1273</v>
      </c>
    </row>
    <row r="76" spans="1:10" ht="34.700000000000003" customHeight="1" x14ac:dyDescent="0.2">
      <c r="A76" s="150">
        <v>13.1</v>
      </c>
      <c r="B76" s="151"/>
      <c r="C76" s="151"/>
      <c r="D76" s="146" t="s">
        <v>1148</v>
      </c>
      <c r="E76" s="151"/>
      <c r="F76" s="151"/>
      <c r="G76" s="151"/>
      <c r="H76" s="147">
        <v>1</v>
      </c>
      <c r="I76" s="148">
        <f>'PLANILHA ORÇAMENTARIA'!J687</f>
        <v>13678.169999999998</v>
      </c>
      <c r="J76" s="149" t="s">
        <v>1274</v>
      </c>
    </row>
    <row r="77" spans="1:10" ht="34.700000000000003" customHeight="1" x14ac:dyDescent="0.2">
      <c r="A77" s="150">
        <v>13.2</v>
      </c>
      <c r="B77" s="145"/>
      <c r="C77" s="145"/>
      <c r="D77" s="146" t="s">
        <v>1156</v>
      </c>
      <c r="E77" s="145"/>
      <c r="F77" s="145"/>
      <c r="G77" s="145"/>
      <c r="H77" s="147">
        <v>1</v>
      </c>
      <c r="I77" s="148">
        <f>'PLANILHA ORÇAMENTARIA'!J692</f>
        <v>23193.85</v>
      </c>
      <c r="J77" s="149" t="s">
        <v>1275</v>
      </c>
    </row>
    <row r="78" spans="1:10" ht="25.15" customHeight="1" x14ac:dyDescent="0.2">
      <c r="A78" s="139"/>
      <c r="B78" s="139"/>
      <c r="C78" s="139"/>
      <c r="D78" s="139"/>
      <c r="E78" s="139"/>
      <c r="F78" s="139"/>
      <c r="G78" s="139"/>
      <c r="H78" s="153"/>
      <c r="I78" s="139"/>
      <c r="J78" s="139"/>
    </row>
    <row r="79" spans="1:10" ht="25.15" customHeight="1" x14ac:dyDescent="0.2">
      <c r="A79" s="239" t="s">
        <v>1161</v>
      </c>
      <c r="B79" s="239"/>
      <c r="C79" s="239"/>
      <c r="D79" s="138" t="s">
        <v>1162</v>
      </c>
      <c r="E79" s="139"/>
      <c r="F79" s="238" t="s">
        <v>1163</v>
      </c>
      <c r="G79" s="238"/>
      <c r="H79" s="241">
        <f>'PLANILHA ORÇAMENTARIA'!J698</f>
        <v>7342481.4100000057</v>
      </c>
      <c r="I79" s="237"/>
      <c r="J79" s="237"/>
    </row>
    <row r="80" spans="1:10" ht="25.15" customHeight="1" x14ac:dyDescent="0.2">
      <c r="A80" s="239" t="s">
        <v>1164</v>
      </c>
      <c r="B80" s="239"/>
      <c r="C80" s="239"/>
      <c r="D80" s="139"/>
      <c r="E80" s="139"/>
      <c r="F80" s="238" t="s">
        <v>1165</v>
      </c>
      <c r="G80" s="238"/>
      <c r="H80" s="241">
        <f>'PLANILHA ORÇAMENTARIA'!J699</f>
        <v>1605317.7000000002</v>
      </c>
      <c r="I80" s="237"/>
      <c r="J80" s="237"/>
    </row>
    <row r="81" spans="1:10" ht="25.15" customHeight="1" x14ac:dyDescent="0.2">
      <c r="A81" s="239" t="s">
        <v>1276</v>
      </c>
      <c r="B81" s="239"/>
      <c r="C81" s="239"/>
      <c r="D81" s="139"/>
      <c r="E81" s="139"/>
      <c r="F81" s="238" t="s">
        <v>1167</v>
      </c>
      <c r="G81" s="238"/>
      <c r="H81" s="240">
        <f>H79+H80</f>
        <v>8947799.1100000069</v>
      </c>
      <c r="I81" s="240"/>
      <c r="J81" s="240"/>
    </row>
  </sheetData>
  <mergeCells count="17">
    <mergeCell ref="A81:C81"/>
    <mergeCell ref="F81:G81"/>
    <mergeCell ref="H81:J81"/>
    <mergeCell ref="A4:C4"/>
    <mergeCell ref="D4:F4"/>
    <mergeCell ref="A79:C79"/>
    <mergeCell ref="F79:G79"/>
    <mergeCell ref="H79:J79"/>
    <mergeCell ref="A80:C80"/>
    <mergeCell ref="F80:G80"/>
    <mergeCell ref="H80:J80"/>
    <mergeCell ref="A3:J3"/>
    <mergeCell ref="A1:B2"/>
    <mergeCell ref="F1:H1"/>
    <mergeCell ref="I1:J1"/>
    <mergeCell ref="F2:H2"/>
    <mergeCell ref="I2:J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0"/>
  <sheetViews>
    <sheetView workbookViewId="0">
      <selection activeCell="D14" sqref="D14"/>
    </sheetView>
  </sheetViews>
  <sheetFormatPr defaultRowHeight="12.75" x14ac:dyDescent="0.2"/>
  <cols>
    <col min="1" max="1" width="54.6640625" customWidth="1"/>
    <col min="2" max="2" width="35" customWidth="1"/>
    <col min="3" max="3" width="33.1640625" customWidth="1"/>
    <col min="4" max="4" width="32" customWidth="1"/>
    <col min="7" max="7" width="21" customWidth="1"/>
    <col min="8" max="8" width="14" customWidth="1"/>
  </cols>
  <sheetData>
    <row r="1" spans="1:9" ht="42" customHeight="1" x14ac:dyDescent="0.2"/>
    <row r="2" spans="1:9" ht="30" customHeight="1" x14ac:dyDescent="0.2">
      <c r="A2" s="247" t="s">
        <v>1277</v>
      </c>
      <c r="B2" s="248"/>
      <c r="C2" s="248"/>
      <c r="D2" s="248"/>
      <c r="E2" s="248"/>
      <c r="F2" s="248"/>
      <c r="G2" s="248"/>
      <c r="H2" s="248"/>
      <c r="I2" s="249"/>
    </row>
    <row r="3" spans="1:9" ht="25.5" x14ac:dyDescent="0.2">
      <c r="A3" s="132" t="s">
        <v>1278</v>
      </c>
      <c r="B3" s="114" t="s">
        <v>1279</v>
      </c>
      <c r="C3" s="132" t="s">
        <v>1280</v>
      </c>
      <c r="D3" s="114" t="s">
        <v>1281</v>
      </c>
      <c r="E3" s="131"/>
      <c r="F3" s="133" t="s">
        <v>1282</v>
      </c>
      <c r="G3" s="133" t="s">
        <v>1207</v>
      </c>
      <c r="H3" s="133" t="s">
        <v>1283</v>
      </c>
      <c r="I3" s="131"/>
    </row>
    <row r="4" spans="1:9" ht="38.25" x14ac:dyDescent="0.2">
      <c r="A4" s="132" t="s">
        <v>1284</v>
      </c>
      <c r="B4" s="114" t="s">
        <v>4</v>
      </c>
      <c r="C4" s="132" t="s">
        <v>1285</v>
      </c>
      <c r="D4" s="114" t="s">
        <v>1286</v>
      </c>
      <c r="E4" s="131"/>
      <c r="F4" s="131" t="s">
        <v>1287</v>
      </c>
      <c r="G4" s="134">
        <v>6992646.5899999999</v>
      </c>
      <c r="H4" s="135">
        <v>0.78149347163874805</v>
      </c>
      <c r="I4" s="131"/>
    </row>
    <row r="5" spans="1:9" x14ac:dyDescent="0.2">
      <c r="A5" s="132" t="s">
        <v>1288</v>
      </c>
      <c r="B5" s="116">
        <v>11930400.5</v>
      </c>
      <c r="C5" s="132" t="s">
        <v>1289</v>
      </c>
      <c r="D5" s="116">
        <v>8947799.1099999994</v>
      </c>
      <c r="E5" s="131"/>
      <c r="F5" s="131" t="s">
        <v>1290</v>
      </c>
      <c r="G5" s="134">
        <v>1428974.1300000001</v>
      </c>
      <c r="H5" s="135">
        <v>0.15970118600483424</v>
      </c>
      <c r="I5" s="131"/>
    </row>
    <row r="6" spans="1:9" x14ac:dyDescent="0.2">
      <c r="A6" s="132" t="s">
        <v>1291</v>
      </c>
      <c r="B6" s="121">
        <v>0.2500001060316458</v>
      </c>
      <c r="C6" s="136" t="s">
        <v>1292</v>
      </c>
      <c r="D6" s="121">
        <v>0.2223</v>
      </c>
      <c r="E6" s="131"/>
      <c r="F6" s="131" t="s">
        <v>1293</v>
      </c>
      <c r="G6" s="134">
        <v>526178.39</v>
      </c>
      <c r="H6" s="135">
        <v>5.8805342356417753E-2</v>
      </c>
      <c r="I6" s="131"/>
    </row>
    <row r="7" spans="1:9" x14ac:dyDescent="0.2">
      <c r="A7" s="132" t="s">
        <v>1294</v>
      </c>
      <c r="B7" s="116">
        <v>8947800.375</v>
      </c>
      <c r="C7" s="132" t="s">
        <v>1295</v>
      </c>
      <c r="D7" s="116">
        <v>-1.2650000005960464</v>
      </c>
      <c r="E7" s="107"/>
      <c r="F7" s="107"/>
      <c r="G7" s="107"/>
      <c r="H7" s="107"/>
      <c r="I7" s="107"/>
    </row>
    <row r="8" spans="1:9" ht="28.5" customHeight="1" x14ac:dyDescent="0.2">
      <c r="A8" s="132" t="s">
        <v>1296</v>
      </c>
      <c r="B8" s="114">
        <v>619</v>
      </c>
      <c r="C8" s="132" t="s">
        <v>1297</v>
      </c>
      <c r="D8" s="114">
        <v>127</v>
      </c>
      <c r="E8" s="107"/>
      <c r="F8" s="107"/>
      <c r="G8" s="107"/>
      <c r="H8" s="107"/>
      <c r="I8" s="107"/>
    </row>
    <row r="9" spans="1:9" ht="25.5" x14ac:dyDescent="0.2">
      <c r="A9" s="132" t="s">
        <v>1298</v>
      </c>
      <c r="B9" s="114" t="s">
        <v>1299</v>
      </c>
      <c r="C9" s="132" t="s">
        <v>1300</v>
      </c>
      <c r="D9" s="244" t="s">
        <v>1301</v>
      </c>
      <c r="E9" s="245"/>
      <c r="F9" s="245"/>
      <c r="G9" s="245"/>
      <c r="H9" s="245"/>
      <c r="I9" s="246"/>
    </row>
    <row r="10" spans="1:9" ht="45" customHeight="1" x14ac:dyDescent="0.2">
      <c r="A10" s="132" t="s">
        <v>1302</v>
      </c>
      <c r="B10" s="242" t="s">
        <v>1303</v>
      </c>
      <c r="C10" s="243"/>
      <c r="D10" s="114"/>
      <c r="E10" s="131"/>
      <c r="F10" s="131"/>
      <c r="G10" s="131"/>
      <c r="H10" s="131"/>
      <c r="I10" s="131"/>
    </row>
  </sheetData>
  <mergeCells count="3">
    <mergeCell ref="B10:C10"/>
    <mergeCell ref="D9:I9"/>
    <mergeCell ref="A2:I2"/>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622"/>
  <sheetViews>
    <sheetView topLeftCell="A614" workbookViewId="0">
      <selection activeCell="K626" sqref="K626"/>
    </sheetView>
  </sheetViews>
  <sheetFormatPr defaultRowHeight="12.75" x14ac:dyDescent="0.2"/>
  <cols>
    <col min="1" max="1" width="5.5" customWidth="1"/>
    <col min="2" max="2" width="16" customWidth="1"/>
    <col min="3" max="3" width="11.33203125" customWidth="1"/>
    <col min="4" max="5" width="28" customWidth="1"/>
    <col min="6" max="6" width="48" customWidth="1"/>
    <col min="7" max="7" width="8.5" customWidth="1"/>
    <col min="8" max="8" width="19.33203125" customWidth="1"/>
    <col min="9" max="9" width="18.33203125" customWidth="1"/>
    <col min="10" max="10" width="17.33203125" customWidth="1"/>
    <col min="11" max="11" width="16.1640625" customWidth="1"/>
    <col min="12" max="13" width="12.33203125" customWidth="1"/>
    <col min="14" max="14" width="13.5" customWidth="1"/>
    <col min="15" max="16" width="9.1640625" customWidth="1"/>
    <col min="17" max="17" width="9.6640625" customWidth="1"/>
    <col min="18" max="18" width="4.6640625" customWidth="1"/>
    <col min="19" max="19" width="13.1640625" customWidth="1"/>
    <col min="20" max="20" width="22.33203125" hidden="1" customWidth="1"/>
  </cols>
  <sheetData>
    <row r="1" spans="1:20" ht="45" customHeight="1" x14ac:dyDescent="0.2"/>
    <row r="3" spans="1:20" ht="30" customHeight="1" x14ac:dyDescent="0.2">
      <c r="A3" s="110" t="s">
        <v>8</v>
      </c>
      <c r="B3" s="113" t="s">
        <v>9</v>
      </c>
      <c r="C3" s="113" t="s">
        <v>10</v>
      </c>
      <c r="D3" s="113" t="s">
        <v>1304</v>
      </c>
      <c r="E3" s="113" t="s">
        <v>1305</v>
      </c>
      <c r="F3" s="113" t="s">
        <v>11</v>
      </c>
      <c r="G3" s="113" t="s">
        <v>12</v>
      </c>
      <c r="H3" s="113" t="s">
        <v>13</v>
      </c>
      <c r="I3" s="113" t="s">
        <v>1306</v>
      </c>
      <c r="J3" s="113" t="s">
        <v>1307</v>
      </c>
      <c r="K3" s="113" t="s">
        <v>1308</v>
      </c>
      <c r="L3" s="113" t="s">
        <v>1309</v>
      </c>
      <c r="M3" s="113" t="s">
        <v>1310</v>
      </c>
      <c r="N3" s="113" t="s">
        <v>1311</v>
      </c>
      <c r="O3" s="113" t="s">
        <v>1312</v>
      </c>
      <c r="P3" s="113" t="s">
        <v>1313</v>
      </c>
      <c r="Q3" s="113" t="s">
        <v>1314</v>
      </c>
      <c r="R3" s="113" t="s">
        <v>1315</v>
      </c>
      <c r="S3" s="113" t="s">
        <v>1316</v>
      </c>
      <c r="T3" s="113" t="s">
        <v>1300</v>
      </c>
    </row>
    <row r="4" spans="1:20" ht="127.5" x14ac:dyDescent="0.2">
      <c r="A4" s="108" t="s">
        <v>22</v>
      </c>
      <c r="B4" s="114" t="s">
        <v>1317</v>
      </c>
      <c r="C4" s="114" t="s">
        <v>24</v>
      </c>
      <c r="D4" s="114" t="s">
        <v>18</v>
      </c>
      <c r="E4" s="114" t="s">
        <v>21</v>
      </c>
      <c r="F4" s="114" t="s">
        <v>1318</v>
      </c>
      <c r="G4" s="114" t="s">
        <v>26</v>
      </c>
      <c r="H4" s="115">
        <v>1404.56</v>
      </c>
      <c r="I4" s="116">
        <v>64.792500000000004</v>
      </c>
      <c r="J4" s="116">
        <v>79.192499999999995</v>
      </c>
      <c r="K4" s="116">
        <v>111230.61</v>
      </c>
      <c r="L4" s="116">
        <v>86.39</v>
      </c>
      <c r="M4" s="116">
        <v>105.59</v>
      </c>
      <c r="N4" s="116">
        <v>148307.49</v>
      </c>
      <c r="O4" s="121">
        <f t="shared" ref="O4:O67" si="0">IFERROR(1-J4/M4,"")</f>
        <v>0.25000000000000011</v>
      </c>
      <c r="P4" s="121">
        <f t="shared" ref="P4:P67" si="1">IFERROR(1-K4/N4,"")</f>
        <v>0.25000005057060837</v>
      </c>
      <c r="Q4" s="121">
        <f>IFERROR(K4/RESUMO_DILIG!$D$5,"")</f>
        <v>1.2431058032548969E-2</v>
      </c>
      <c r="R4" s="114" t="s">
        <v>1287</v>
      </c>
      <c r="S4" s="114" t="s">
        <v>1319</v>
      </c>
      <c r="T4" s="114" t="s">
        <v>1320</v>
      </c>
    </row>
    <row r="5" spans="1:20" ht="114.75" x14ac:dyDescent="0.2">
      <c r="A5" s="108" t="s">
        <v>27</v>
      </c>
      <c r="B5" s="114" t="s">
        <v>1321</v>
      </c>
      <c r="C5" s="114" t="s">
        <v>24</v>
      </c>
      <c r="D5" s="114" t="s">
        <v>18</v>
      </c>
      <c r="E5" s="114" t="s">
        <v>21</v>
      </c>
      <c r="F5" s="114" t="s">
        <v>29</v>
      </c>
      <c r="G5" s="114" t="s">
        <v>26</v>
      </c>
      <c r="H5" s="115">
        <v>1404.56</v>
      </c>
      <c r="I5" s="116">
        <v>36.255000000000003</v>
      </c>
      <c r="J5" s="116">
        <v>44.31</v>
      </c>
      <c r="K5" s="116">
        <v>62236.05</v>
      </c>
      <c r="L5" s="116">
        <v>48.34</v>
      </c>
      <c r="M5" s="116">
        <v>59.08</v>
      </c>
      <c r="N5" s="116">
        <v>82981.399999999994</v>
      </c>
      <c r="O5" s="121">
        <f t="shared" si="0"/>
        <v>0.24999999999999989</v>
      </c>
      <c r="P5" s="121">
        <f t="shared" si="1"/>
        <v>0.24999999999999989</v>
      </c>
      <c r="Q5" s="121">
        <f>IFERROR(K5/RESUMO_DILIG!$D$5,"")</f>
        <v>6.9554590167816149E-3</v>
      </c>
      <c r="R5" s="114" t="s">
        <v>1287</v>
      </c>
      <c r="S5" s="114" t="s">
        <v>1319</v>
      </c>
      <c r="T5" s="114" t="s">
        <v>1320</v>
      </c>
    </row>
    <row r="6" spans="1:20" ht="102" x14ac:dyDescent="0.2">
      <c r="A6" s="108" t="s">
        <v>32</v>
      </c>
      <c r="B6" s="114" t="s">
        <v>1322</v>
      </c>
      <c r="C6" s="114" t="s">
        <v>24</v>
      </c>
      <c r="D6" s="114" t="s">
        <v>18</v>
      </c>
      <c r="E6" s="114" t="s">
        <v>31</v>
      </c>
      <c r="F6" s="114" t="s">
        <v>34</v>
      </c>
      <c r="G6" s="114" t="s">
        <v>26</v>
      </c>
      <c r="H6" s="115">
        <v>1404.56</v>
      </c>
      <c r="I6" s="116">
        <v>6.6000000000000005</v>
      </c>
      <c r="J6" s="116">
        <v>8.0625</v>
      </c>
      <c r="K6" s="116">
        <v>11324.26</v>
      </c>
      <c r="L6" s="116">
        <v>8.8000000000000007</v>
      </c>
      <c r="M6" s="116">
        <v>10.75</v>
      </c>
      <c r="N6" s="116">
        <v>15099.02</v>
      </c>
      <c r="O6" s="121">
        <f t="shared" si="0"/>
        <v>0.25</v>
      </c>
      <c r="P6" s="121">
        <f t="shared" si="1"/>
        <v>0.25000033114731945</v>
      </c>
      <c r="Q6" s="121">
        <f>IFERROR(K6/RESUMO_DILIG!$D$5,"")</f>
        <v>1.265591667938106E-3</v>
      </c>
      <c r="R6" s="114" t="s">
        <v>1290</v>
      </c>
      <c r="S6" s="114" t="s">
        <v>1323</v>
      </c>
      <c r="T6" s="114" t="s">
        <v>1320</v>
      </c>
    </row>
    <row r="7" spans="1:20" ht="114.75" x14ac:dyDescent="0.2">
      <c r="A7" s="108" t="s">
        <v>36</v>
      </c>
      <c r="B7" s="114" t="s">
        <v>1324</v>
      </c>
      <c r="C7" s="114" t="s">
        <v>24</v>
      </c>
      <c r="D7" s="114" t="s">
        <v>18</v>
      </c>
      <c r="E7" s="114" t="s">
        <v>31</v>
      </c>
      <c r="F7" s="114" t="s">
        <v>1325</v>
      </c>
      <c r="G7" s="114" t="s">
        <v>26</v>
      </c>
      <c r="H7" s="115">
        <v>1404.56</v>
      </c>
      <c r="I7" s="116">
        <v>3.9375</v>
      </c>
      <c r="J7" s="116">
        <v>4.8075000000000001</v>
      </c>
      <c r="K7" s="116">
        <v>6752.42</v>
      </c>
      <c r="L7" s="116">
        <v>5.25</v>
      </c>
      <c r="M7" s="116">
        <v>6.41</v>
      </c>
      <c r="N7" s="116">
        <v>9003.2199999999993</v>
      </c>
      <c r="O7" s="121">
        <f t="shared" si="0"/>
        <v>0.25</v>
      </c>
      <c r="P7" s="121">
        <f t="shared" si="1"/>
        <v>0.24999944464313872</v>
      </c>
      <c r="Q7" s="121">
        <f>IFERROR(K7/RESUMO_DILIG!$D$5,"")</f>
        <v>7.5464590979177682E-4</v>
      </c>
      <c r="R7" s="114" t="s">
        <v>1290</v>
      </c>
      <c r="S7" s="114" t="s">
        <v>1323</v>
      </c>
      <c r="T7" s="114" t="s">
        <v>1320</v>
      </c>
    </row>
    <row r="8" spans="1:20" ht="102" x14ac:dyDescent="0.2">
      <c r="A8" s="108" t="s">
        <v>39</v>
      </c>
      <c r="B8" s="114" t="s">
        <v>1326</v>
      </c>
      <c r="C8" s="114" t="s">
        <v>24</v>
      </c>
      <c r="D8" s="114" t="s">
        <v>18</v>
      </c>
      <c r="E8" s="114" t="s">
        <v>31</v>
      </c>
      <c r="F8" s="114" t="s">
        <v>41</v>
      </c>
      <c r="G8" s="114" t="s">
        <v>26</v>
      </c>
      <c r="H8" s="115">
        <v>1404.56</v>
      </c>
      <c r="I8" s="116">
        <v>7.875</v>
      </c>
      <c r="J8" s="116">
        <v>9.6225000000000005</v>
      </c>
      <c r="K8" s="116">
        <v>13515.37</v>
      </c>
      <c r="L8" s="116">
        <v>10.5</v>
      </c>
      <c r="M8" s="116">
        <v>12.83</v>
      </c>
      <c r="N8" s="116">
        <v>18020.5</v>
      </c>
      <c r="O8" s="121">
        <f t="shared" si="0"/>
        <v>0.25</v>
      </c>
      <c r="P8" s="121">
        <f t="shared" si="1"/>
        <v>0.25000027746177955</v>
      </c>
      <c r="Q8" s="121">
        <f>IFERROR(K8/RESUMO_DILIG!$D$5,"")</f>
        <v>1.5104686452890204E-3</v>
      </c>
      <c r="R8" s="114" t="s">
        <v>1290</v>
      </c>
      <c r="S8" s="114" t="s">
        <v>1323</v>
      </c>
      <c r="T8" s="114" t="s">
        <v>1320</v>
      </c>
    </row>
    <row r="9" spans="1:20" ht="102" x14ac:dyDescent="0.2">
      <c r="A9" s="108" t="s">
        <v>42</v>
      </c>
      <c r="B9" s="114" t="s">
        <v>1327</v>
      </c>
      <c r="C9" s="114" t="s">
        <v>24</v>
      </c>
      <c r="D9" s="114" t="s">
        <v>18</v>
      </c>
      <c r="E9" s="114" t="s">
        <v>31</v>
      </c>
      <c r="F9" s="114" t="s">
        <v>44</v>
      </c>
      <c r="G9" s="114" t="s">
        <v>26</v>
      </c>
      <c r="H9" s="115">
        <v>1404.56</v>
      </c>
      <c r="I9" s="116">
        <v>3.9375</v>
      </c>
      <c r="J9" s="116">
        <v>4.8075000000000001</v>
      </c>
      <c r="K9" s="116">
        <v>6752.42</v>
      </c>
      <c r="L9" s="116">
        <v>5.25</v>
      </c>
      <c r="M9" s="116">
        <v>6.41</v>
      </c>
      <c r="N9" s="116">
        <v>9003.2199999999993</v>
      </c>
      <c r="O9" s="121">
        <f t="shared" si="0"/>
        <v>0.25</v>
      </c>
      <c r="P9" s="121">
        <f t="shared" si="1"/>
        <v>0.24999944464313872</v>
      </c>
      <c r="Q9" s="121">
        <f>IFERROR(K9/RESUMO_DILIG!$D$5,"")</f>
        <v>7.5464590979177682E-4</v>
      </c>
      <c r="R9" s="114" t="s">
        <v>1290</v>
      </c>
      <c r="S9" s="114" t="s">
        <v>1323</v>
      </c>
      <c r="T9" s="114" t="s">
        <v>1320</v>
      </c>
    </row>
    <row r="10" spans="1:20" ht="76.5" x14ac:dyDescent="0.2">
      <c r="A10" s="108" t="s">
        <v>46</v>
      </c>
      <c r="B10" s="114" t="s">
        <v>1328</v>
      </c>
      <c r="C10" s="114" t="s">
        <v>24</v>
      </c>
      <c r="D10" s="114" t="s">
        <v>18</v>
      </c>
      <c r="E10" s="114" t="s">
        <v>31</v>
      </c>
      <c r="F10" s="114" t="s">
        <v>1329</v>
      </c>
      <c r="G10" s="114" t="s">
        <v>26</v>
      </c>
      <c r="H10" s="115">
        <v>1404.56</v>
      </c>
      <c r="I10" s="116">
        <v>6.0299999999999994</v>
      </c>
      <c r="J10" s="116">
        <v>7.3650000000000002</v>
      </c>
      <c r="K10" s="116">
        <v>10344.58</v>
      </c>
      <c r="L10" s="116">
        <v>8.0399999999999991</v>
      </c>
      <c r="M10" s="116">
        <v>9.82</v>
      </c>
      <c r="N10" s="116">
        <v>13792.77</v>
      </c>
      <c r="O10" s="121">
        <f t="shared" si="0"/>
        <v>0.25</v>
      </c>
      <c r="P10" s="121">
        <f t="shared" si="1"/>
        <v>0.24999981874561816</v>
      </c>
      <c r="Q10" s="121">
        <f>IFERROR(K10/RESUMO_DILIG!$D$5,"")</f>
        <v>1.1561032911924641E-3</v>
      </c>
      <c r="R10" s="114" t="s">
        <v>1290</v>
      </c>
      <c r="S10" s="114" t="s">
        <v>1323</v>
      </c>
      <c r="T10" s="114" t="s">
        <v>1320</v>
      </c>
    </row>
    <row r="11" spans="1:20" ht="102" x14ac:dyDescent="0.2">
      <c r="A11" s="108" t="s">
        <v>49</v>
      </c>
      <c r="B11" s="114" t="s">
        <v>1330</v>
      </c>
      <c r="C11" s="114" t="s">
        <v>24</v>
      </c>
      <c r="D11" s="114" t="s">
        <v>18</v>
      </c>
      <c r="E11" s="114" t="s">
        <v>31</v>
      </c>
      <c r="F11" s="114" t="s">
        <v>51</v>
      </c>
      <c r="G11" s="114" t="s">
        <v>26</v>
      </c>
      <c r="H11" s="115">
        <v>1404.56</v>
      </c>
      <c r="I11" s="116">
        <v>1.9424999999999999</v>
      </c>
      <c r="J11" s="116">
        <v>2.37</v>
      </c>
      <c r="K11" s="116">
        <v>3328.8</v>
      </c>
      <c r="L11" s="116">
        <v>2.59</v>
      </c>
      <c r="M11" s="116">
        <v>3.16</v>
      </c>
      <c r="N11" s="116">
        <v>4438.3999999999996</v>
      </c>
      <c r="O11" s="121">
        <f t="shared" si="0"/>
        <v>0.25</v>
      </c>
      <c r="P11" s="121">
        <f t="shared" si="1"/>
        <v>0.24999999999999989</v>
      </c>
      <c r="Q11" s="121">
        <f>IFERROR(K11/RESUMO_DILIG!$D$5,"")</f>
        <v>3.7202444523813189E-4</v>
      </c>
      <c r="R11" s="114" t="s">
        <v>1293</v>
      </c>
      <c r="S11" s="114" t="s">
        <v>1323</v>
      </c>
      <c r="T11" s="114" t="s">
        <v>1320</v>
      </c>
    </row>
    <row r="12" spans="1:20" ht="38.25" x14ac:dyDescent="0.2">
      <c r="A12" s="108" t="s">
        <v>55</v>
      </c>
      <c r="B12" s="114" t="s">
        <v>1331</v>
      </c>
      <c r="C12" s="114" t="s">
        <v>56</v>
      </c>
      <c r="D12" s="114" t="s">
        <v>52</v>
      </c>
      <c r="E12" s="114" t="s">
        <v>54</v>
      </c>
      <c r="F12" s="114" t="s">
        <v>57</v>
      </c>
      <c r="G12" s="114" t="s">
        <v>58</v>
      </c>
      <c r="H12" s="115">
        <v>15</v>
      </c>
      <c r="I12" s="116">
        <v>7867.7249999999995</v>
      </c>
      <c r="J12" s="116">
        <v>9616.7175000000007</v>
      </c>
      <c r="K12" s="116">
        <v>144250.76</v>
      </c>
      <c r="L12" s="116">
        <v>10490.3</v>
      </c>
      <c r="M12" s="116">
        <v>12822.29</v>
      </c>
      <c r="N12" s="116">
        <v>192334.35</v>
      </c>
      <c r="O12" s="121">
        <f t="shared" si="0"/>
        <v>0.25</v>
      </c>
      <c r="P12" s="121">
        <f t="shared" si="1"/>
        <v>0.25000001299819818</v>
      </c>
      <c r="Q12" s="121">
        <f>IFERROR(K12/RESUMO_DILIG!$D$5,"")</f>
        <v>1.6121367749392847E-2</v>
      </c>
      <c r="R12" s="114" t="s">
        <v>1287</v>
      </c>
      <c r="S12" s="114" t="s">
        <v>1319</v>
      </c>
      <c r="T12" s="114" t="s">
        <v>1320</v>
      </c>
    </row>
    <row r="13" spans="1:20" ht="38.25" x14ac:dyDescent="0.2">
      <c r="A13" s="108" t="s">
        <v>59</v>
      </c>
      <c r="B13" s="114" t="s">
        <v>1332</v>
      </c>
      <c r="C13" s="114" t="s">
        <v>56</v>
      </c>
      <c r="D13" s="114" t="s">
        <v>52</v>
      </c>
      <c r="E13" s="114" t="s">
        <v>54</v>
      </c>
      <c r="F13" s="114" t="s">
        <v>60</v>
      </c>
      <c r="G13" s="114" t="s">
        <v>61</v>
      </c>
      <c r="H13" s="115">
        <v>1440</v>
      </c>
      <c r="I13" s="116">
        <v>109.58250000000001</v>
      </c>
      <c r="J13" s="116">
        <v>133.9425</v>
      </c>
      <c r="K13" s="116">
        <v>192877.2</v>
      </c>
      <c r="L13" s="116">
        <v>146.11000000000001</v>
      </c>
      <c r="M13" s="116">
        <v>178.59</v>
      </c>
      <c r="N13" s="116">
        <v>257169.6</v>
      </c>
      <c r="O13" s="121">
        <f t="shared" si="0"/>
        <v>0.25</v>
      </c>
      <c r="P13" s="121">
        <f t="shared" si="1"/>
        <v>0.25</v>
      </c>
      <c r="Q13" s="121">
        <f>IFERROR(K13/RESUMO_DILIG!$D$5,"")</f>
        <v>2.1555825921979157E-2</v>
      </c>
      <c r="R13" s="114" t="s">
        <v>1287</v>
      </c>
      <c r="S13" s="114" t="s">
        <v>1319</v>
      </c>
      <c r="T13" s="114" t="s">
        <v>1320</v>
      </c>
    </row>
    <row r="14" spans="1:20" ht="38.25" x14ac:dyDescent="0.2">
      <c r="A14" s="108" t="s">
        <v>62</v>
      </c>
      <c r="B14" s="114" t="s">
        <v>1333</v>
      </c>
      <c r="C14" s="114" t="s">
        <v>56</v>
      </c>
      <c r="D14" s="114" t="s">
        <v>52</v>
      </c>
      <c r="E14" s="114" t="s">
        <v>54</v>
      </c>
      <c r="F14" s="114" t="s">
        <v>1334</v>
      </c>
      <c r="G14" s="114" t="s">
        <v>58</v>
      </c>
      <c r="H14" s="115">
        <v>15</v>
      </c>
      <c r="I14" s="116">
        <v>6406.6875</v>
      </c>
      <c r="J14" s="116">
        <v>7830.8924999999999</v>
      </c>
      <c r="K14" s="116">
        <v>117463.38</v>
      </c>
      <c r="L14" s="116">
        <v>8542.25</v>
      </c>
      <c r="M14" s="116">
        <v>10441.19</v>
      </c>
      <c r="N14" s="116">
        <v>156617.85</v>
      </c>
      <c r="O14" s="121">
        <f t="shared" si="0"/>
        <v>0.25</v>
      </c>
      <c r="P14" s="121">
        <f t="shared" si="1"/>
        <v>0.25000004788726193</v>
      </c>
      <c r="Q14" s="121">
        <f>IFERROR(K14/RESUMO_DILIG!$D$5,"")</f>
        <v>1.3127628208452258E-2</v>
      </c>
      <c r="R14" s="114" t="s">
        <v>1287</v>
      </c>
      <c r="S14" s="114" t="s">
        <v>1319</v>
      </c>
      <c r="T14" s="114" t="s">
        <v>1320</v>
      </c>
    </row>
    <row r="15" spans="1:20" ht="38.25" x14ac:dyDescent="0.2">
      <c r="A15" s="108" t="s">
        <v>64</v>
      </c>
      <c r="B15" s="114" t="s">
        <v>1335</v>
      </c>
      <c r="C15" s="114" t="s">
        <v>56</v>
      </c>
      <c r="D15" s="114" t="s">
        <v>52</v>
      </c>
      <c r="E15" s="114" t="s">
        <v>54</v>
      </c>
      <c r="F15" s="114" t="s">
        <v>1336</v>
      </c>
      <c r="G15" s="114" t="s">
        <v>61</v>
      </c>
      <c r="H15" s="115">
        <v>600</v>
      </c>
      <c r="I15" s="116">
        <v>42.412499999999994</v>
      </c>
      <c r="J15" s="116">
        <v>51.84</v>
      </c>
      <c r="K15" s="116">
        <v>31104</v>
      </c>
      <c r="L15" s="116">
        <v>56.55</v>
      </c>
      <c r="M15" s="116">
        <v>69.12</v>
      </c>
      <c r="N15" s="116">
        <v>41472</v>
      </c>
      <c r="O15" s="121">
        <f t="shared" si="0"/>
        <v>0.25</v>
      </c>
      <c r="P15" s="121">
        <f t="shared" si="1"/>
        <v>0.25</v>
      </c>
      <c r="Q15" s="121">
        <f>IFERROR(K15/RESUMO_DILIG!$D$5,"")</f>
        <v>3.4761620838400786E-3</v>
      </c>
      <c r="R15" s="114" t="s">
        <v>1287</v>
      </c>
      <c r="S15" s="114" t="s">
        <v>1319</v>
      </c>
      <c r="T15" s="114" t="s">
        <v>1320</v>
      </c>
    </row>
    <row r="16" spans="1:20" ht="76.5" x14ac:dyDescent="0.2">
      <c r="A16" s="108" t="s">
        <v>66</v>
      </c>
      <c r="B16" s="114" t="s">
        <v>1337</v>
      </c>
      <c r="C16" s="114" t="s">
        <v>24</v>
      </c>
      <c r="D16" s="114" t="s">
        <v>52</v>
      </c>
      <c r="E16" s="114" t="s">
        <v>54</v>
      </c>
      <c r="F16" s="114" t="s">
        <v>68</v>
      </c>
      <c r="G16" s="114" t="s">
        <v>58</v>
      </c>
      <c r="H16" s="115">
        <v>15</v>
      </c>
      <c r="I16" s="116">
        <v>10762.275000000001</v>
      </c>
      <c r="J16" s="116">
        <v>13154.7225</v>
      </c>
      <c r="K16" s="116">
        <v>197320.83</v>
      </c>
      <c r="L16" s="116">
        <v>14349.7</v>
      </c>
      <c r="M16" s="116">
        <v>17539.63</v>
      </c>
      <c r="N16" s="116">
        <v>263094.45</v>
      </c>
      <c r="O16" s="121">
        <f t="shared" si="0"/>
        <v>0.25</v>
      </c>
      <c r="P16" s="121">
        <f t="shared" si="1"/>
        <v>0.25000002850687275</v>
      </c>
      <c r="Q16" s="121">
        <f>IFERROR(K16/RESUMO_DILIG!$D$5,"")</f>
        <v>2.2052443016906311E-2</v>
      </c>
      <c r="R16" s="114" t="s">
        <v>1287</v>
      </c>
      <c r="S16" s="114" t="s">
        <v>1319</v>
      </c>
      <c r="T16" s="114" t="s">
        <v>1320</v>
      </c>
    </row>
    <row r="17" spans="1:20" ht="165.75" x14ac:dyDescent="0.2">
      <c r="A17" s="108" t="s">
        <v>69</v>
      </c>
      <c r="B17" s="114" t="s">
        <v>1338</v>
      </c>
      <c r="C17" s="114" t="s">
        <v>24</v>
      </c>
      <c r="D17" s="114" t="s">
        <v>52</v>
      </c>
      <c r="E17" s="114" t="s">
        <v>54</v>
      </c>
      <c r="F17" s="114" t="s">
        <v>1339</v>
      </c>
      <c r="G17" s="114" t="s">
        <v>72</v>
      </c>
      <c r="H17" s="115">
        <v>427.22754989999999</v>
      </c>
      <c r="I17" s="116">
        <v>27.262500000000003</v>
      </c>
      <c r="J17" s="116">
        <v>33.322499999999998</v>
      </c>
      <c r="K17" s="116">
        <v>14236.29</v>
      </c>
      <c r="L17" s="116">
        <v>36.35</v>
      </c>
      <c r="M17" s="116">
        <v>44.43</v>
      </c>
      <c r="N17" s="116">
        <v>18981.72</v>
      </c>
      <c r="O17" s="121">
        <f t="shared" si="0"/>
        <v>0.25</v>
      </c>
      <c r="P17" s="121">
        <f t="shared" si="1"/>
        <v>0.25</v>
      </c>
      <c r="Q17" s="121">
        <f>IFERROR(K17/RESUMO_DILIG!$D$5,"")</f>
        <v>1.5910381787728805E-3</v>
      </c>
      <c r="R17" s="114" t="s">
        <v>1290</v>
      </c>
      <c r="S17" s="114" t="s">
        <v>1323</v>
      </c>
      <c r="T17" s="114" t="s">
        <v>1320</v>
      </c>
    </row>
    <row r="18" spans="1:20" ht="102" x14ac:dyDescent="0.2">
      <c r="A18" s="108" t="s">
        <v>75</v>
      </c>
      <c r="B18" s="114" t="s">
        <v>1340</v>
      </c>
      <c r="C18" s="114" t="s">
        <v>24</v>
      </c>
      <c r="D18" s="114" t="s">
        <v>52</v>
      </c>
      <c r="E18" s="114" t="s">
        <v>74</v>
      </c>
      <c r="F18" s="114" t="s">
        <v>77</v>
      </c>
      <c r="G18" s="114" t="s">
        <v>26</v>
      </c>
      <c r="H18" s="115">
        <v>459.399</v>
      </c>
      <c r="I18" s="116">
        <v>33.547499999999999</v>
      </c>
      <c r="J18" s="116">
        <v>41.002499999999998</v>
      </c>
      <c r="K18" s="116">
        <v>18836.5</v>
      </c>
      <c r="L18" s="116">
        <v>44.73</v>
      </c>
      <c r="M18" s="116">
        <v>54.67</v>
      </c>
      <c r="N18" s="116">
        <v>25115.34</v>
      </c>
      <c r="O18" s="121">
        <f t="shared" si="0"/>
        <v>0.25000000000000011</v>
      </c>
      <c r="P18" s="121">
        <f t="shared" si="1"/>
        <v>0.25000019908151749</v>
      </c>
      <c r="Q18" s="121">
        <f>IFERROR(K18/RESUMO_DILIG!$D$5,"")</f>
        <v>2.1051545490050681E-3</v>
      </c>
      <c r="R18" s="114" t="s">
        <v>1290</v>
      </c>
      <c r="S18" s="114" t="s">
        <v>1323</v>
      </c>
      <c r="T18" s="114" t="s">
        <v>1320</v>
      </c>
    </row>
    <row r="19" spans="1:20" ht="140.25" x14ac:dyDescent="0.2">
      <c r="A19" s="108" t="s">
        <v>78</v>
      </c>
      <c r="B19" s="114" t="s">
        <v>1341</v>
      </c>
      <c r="C19" s="114" t="s">
        <v>24</v>
      </c>
      <c r="D19" s="114" t="s">
        <v>52</v>
      </c>
      <c r="E19" s="114" t="s">
        <v>74</v>
      </c>
      <c r="F19" s="114" t="s">
        <v>80</v>
      </c>
      <c r="G19" s="114" t="s">
        <v>26</v>
      </c>
      <c r="H19" s="115">
        <v>42.530999999999999</v>
      </c>
      <c r="I19" s="116">
        <v>428.0625</v>
      </c>
      <c r="J19" s="116">
        <v>523.21500000000003</v>
      </c>
      <c r="K19" s="116">
        <v>22252.85</v>
      </c>
      <c r="L19" s="116">
        <v>570.75</v>
      </c>
      <c r="M19" s="116">
        <v>697.62</v>
      </c>
      <c r="N19" s="116">
        <v>29670.47</v>
      </c>
      <c r="O19" s="121">
        <f t="shared" si="0"/>
        <v>0.25</v>
      </c>
      <c r="P19" s="121">
        <f t="shared" si="1"/>
        <v>0.25000008425886078</v>
      </c>
      <c r="Q19" s="121">
        <f>IFERROR(K19/RESUMO_DILIG!$D$5,"")</f>
        <v>2.4869635232568381E-3</v>
      </c>
      <c r="R19" s="114" t="s">
        <v>1287</v>
      </c>
      <c r="S19" s="114" t="s">
        <v>1319</v>
      </c>
      <c r="T19" s="114" t="s">
        <v>1320</v>
      </c>
    </row>
    <row r="20" spans="1:20" ht="127.5" x14ac:dyDescent="0.2">
      <c r="A20" s="108" t="s">
        <v>81</v>
      </c>
      <c r="B20" s="114" t="s">
        <v>1342</v>
      </c>
      <c r="C20" s="114" t="s">
        <v>24</v>
      </c>
      <c r="D20" s="114" t="s">
        <v>52</v>
      </c>
      <c r="E20" s="114" t="s">
        <v>74</v>
      </c>
      <c r="F20" s="114" t="s">
        <v>1343</v>
      </c>
      <c r="G20" s="114" t="s">
        <v>84</v>
      </c>
      <c r="H20" s="115">
        <v>2</v>
      </c>
      <c r="I20" s="116">
        <v>3967.1325000000002</v>
      </c>
      <c r="J20" s="116">
        <v>4849.0199999999995</v>
      </c>
      <c r="K20" s="116">
        <v>9698.0400000000009</v>
      </c>
      <c r="L20" s="116">
        <v>5289.51</v>
      </c>
      <c r="M20" s="116">
        <v>6465.36</v>
      </c>
      <c r="N20" s="116">
        <v>12930.72</v>
      </c>
      <c r="O20" s="121">
        <f t="shared" si="0"/>
        <v>0.25</v>
      </c>
      <c r="P20" s="121">
        <f t="shared" si="1"/>
        <v>0.24999999999999989</v>
      </c>
      <c r="Q20" s="121">
        <f>IFERROR(K20/RESUMO_DILIG!$D$5,"")</f>
        <v>1.0838464163954616E-3</v>
      </c>
      <c r="R20" s="114" t="s">
        <v>1290</v>
      </c>
      <c r="S20" s="114" t="s">
        <v>1323</v>
      </c>
      <c r="T20" s="114" t="s">
        <v>1320</v>
      </c>
    </row>
    <row r="21" spans="1:20" ht="38.25" x14ac:dyDescent="0.2">
      <c r="A21" s="108" t="s">
        <v>85</v>
      </c>
      <c r="B21" s="114" t="s">
        <v>1344</v>
      </c>
      <c r="C21" s="114" t="s">
        <v>56</v>
      </c>
      <c r="D21" s="114" t="s">
        <v>52</v>
      </c>
      <c r="E21" s="114" t="s">
        <v>74</v>
      </c>
      <c r="F21" s="114" t="s">
        <v>86</v>
      </c>
      <c r="G21" s="114" t="s">
        <v>26</v>
      </c>
      <c r="H21" s="115">
        <v>8</v>
      </c>
      <c r="I21" s="116">
        <v>360.83249999999998</v>
      </c>
      <c r="J21" s="116">
        <v>441.04499999999996</v>
      </c>
      <c r="K21" s="116">
        <v>3528.36</v>
      </c>
      <c r="L21" s="116">
        <v>481.11</v>
      </c>
      <c r="M21" s="116">
        <v>588.05999999999995</v>
      </c>
      <c r="N21" s="116">
        <v>4704.4799999999996</v>
      </c>
      <c r="O21" s="121">
        <f t="shared" si="0"/>
        <v>0.25</v>
      </c>
      <c r="P21" s="121">
        <f t="shared" si="1"/>
        <v>0.24999999999999989</v>
      </c>
      <c r="Q21" s="121">
        <f>IFERROR(K21/RESUMO_DILIG!$D$5,"")</f>
        <v>3.9432713638560895E-4</v>
      </c>
      <c r="R21" s="114" t="s">
        <v>1293</v>
      </c>
      <c r="S21" s="114" t="s">
        <v>1323</v>
      </c>
      <c r="T21" s="114" t="s">
        <v>1320</v>
      </c>
    </row>
    <row r="22" spans="1:20" ht="89.25" x14ac:dyDescent="0.2">
      <c r="A22" s="108" t="s">
        <v>87</v>
      </c>
      <c r="B22" s="114" t="s">
        <v>1345</v>
      </c>
      <c r="C22" s="114" t="s">
        <v>24</v>
      </c>
      <c r="D22" s="114" t="s">
        <v>52</v>
      </c>
      <c r="E22" s="114" t="s">
        <v>74</v>
      </c>
      <c r="F22" s="114" t="s">
        <v>89</v>
      </c>
      <c r="G22" s="114" t="s">
        <v>84</v>
      </c>
      <c r="H22" s="115">
        <v>1</v>
      </c>
      <c r="I22" s="116">
        <v>3668.07</v>
      </c>
      <c r="J22" s="116">
        <v>4483.4775</v>
      </c>
      <c r="K22" s="116">
        <v>4483.47</v>
      </c>
      <c r="L22" s="116">
        <v>4890.76</v>
      </c>
      <c r="M22" s="116">
        <v>5977.97</v>
      </c>
      <c r="N22" s="116">
        <v>5977.97</v>
      </c>
      <c r="O22" s="121">
        <f t="shared" si="0"/>
        <v>0.25</v>
      </c>
      <c r="P22" s="121">
        <f t="shared" si="1"/>
        <v>0.2500012546064968</v>
      </c>
      <c r="Q22" s="121">
        <f>IFERROR(K22/RESUMO_DILIG!$D$5,"")</f>
        <v>5.0106958648516201E-4</v>
      </c>
      <c r="R22" s="114" t="s">
        <v>1293</v>
      </c>
      <c r="S22" s="114" t="s">
        <v>1323</v>
      </c>
      <c r="T22" s="114" t="s">
        <v>1320</v>
      </c>
    </row>
    <row r="23" spans="1:20" ht="89.25" x14ac:dyDescent="0.2">
      <c r="A23" s="108" t="s">
        <v>90</v>
      </c>
      <c r="B23" s="114" t="s">
        <v>1346</v>
      </c>
      <c r="C23" s="114" t="s">
        <v>24</v>
      </c>
      <c r="D23" s="114" t="s">
        <v>52</v>
      </c>
      <c r="E23" s="114" t="s">
        <v>74</v>
      </c>
      <c r="F23" s="114" t="s">
        <v>92</v>
      </c>
      <c r="G23" s="114" t="s">
        <v>84</v>
      </c>
      <c r="H23" s="115">
        <v>1</v>
      </c>
      <c r="I23" s="116">
        <v>1977.4949999999999</v>
      </c>
      <c r="J23" s="116">
        <v>2417.085</v>
      </c>
      <c r="K23" s="116">
        <v>2417.08</v>
      </c>
      <c r="L23" s="116">
        <v>2636.66</v>
      </c>
      <c r="M23" s="116">
        <v>3222.78</v>
      </c>
      <c r="N23" s="116">
        <v>3222.78</v>
      </c>
      <c r="O23" s="121">
        <f t="shared" si="0"/>
        <v>0.25</v>
      </c>
      <c r="P23" s="121">
        <f t="shared" si="1"/>
        <v>0.25000155145557568</v>
      </c>
      <c r="Q23" s="121">
        <f>IFERROR(K23/RESUMO_DILIG!$D$5,"")</f>
        <v>2.7013123230478967E-4</v>
      </c>
      <c r="R23" s="114" t="s">
        <v>1293</v>
      </c>
      <c r="S23" s="114" t="s">
        <v>1323</v>
      </c>
      <c r="T23" s="114" t="s">
        <v>1320</v>
      </c>
    </row>
    <row r="24" spans="1:20" ht="63.75" x14ac:dyDescent="0.2">
      <c r="A24" s="108" t="s">
        <v>95</v>
      </c>
      <c r="B24" s="114" t="s">
        <v>1347</v>
      </c>
      <c r="C24" s="114" t="s">
        <v>56</v>
      </c>
      <c r="D24" s="114" t="s">
        <v>52</v>
      </c>
      <c r="E24" s="114" t="s">
        <v>94</v>
      </c>
      <c r="F24" s="114" t="s">
        <v>96</v>
      </c>
      <c r="G24" s="114" t="s">
        <v>26</v>
      </c>
      <c r="H24" s="115">
        <v>1456</v>
      </c>
      <c r="I24" s="116">
        <v>23.2425</v>
      </c>
      <c r="J24" s="116">
        <v>28.402499999999996</v>
      </c>
      <c r="K24" s="116">
        <v>41354.04</v>
      </c>
      <c r="L24" s="116">
        <v>30.99</v>
      </c>
      <c r="M24" s="116">
        <v>37.869999999999997</v>
      </c>
      <c r="N24" s="116">
        <v>55138.720000000001</v>
      </c>
      <c r="O24" s="121">
        <f t="shared" si="0"/>
        <v>0.25</v>
      </c>
      <c r="P24" s="121">
        <f t="shared" si="1"/>
        <v>0.25</v>
      </c>
      <c r="Q24" s="121">
        <f>IFERROR(K24/RESUMO_DILIG!$D$5,"")</f>
        <v>4.6216996483283814E-3</v>
      </c>
      <c r="R24" s="114" t="s">
        <v>1287</v>
      </c>
      <c r="S24" s="114" t="s">
        <v>1319</v>
      </c>
      <c r="T24" s="114" t="s">
        <v>1320</v>
      </c>
    </row>
    <row r="25" spans="1:20" ht="38.25" x14ac:dyDescent="0.2">
      <c r="A25" s="108" t="s">
        <v>97</v>
      </c>
      <c r="B25" s="114" t="s">
        <v>1348</v>
      </c>
      <c r="C25" s="114" t="s">
        <v>56</v>
      </c>
      <c r="D25" s="114" t="s">
        <v>52</v>
      </c>
      <c r="E25" s="114" t="s">
        <v>94</v>
      </c>
      <c r="F25" s="114" t="s">
        <v>98</v>
      </c>
      <c r="G25" s="114" t="s">
        <v>99</v>
      </c>
      <c r="H25" s="115">
        <v>3770</v>
      </c>
      <c r="I25" s="116">
        <v>32.04</v>
      </c>
      <c r="J25" s="116">
        <v>39.157499999999999</v>
      </c>
      <c r="K25" s="116">
        <v>147623.76999999999</v>
      </c>
      <c r="L25" s="116">
        <v>42.72</v>
      </c>
      <c r="M25" s="116">
        <v>52.21</v>
      </c>
      <c r="N25" s="116">
        <v>196831.7</v>
      </c>
      <c r="O25" s="121">
        <f t="shared" si="0"/>
        <v>0.25</v>
      </c>
      <c r="P25" s="121">
        <f t="shared" si="1"/>
        <v>0.2500000254024124</v>
      </c>
      <c r="Q25" s="121">
        <f>IFERROR(K25/RESUMO_DILIG!$D$5,"")</f>
        <v>1.6498333074444718E-2</v>
      </c>
      <c r="R25" s="114" t="s">
        <v>1287</v>
      </c>
      <c r="S25" s="114" t="s">
        <v>1319</v>
      </c>
      <c r="T25" s="114" t="s">
        <v>1320</v>
      </c>
    </row>
    <row r="26" spans="1:20" ht="89.25" x14ac:dyDescent="0.2">
      <c r="A26" s="108" t="s">
        <v>100</v>
      </c>
      <c r="B26" s="114" t="s">
        <v>1349</v>
      </c>
      <c r="C26" s="114" t="s">
        <v>56</v>
      </c>
      <c r="D26" s="114" t="s">
        <v>52</v>
      </c>
      <c r="E26" s="114" t="s">
        <v>94</v>
      </c>
      <c r="F26" s="114" t="s">
        <v>101</v>
      </c>
      <c r="G26" s="114" t="s">
        <v>102</v>
      </c>
      <c r="H26" s="115">
        <v>910</v>
      </c>
      <c r="I26" s="116">
        <v>18</v>
      </c>
      <c r="J26" s="116">
        <v>21.997499999999999</v>
      </c>
      <c r="K26" s="116">
        <v>20017.72</v>
      </c>
      <c r="L26" s="116">
        <v>24</v>
      </c>
      <c r="M26" s="116">
        <v>29.33</v>
      </c>
      <c r="N26" s="116">
        <v>26690.3</v>
      </c>
      <c r="O26" s="121">
        <f t="shared" si="0"/>
        <v>0.25</v>
      </c>
      <c r="P26" s="121">
        <f t="shared" si="1"/>
        <v>0.25000018733397522</v>
      </c>
      <c r="Q26" s="121">
        <f>IFERROR(K26/RESUMO_DILIG!$D$5,"")</f>
        <v>2.2371669003641726E-3</v>
      </c>
      <c r="R26" s="114" t="s">
        <v>1287</v>
      </c>
      <c r="S26" s="114" t="s">
        <v>1319</v>
      </c>
      <c r="T26" s="114" t="s">
        <v>1320</v>
      </c>
    </row>
    <row r="27" spans="1:20" ht="89.25" x14ac:dyDescent="0.2">
      <c r="A27" s="108" t="s">
        <v>103</v>
      </c>
      <c r="B27" s="114" t="s">
        <v>1350</v>
      </c>
      <c r="C27" s="114" t="s">
        <v>56</v>
      </c>
      <c r="D27" s="114" t="s">
        <v>52</v>
      </c>
      <c r="E27" s="114" t="s">
        <v>94</v>
      </c>
      <c r="F27" s="114" t="s">
        <v>1351</v>
      </c>
      <c r="G27" s="114" t="s">
        <v>105</v>
      </c>
      <c r="H27" s="115">
        <v>728</v>
      </c>
      <c r="I27" s="116">
        <v>24</v>
      </c>
      <c r="J27" s="116">
        <v>29.3325</v>
      </c>
      <c r="K27" s="116">
        <v>21354.06</v>
      </c>
      <c r="L27" s="116">
        <v>32</v>
      </c>
      <c r="M27" s="116">
        <v>39.11</v>
      </c>
      <c r="N27" s="116">
        <v>28472.080000000002</v>
      </c>
      <c r="O27" s="121">
        <f t="shared" si="0"/>
        <v>0.25</v>
      </c>
      <c r="P27" s="121">
        <f t="shared" si="1"/>
        <v>0.25</v>
      </c>
      <c r="Q27" s="121">
        <f>IFERROR(K27/RESUMO_DILIG!$D$5,"")</f>
        <v>2.3865153584119751E-3</v>
      </c>
      <c r="R27" s="114" t="s">
        <v>1287</v>
      </c>
      <c r="S27" s="114" t="s">
        <v>1319</v>
      </c>
      <c r="T27" s="114" t="s">
        <v>1320</v>
      </c>
    </row>
    <row r="28" spans="1:20" ht="63.75" x14ac:dyDescent="0.2">
      <c r="A28" s="108" t="s">
        <v>109</v>
      </c>
      <c r="B28" s="114" t="s">
        <v>1352</v>
      </c>
      <c r="C28" s="114" t="s">
        <v>24</v>
      </c>
      <c r="D28" s="114" t="s">
        <v>106</v>
      </c>
      <c r="E28" s="114" t="s">
        <v>108</v>
      </c>
      <c r="F28" s="114" t="s">
        <v>111</v>
      </c>
      <c r="G28" s="114" t="s">
        <v>99</v>
      </c>
      <c r="H28" s="115">
        <v>210</v>
      </c>
      <c r="I28" s="116">
        <v>114.435</v>
      </c>
      <c r="J28" s="116">
        <v>139.86750000000001</v>
      </c>
      <c r="K28" s="116">
        <v>29372.17</v>
      </c>
      <c r="L28" s="116">
        <v>152.58000000000001</v>
      </c>
      <c r="M28" s="116">
        <v>186.49</v>
      </c>
      <c r="N28" s="116">
        <v>39162.9</v>
      </c>
      <c r="O28" s="121">
        <f t="shared" si="0"/>
        <v>0.25</v>
      </c>
      <c r="P28" s="121">
        <f t="shared" si="1"/>
        <v>0.25000012767185276</v>
      </c>
      <c r="Q28" s="121">
        <f>IFERROR(K28/RESUMO_DILIG!$D$5,"")</f>
        <v>3.2826139298516282E-3</v>
      </c>
      <c r="R28" s="114" t="s">
        <v>1287</v>
      </c>
      <c r="S28" s="114" t="s">
        <v>1319</v>
      </c>
      <c r="T28" s="114" t="s">
        <v>1320</v>
      </c>
    </row>
    <row r="29" spans="1:20" ht="89.25" x14ac:dyDescent="0.2">
      <c r="A29" s="108" t="s">
        <v>112</v>
      </c>
      <c r="B29" s="114" t="s">
        <v>1353</v>
      </c>
      <c r="C29" s="114" t="s">
        <v>24</v>
      </c>
      <c r="D29" s="114" t="s">
        <v>106</v>
      </c>
      <c r="E29" s="114" t="s">
        <v>108</v>
      </c>
      <c r="F29" s="114" t="s">
        <v>114</v>
      </c>
      <c r="G29" s="114" t="s">
        <v>84</v>
      </c>
      <c r="H29" s="115">
        <v>1</v>
      </c>
      <c r="I29" s="116">
        <v>5141.6099999999997</v>
      </c>
      <c r="J29" s="116">
        <v>6284.5875000000005</v>
      </c>
      <c r="K29" s="116">
        <v>6284.58</v>
      </c>
      <c r="L29" s="116">
        <v>6855.48</v>
      </c>
      <c r="M29" s="116">
        <v>8379.4500000000007</v>
      </c>
      <c r="N29" s="116">
        <v>8379.4500000000007</v>
      </c>
      <c r="O29" s="121">
        <f t="shared" si="0"/>
        <v>0.25</v>
      </c>
      <c r="P29" s="121">
        <f t="shared" si="1"/>
        <v>0.250000895046811</v>
      </c>
      <c r="Q29" s="121">
        <f>IFERROR(K29/RESUMO_DILIG!$D$5,"")</f>
        <v>7.0236042659656901E-4</v>
      </c>
      <c r="R29" s="114" t="s">
        <v>1290</v>
      </c>
      <c r="S29" s="114" t="s">
        <v>1323</v>
      </c>
      <c r="T29" s="114" t="s">
        <v>1320</v>
      </c>
    </row>
    <row r="30" spans="1:20" ht="114.75" x14ac:dyDescent="0.2">
      <c r="A30" s="108" t="s">
        <v>115</v>
      </c>
      <c r="B30" s="114" t="s">
        <v>1354</v>
      </c>
      <c r="C30" s="114" t="s">
        <v>24</v>
      </c>
      <c r="D30" s="114" t="s">
        <v>106</v>
      </c>
      <c r="E30" s="114" t="s">
        <v>108</v>
      </c>
      <c r="F30" s="114" t="s">
        <v>117</v>
      </c>
      <c r="G30" s="114" t="s">
        <v>118</v>
      </c>
      <c r="H30" s="115">
        <v>326.012</v>
      </c>
      <c r="I30" s="116">
        <v>25.282499999999999</v>
      </c>
      <c r="J30" s="116">
        <v>30.900000000000002</v>
      </c>
      <c r="K30" s="116">
        <v>10073.77</v>
      </c>
      <c r="L30" s="116">
        <v>33.71</v>
      </c>
      <c r="M30" s="116">
        <v>41.2</v>
      </c>
      <c r="N30" s="116">
        <v>13431.69</v>
      </c>
      <c r="O30" s="121">
        <f t="shared" si="0"/>
        <v>0.25</v>
      </c>
      <c r="P30" s="121">
        <f t="shared" si="1"/>
        <v>0.24999981387301229</v>
      </c>
      <c r="Q30" s="121">
        <f>IFERROR(K30/RESUMO_DILIG!$D$5,"")</f>
        <v>1.1258377480493078E-3</v>
      </c>
      <c r="R30" s="114" t="s">
        <v>1290</v>
      </c>
      <c r="S30" s="114" t="s">
        <v>1323</v>
      </c>
      <c r="T30" s="114" t="s">
        <v>1320</v>
      </c>
    </row>
    <row r="31" spans="1:20" ht="51" x14ac:dyDescent="0.2">
      <c r="A31" s="108" t="s">
        <v>121</v>
      </c>
      <c r="B31" s="114" t="s">
        <v>1355</v>
      </c>
      <c r="C31" s="114" t="s">
        <v>24</v>
      </c>
      <c r="D31" s="114" t="s">
        <v>106</v>
      </c>
      <c r="E31" s="114" t="s">
        <v>120</v>
      </c>
      <c r="F31" s="114" t="s">
        <v>1356</v>
      </c>
      <c r="G31" s="114" t="s">
        <v>26</v>
      </c>
      <c r="H31" s="115">
        <v>3990.4189999999999</v>
      </c>
      <c r="I31" s="116">
        <v>0.48750000000000004</v>
      </c>
      <c r="J31" s="116">
        <v>0.59250000000000003</v>
      </c>
      <c r="K31" s="116">
        <v>2364.3200000000002</v>
      </c>
      <c r="L31" s="116">
        <v>0.65</v>
      </c>
      <c r="M31" s="116">
        <v>0.79</v>
      </c>
      <c r="N31" s="116">
        <v>3152.43</v>
      </c>
      <c r="O31" s="121">
        <f t="shared" si="0"/>
        <v>0.25</v>
      </c>
      <c r="P31" s="121">
        <f t="shared" si="1"/>
        <v>0.25000079303902056</v>
      </c>
      <c r="Q31" s="121">
        <f>IFERROR(K31/RESUMO_DILIG!$D$5,"")</f>
        <v>2.6423481025156817E-4</v>
      </c>
      <c r="R31" s="114" t="s">
        <v>1293</v>
      </c>
      <c r="S31" s="114" t="s">
        <v>1323</v>
      </c>
      <c r="T31" s="114" t="s">
        <v>1320</v>
      </c>
    </row>
    <row r="32" spans="1:20" ht="76.5" x14ac:dyDescent="0.2">
      <c r="A32" s="108" t="s">
        <v>124</v>
      </c>
      <c r="B32" s="114" t="s">
        <v>1357</v>
      </c>
      <c r="C32" s="114" t="s">
        <v>24</v>
      </c>
      <c r="D32" s="114" t="s">
        <v>106</v>
      </c>
      <c r="E32" s="114" t="s">
        <v>120</v>
      </c>
      <c r="F32" s="114" t="s">
        <v>1358</v>
      </c>
      <c r="G32" s="114" t="s">
        <v>26</v>
      </c>
      <c r="H32" s="115">
        <v>3990.4189999999999</v>
      </c>
      <c r="I32" s="116">
        <v>1.4175</v>
      </c>
      <c r="J32" s="116">
        <v>1.7324999999999999</v>
      </c>
      <c r="K32" s="116">
        <v>6913.4</v>
      </c>
      <c r="L32" s="116">
        <v>1.89</v>
      </c>
      <c r="M32" s="116">
        <v>2.31</v>
      </c>
      <c r="N32" s="116">
        <v>9217.86</v>
      </c>
      <c r="O32" s="121">
        <f t="shared" si="0"/>
        <v>0.25</v>
      </c>
      <c r="P32" s="121">
        <f t="shared" si="1"/>
        <v>0.24999945757475173</v>
      </c>
      <c r="Q32" s="121">
        <f>IFERROR(K32/RESUMO_DILIG!$D$5,"")</f>
        <v>7.7263692613233027E-4</v>
      </c>
      <c r="R32" s="114" t="s">
        <v>1290</v>
      </c>
      <c r="S32" s="114" t="s">
        <v>1323</v>
      </c>
      <c r="T32" s="114" t="s">
        <v>1320</v>
      </c>
    </row>
    <row r="33" spans="1:20" ht="89.25" x14ac:dyDescent="0.2">
      <c r="A33" s="108" t="s">
        <v>127</v>
      </c>
      <c r="B33" s="114" t="s">
        <v>1359</v>
      </c>
      <c r="C33" s="114" t="s">
        <v>24</v>
      </c>
      <c r="D33" s="114" t="s">
        <v>106</v>
      </c>
      <c r="E33" s="114" t="s">
        <v>120</v>
      </c>
      <c r="F33" s="114" t="s">
        <v>129</v>
      </c>
      <c r="G33" s="114" t="s">
        <v>99</v>
      </c>
      <c r="H33" s="115">
        <v>200.69</v>
      </c>
      <c r="I33" s="116">
        <v>20.745000000000001</v>
      </c>
      <c r="J33" s="116">
        <v>25.349999999999998</v>
      </c>
      <c r="K33" s="116">
        <v>5087.49</v>
      </c>
      <c r="L33" s="116">
        <v>27.66</v>
      </c>
      <c r="M33" s="116">
        <v>33.799999999999997</v>
      </c>
      <c r="N33" s="116">
        <v>6783.32</v>
      </c>
      <c r="O33" s="121">
        <f t="shared" si="0"/>
        <v>0.25</v>
      </c>
      <c r="P33" s="121">
        <f t="shared" si="1"/>
        <v>0.25</v>
      </c>
      <c r="Q33" s="121">
        <f>IFERROR(K33/RESUMO_DILIG!$D$5,"")</f>
        <v>5.6857445472979556E-4</v>
      </c>
      <c r="R33" s="114" t="s">
        <v>1293</v>
      </c>
      <c r="S33" s="114" t="s">
        <v>1323</v>
      </c>
      <c r="T33" s="114" t="s">
        <v>1320</v>
      </c>
    </row>
    <row r="34" spans="1:20" ht="63.75" x14ac:dyDescent="0.2">
      <c r="A34" s="108" t="s">
        <v>130</v>
      </c>
      <c r="B34" s="114" t="s">
        <v>1360</v>
      </c>
      <c r="C34" s="114" t="s">
        <v>24</v>
      </c>
      <c r="D34" s="114" t="s">
        <v>106</v>
      </c>
      <c r="E34" s="114" t="s">
        <v>120</v>
      </c>
      <c r="F34" s="114" t="s">
        <v>132</v>
      </c>
      <c r="G34" s="114" t="s">
        <v>84</v>
      </c>
      <c r="H34" s="115">
        <v>23</v>
      </c>
      <c r="I34" s="116">
        <v>474.255</v>
      </c>
      <c r="J34" s="116">
        <v>579.67499999999995</v>
      </c>
      <c r="K34" s="116">
        <v>13332.52</v>
      </c>
      <c r="L34" s="116">
        <v>632.34</v>
      </c>
      <c r="M34" s="116">
        <v>772.9</v>
      </c>
      <c r="N34" s="116">
        <v>17776.7</v>
      </c>
      <c r="O34" s="121">
        <f t="shared" si="0"/>
        <v>0.25</v>
      </c>
      <c r="P34" s="121">
        <f t="shared" si="1"/>
        <v>0.25000028126705187</v>
      </c>
      <c r="Q34" s="121">
        <f>IFERROR(K34/RESUMO_DILIG!$D$5,"")</f>
        <v>1.4900334524832668E-3</v>
      </c>
      <c r="R34" s="114" t="s">
        <v>1290</v>
      </c>
      <c r="S34" s="114" t="s">
        <v>1323</v>
      </c>
      <c r="T34" s="114" t="s">
        <v>1320</v>
      </c>
    </row>
    <row r="35" spans="1:20" ht="63.75" x14ac:dyDescent="0.2">
      <c r="A35" s="108" t="s">
        <v>133</v>
      </c>
      <c r="B35" s="114" t="s">
        <v>1361</v>
      </c>
      <c r="C35" s="114" t="s">
        <v>24</v>
      </c>
      <c r="D35" s="114" t="s">
        <v>106</v>
      </c>
      <c r="E35" s="114" t="s">
        <v>120</v>
      </c>
      <c r="F35" s="114" t="s">
        <v>135</v>
      </c>
      <c r="G35" s="114" t="s">
        <v>84</v>
      </c>
      <c r="H35" s="115">
        <v>13</v>
      </c>
      <c r="I35" s="116">
        <v>22.605</v>
      </c>
      <c r="J35" s="116">
        <v>27.630000000000003</v>
      </c>
      <c r="K35" s="116">
        <v>359.19</v>
      </c>
      <c r="L35" s="116">
        <v>30.14</v>
      </c>
      <c r="M35" s="116">
        <v>36.840000000000003</v>
      </c>
      <c r="N35" s="116">
        <v>478.92</v>
      </c>
      <c r="O35" s="121">
        <f t="shared" si="0"/>
        <v>0.25</v>
      </c>
      <c r="P35" s="121">
        <f t="shared" si="1"/>
        <v>0.25</v>
      </c>
      <c r="Q35" s="121">
        <f>IFERROR(K35/RESUMO_DILIG!$D$5,"")</f>
        <v>4.0142832397586097E-5</v>
      </c>
      <c r="R35" s="114" t="s">
        <v>1293</v>
      </c>
      <c r="S35" s="114" t="s">
        <v>1323</v>
      </c>
      <c r="T35" s="114" t="s">
        <v>1320</v>
      </c>
    </row>
    <row r="36" spans="1:20" ht="51" x14ac:dyDescent="0.2">
      <c r="A36" s="108" t="s">
        <v>138</v>
      </c>
      <c r="B36" s="114" t="s">
        <v>1362</v>
      </c>
      <c r="C36" s="114" t="s">
        <v>56</v>
      </c>
      <c r="D36" s="114" t="s">
        <v>106</v>
      </c>
      <c r="E36" s="114" t="s">
        <v>137</v>
      </c>
      <c r="F36" s="114" t="s">
        <v>139</v>
      </c>
      <c r="G36" s="114" t="s">
        <v>118</v>
      </c>
      <c r="H36" s="115">
        <v>43.454999999999998</v>
      </c>
      <c r="I36" s="116">
        <v>158.04</v>
      </c>
      <c r="J36" s="116">
        <v>193.17000000000002</v>
      </c>
      <c r="K36" s="116">
        <v>8394.2000000000007</v>
      </c>
      <c r="L36" s="116">
        <v>210.72</v>
      </c>
      <c r="M36" s="116">
        <v>257.56</v>
      </c>
      <c r="N36" s="116">
        <v>11192.26</v>
      </c>
      <c r="O36" s="121">
        <f t="shared" si="0"/>
        <v>0.25</v>
      </c>
      <c r="P36" s="121">
        <f t="shared" si="1"/>
        <v>0.24999955326270118</v>
      </c>
      <c r="Q36" s="121">
        <f>IFERROR(K36/RESUMO_DILIG!$D$5,"")</f>
        <v>9.3813013645095136E-4</v>
      </c>
      <c r="R36" s="114" t="s">
        <v>1290</v>
      </c>
      <c r="S36" s="114" t="s">
        <v>1323</v>
      </c>
      <c r="T36" s="114" t="s">
        <v>1320</v>
      </c>
    </row>
    <row r="37" spans="1:20" ht="38.25" x14ac:dyDescent="0.2">
      <c r="A37" s="108" t="s">
        <v>140</v>
      </c>
      <c r="B37" s="114" t="s">
        <v>1363</v>
      </c>
      <c r="C37" s="114" t="s">
        <v>56</v>
      </c>
      <c r="D37" s="114" t="s">
        <v>106</v>
      </c>
      <c r="E37" s="114" t="s">
        <v>137</v>
      </c>
      <c r="F37" s="114" t="s">
        <v>141</v>
      </c>
      <c r="G37" s="114" t="s">
        <v>26</v>
      </c>
      <c r="H37" s="115">
        <v>55.52</v>
      </c>
      <c r="I37" s="116">
        <v>7.0575000000000001</v>
      </c>
      <c r="J37" s="116">
        <v>8.625</v>
      </c>
      <c r="K37" s="116">
        <v>478.86</v>
      </c>
      <c r="L37" s="116">
        <v>9.41</v>
      </c>
      <c r="M37" s="116">
        <v>11.5</v>
      </c>
      <c r="N37" s="116">
        <v>638.48</v>
      </c>
      <c r="O37" s="121">
        <f t="shared" si="0"/>
        <v>0.25</v>
      </c>
      <c r="P37" s="121">
        <f t="shared" si="1"/>
        <v>0.25</v>
      </c>
      <c r="Q37" s="121">
        <f>IFERROR(K37/RESUMO_DILIG!$D$5,"")</f>
        <v>5.3517070970539486E-5</v>
      </c>
      <c r="R37" s="114" t="s">
        <v>1293</v>
      </c>
      <c r="S37" s="114" t="s">
        <v>1323</v>
      </c>
      <c r="T37" s="114" t="s">
        <v>1320</v>
      </c>
    </row>
    <row r="38" spans="1:20" ht="25.5" x14ac:dyDescent="0.2">
      <c r="A38" s="108" t="s">
        <v>142</v>
      </c>
      <c r="B38" s="114" t="s">
        <v>1364</v>
      </c>
      <c r="C38" s="114" t="s">
        <v>56</v>
      </c>
      <c r="D38" s="114" t="s">
        <v>106</v>
      </c>
      <c r="E38" s="114" t="s">
        <v>137</v>
      </c>
      <c r="F38" s="114" t="s">
        <v>143</v>
      </c>
      <c r="G38" s="114" t="s">
        <v>118</v>
      </c>
      <c r="H38" s="115">
        <v>260.41899999999998</v>
      </c>
      <c r="I38" s="116">
        <v>94.605000000000004</v>
      </c>
      <c r="J38" s="116">
        <v>115.63500000000001</v>
      </c>
      <c r="K38" s="116">
        <v>30113.55</v>
      </c>
      <c r="L38" s="116">
        <v>126.14</v>
      </c>
      <c r="M38" s="116">
        <v>154.18</v>
      </c>
      <c r="N38" s="116">
        <v>40151.4</v>
      </c>
      <c r="O38" s="121">
        <f t="shared" si="0"/>
        <v>0.25</v>
      </c>
      <c r="P38" s="121">
        <f t="shared" si="1"/>
        <v>0.25</v>
      </c>
      <c r="Q38" s="121">
        <f>IFERROR(K38/RESUMO_DILIG!$D$5,"")</f>
        <v>3.3654700591506689E-3</v>
      </c>
      <c r="R38" s="114" t="s">
        <v>1287</v>
      </c>
      <c r="S38" s="114" t="s">
        <v>1319</v>
      </c>
      <c r="T38" s="114" t="s">
        <v>1320</v>
      </c>
    </row>
    <row r="39" spans="1:20" ht="38.25" x14ac:dyDescent="0.2">
      <c r="A39" s="108" t="s">
        <v>144</v>
      </c>
      <c r="B39" s="114" t="s">
        <v>1365</v>
      </c>
      <c r="C39" s="114" t="s">
        <v>56</v>
      </c>
      <c r="D39" s="114" t="s">
        <v>106</v>
      </c>
      <c r="E39" s="114" t="s">
        <v>137</v>
      </c>
      <c r="F39" s="114" t="s">
        <v>1366</v>
      </c>
      <c r="G39" s="114" t="s">
        <v>118</v>
      </c>
      <c r="H39" s="115">
        <v>247.39805000000001</v>
      </c>
      <c r="I39" s="116">
        <v>28.087500000000002</v>
      </c>
      <c r="J39" s="116">
        <v>34.327500000000001</v>
      </c>
      <c r="K39" s="116">
        <v>8492.5499999999993</v>
      </c>
      <c r="L39" s="116">
        <v>37.450000000000003</v>
      </c>
      <c r="M39" s="116">
        <v>45.77</v>
      </c>
      <c r="N39" s="116">
        <v>11323.4</v>
      </c>
      <c r="O39" s="121">
        <f t="shared" si="0"/>
        <v>0.25</v>
      </c>
      <c r="P39" s="121">
        <f t="shared" si="1"/>
        <v>0.25</v>
      </c>
      <c r="Q39" s="121">
        <f>IFERROR(K39/RESUMO_DILIG!$D$5,"")</f>
        <v>9.4912166618814483E-4</v>
      </c>
      <c r="R39" s="114" t="s">
        <v>1290</v>
      </c>
      <c r="S39" s="114" t="s">
        <v>1323</v>
      </c>
      <c r="T39" s="114" t="s">
        <v>1320</v>
      </c>
    </row>
    <row r="40" spans="1:20" ht="89.25" x14ac:dyDescent="0.2">
      <c r="A40" s="108" t="s">
        <v>146</v>
      </c>
      <c r="B40" s="114" t="s">
        <v>1367</v>
      </c>
      <c r="C40" s="114" t="s">
        <v>56</v>
      </c>
      <c r="D40" s="114" t="s">
        <v>106</v>
      </c>
      <c r="E40" s="114" t="s">
        <v>137</v>
      </c>
      <c r="F40" s="114" t="s">
        <v>147</v>
      </c>
      <c r="G40" s="114" t="s">
        <v>118</v>
      </c>
      <c r="H40" s="115">
        <v>101.346</v>
      </c>
      <c r="I40" s="116">
        <v>4.8825000000000003</v>
      </c>
      <c r="J40" s="116">
        <v>5.9625000000000004</v>
      </c>
      <c r="K40" s="116">
        <v>604.27</v>
      </c>
      <c r="L40" s="116">
        <v>6.51</v>
      </c>
      <c r="M40" s="116">
        <v>7.95</v>
      </c>
      <c r="N40" s="116">
        <v>805.7</v>
      </c>
      <c r="O40" s="121">
        <f t="shared" si="0"/>
        <v>0.25</v>
      </c>
      <c r="P40" s="121">
        <f t="shared" si="1"/>
        <v>0.25000620578379051</v>
      </c>
      <c r="Q40" s="121">
        <f>IFERROR(K40/RESUMO_DILIG!$D$5,"")</f>
        <v>6.7532808076197417E-5</v>
      </c>
      <c r="R40" s="114" t="s">
        <v>1293</v>
      </c>
      <c r="S40" s="114" t="s">
        <v>1323</v>
      </c>
      <c r="T40" s="114" t="s">
        <v>1320</v>
      </c>
    </row>
    <row r="41" spans="1:20" ht="51" x14ac:dyDescent="0.2">
      <c r="A41" s="108" t="s">
        <v>148</v>
      </c>
      <c r="B41" s="114" t="s">
        <v>1368</v>
      </c>
      <c r="C41" s="114" t="s">
        <v>56</v>
      </c>
      <c r="D41" s="114" t="s">
        <v>106</v>
      </c>
      <c r="E41" s="114" t="s">
        <v>137</v>
      </c>
      <c r="F41" s="114" t="s">
        <v>149</v>
      </c>
      <c r="G41" s="114" t="s">
        <v>118</v>
      </c>
      <c r="H41" s="115">
        <v>1.754</v>
      </c>
      <c r="I41" s="116">
        <v>176.3775</v>
      </c>
      <c r="J41" s="116">
        <v>215.57999999999998</v>
      </c>
      <c r="K41" s="116">
        <v>378.12</v>
      </c>
      <c r="L41" s="116">
        <v>235.17</v>
      </c>
      <c r="M41" s="116">
        <v>287.44</v>
      </c>
      <c r="N41" s="116">
        <v>504.16</v>
      </c>
      <c r="O41" s="121">
        <f t="shared" si="0"/>
        <v>0.25</v>
      </c>
      <c r="P41" s="121">
        <f t="shared" si="1"/>
        <v>0.25</v>
      </c>
      <c r="Q41" s="121">
        <f>IFERROR(K41/RESUMO_DILIG!$D$5,"")</f>
        <v>4.225843644359602E-5</v>
      </c>
      <c r="R41" s="114" t="s">
        <v>1293</v>
      </c>
      <c r="S41" s="114" t="s">
        <v>1323</v>
      </c>
      <c r="T41" s="114" t="s">
        <v>1320</v>
      </c>
    </row>
    <row r="42" spans="1:20" ht="25.5" x14ac:dyDescent="0.2">
      <c r="A42" s="108" t="s">
        <v>150</v>
      </c>
      <c r="B42" s="114" t="s">
        <v>1369</v>
      </c>
      <c r="C42" s="114" t="s">
        <v>56</v>
      </c>
      <c r="D42" s="114" t="s">
        <v>106</v>
      </c>
      <c r="E42" s="114" t="s">
        <v>137</v>
      </c>
      <c r="F42" s="114" t="s">
        <v>151</v>
      </c>
      <c r="G42" s="114" t="s">
        <v>118</v>
      </c>
      <c r="H42" s="115">
        <v>17.21</v>
      </c>
      <c r="I42" s="116">
        <v>68.460000000000008</v>
      </c>
      <c r="J42" s="116">
        <v>83.677499999999995</v>
      </c>
      <c r="K42" s="116">
        <v>1440.08</v>
      </c>
      <c r="L42" s="116">
        <v>91.28</v>
      </c>
      <c r="M42" s="116">
        <v>111.57</v>
      </c>
      <c r="N42" s="116">
        <v>1920.11</v>
      </c>
      <c r="O42" s="121">
        <f t="shared" si="0"/>
        <v>0.25</v>
      </c>
      <c r="P42" s="121">
        <f t="shared" si="1"/>
        <v>0.25000130200873905</v>
      </c>
      <c r="Q42" s="121">
        <f>IFERROR(K42/RESUMO_DILIG!$D$5,"")</f>
        <v>1.6094237055351145E-4</v>
      </c>
      <c r="R42" s="114" t="s">
        <v>1293</v>
      </c>
      <c r="S42" s="114" t="s">
        <v>1323</v>
      </c>
      <c r="T42" s="114" t="s">
        <v>1320</v>
      </c>
    </row>
    <row r="43" spans="1:20" ht="51" x14ac:dyDescent="0.2">
      <c r="A43" s="108" t="s">
        <v>152</v>
      </c>
      <c r="B43" s="114" t="s">
        <v>1370</v>
      </c>
      <c r="C43" s="114" t="s">
        <v>56</v>
      </c>
      <c r="D43" s="114" t="s">
        <v>106</v>
      </c>
      <c r="E43" s="114" t="s">
        <v>137</v>
      </c>
      <c r="F43" s="114" t="s">
        <v>1371</v>
      </c>
      <c r="G43" s="114" t="s">
        <v>26</v>
      </c>
      <c r="H43" s="115">
        <v>66.88</v>
      </c>
      <c r="I43" s="116">
        <v>74.167500000000004</v>
      </c>
      <c r="J43" s="116">
        <v>90.652500000000003</v>
      </c>
      <c r="K43" s="116">
        <v>6062.83</v>
      </c>
      <c r="L43" s="116">
        <v>98.89</v>
      </c>
      <c r="M43" s="116">
        <v>120.87</v>
      </c>
      <c r="N43" s="116">
        <v>8083.78</v>
      </c>
      <c r="O43" s="121">
        <f t="shared" si="0"/>
        <v>0.25</v>
      </c>
      <c r="P43" s="121">
        <f t="shared" si="1"/>
        <v>0.25000061852252287</v>
      </c>
      <c r="Q43" s="121">
        <f>IFERROR(K43/RESUMO_DILIG!$D$5,"")</f>
        <v>6.7757779599949023E-4</v>
      </c>
      <c r="R43" s="114" t="s">
        <v>1290</v>
      </c>
      <c r="S43" s="114" t="s">
        <v>1323</v>
      </c>
      <c r="T43" s="114" t="s">
        <v>1320</v>
      </c>
    </row>
    <row r="44" spans="1:20" ht="76.5" x14ac:dyDescent="0.2">
      <c r="A44" s="108" t="s">
        <v>157</v>
      </c>
      <c r="B44" s="114" t="s">
        <v>1372</v>
      </c>
      <c r="C44" s="114" t="s">
        <v>24</v>
      </c>
      <c r="D44" s="114" t="s">
        <v>154</v>
      </c>
      <c r="E44" s="114" t="s">
        <v>156</v>
      </c>
      <c r="F44" s="114" t="s">
        <v>159</v>
      </c>
      <c r="G44" s="114" t="s">
        <v>84</v>
      </c>
      <c r="H44" s="115">
        <v>1</v>
      </c>
      <c r="I44" s="116">
        <v>10702.0725</v>
      </c>
      <c r="J44" s="116">
        <v>13081.14</v>
      </c>
      <c r="K44" s="116">
        <v>13081.14</v>
      </c>
      <c r="L44" s="116">
        <v>14269.43</v>
      </c>
      <c r="M44" s="116">
        <v>17441.52</v>
      </c>
      <c r="N44" s="116">
        <v>17441.52</v>
      </c>
      <c r="O44" s="121">
        <f t="shared" si="0"/>
        <v>0.25</v>
      </c>
      <c r="P44" s="121">
        <f t="shared" si="1"/>
        <v>0.25</v>
      </c>
      <c r="Q44" s="121">
        <f>IFERROR(K44/RESUMO_DILIG!$D$5,"")</f>
        <v>1.4619393930492479E-3</v>
      </c>
      <c r="R44" s="114" t="s">
        <v>1290</v>
      </c>
      <c r="S44" s="114" t="s">
        <v>1323</v>
      </c>
      <c r="T44" s="114" t="s">
        <v>1320</v>
      </c>
    </row>
    <row r="45" spans="1:20" ht="25.5" x14ac:dyDescent="0.2">
      <c r="A45" s="108" t="s">
        <v>160</v>
      </c>
      <c r="B45" s="114" t="s">
        <v>161</v>
      </c>
      <c r="C45" s="114" t="s">
        <v>24</v>
      </c>
      <c r="D45" s="114" t="s">
        <v>154</v>
      </c>
      <c r="E45" s="114" t="s">
        <v>156</v>
      </c>
      <c r="F45" s="114" t="s">
        <v>162</v>
      </c>
      <c r="G45" s="114" t="s">
        <v>118</v>
      </c>
      <c r="H45" s="115">
        <v>352.26875000000001</v>
      </c>
      <c r="I45" s="116">
        <v>45</v>
      </c>
      <c r="J45" s="116">
        <v>54.997500000000002</v>
      </c>
      <c r="K45" s="116">
        <v>19373.900000000001</v>
      </c>
      <c r="L45" s="116">
        <v>60</v>
      </c>
      <c r="M45" s="116">
        <v>73.33</v>
      </c>
      <c r="N45" s="116">
        <v>25831.86</v>
      </c>
      <c r="O45" s="121">
        <f t="shared" si="0"/>
        <v>0.25</v>
      </c>
      <c r="P45" s="121">
        <f t="shared" si="1"/>
        <v>0.24999980644057374</v>
      </c>
      <c r="Q45" s="121">
        <f>IFERROR(K45/RESUMO_DILIG!$D$5,"")</f>
        <v>2.1652140109345843E-3</v>
      </c>
      <c r="R45" s="114" t="s">
        <v>1290</v>
      </c>
      <c r="S45" s="114" t="s">
        <v>1323</v>
      </c>
      <c r="T45" s="114" t="s">
        <v>1320</v>
      </c>
    </row>
    <row r="46" spans="1:20" ht="63.75" x14ac:dyDescent="0.2">
      <c r="A46" s="108" t="s">
        <v>165</v>
      </c>
      <c r="B46" s="114" t="s">
        <v>1373</v>
      </c>
      <c r="C46" s="114" t="s">
        <v>56</v>
      </c>
      <c r="D46" s="114" t="s">
        <v>154</v>
      </c>
      <c r="E46" s="114" t="s">
        <v>164</v>
      </c>
      <c r="F46" s="114" t="s">
        <v>166</v>
      </c>
      <c r="G46" s="114" t="s">
        <v>99</v>
      </c>
      <c r="H46" s="115">
        <v>1795</v>
      </c>
      <c r="I46" s="116">
        <v>210.70499999999998</v>
      </c>
      <c r="J46" s="116">
        <v>257.54250000000002</v>
      </c>
      <c r="K46" s="116">
        <v>462288.78</v>
      </c>
      <c r="L46" s="116">
        <v>280.94</v>
      </c>
      <c r="M46" s="116">
        <v>343.39</v>
      </c>
      <c r="N46" s="116">
        <v>616385.05000000005</v>
      </c>
      <c r="O46" s="121">
        <f t="shared" si="0"/>
        <v>0.24999999999999989</v>
      </c>
      <c r="P46" s="121">
        <f t="shared" si="1"/>
        <v>0.25000001216771883</v>
      </c>
      <c r="Q46" s="121">
        <f>IFERROR(K46/RESUMO_DILIG!$D$5,"")</f>
        <v>5.1665082588113677E-2</v>
      </c>
      <c r="R46" s="114" t="s">
        <v>1287</v>
      </c>
      <c r="S46" s="114" t="s">
        <v>1319</v>
      </c>
      <c r="T46" s="114" t="s">
        <v>1320</v>
      </c>
    </row>
    <row r="47" spans="1:20" ht="38.25" x14ac:dyDescent="0.2">
      <c r="A47" s="108" t="s">
        <v>167</v>
      </c>
      <c r="B47" s="114" t="s">
        <v>1374</v>
      </c>
      <c r="C47" s="114" t="s">
        <v>56</v>
      </c>
      <c r="D47" s="114" t="s">
        <v>154</v>
      </c>
      <c r="E47" s="114" t="s">
        <v>164</v>
      </c>
      <c r="F47" s="114" t="s">
        <v>1375</v>
      </c>
      <c r="G47" s="114" t="s">
        <v>84</v>
      </c>
      <c r="H47" s="115">
        <v>85</v>
      </c>
      <c r="I47" s="116">
        <v>32.827500000000001</v>
      </c>
      <c r="J47" s="116">
        <v>40.125</v>
      </c>
      <c r="K47" s="116">
        <v>3410.62</v>
      </c>
      <c r="L47" s="116">
        <v>43.77</v>
      </c>
      <c r="M47" s="116">
        <v>53.5</v>
      </c>
      <c r="N47" s="116">
        <v>4547.5</v>
      </c>
      <c r="O47" s="121">
        <f t="shared" si="0"/>
        <v>0.25</v>
      </c>
      <c r="P47" s="121">
        <f t="shared" si="1"/>
        <v>0.25000109950522265</v>
      </c>
      <c r="Q47" s="121">
        <f>IFERROR(K47/RESUMO_DILIG!$D$5,"")</f>
        <v>3.8116859331232796E-4</v>
      </c>
      <c r="R47" s="114" t="s">
        <v>1293</v>
      </c>
      <c r="S47" s="114" t="s">
        <v>1323</v>
      </c>
      <c r="T47" s="114" t="s">
        <v>1320</v>
      </c>
    </row>
    <row r="48" spans="1:20" ht="63.75" x14ac:dyDescent="0.2">
      <c r="A48" s="108" t="s">
        <v>172</v>
      </c>
      <c r="B48" s="114" t="s">
        <v>1376</v>
      </c>
      <c r="C48" s="114" t="s">
        <v>56</v>
      </c>
      <c r="D48" s="114" t="s">
        <v>169</v>
      </c>
      <c r="E48" s="114" t="s">
        <v>171</v>
      </c>
      <c r="F48" s="114" t="s">
        <v>1377</v>
      </c>
      <c r="G48" s="114" t="s">
        <v>118</v>
      </c>
      <c r="H48" s="115">
        <v>3.121</v>
      </c>
      <c r="I48" s="116">
        <v>431.58750000000003</v>
      </c>
      <c r="J48" s="116">
        <v>527.52750000000003</v>
      </c>
      <c r="K48" s="116">
        <v>1646.41</v>
      </c>
      <c r="L48" s="116">
        <v>575.45000000000005</v>
      </c>
      <c r="M48" s="116">
        <v>703.37</v>
      </c>
      <c r="N48" s="116">
        <v>2195.21</v>
      </c>
      <c r="O48" s="121">
        <f t="shared" si="0"/>
        <v>0.25</v>
      </c>
      <c r="P48" s="121">
        <f t="shared" si="1"/>
        <v>0.24999886115679137</v>
      </c>
      <c r="Q48" s="121">
        <f>IFERROR(K48/RESUMO_DILIG!$D$5,"")</f>
        <v>1.8400167233973588E-4</v>
      </c>
      <c r="R48" s="114" t="s">
        <v>1293</v>
      </c>
      <c r="S48" s="114" t="s">
        <v>1323</v>
      </c>
      <c r="T48" s="114" t="s">
        <v>1320</v>
      </c>
    </row>
    <row r="49" spans="1:20" ht="63.75" x14ac:dyDescent="0.2">
      <c r="A49" s="108" t="s">
        <v>174</v>
      </c>
      <c r="B49" s="114" t="s">
        <v>1378</v>
      </c>
      <c r="C49" s="114" t="s">
        <v>56</v>
      </c>
      <c r="D49" s="114" t="s">
        <v>169</v>
      </c>
      <c r="E49" s="114" t="s">
        <v>171</v>
      </c>
      <c r="F49" s="114" t="s">
        <v>175</v>
      </c>
      <c r="G49" s="114" t="s">
        <v>26</v>
      </c>
      <c r="H49" s="115">
        <v>204.94</v>
      </c>
      <c r="I49" s="116">
        <v>124.46249999999999</v>
      </c>
      <c r="J49" s="116">
        <v>152.13</v>
      </c>
      <c r="K49" s="116">
        <v>31177.52</v>
      </c>
      <c r="L49" s="116">
        <v>165.95</v>
      </c>
      <c r="M49" s="116">
        <v>202.84</v>
      </c>
      <c r="N49" s="116">
        <v>41570.019999999997</v>
      </c>
      <c r="O49" s="121">
        <f t="shared" si="0"/>
        <v>0.25</v>
      </c>
      <c r="P49" s="121">
        <f t="shared" si="1"/>
        <v>0.24999987972101045</v>
      </c>
      <c r="Q49" s="121">
        <f>IFERROR(K49/RESUMO_DILIG!$D$5,"")</f>
        <v>3.484378629506357E-3</v>
      </c>
      <c r="R49" s="114" t="s">
        <v>1287</v>
      </c>
      <c r="S49" s="114" t="s">
        <v>1319</v>
      </c>
      <c r="T49" s="114" t="s">
        <v>1320</v>
      </c>
    </row>
    <row r="50" spans="1:20" ht="51" x14ac:dyDescent="0.2">
      <c r="A50" s="108" t="s">
        <v>176</v>
      </c>
      <c r="B50" s="114" t="s">
        <v>1379</v>
      </c>
      <c r="C50" s="114" t="s">
        <v>56</v>
      </c>
      <c r="D50" s="114" t="s">
        <v>169</v>
      </c>
      <c r="E50" s="114" t="s">
        <v>171</v>
      </c>
      <c r="F50" s="114" t="s">
        <v>177</v>
      </c>
      <c r="G50" s="114" t="s">
        <v>26</v>
      </c>
      <c r="H50" s="115">
        <v>312.59800000000001</v>
      </c>
      <c r="I50" s="116">
        <v>65.760000000000005</v>
      </c>
      <c r="J50" s="116">
        <v>80.377499999999998</v>
      </c>
      <c r="K50" s="116">
        <v>25125.84</v>
      </c>
      <c r="L50" s="116">
        <v>87.68</v>
      </c>
      <c r="M50" s="116">
        <v>107.17</v>
      </c>
      <c r="N50" s="116">
        <v>33501.120000000003</v>
      </c>
      <c r="O50" s="121">
        <f t="shared" si="0"/>
        <v>0.25</v>
      </c>
      <c r="P50" s="121">
        <f t="shared" si="1"/>
        <v>0.25</v>
      </c>
      <c r="Q50" s="121">
        <f>IFERROR(K50/RESUMO_DILIG!$D$5,"")</f>
        <v>2.8080469499946119E-3</v>
      </c>
      <c r="R50" s="114" t="s">
        <v>1287</v>
      </c>
      <c r="S50" s="114" t="s">
        <v>1319</v>
      </c>
      <c r="T50" s="114" t="s">
        <v>1320</v>
      </c>
    </row>
    <row r="51" spans="1:20" ht="38.25" x14ac:dyDescent="0.2">
      <c r="A51" s="108" t="s">
        <v>178</v>
      </c>
      <c r="B51" s="114" t="s">
        <v>1380</v>
      </c>
      <c r="C51" s="114" t="s">
        <v>56</v>
      </c>
      <c r="D51" s="114" t="s">
        <v>169</v>
      </c>
      <c r="E51" s="114" t="s">
        <v>171</v>
      </c>
      <c r="F51" s="114" t="s">
        <v>179</v>
      </c>
      <c r="G51" s="114" t="s">
        <v>180</v>
      </c>
      <c r="H51" s="115">
        <v>4.774</v>
      </c>
      <c r="I51" s="116">
        <v>13.59</v>
      </c>
      <c r="J51" s="116">
        <v>16.605</v>
      </c>
      <c r="K51" s="116">
        <v>79.27</v>
      </c>
      <c r="L51" s="116">
        <v>18.12</v>
      </c>
      <c r="M51" s="116">
        <v>22.14</v>
      </c>
      <c r="N51" s="116">
        <v>105.69</v>
      </c>
      <c r="O51" s="121">
        <f t="shared" si="0"/>
        <v>0.25</v>
      </c>
      <c r="P51" s="121">
        <f t="shared" si="1"/>
        <v>0.24997634591730533</v>
      </c>
      <c r="Q51" s="121">
        <f>IFERROR(K51/RESUMO_DILIG!$D$5,"")</f>
        <v>8.8591617922454686E-6</v>
      </c>
      <c r="R51" s="114" t="s">
        <v>1293</v>
      </c>
      <c r="S51" s="114" t="s">
        <v>1323</v>
      </c>
      <c r="T51" s="114" t="s">
        <v>1320</v>
      </c>
    </row>
    <row r="52" spans="1:20" ht="38.25" x14ac:dyDescent="0.2">
      <c r="A52" s="108" t="s">
        <v>181</v>
      </c>
      <c r="B52" s="114" t="s">
        <v>1381</v>
      </c>
      <c r="C52" s="114" t="s">
        <v>56</v>
      </c>
      <c r="D52" s="114" t="s">
        <v>169</v>
      </c>
      <c r="E52" s="114" t="s">
        <v>171</v>
      </c>
      <c r="F52" s="114" t="s">
        <v>1382</v>
      </c>
      <c r="G52" s="114" t="s">
        <v>180</v>
      </c>
      <c r="H52" s="115">
        <v>1839.22</v>
      </c>
      <c r="I52" s="116">
        <v>11.602500000000001</v>
      </c>
      <c r="J52" s="116">
        <v>14.174999999999999</v>
      </c>
      <c r="K52" s="116">
        <v>26070.94</v>
      </c>
      <c r="L52" s="116">
        <v>15.47</v>
      </c>
      <c r="M52" s="116">
        <v>18.899999999999999</v>
      </c>
      <c r="N52" s="116">
        <v>34761.25</v>
      </c>
      <c r="O52" s="121">
        <f t="shared" si="0"/>
        <v>0.25</v>
      </c>
      <c r="P52" s="121">
        <f t="shared" si="1"/>
        <v>0.24999992808083715</v>
      </c>
      <c r="Q52" s="121">
        <f>IFERROR(K52/RESUMO_DILIG!$D$5,"")</f>
        <v>2.9136706892383506E-3</v>
      </c>
      <c r="R52" s="114" t="s">
        <v>1287</v>
      </c>
      <c r="S52" s="114" t="s">
        <v>1319</v>
      </c>
      <c r="T52" s="114" t="s">
        <v>1320</v>
      </c>
    </row>
    <row r="53" spans="1:20" ht="51" x14ac:dyDescent="0.2">
      <c r="A53" s="108" t="s">
        <v>183</v>
      </c>
      <c r="B53" s="114" t="s">
        <v>1383</v>
      </c>
      <c r="C53" s="114" t="s">
        <v>56</v>
      </c>
      <c r="D53" s="114" t="s">
        <v>169</v>
      </c>
      <c r="E53" s="114" t="s">
        <v>171</v>
      </c>
      <c r="F53" s="114" t="s">
        <v>184</v>
      </c>
      <c r="G53" s="114" t="s">
        <v>180</v>
      </c>
      <c r="H53" s="115">
        <v>353.91</v>
      </c>
      <c r="I53" s="116">
        <v>8.5874999999999986</v>
      </c>
      <c r="J53" s="116">
        <v>10.4925</v>
      </c>
      <c r="K53" s="116">
        <v>3713.4</v>
      </c>
      <c r="L53" s="116">
        <v>11.45</v>
      </c>
      <c r="M53" s="116">
        <v>13.99</v>
      </c>
      <c r="N53" s="116">
        <v>4951.2</v>
      </c>
      <c r="O53" s="121">
        <f t="shared" si="0"/>
        <v>0.25</v>
      </c>
      <c r="P53" s="121">
        <f t="shared" si="1"/>
        <v>0.25</v>
      </c>
      <c r="Q53" s="121">
        <f>IFERROR(K53/RESUMO_DILIG!$D$5,"")</f>
        <v>4.1500708211586126E-4</v>
      </c>
      <c r="R53" s="114" t="s">
        <v>1293</v>
      </c>
      <c r="S53" s="114" t="s">
        <v>1323</v>
      </c>
      <c r="T53" s="114" t="s">
        <v>1320</v>
      </c>
    </row>
    <row r="54" spans="1:20" ht="51" x14ac:dyDescent="0.2">
      <c r="A54" s="108" t="s">
        <v>185</v>
      </c>
      <c r="B54" s="114" t="s">
        <v>1384</v>
      </c>
      <c r="C54" s="114" t="s">
        <v>56</v>
      </c>
      <c r="D54" s="114" t="s">
        <v>169</v>
      </c>
      <c r="E54" s="114" t="s">
        <v>171</v>
      </c>
      <c r="F54" s="114" t="s">
        <v>186</v>
      </c>
      <c r="G54" s="114" t="s">
        <v>180</v>
      </c>
      <c r="H54" s="115">
        <v>346.74599999999998</v>
      </c>
      <c r="I54" s="116">
        <v>14.782500000000001</v>
      </c>
      <c r="J54" s="116">
        <v>18.067499999999999</v>
      </c>
      <c r="K54" s="116">
        <v>6264.83</v>
      </c>
      <c r="L54" s="116">
        <v>19.71</v>
      </c>
      <c r="M54" s="116">
        <v>24.09</v>
      </c>
      <c r="N54" s="116">
        <v>8353.11</v>
      </c>
      <c r="O54" s="121">
        <f t="shared" si="0"/>
        <v>0.25</v>
      </c>
      <c r="P54" s="121">
        <f t="shared" si="1"/>
        <v>0.25000029928972567</v>
      </c>
      <c r="Q54" s="121">
        <f>IFERROR(K54/RESUMO_DILIG!$D$5,"")</f>
        <v>7.0015317990302988E-4</v>
      </c>
      <c r="R54" s="114" t="s">
        <v>1290</v>
      </c>
      <c r="S54" s="114" t="s">
        <v>1323</v>
      </c>
      <c r="T54" s="114" t="s">
        <v>1320</v>
      </c>
    </row>
    <row r="55" spans="1:20" ht="51" x14ac:dyDescent="0.2">
      <c r="A55" s="108" t="s">
        <v>187</v>
      </c>
      <c r="B55" s="114" t="s">
        <v>1385</v>
      </c>
      <c r="C55" s="114" t="s">
        <v>56</v>
      </c>
      <c r="D55" s="114" t="s">
        <v>169</v>
      </c>
      <c r="E55" s="114" t="s">
        <v>171</v>
      </c>
      <c r="F55" s="114" t="s">
        <v>188</v>
      </c>
      <c r="G55" s="114" t="s">
        <v>180</v>
      </c>
      <c r="H55" s="115">
        <v>666.88400000000001</v>
      </c>
      <c r="I55" s="116">
        <v>11.692499999999999</v>
      </c>
      <c r="J55" s="116">
        <v>14.287500000000001</v>
      </c>
      <c r="K55" s="116">
        <v>9528.1</v>
      </c>
      <c r="L55" s="116">
        <v>15.59</v>
      </c>
      <c r="M55" s="116">
        <v>19.05</v>
      </c>
      <c r="N55" s="116">
        <v>12704.14</v>
      </c>
      <c r="O55" s="121">
        <f t="shared" si="0"/>
        <v>0.25</v>
      </c>
      <c r="P55" s="121">
        <f t="shared" si="1"/>
        <v>0.25000039357248893</v>
      </c>
      <c r="Q55" s="121">
        <f>IFERROR(K55/RESUMO_DILIG!$D$5,"")</f>
        <v>1.064854036491662E-3</v>
      </c>
      <c r="R55" s="114" t="s">
        <v>1290</v>
      </c>
      <c r="S55" s="114" t="s">
        <v>1323</v>
      </c>
      <c r="T55" s="114" t="s">
        <v>1320</v>
      </c>
    </row>
    <row r="56" spans="1:20" ht="51" x14ac:dyDescent="0.2">
      <c r="A56" s="108" t="s">
        <v>189</v>
      </c>
      <c r="B56" s="114" t="s">
        <v>1386</v>
      </c>
      <c r="C56" s="114" t="s">
        <v>56</v>
      </c>
      <c r="D56" s="114" t="s">
        <v>169</v>
      </c>
      <c r="E56" s="114" t="s">
        <v>171</v>
      </c>
      <c r="F56" s="114" t="s">
        <v>190</v>
      </c>
      <c r="G56" s="114" t="s">
        <v>180</v>
      </c>
      <c r="H56" s="115">
        <v>40.027000000000001</v>
      </c>
      <c r="I56" s="116">
        <v>10.23</v>
      </c>
      <c r="J56" s="116">
        <v>12.502500000000001</v>
      </c>
      <c r="K56" s="116">
        <v>500.43</v>
      </c>
      <c r="L56" s="116">
        <v>13.64</v>
      </c>
      <c r="M56" s="116">
        <v>16.670000000000002</v>
      </c>
      <c r="N56" s="116">
        <v>667.25</v>
      </c>
      <c r="O56" s="121">
        <f t="shared" si="0"/>
        <v>0.25</v>
      </c>
      <c r="P56" s="121">
        <f t="shared" si="1"/>
        <v>0.25001124016485576</v>
      </c>
      <c r="Q56" s="121">
        <f>IFERROR(K56/RESUMO_DILIG!$D$5,"")</f>
        <v>5.5927719637862994E-5</v>
      </c>
      <c r="R56" s="114" t="s">
        <v>1293</v>
      </c>
      <c r="S56" s="114" t="s">
        <v>1323</v>
      </c>
      <c r="T56" s="114" t="s">
        <v>1320</v>
      </c>
    </row>
    <row r="57" spans="1:20" ht="51" x14ac:dyDescent="0.2">
      <c r="A57" s="108" t="s">
        <v>1387</v>
      </c>
      <c r="B57" s="114" t="s">
        <v>1383</v>
      </c>
      <c r="C57" s="114" t="s">
        <v>56</v>
      </c>
      <c r="D57" s="114"/>
      <c r="E57" s="114"/>
      <c r="F57" s="114" t="s">
        <v>184</v>
      </c>
      <c r="G57" s="114" t="s">
        <v>180</v>
      </c>
      <c r="H57" s="115">
        <v>12.164999999999999</v>
      </c>
      <c r="I57" s="116">
        <v>8.5874999999999986</v>
      </c>
      <c r="J57" s="116">
        <v>10.4925</v>
      </c>
      <c r="K57" s="116">
        <v>127.64</v>
      </c>
      <c r="L57" s="116">
        <v>11.45</v>
      </c>
      <c r="M57" s="116">
        <v>13.99</v>
      </c>
      <c r="N57" s="116">
        <v>170.18</v>
      </c>
      <c r="O57" s="121">
        <f t="shared" si="0"/>
        <v>0.25</v>
      </c>
      <c r="P57" s="121">
        <f t="shared" si="1"/>
        <v>0.24997061934422382</v>
      </c>
      <c r="Q57" s="121">
        <f>IFERROR(K57/RESUMO_DILIG!$D$5,"")</f>
        <v>1.4264960403206908E-5</v>
      </c>
      <c r="R57" s="114" t="s">
        <v>1293</v>
      </c>
      <c r="S57" s="114" t="s">
        <v>1323</v>
      </c>
      <c r="T57" s="114" t="s">
        <v>1320</v>
      </c>
    </row>
    <row r="58" spans="1:20" ht="51" x14ac:dyDescent="0.2">
      <c r="A58" s="108" t="s">
        <v>1388</v>
      </c>
      <c r="B58" s="114" t="s">
        <v>1389</v>
      </c>
      <c r="C58" s="114" t="s">
        <v>56</v>
      </c>
      <c r="D58" s="114"/>
      <c r="E58" s="114"/>
      <c r="F58" s="114" t="s">
        <v>191</v>
      </c>
      <c r="G58" s="114" t="s">
        <v>118</v>
      </c>
      <c r="H58" s="115">
        <v>63.536999999999999</v>
      </c>
      <c r="I58" s="116">
        <v>551.95500000000004</v>
      </c>
      <c r="J58" s="116">
        <v>674.64750000000004</v>
      </c>
      <c r="K58" s="116">
        <v>42865.07</v>
      </c>
      <c r="L58" s="116">
        <v>735.94</v>
      </c>
      <c r="M58" s="116">
        <v>899.53</v>
      </c>
      <c r="N58" s="116">
        <v>57153.43</v>
      </c>
      <c r="O58" s="121">
        <f t="shared" si="0"/>
        <v>0.24999999999999989</v>
      </c>
      <c r="P58" s="121">
        <f t="shared" si="1"/>
        <v>0.25000004374190665</v>
      </c>
      <c r="Q58" s="121">
        <f>IFERROR(K58/RESUMO_DILIG!$D$5,"")</f>
        <v>4.7905713430796953E-3</v>
      </c>
      <c r="R58" s="114" t="s">
        <v>1287</v>
      </c>
      <c r="S58" s="114" t="s">
        <v>1319</v>
      </c>
      <c r="T58" s="114" t="s">
        <v>1320</v>
      </c>
    </row>
    <row r="59" spans="1:20" ht="38.25" x14ac:dyDescent="0.2">
      <c r="A59" s="108" t="s">
        <v>1390</v>
      </c>
      <c r="B59" s="114" t="s">
        <v>1391</v>
      </c>
      <c r="C59" s="114" t="s">
        <v>56</v>
      </c>
      <c r="D59" s="114"/>
      <c r="E59" s="114"/>
      <c r="F59" s="114" t="s">
        <v>192</v>
      </c>
      <c r="G59" s="114" t="s">
        <v>26</v>
      </c>
      <c r="H59" s="115">
        <v>517.53800000000001</v>
      </c>
      <c r="I59" s="116">
        <v>43.852499999999999</v>
      </c>
      <c r="J59" s="116">
        <v>53.594999999999999</v>
      </c>
      <c r="K59" s="116">
        <v>27737.439999999999</v>
      </c>
      <c r="L59" s="116">
        <v>58.47</v>
      </c>
      <c r="M59" s="116">
        <v>71.459999999999994</v>
      </c>
      <c r="N59" s="116">
        <v>36983.26</v>
      </c>
      <c r="O59" s="121">
        <f t="shared" si="0"/>
        <v>0.25</v>
      </c>
      <c r="P59" s="121">
        <f t="shared" si="1"/>
        <v>0.25000013519630238</v>
      </c>
      <c r="Q59" s="121">
        <f>IFERROR(K59/RESUMO_DILIG!$D$5,"")</f>
        <v>3.0999176064425522E-3</v>
      </c>
      <c r="R59" s="114" t="s">
        <v>1287</v>
      </c>
      <c r="S59" s="114" t="s">
        <v>1319</v>
      </c>
      <c r="T59" s="114" t="s">
        <v>1320</v>
      </c>
    </row>
    <row r="60" spans="1:20" ht="51" x14ac:dyDescent="0.2">
      <c r="A60" s="108" t="s">
        <v>1392</v>
      </c>
      <c r="B60" s="114" t="s">
        <v>1393</v>
      </c>
      <c r="C60" s="114" t="s">
        <v>24</v>
      </c>
      <c r="D60" s="114"/>
      <c r="E60" s="114"/>
      <c r="F60" s="114" t="s">
        <v>194</v>
      </c>
      <c r="G60" s="114" t="s">
        <v>180</v>
      </c>
      <c r="H60" s="115">
        <v>1270.74</v>
      </c>
      <c r="I60" s="116">
        <v>23.13</v>
      </c>
      <c r="J60" s="116">
        <v>28.267499999999998</v>
      </c>
      <c r="K60" s="116">
        <v>35920.639999999999</v>
      </c>
      <c r="L60" s="116">
        <v>30.84</v>
      </c>
      <c r="M60" s="116">
        <v>37.69</v>
      </c>
      <c r="N60" s="116">
        <v>47894.19</v>
      </c>
      <c r="O60" s="121">
        <f t="shared" si="0"/>
        <v>0.25</v>
      </c>
      <c r="P60" s="121">
        <f t="shared" si="1"/>
        <v>0.25000005219839827</v>
      </c>
      <c r="Q60" s="121">
        <f>IFERROR(K60/RESUMO_DILIG!$D$5,"")</f>
        <v>4.0144665250536676E-3</v>
      </c>
      <c r="R60" s="114" t="s">
        <v>1287</v>
      </c>
      <c r="S60" s="114" t="s">
        <v>1319</v>
      </c>
      <c r="T60" s="114" t="s">
        <v>1320</v>
      </c>
    </row>
    <row r="61" spans="1:20" ht="63.75" x14ac:dyDescent="0.2">
      <c r="A61" s="108" t="s">
        <v>197</v>
      </c>
      <c r="B61" s="114" t="s">
        <v>1394</v>
      </c>
      <c r="C61" s="114" t="s">
        <v>56</v>
      </c>
      <c r="D61" s="114" t="s">
        <v>169</v>
      </c>
      <c r="E61" s="114" t="s">
        <v>196</v>
      </c>
      <c r="F61" s="114" t="s">
        <v>198</v>
      </c>
      <c r="G61" s="114" t="s">
        <v>26</v>
      </c>
      <c r="H61" s="115">
        <v>680.04700000000003</v>
      </c>
      <c r="I61" s="116">
        <v>83.594999999999999</v>
      </c>
      <c r="J61" s="116">
        <v>102.17249999999999</v>
      </c>
      <c r="K61" s="116">
        <v>69482.100000000006</v>
      </c>
      <c r="L61" s="116">
        <v>111.46</v>
      </c>
      <c r="M61" s="116">
        <v>136.22999999999999</v>
      </c>
      <c r="N61" s="116">
        <v>92642.8</v>
      </c>
      <c r="O61" s="121">
        <f t="shared" si="0"/>
        <v>0.25</v>
      </c>
      <c r="P61" s="121">
        <f t="shared" si="1"/>
        <v>0.25</v>
      </c>
      <c r="Q61" s="121">
        <f>IFERROR(K61/RESUMO_DILIG!$D$5,"")</f>
        <v>7.7652726827927201E-3</v>
      </c>
      <c r="R61" s="114" t="s">
        <v>1287</v>
      </c>
      <c r="S61" s="114" t="s">
        <v>1319</v>
      </c>
      <c r="T61" s="114" t="s">
        <v>1320</v>
      </c>
    </row>
    <row r="62" spans="1:20" ht="51" x14ac:dyDescent="0.2">
      <c r="A62" s="108" t="s">
        <v>199</v>
      </c>
      <c r="B62" s="114" t="s">
        <v>1395</v>
      </c>
      <c r="C62" s="114" t="s">
        <v>56</v>
      </c>
      <c r="D62" s="114" t="s">
        <v>169</v>
      </c>
      <c r="E62" s="114" t="s">
        <v>196</v>
      </c>
      <c r="F62" s="114" t="s">
        <v>200</v>
      </c>
      <c r="G62" s="114" t="s">
        <v>180</v>
      </c>
      <c r="H62" s="115">
        <v>1252.8889999999999</v>
      </c>
      <c r="I62" s="116">
        <v>11.925000000000001</v>
      </c>
      <c r="J62" s="116">
        <v>14.5725</v>
      </c>
      <c r="K62" s="116">
        <v>18257.72</v>
      </c>
      <c r="L62" s="116">
        <v>15.9</v>
      </c>
      <c r="M62" s="116">
        <v>19.43</v>
      </c>
      <c r="N62" s="116">
        <v>24343.63</v>
      </c>
      <c r="O62" s="121">
        <f t="shared" si="0"/>
        <v>0.25</v>
      </c>
      <c r="P62" s="121">
        <f t="shared" si="1"/>
        <v>0.25000010269627004</v>
      </c>
      <c r="Q62" s="121">
        <f>IFERROR(K62/RESUMO_DILIG!$D$5,"")</f>
        <v>2.0404704861551148E-3</v>
      </c>
      <c r="R62" s="114" t="s">
        <v>1290</v>
      </c>
      <c r="S62" s="114" t="s">
        <v>1323</v>
      </c>
      <c r="T62" s="114" t="s">
        <v>1320</v>
      </c>
    </row>
    <row r="63" spans="1:20" ht="51" x14ac:dyDescent="0.2">
      <c r="A63" s="108" t="s">
        <v>201</v>
      </c>
      <c r="B63" s="114" t="s">
        <v>1396</v>
      </c>
      <c r="C63" s="114" t="s">
        <v>56</v>
      </c>
      <c r="D63" s="114" t="s">
        <v>169</v>
      </c>
      <c r="E63" s="114" t="s">
        <v>196</v>
      </c>
      <c r="F63" s="114" t="s">
        <v>202</v>
      </c>
      <c r="G63" s="114" t="s">
        <v>180</v>
      </c>
      <c r="H63" s="115">
        <v>33.081000000000003</v>
      </c>
      <c r="I63" s="116">
        <v>10.672499999999999</v>
      </c>
      <c r="J63" s="116">
        <v>13.0425</v>
      </c>
      <c r="K63" s="116">
        <v>431.45</v>
      </c>
      <c r="L63" s="116">
        <v>14.23</v>
      </c>
      <c r="M63" s="116">
        <v>17.39</v>
      </c>
      <c r="N63" s="116">
        <v>575.27</v>
      </c>
      <c r="O63" s="121">
        <f t="shared" si="0"/>
        <v>0.25</v>
      </c>
      <c r="P63" s="121">
        <f t="shared" si="1"/>
        <v>0.25000434578545727</v>
      </c>
      <c r="Q63" s="121">
        <f>IFERROR(K63/RESUMO_DILIG!$D$5,"")</f>
        <v>4.8218561312782982E-5</v>
      </c>
      <c r="R63" s="114" t="s">
        <v>1293</v>
      </c>
      <c r="S63" s="114" t="s">
        <v>1323</v>
      </c>
      <c r="T63" s="114" t="s">
        <v>1320</v>
      </c>
    </row>
    <row r="64" spans="1:20" ht="51" x14ac:dyDescent="0.2">
      <c r="A64" s="108" t="s">
        <v>203</v>
      </c>
      <c r="B64" s="114" t="s">
        <v>1397</v>
      </c>
      <c r="C64" s="114" t="s">
        <v>56</v>
      </c>
      <c r="D64" s="114" t="s">
        <v>169</v>
      </c>
      <c r="E64" s="114" t="s">
        <v>196</v>
      </c>
      <c r="F64" s="114" t="s">
        <v>204</v>
      </c>
      <c r="G64" s="114" t="s">
        <v>180</v>
      </c>
      <c r="H64" s="115">
        <v>2033.6669999999999</v>
      </c>
      <c r="I64" s="116">
        <v>8.3925000000000001</v>
      </c>
      <c r="J64" s="116">
        <v>10.2525</v>
      </c>
      <c r="K64" s="116">
        <v>20850.169999999998</v>
      </c>
      <c r="L64" s="116">
        <v>11.19</v>
      </c>
      <c r="M64" s="116">
        <v>13.67</v>
      </c>
      <c r="N64" s="116">
        <v>27800.22</v>
      </c>
      <c r="O64" s="121">
        <f t="shared" si="0"/>
        <v>0.25</v>
      </c>
      <c r="P64" s="121">
        <f t="shared" si="1"/>
        <v>0.2499998201453083</v>
      </c>
      <c r="Q64" s="121">
        <f>IFERROR(K64/RESUMO_DILIG!$D$5,"")</f>
        <v>2.3302009515052693E-3</v>
      </c>
      <c r="R64" s="114" t="s">
        <v>1287</v>
      </c>
      <c r="S64" s="114" t="s">
        <v>1319</v>
      </c>
      <c r="T64" s="114" t="s">
        <v>1320</v>
      </c>
    </row>
    <row r="65" spans="1:20" ht="51" x14ac:dyDescent="0.2">
      <c r="A65" s="108" t="s">
        <v>205</v>
      </c>
      <c r="B65" s="114" t="s">
        <v>1398</v>
      </c>
      <c r="C65" s="114" t="s">
        <v>56</v>
      </c>
      <c r="D65" s="114" t="s">
        <v>169</v>
      </c>
      <c r="E65" s="114" t="s">
        <v>196</v>
      </c>
      <c r="F65" s="114" t="s">
        <v>206</v>
      </c>
      <c r="G65" s="114" t="s">
        <v>180</v>
      </c>
      <c r="H65" s="115">
        <v>718.09900000000005</v>
      </c>
      <c r="I65" s="116">
        <v>6.9375</v>
      </c>
      <c r="J65" s="116">
        <v>8.4750000000000014</v>
      </c>
      <c r="K65" s="116">
        <v>6085.88</v>
      </c>
      <c r="L65" s="116">
        <v>9.25</v>
      </c>
      <c r="M65" s="116">
        <v>11.3</v>
      </c>
      <c r="N65" s="116">
        <v>8114.51</v>
      </c>
      <c r="O65" s="121">
        <f t="shared" si="0"/>
        <v>0.24999999999999989</v>
      </c>
      <c r="P65" s="121">
        <f t="shared" si="1"/>
        <v>0.25000030809007567</v>
      </c>
      <c r="Q65" s="121">
        <f>IFERROR(K65/RESUMO_DILIG!$D$5,"")</f>
        <v>6.8015384846967144E-4</v>
      </c>
      <c r="R65" s="114" t="s">
        <v>1290</v>
      </c>
      <c r="S65" s="114" t="s">
        <v>1323</v>
      </c>
      <c r="T65" s="114" t="s">
        <v>1320</v>
      </c>
    </row>
    <row r="66" spans="1:20" ht="38.25" x14ac:dyDescent="0.2">
      <c r="A66" s="108" t="s">
        <v>207</v>
      </c>
      <c r="B66" s="114" t="s">
        <v>208</v>
      </c>
      <c r="C66" s="114" t="s">
        <v>209</v>
      </c>
      <c r="D66" s="114" t="s">
        <v>169</v>
      </c>
      <c r="E66" s="114" t="s">
        <v>196</v>
      </c>
      <c r="F66" s="114" t="s">
        <v>210</v>
      </c>
      <c r="G66" s="114" t="s">
        <v>118</v>
      </c>
      <c r="H66" s="115">
        <v>52.64</v>
      </c>
      <c r="I66" s="116">
        <v>520.93500000000006</v>
      </c>
      <c r="J66" s="116">
        <v>636.73500000000001</v>
      </c>
      <c r="K66" s="116">
        <v>33517.730000000003</v>
      </c>
      <c r="L66" s="116">
        <v>694.58</v>
      </c>
      <c r="M66" s="116">
        <v>848.98</v>
      </c>
      <c r="N66" s="116">
        <v>44690.3</v>
      </c>
      <c r="O66" s="121">
        <f t="shared" si="0"/>
        <v>0.25</v>
      </c>
      <c r="P66" s="121">
        <f t="shared" si="1"/>
        <v>0.24999988811889828</v>
      </c>
      <c r="Q66" s="121">
        <f>IFERROR(K66/RESUMO_DILIG!$D$5,"")</f>
        <v>3.745918922401914E-3</v>
      </c>
      <c r="R66" s="114" t="s">
        <v>1287</v>
      </c>
      <c r="S66" s="114" t="s">
        <v>1319</v>
      </c>
      <c r="T66" s="114" t="s">
        <v>1320</v>
      </c>
    </row>
    <row r="67" spans="1:20" ht="63.75" x14ac:dyDescent="0.2">
      <c r="A67" s="108" t="s">
        <v>213</v>
      </c>
      <c r="B67" s="114" t="s">
        <v>1399</v>
      </c>
      <c r="C67" s="114" t="s">
        <v>56</v>
      </c>
      <c r="D67" s="114" t="s">
        <v>169</v>
      </c>
      <c r="E67" s="114" t="s">
        <v>212</v>
      </c>
      <c r="F67" s="114" t="s">
        <v>214</v>
      </c>
      <c r="G67" s="114" t="s">
        <v>26</v>
      </c>
      <c r="H67" s="115">
        <v>1460.3979999999999</v>
      </c>
      <c r="I67" s="116">
        <v>113.57250000000001</v>
      </c>
      <c r="J67" s="116">
        <v>138.8175</v>
      </c>
      <c r="K67" s="116">
        <v>202728.79</v>
      </c>
      <c r="L67" s="116">
        <v>151.43</v>
      </c>
      <c r="M67" s="116">
        <v>185.09</v>
      </c>
      <c r="N67" s="116">
        <v>270305.06</v>
      </c>
      <c r="O67" s="121">
        <f t="shared" si="0"/>
        <v>0.25</v>
      </c>
      <c r="P67" s="121">
        <f t="shared" si="1"/>
        <v>0.25000001849761888</v>
      </c>
      <c r="Q67" s="121">
        <f>IFERROR(K67/RESUMO_DILIG!$D$5,"")</f>
        <v>2.2656832982921097E-2</v>
      </c>
      <c r="R67" s="114" t="s">
        <v>1287</v>
      </c>
      <c r="S67" s="114" t="s">
        <v>1319</v>
      </c>
      <c r="T67" s="114" t="s">
        <v>1320</v>
      </c>
    </row>
    <row r="68" spans="1:20" ht="51" x14ac:dyDescent="0.2">
      <c r="A68" s="108" t="s">
        <v>215</v>
      </c>
      <c r="B68" s="114" t="s">
        <v>1400</v>
      </c>
      <c r="C68" s="114" t="s">
        <v>56</v>
      </c>
      <c r="D68" s="114" t="s">
        <v>169</v>
      </c>
      <c r="E68" s="114" t="s">
        <v>212</v>
      </c>
      <c r="F68" s="114" t="s">
        <v>216</v>
      </c>
      <c r="G68" s="114" t="s">
        <v>26</v>
      </c>
      <c r="H68" s="115">
        <v>2614.143</v>
      </c>
      <c r="I68" s="116">
        <v>57.885000000000005</v>
      </c>
      <c r="J68" s="116">
        <v>70.747500000000002</v>
      </c>
      <c r="K68" s="116">
        <v>184944.08</v>
      </c>
      <c r="L68" s="116">
        <v>77.180000000000007</v>
      </c>
      <c r="M68" s="116">
        <v>94.33</v>
      </c>
      <c r="N68" s="116">
        <v>246592.1</v>
      </c>
      <c r="O68" s="121">
        <f t="shared" ref="O68:O131" si="2">IFERROR(1-J68/M68,"")</f>
        <v>0.25</v>
      </c>
      <c r="P68" s="121">
        <f t="shared" ref="P68:P131" si="3">IFERROR(1-K68/N68,"")</f>
        <v>0.24999997972360033</v>
      </c>
      <c r="Q68" s="121">
        <f>IFERROR(K68/RESUMO_DILIG!$D$5,"")</f>
        <v>2.0669225775677924E-2</v>
      </c>
      <c r="R68" s="114" t="s">
        <v>1287</v>
      </c>
      <c r="S68" s="114" t="s">
        <v>1319</v>
      </c>
      <c r="T68" s="114" t="s">
        <v>1320</v>
      </c>
    </row>
    <row r="69" spans="1:20" ht="51" x14ac:dyDescent="0.2">
      <c r="A69" s="108" t="s">
        <v>217</v>
      </c>
      <c r="B69" s="114" t="s">
        <v>1401</v>
      </c>
      <c r="C69" s="114" t="s">
        <v>56</v>
      </c>
      <c r="D69" s="114" t="s">
        <v>169</v>
      </c>
      <c r="E69" s="114" t="s">
        <v>212</v>
      </c>
      <c r="F69" s="114" t="s">
        <v>218</v>
      </c>
      <c r="G69" s="114" t="s">
        <v>118</v>
      </c>
      <c r="H69" s="115">
        <v>5400.143</v>
      </c>
      <c r="I69" s="116">
        <v>15.899999999999999</v>
      </c>
      <c r="J69" s="116">
        <v>19.432500000000001</v>
      </c>
      <c r="K69" s="116">
        <v>104938.27</v>
      </c>
      <c r="L69" s="116">
        <v>21.2</v>
      </c>
      <c r="M69" s="116">
        <v>25.91</v>
      </c>
      <c r="N69" s="116">
        <v>139917.70000000001</v>
      </c>
      <c r="O69" s="121">
        <f t="shared" si="2"/>
        <v>0.25</v>
      </c>
      <c r="P69" s="121">
        <f t="shared" si="3"/>
        <v>0.25000003573529295</v>
      </c>
      <c r="Q69" s="121">
        <f>IFERROR(K69/RESUMO_DILIG!$D$5,"")</f>
        <v>1.1727830353580659E-2</v>
      </c>
      <c r="R69" s="114" t="s">
        <v>1287</v>
      </c>
      <c r="S69" s="114" t="s">
        <v>1319</v>
      </c>
      <c r="T69" s="114" t="s">
        <v>1320</v>
      </c>
    </row>
    <row r="70" spans="1:20" ht="51" x14ac:dyDescent="0.2">
      <c r="A70" s="108" t="s">
        <v>219</v>
      </c>
      <c r="B70" s="114" t="s">
        <v>1395</v>
      </c>
      <c r="C70" s="114" t="s">
        <v>56</v>
      </c>
      <c r="D70" s="114" t="s">
        <v>169</v>
      </c>
      <c r="E70" s="114" t="s">
        <v>212</v>
      </c>
      <c r="F70" s="114" t="s">
        <v>200</v>
      </c>
      <c r="G70" s="114" t="s">
        <v>180</v>
      </c>
      <c r="H70" s="115">
        <v>1954.125</v>
      </c>
      <c r="I70" s="116">
        <v>11.925000000000001</v>
      </c>
      <c r="J70" s="116">
        <v>14.5725</v>
      </c>
      <c r="K70" s="116">
        <v>28476.48</v>
      </c>
      <c r="L70" s="116">
        <v>15.9</v>
      </c>
      <c r="M70" s="116">
        <v>19.43</v>
      </c>
      <c r="N70" s="116">
        <v>37968.639999999999</v>
      </c>
      <c r="O70" s="121">
        <f t="shared" si="2"/>
        <v>0.25</v>
      </c>
      <c r="P70" s="121">
        <f t="shared" si="3"/>
        <v>0.25</v>
      </c>
      <c r="Q70" s="121">
        <f>IFERROR(K70/RESUMO_DILIG!$D$5,"")</f>
        <v>3.1825122189181559E-3</v>
      </c>
      <c r="R70" s="114" t="s">
        <v>1287</v>
      </c>
      <c r="S70" s="114" t="s">
        <v>1319</v>
      </c>
      <c r="T70" s="114" t="s">
        <v>1320</v>
      </c>
    </row>
    <row r="71" spans="1:20" ht="51" x14ac:dyDescent="0.2">
      <c r="A71" s="108" t="s">
        <v>221</v>
      </c>
      <c r="B71" s="114" t="s">
        <v>1396</v>
      </c>
      <c r="C71" s="114" t="s">
        <v>56</v>
      </c>
      <c r="D71" s="114" t="s">
        <v>169</v>
      </c>
      <c r="E71" s="114" t="s">
        <v>212</v>
      </c>
      <c r="F71" s="114" t="s">
        <v>202</v>
      </c>
      <c r="G71" s="114" t="s">
        <v>180</v>
      </c>
      <c r="H71" s="115">
        <v>525.41700000000003</v>
      </c>
      <c r="I71" s="116">
        <v>10.672499999999999</v>
      </c>
      <c r="J71" s="116">
        <v>13.0425</v>
      </c>
      <c r="K71" s="116">
        <v>6852.75</v>
      </c>
      <c r="L71" s="116">
        <v>14.23</v>
      </c>
      <c r="M71" s="116">
        <v>17.39</v>
      </c>
      <c r="N71" s="116">
        <v>9137</v>
      </c>
      <c r="O71" s="121">
        <f t="shared" si="2"/>
        <v>0.25</v>
      </c>
      <c r="P71" s="121">
        <f t="shared" si="3"/>
        <v>0.25</v>
      </c>
      <c r="Q71" s="121">
        <f>IFERROR(K71/RESUMO_DILIG!$D$5,"")</f>
        <v>7.6585872299495558E-4</v>
      </c>
      <c r="R71" s="114" t="s">
        <v>1290</v>
      </c>
      <c r="S71" s="114" t="s">
        <v>1323</v>
      </c>
      <c r="T71" s="114" t="s">
        <v>1320</v>
      </c>
    </row>
    <row r="72" spans="1:20" ht="51" x14ac:dyDescent="0.2">
      <c r="A72" s="108" t="s">
        <v>223</v>
      </c>
      <c r="B72" s="114" t="s">
        <v>1402</v>
      </c>
      <c r="C72" s="114" t="s">
        <v>56</v>
      </c>
      <c r="D72" s="114" t="s">
        <v>169</v>
      </c>
      <c r="E72" s="114" t="s">
        <v>212</v>
      </c>
      <c r="F72" s="114" t="s">
        <v>1403</v>
      </c>
      <c r="G72" s="114" t="s">
        <v>180</v>
      </c>
      <c r="H72" s="115">
        <v>895.10400000000004</v>
      </c>
      <c r="I72" s="116">
        <v>9.6225000000000005</v>
      </c>
      <c r="J72" s="116">
        <v>11.76</v>
      </c>
      <c r="K72" s="116">
        <v>10526.42</v>
      </c>
      <c r="L72" s="116">
        <v>12.83</v>
      </c>
      <c r="M72" s="116">
        <v>15.68</v>
      </c>
      <c r="N72" s="116">
        <v>14035.23</v>
      </c>
      <c r="O72" s="121">
        <f t="shared" si="2"/>
        <v>0.25</v>
      </c>
      <c r="P72" s="121">
        <f t="shared" si="3"/>
        <v>0.25000017812319419</v>
      </c>
      <c r="Q72" s="121">
        <f>IFERROR(K72/RESUMO_DILIG!$D$5,"")</f>
        <v>1.1764256070786999E-3</v>
      </c>
      <c r="R72" s="114" t="s">
        <v>1290</v>
      </c>
      <c r="S72" s="114" t="s">
        <v>1323</v>
      </c>
      <c r="T72" s="114" t="s">
        <v>1320</v>
      </c>
    </row>
    <row r="73" spans="1:20" ht="51" x14ac:dyDescent="0.2">
      <c r="A73" s="108" t="s">
        <v>225</v>
      </c>
      <c r="B73" s="114" t="s">
        <v>1397</v>
      </c>
      <c r="C73" s="114" t="s">
        <v>56</v>
      </c>
      <c r="D73" s="114" t="s">
        <v>169</v>
      </c>
      <c r="E73" s="114" t="s">
        <v>212</v>
      </c>
      <c r="F73" s="114" t="s">
        <v>204</v>
      </c>
      <c r="G73" s="114" t="s">
        <v>180</v>
      </c>
      <c r="H73" s="115">
        <v>3357.0189999999998</v>
      </c>
      <c r="I73" s="116">
        <v>8.3925000000000001</v>
      </c>
      <c r="J73" s="116">
        <v>10.2525</v>
      </c>
      <c r="K73" s="116">
        <v>34417.83</v>
      </c>
      <c r="L73" s="116">
        <v>11.19</v>
      </c>
      <c r="M73" s="116">
        <v>13.67</v>
      </c>
      <c r="N73" s="116">
        <v>45890.44</v>
      </c>
      <c r="O73" s="121">
        <f t="shared" si="2"/>
        <v>0.25</v>
      </c>
      <c r="P73" s="121">
        <f t="shared" si="3"/>
        <v>0.25</v>
      </c>
      <c r="Q73" s="121">
        <f>IFERROR(K73/RESUMO_DILIG!$D$5,"")</f>
        <v>3.8465134919641714E-3</v>
      </c>
      <c r="R73" s="114" t="s">
        <v>1287</v>
      </c>
      <c r="S73" s="114" t="s">
        <v>1319</v>
      </c>
      <c r="T73" s="114" t="s">
        <v>1320</v>
      </c>
    </row>
    <row r="74" spans="1:20" ht="51" x14ac:dyDescent="0.2">
      <c r="A74" s="108" t="s">
        <v>227</v>
      </c>
      <c r="B74" s="114" t="s">
        <v>1398</v>
      </c>
      <c r="C74" s="114" t="s">
        <v>56</v>
      </c>
      <c r="D74" s="114" t="s">
        <v>169</v>
      </c>
      <c r="E74" s="114" t="s">
        <v>212</v>
      </c>
      <c r="F74" s="114" t="s">
        <v>206</v>
      </c>
      <c r="G74" s="114" t="s">
        <v>180</v>
      </c>
      <c r="H74" s="115">
        <v>1619.701</v>
      </c>
      <c r="I74" s="116">
        <v>6.9375</v>
      </c>
      <c r="J74" s="116">
        <v>8.4750000000000014</v>
      </c>
      <c r="K74" s="116">
        <v>13726.96</v>
      </c>
      <c r="L74" s="116">
        <v>9.25</v>
      </c>
      <c r="M74" s="116">
        <v>11.3</v>
      </c>
      <c r="N74" s="116">
        <v>18302.62</v>
      </c>
      <c r="O74" s="121">
        <f t="shared" si="2"/>
        <v>0.24999999999999989</v>
      </c>
      <c r="P74" s="121">
        <f t="shared" si="3"/>
        <v>0.25000027318493201</v>
      </c>
      <c r="Q74" s="121">
        <f>IFERROR(K74/RESUMO_DILIG!$D$5,"")</f>
        <v>1.5341158011313465E-3</v>
      </c>
      <c r="R74" s="114" t="s">
        <v>1290</v>
      </c>
      <c r="S74" s="114" t="s">
        <v>1323</v>
      </c>
      <c r="T74" s="114" t="s">
        <v>1320</v>
      </c>
    </row>
    <row r="75" spans="1:20" ht="63.75" x14ac:dyDescent="0.2">
      <c r="A75" s="108" t="s">
        <v>229</v>
      </c>
      <c r="B75" s="114" t="s">
        <v>1404</v>
      </c>
      <c r="C75" s="114" t="s">
        <v>56</v>
      </c>
      <c r="D75" s="114" t="s">
        <v>169</v>
      </c>
      <c r="E75" s="114" t="s">
        <v>212</v>
      </c>
      <c r="F75" s="114" t="s">
        <v>1405</v>
      </c>
      <c r="G75" s="114" t="s">
        <v>180</v>
      </c>
      <c r="H75" s="115">
        <v>1056.7370000000001</v>
      </c>
      <c r="I75" s="116">
        <v>7.86</v>
      </c>
      <c r="J75" s="116">
        <v>9.6000000000000014</v>
      </c>
      <c r="K75" s="116">
        <v>10144.67</v>
      </c>
      <c r="L75" s="116">
        <v>10.48</v>
      </c>
      <c r="M75" s="116">
        <v>12.8</v>
      </c>
      <c r="N75" s="116">
        <v>13526.23</v>
      </c>
      <c r="O75" s="121">
        <f t="shared" si="2"/>
        <v>0.24999999999999989</v>
      </c>
      <c r="P75" s="121">
        <f t="shared" si="3"/>
        <v>0.25000018482607489</v>
      </c>
      <c r="Q75" s="121">
        <f>IFERROR(K75/RESUMO_DILIG!$D$5,"")</f>
        <v>1.1337614842807978E-3</v>
      </c>
      <c r="R75" s="114" t="s">
        <v>1290</v>
      </c>
      <c r="S75" s="114" t="s">
        <v>1323</v>
      </c>
      <c r="T75" s="114" t="s">
        <v>1320</v>
      </c>
    </row>
    <row r="76" spans="1:20" ht="51" x14ac:dyDescent="0.2">
      <c r="A76" s="108" t="s">
        <v>1406</v>
      </c>
      <c r="B76" s="114" t="s">
        <v>1407</v>
      </c>
      <c r="C76" s="114" t="s">
        <v>56</v>
      </c>
      <c r="D76" s="114"/>
      <c r="E76" s="114"/>
      <c r="F76" s="114" t="s">
        <v>231</v>
      </c>
      <c r="G76" s="114" t="s">
        <v>180</v>
      </c>
      <c r="H76" s="115">
        <v>4937.3140000000003</v>
      </c>
      <c r="I76" s="116">
        <v>11.28</v>
      </c>
      <c r="J76" s="116">
        <v>13.785</v>
      </c>
      <c r="K76" s="116">
        <v>68060.87</v>
      </c>
      <c r="L76" s="116">
        <v>15.04</v>
      </c>
      <c r="M76" s="116">
        <v>18.38</v>
      </c>
      <c r="N76" s="116">
        <v>90747.83</v>
      </c>
      <c r="O76" s="121">
        <f t="shared" si="2"/>
        <v>0.25</v>
      </c>
      <c r="P76" s="121">
        <f t="shared" si="3"/>
        <v>0.25000002754886819</v>
      </c>
      <c r="Q76" s="121">
        <f>IFERROR(K76/RESUMO_DILIG!$D$5,"")</f>
        <v>7.6064369755391168E-3</v>
      </c>
      <c r="R76" s="114" t="s">
        <v>1290</v>
      </c>
      <c r="S76" s="114" t="s">
        <v>1323</v>
      </c>
      <c r="T76" s="114" t="s">
        <v>1320</v>
      </c>
    </row>
    <row r="77" spans="1:20" ht="51" x14ac:dyDescent="0.2">
      <c r="A77" s="108" t="s">
        <v>1408</v>
      </c>
      <c r="B77" s="114" t="s">
        <v>1409</v>
      </c>
      <c r="C77" s="114" t="s">
        <v>56</v>
      </c>
      <c r="D77" s="114"/>
      <c r="E77" s="114"/>
      <c r="F77" s="114" t="s">
        <v>232</v>
      </c>
      <c r="G77" s="114" t="s">
        <v>180</v>
      </c>
      <c r="H77" s="115">
        <v>7341.5159999999996</v>
      </c>
      <c r="I77" s="116">
        <v>10.08</v>
      </c>
      <c r="J77" s="116">
        <v>12.315000000000001</v>
      </c>
      <c r="K77" s="116">
        <v>90410.76</v>
      </c>
      <c r="L77" s="116">
        <v>13.44</v>
      </c>
      <c r="M77" s="116">
        <v>16.420000000000002</v>
      </c>
      <c r="N77" s="116">
        <v>120547.69</v>
      </c>
      <c r="O77" s="121">
        <f t="shared" si="2"/>
        <v>0.25</v>
      </c>
      <c r="P77" s="121">
        <f t="shared" si="3"/>
        <v>0.25000006221604087</v>
      </c>
      <c r="Q77" s="121">
        <f>IFERROR(K77/RESUMO_DILIG!$D$5,"")</f>
        <v>1.0104245623815754E-2</v>
      </c>
      <c r="R77" s="114" t="s">
        <v>1287</v>
      </c>
      <c r="S77" s="114" t="s">
        <v>1319</v>
      </c>
      <c r="T77" s="114" t="s">
        <v>1320</v>
      </c>
    </row>
    <row r="78" spans="1:20" ht="51" x14ac:dyDescent="0.2">
      <c r="A78" s="108" t="s">
        <v>1410</v>
      </c>
      <c r="B78" s="114" t="s">
        <v>1411</v>
      </c>
      <c r="C78" s="114" t="s">
        <v>56</v>
      </c>
      <c r="D78" s="114"/>
      <c r="E78" s="114"/>
      <c r="F78" s="114" t="s">
        <v>233</v>
      </c>
      <c r="G78" s="114" t="s">
        <v>180</v>
      </c>
      <c r="H78" s="115">
        <v>4850.1769999999997</v>
      </c>
      <c r="I78" s="116">
        <v>9.0824999999999996</v>
      </c>
      <c r="J78" s="116">
        <v>11.100000000000001</v>
      </c>
      <c r="K78" s="116">
        <v>53836.959999999999</v>
      </c>
      <c r="L78" s="116">
        <v>12.11</v>
      </c>
      <c r="M78" s="116">
        <v>14.8</v>
      </c>
      <c r="N78" s="116">
        <v>71782.61</v>
      </c>
      <c r="O78" s="121">
        <f t="shared" si="2"/>
        <v>0.24999999999999989</v>
      </c>
      <c r="P78" s="121">
        <f t="shared" si="3"/>
        <v>0.24999996517262335</v>
      </c>
      <c r="Q78" s="121">
        <f>IFERROR(K78/RESUMO_DILIG!$D$5,"")</f>
        <v>6.0167823772252754E-3</v>
      </c>
      <c r="R78" s="114" t="s">
        <v>1287</v>
      </c>
      <c r="S78" s="114" t="s">
        <v>1319</v>
      </c>
      <c r="T78" s="114" t="s">
        <v>1320</v>
      </c>
    </row>
    <row r="79" spans="1:20" ht="51" x14ac:dyDescent="0.2">
      <c r="A79" s="108" t="s">
        <v>1412</v>
      </c>
      <c r="B79" s="114" t="s">
        <v>1413</v>
      </c>
      <c r="C79" s="114" t="s">
        <v>56</v>
      </c>
      <c r="D79" s="114"/>
      <c r="E79" s="114"/>
      <c r="F79" s="114" t="s">
        <v>234</v>
      </c>
      <c r="G79" s="114" t="s">
        <v>180</v>
      </c>
      <c r="H79" s="115">
        <v>1743.894</v>
      </c>
      <c r="I79" s="116">
        <v>7.9049999999999994</v>
      </c>
      <c r="J79" s="116">
        <v>9.66</v>
      </c>
      <c r="K79" s="116">
        <v>16846.009999999998</v>
      </c>
      <c r="L79" s="116">
        <v>10.54</v>
      </c>
      <c r="M79" s="116">
        <v>12.88</v>
      </c>
      <c r="N79" s="116">
        <v>22461.35</v>
      </c>
      <c r="O79" s="121">
        <f t="shared" si="2"/>
        <v>0.25</v>
      </c>
      <c r="P79" s="121">
        <f t="shared" si="3"/>
        <v>0.25000011130230371</v>
      </c>
      <c r="Q79" s="121">
        <f>IFERROR(K79/RESUMO_DILIG!$D$5,"")</f>
        <v>1.8826987276874614E-3</v>
      </c>
      <c r="R79" s="114" t="s">
        <v>1290</v>
      </c>
      <c r="S79" s="114" t="s">
        <v>1323</v>
      </c>
      <c r="T79" s="114" t="s">
        <v>1320</v>
      </c>
    </row>
    <row r="80" spans="1:20" ht="51" x14ac:dyDescent="0.2">
      <c r="A80" s="108" t="s">
        <v>1414</v>
      </c>
      <c r="B80" s="114" t="s">
        <v>1415</v>
      </c>
      <c r="C80" s="114" t="s">
        <v>56</v>
      </c>
      <c r="D80" s="114"/>
      <c r="E80" s="114"/>
      <c r="F80" s="114" t="s">
        <v>235</v>
      </c>
      <c r="G80" s="114" t="s">
        <v>180</v>
      </c>
      <c r="H80" s="115">
        <v>187.40299999999999</v>
      </c>
      <c r="I80" s="116">
        <v>6.5175000000000001</v>
      </c>
      <c r="J80" s="116">
        <v>7.9649999999999999</v>
      </c>
      <c r="K80" s="116">
        <v>1492.66</v>
      </c>
      <c r="L80" s="116">
        <v>8.69</v>
      </c>
      <c r="M80" s="116">
        <v>10.62</v>
      </c>
      <c r="N80" s="116">
        <v>1990.21</v>
      </c>
      <c r="O80" s="121">
        <f t="shared" si="2"/>
        <v>0.25</v>
      </c>
      <c r="P80" s="121">
        <f t="shared" si="3"/>
        <v>0.24999874385115139</v>
      </c>
      <c r="Q80" s="121">
        <f>IFERROR(K80/RESUMO_DILIG!$D$5,"")</f>
        <v>1.6681867592800709E-4</v>
      </c>
      <c r="R80" s="114" t="s">
        <v>1293</v>
      </c>
      <c r="S80" s="114" t="s">
        <v>1323</v>
      </c>
      <c r="T80" s="114" t="s">
        <v>1320</v>
      </c>
    </row>
    <row r="81" spans="1:20" ht="63.75" x14ac:dyDescent="0.2">
      <c r="A81" s="108" t="s">
        <v>1416</v>
      </c>
      <c r="B81" s="114" t="s">
        <v>236</v>
      </c>
      <c r="C81" s="114" t="s">
        <v>209</v>
      </c>
      <c r="D81" s="114"/>
      <c r="E81" s="114"/>
      <c r="F81" s="114" t="s">
        <v>271</v>
      </c>
      <c r="G81" s="114" t="s">
        <v>118</v>
      </c>
      <c r="H81" s="115">
        <v>147.48699999999999</v>
      </c>
      <c r="I81" s="116">
        <v>521.81999999999994</v>
      </c>
      <c r="J81" s="116">
        <v>637.81499999999994</v>
      </c>
      <c r="K81" s="116">
        <v>94069.42</v>
      </c>
      <c r="L81" s="116">
        <v>695.76</v>
      </c>
      <c r="M81" s="116">
        <v>850.42</v>
      </c>
      <c r="N81" s="116">
        <v>125425.89</v>
      </c>
      <c r="O81" s="121">
        <f t="shared" si="2"/>
        <v>0.25</v>
      </c>
      <c r="P81" s="121">
        <f t="shared" si="3"/>
        <v>0.24999998006791102</v>
      </c>
      <c r="Q81" s="121">
        <f>IFERROR(K81/RESUMO_DILIG!$D$5,"")</f>
        <v>1.051313500041241E-2</v>
      </c>
      <c r="R81" s="114" t="s">
        <v>1287</v>
      </c>
      <c r="S81" s="114" t="s">
        <v>1319</v>
      </c>
      <c r="T81" s="114" t="s">
        <v>1320</v>
      </c>
    </row>
    <row r="82" spans="1:20" ht="38.25" x14ac:dyDescent="0.2">
      <c r="A82" s="108" t="s">
        <v>240</v>
      </c>
      <c r="B82" s="114" t="s">
        <v>1417</v>
      </c>
      <c r="C82" s="114" t="s">
        <v>56</v>
      </c>
      <c r="D82" s="114" t="s">
        <v>169</v>
      </c>
      <c r="E82" s="114" t="s">
        <v>239</v>
      </c>
      <c r="F82" s="114" t="s">
        <v>241</v>
      </c>
      <c r="G82" s="114" t="s">
        <v>26</v>
      </c>
      <c r="H82" s="115">
        <v>26.538</v>
      </c>
      <c r="I82" s="116">
        <v>116.0175</v>
      </c>
      <c r="J82" s="116">
        <v>141.80250000000001</v>
      </c>
      <c r="K82" s="116">
        <v>3763.15</v>
      </c>
      <c r="L82" s="116">
        <v>154.69</v>
      </c>
      <c r="M82" s="116">
        <v>189.07</v>
      </c>
      <c r="N82" s="116">
        <v>5017.53</v>
      </c>
      <c r="O82" s="121">
        <f t="shared" si="2"/>
        <v>0.24999999999999989</v>
      </c>
      <c r="P82" s="121">
        <f t="shared" si="3"/>
        <v>0.24999950174687535</v>
      </c>
      <c r="Q82" s="121">
        <f>IFERROR(K82/RESUMO_DILIG!$D$5,"")</f>
        <v>4.205671085970548E-4</v>
      </c>
      <c r="R82" s="114" t="s">
        <v>1293</v>
      </c>
      <c r="S82" s="114" t="s">
        <v>1323</v>
      </c>
      <c r="T82" s="114" t="s">
        <v>1320</v>
      </c>
    </row>
    <row r="83" spans="1:20" ht="51" x14ac:dyDescent="0.2">
      <c r="A83" s="108" t="s">
        <v>242</v>
      </c>
      <c r="B83" s="114" t="s">
        <v>1418</v>
      </c>
      <c r="C83" s="114" t="s">
        <v>56</v>
      </c>
      <c r="D83" s="114" t="s">
        <v>169</v>
      </c>
      <c r="E83" s="114" t="s">
        <v>239</v>
      </c>
      <c r="F83" s="114" t="s">
        <v>243</v>
      </c>
      <c r="G83" s="114" t="s">
        <v>26</v>
      </c>
      <c r="H83" s="115">
        <v>34.006999999999998</v>
      </c>
      <c r="I83" s="116">
        <v>133.125</v>
      </c>
      <c r="J83" s="116">
        <v>162.71249999999998</v>
      </c>
      <c r="K83" s="116">
        <v>5533.36</v>
      </c>
      <c r="L83" s="116">
        <v>177.5</v>
      </c>
      <c r="M83" s="116">
        <v>216.95</v>
      </c>
      <c r="N83" s="116">
        <v>7377.81</v>
      </c>
      <c r="O83" s="121">
        <f t="shared" si="2"/>
        <v>0.25000000000000011</v>
      </c>
      <c r="P83" s="121">
        <f t="shared" si="3"/>
        <v>0.24999966114605832</v>
      </c>
      <c r="Q83" s="121">
        <f>IFERROR(K83/RESUMO_DILIG!$D$5,"")</f>
        <v>6.1840458552717777E-4</v>
      </c>
      <c r="R83" s="114" t="s">
        <v>1293</v>
      </c>
      <c r="S83" s="114" t="s">
        <v>1323</v>
      </c>
      <c r="T83" s="114" t="s">
        <v>1320</v>
      </c>
    </row>
    <row r="84" spans="1:20" ht="51" x14ac:dyDescent="0.2">
      <c r="A84" s="108" t="s">
        <v>244</v>
      </c>
      <c r="B84" s="114" t="s">
        <v>1419</v>
      </c>
      <c r="C84" s="114" t="s">
        <v>56</v>
      </c>
      <c r="D84" s="114" t="s">
        <v>169</v>
      </c>
      <c r="E84" s="114" t="s">
        <v>239</v>
      </c>
      <c r="F84" s="114" t="s">
        <v>1420</v>
      </c>
      <c r="G84" s="114" t="s">
        <v>180</v>
      </c>
      <c r="H84" s="115">
        <v>24.114999999999998</v>
      </c>
      <c r="I84" s="116">
        <v>20.647500000000001</v>
      </c>
      <c r="J84" s="116">
        <v>25.23</v>
      </c>
      <c r="K84" s="116">
        <v>608.41999999999996</v>
      </c>
      <c r="L84" s="116">
        <v>27.53</v>
      </c>
      <c r="M84" s="116">
        <v>33.64</v>
      </c>
      <c r="N84" s="116">
        <v>811.22</v>
      </c>
      <c r="O84" s="121">
        <f t="shared" si="2"/>
        <v>0.25</v>
      </c>
      <c r="P84" s="121">
        <f t="shared" si="3"/>
        <v>0.24999383644387474</v>
      </c>
      <c r="Q84" s="121">
        <f>IFERROR(K84/RESUMO_DILIG!$D$5,"")</f>
        <v>6.7996609280156266E-5</v>
      </c>
      <c r="R84" s="114" t="s">
        <v>1293</v>
      </c>
      <c r="S84" s="114" t="s">
        <v>1323</v>
      </c>
      <c r="T84" s="114" t="s">
        <v>1320</v>
      </c>
    </row>
    <row r="85" spans="1:20" ht="51" x14ac:dyDescent="0.2">
      <c r="A85" s="108" t="s">
        <v>246</v>
      </c>
      <c r="B85" s="114" t="s">
        <v>1421</v>
      </c>
      <c r="C85" s="114" t="s">
        <v>56</v>
      </c>
      <c r="D85" s="114" t="s">
        <v>169</v>
      </c>
      <c r="E85" s="114" t="s">
        <v>239</v>
      </c>
      <c r="F85" s="114" t="s">
        <v>1422</v>
      </c>
      <c r="G85" s="114" t="s">
        <v>180</v>
      </c>
      <c r="H85" s="115">
        <v>47.104999999999997</v>
      </c>
      <c r="I85" s="116">
        <v>18.015000000000001</v>
      </c>
      <c r="J85" s="116">
        <v>22.012500000000003</v>
      </c>
      <c r="K85" s="116">
        <v>1036.8900000000001</v>
      </c>
      <c r="L85" s="116">
        <v>24.02</v>
      </c>
      <c r="M85" s="116">
        <v>29.35</v>
      </c>
      <c r="N85" s="116">
        <v>1382.53</v>
      </c>
      <c r="O85" s="121">
        <f t="shared" si="2"/>
        <v>0.24999999999999989</v>
      </c>
      <c r="P85" s="121">
        <f t="shared" si="3"/>
        <v>0.250005424837074</v>
      </c>
      <c r="Q85" s="121">
        <f>IFERROR(K85/RESUMO_DILIG!$D$5,"")</f>
        <v>1.1588212780069894E-4</v>
      </c>
      <c r="R85" s="114" t="s">
        <v>1293</v>
      </c>
      <c r="S85" s="114" t="s">
        <v>1323</v>
      </c>
      <c r="T85" s="114" t="s">
        <v>1320</v>
      </c>
    </row>
    <row r="86" spans="1:20" ht="51" x14ac:dyDescent="0.2">
      <c r="A86" s="108" t="s">
        <v>248</v>
      </c>
      <c r="B86" s="114" t="s">
        <v>1423</v>
      </c>
      <c r="C86" s="114" t="s">
        <v>56</v>
      </c>
      <c r="D86" s="114" t="s">
        <v>169</v>
      </c>
      <c r="E86" s="114" t="s">
        <v>239</v>
      </c>
      <c r="F86" s="114" t="s">
        <v>1424</v>
      </c>
      <c r="G86" s="114" t="s">
        <v>180</v>
      </c>
      <c r="H86" s="115">
        <v>44.402999999999999</v>
      </c>
      <c r="I86" s="116">
        <v>13.627500000000001</v>
      </c>
      <c r="J86" s="116">
        <v>16.649999999999999</v>
      </c>
      <c r="K86" s="116">
        <v>739.3</v>
      </c>
      <c r="L86" s="116">
        <v>18.170000000000002</v>
      </c>
      <c r="M86" s="116">
        <v>22.2</v>
      </c>
      <c r="N86" s="116">
        <v>985.74</v>
      </c>
      <c r="O86" s="121">
        <f t="shared" si="2"/>
        <v>0.25</v>
      </c>
      <c r="P86" s="121">
        <f t="shared" si="3"/>
        <v>0.25000507233144653</v>
      </c>
      <c r="Q86" s="121">
        <f>IFERROR(K86/RESUMO_DILIG!$D$5,"")</f>
        <v>8.2623669900429845E-5</v>
      </c>
      <c r="R86" s="114" t="s">
        <v>1293</v>
      </c>
      <c r="S86" s="114" t="s">
        <v>1323</v>
      </c>
      <c r="T86" s="114" t="s">
        <v>1320</v>
      </c>
    </row>
    <row r="87" spans="1:20" ht="51" x14ac:dyDescent="0.2">
      <c r="A87" s="108" t="s">
        <v>250</v>
      </c>
      <c r="B87" s="114" t="s">
        <v>1425</v>
      </c>
      <c r="C87" s="114" t="s">
        <v>56</v>
      </c>
      <c r="D87" s="114" t="s">
        <v>169</v>
      </c>
      <c r="E87" s="114" t="s">
        <v>239</v>
      </c>
      <c r="F87" s="114" t="s">
        <v>251</v>
      </c>
      <c r="G87" s="114" t="s">
        <v>118</v>
      </c>
      <c r="H87" s="115">
        <v>3.4220000000000002</v>
      </c>
      <c r="I87" s="116">
        <v>580.20749999999998</v>
      </c>
      <c r="J87" s="116">
        <v>709.18500000000006</v>
      </c>
      <c r="K87" s="116">
        <v>2426.83</v>
      </c>
      <c r="L87" s="116">
        <v>773.61</v>
      </c>
      <c r="M87" s="116">
        <v>945.58</v>
      </c>
      <c r="N87" s="116">
        <v>3235.77</v>
      </c>
      <c r="O87" s="121">
        <f t="shared" si="2"/>
        <v>0.25</v>
      </c>
      <c r="P87" s="121">
        <f t="shared" si="3"/>
        <v>0.2499992273863717</v>
      </c>
      <c r="Q87" s="121">
        <f>IFERROR(K87/RESUMO_DILIG!$D$5,"")</f>
        <v>2.7122088573577733E-4</v>
      </c>
      <c r="R87" s="114" t="s">
        <v>1293</v>
      </c>
      <c r="S87" s="114" t="s">
        <v>1323</v>
      </c>
      <c r="T87" s="114" t="s">
        <v>1320</v>
      </c>
    </row>
    <row r="88" spans="1:20" ht="51" x14ac:dyDescent="0.2">
      <c r="A88" s="108" t="s">
        <v>254</v>
      </c>
      <c r="B88" s="114" t="s">
        <v>1400</v>
      </c>
      <c r="C88" s="114" t="s">
        <v>56</v>
      </c>
      <c r="D88" s="114" t="s">
        <v>169</v>
      </c>
      <c r="E88" s="114" t="s">
        <v>253</v>
      </c>
      <c r="F88" s="114" t="s">
        <v>216</v>
      </c>
      <c r="G88" s="114" t="s">
        <v>26</v>
      </c>
      <c r="H88" s="115">
        <v>104.732</v>
      </c>
      <c r="I88" s="116">
        <v>57.885000000000005</v>
      </c>
      <c r="J88" s="116">
        <v>70.747500000000002</v>
      </c>
      <c r="K88" s="116">
        <v>7409.52</v>
      </c>
      <c r="L88" s="116">
        <v>77.180000000000007</v>
      </c>
      <c r="M88" s="116">
        <v>94.33</v>
      </c>
      <c r="N88" s="116">
        <v>9879.36</v>
      </c>
      <c r="O88" s="121">
        <f t="shared" si="2"/>
        <v>0.25</v>
      </c>
      <c r="P88" s="121">
        <f t="shared" si="3"/>
        <v>0.25</v>
      </c>
      <c r="Q88" s="121">
        <f>IFERROR(K88/RESUMO_DILIG!$D$5,"")</f>
        <v>8.2808296307403367E-4</v>
      </c>
      <c r="R88" s="114" t="s">
        <v>1290</v>
      </c>
      <c r="S88" s="114" t="s">
        <v>1323</v>
      </c>
      <c r="T88" s="114" t="s">
        <v>1320</v>
      </c>
    </row>
    <row r="89" spans="1:20" ht="89.25" x14ac:dyDescent="0.2">
      <c r="A89" s="108" t="s">
        <v>256</v>
      </c>
      <c r="B89" s="114" t="s">
        <v>1426</v>
      </c>
      <c r="C89" s="114" t="s">
        <v>24</v>
      </c>
      <c r="D89" s="114" t="s">
        <v>169</v>
      </c>
      <c r="E89" s="114" t="s">
        <v>253</v>
      </c>
      <c r="F89" s="114" t="s">
        <v>1427</v>
      </c>
      <c r="G89" s="114" t="s">
        <v>26</v>
      </c>
      <c r="H89" s="115">
        <v>290.88900000000001</v>
      </c>
      <c r="I89" s="116">
        <v>59.872500000000002</v>
      </c>
      <c r="J89" s="116">
        <v>73.177499999999995</v>
      </c>
      <c r="K89" s="116">
        <v>21286.52</v>
      </c>
      <c r="L89" s="116">
        <v>79.83</v>
      </c>
      <c r="M89" s="116">
        <v>97.57</v>
      </c>
      <c r="N89" s="116">
        <v>28382.03</v>
      </c>
      <c r="O89" s="121">
        <f t="shared" si="2"/>
        <v>0.25</v>
      </c>
      <c r="P89" s="121">
        <f t="shared" si="3"/>
        <v>0.25000008808390373</v>
      </c>
      <c r="Q89" s="121">
        <f>IFERROR(K89/RESUMO_DILIG!$D$5,"")</f>
        <v>2.3789671335167025E-3</v>
      </c>
      <c r="R89" s="114" t="s">
        <v>1287</v>
      </c>
      <c r="S89" s="114" t="s">
        <v>1319</v>
      </c>
      <c r="T89" s="114" t="s">
        <v>1320</v>
      </c>
    </row>
    <row r="90" spans="1:20" ht="51" x14ac:dyDescent="0.2">
      <c r="A90" s="108" t="s">
        <v>259</v>
      </c>
      <c r="B90" s="114" t="s">
        <v>1401</v>
      </c>
      <c r="C90" s="114" t="s">
        <v>56</v>
      </c>
      <c r="D90" s="114" t="s">
        <v>169</v>
      </c>
      <c r="E90" s="114" t="s">
        <v>253</v>
      </c>
      <c r="F90" s="114" t="s">
        <v>218</v>
      </c>
      <c r="G90" s="114" t="s">
        <v>118</v>
      </c>
      <c r="H90" s="115">
        <v>98.238</v>
      </c>
      <c r="I90" s="116">
        <v>15.899999999999999</v>
      </c>
      <c r="J90" s="116">
        <v>19.432500000000001</v>
      </c>
      <c r="K90" s="116">
        <v>1909</v>
      </c>
      <c r="L90" s="116">
        <v>21.2</v>
      </c>
      <c r="M90" s="116">
        <v>25.91</v>
      </c>
      <c r="N90" s="116">
        <v>2545.34</v>
      </c>
      <c r="O90" s="121">
        <f t="shared" si="2"/>
        <v>0.25</v>
      </c>
      <c r="P90" s="121">
        <f t="shared" si="3"/>
        <v>0.25000196437411115</v>
      </c>
      <c r="Q90" s="121">
        <f>IFERROR(K90/RESUMO_DILIG!$D$5,"")</f>
        <v>2.1334855382107478E-4</v>
      </c>
      <c r="R90" s="114" t="s">
        <v>1293</v>
      </c>
      <c r="S90" s="114" t="s">
        <v>1323</v>
      </c>
      <c r="T90" s="114" t="s">
        <v>1320</v>
      </c>
    </row>
    <row r="91" spans="1:20" ht="51" x14ac:dyDescent="0.2">
      <c r="A91" s="108" t="s">
        <v>261</v>
      </c>
      <c r="B91" s="114" t="s">
        <v>1407</v>
      </c>
      <c r="C91" s="114" t="s">
        <v>56</v>
      </c>
      <c r="D91" s="114" t="s">
        <v>169</v>
      </c>
      <c r="E91" s="114" t="s">
        <v>253</v>
      </c>
      <c r="F91" s="114" t="s">
        <v>231</v>
      </c>
      <c r="G91" s="114" t="s">
        <v>180</v>
      </c>
      <c r="H91" s="115">
        <v>283.24400000000003</v>
      </c>
      <c r="I91" s="116">
        <v>11.28</v>
      </c>
      <c r="J91" s="116">
        <v>13.785</v>
      </c>
      <c r="K91" s="116">
        <v>3904.51</v>
      </c>
      <c r="L91" s="116">
        <v>15.04</v>
      </c>
      <c r="M91" s="116">
        <v>18.38</v>
      </c>
      <c r="N91" s="116">
        <v>5206.0200000000004</v>
      </c>
      <c r="O91" s="121">
        <f t="shared" si="2"/>
        <v>0.25</v>
      </c>
      <c r="P91" s="121">
        <f t="shared" si="3"/>
        <v>0.25000096042658304</v>
      </c>
      <c r="Q91" s="121">
        <f>IFERROR(K91/RESUMO_DILIG!$D$5,"")</f>
        <v>4.3636540695648232E-4</v>
      </c>
      <c r="R91" s="114" t="s">
        <v>1293</v>
      </c>
      <c r="S91" s="114" t="s">
        <v>1323</v>
      </c>
      <c r="T91" s="114" t="s">
        <v>1320</v>
      </c>
    </row>
    <row r="92" spans="1:20" ht="51" x14ac:dyDescent="0.2">
      <c r="A92" s="108" t="s">
        <v>262</v>
      </c>
      <c r="B92" s="114" t="s">
        <v>1411</v>
      </c>
      <c r="C92" s="114" t="s">
        <v>56</v>
      </c>
      <c r="D92" s="114" t="s">
        <v>169</v>
      </c>
      <c r="E92" s="114" t="s">
        <v>253</v>
      </c>
      <c r="F92" s="114" t="s">
        <v>233</v>
      </c>
      <c r="G92" s="114" t="s">
        <v>180</v>
      </c>
      <c r="H92" s="115">
        <v>724.18200000000002</v>
      </c>
      <c r="I92" s="116">
        <v>9.0824999999999996</v>
      </c>
      <c r="J92" s="116">
        <v>11.100000000000001</v>
      </c>
      <c r="K92" s="116">
        <v>8038.42</v>
      </c>
      <c r="L92" s="116">
        <v>12.11</v>
      </c>
      <c r="M92" s="116">
        <v>14.8</v>
      </c>
      <c r="N92" s="116">
        <v>10717.89</v>
      </c>
      <c r="O92" s="121">
        <f t="shared" si="2"/>
        <v>0.24999999999999989</v>
      </c>
      <c r="P92" s="121">
        <f t="shared" si="3"/>
        <v>0.24999976674513358</v>
      </c>
      <c r="Q92" s="121">
        <f>IFERROR(K92/RESUMO_DILIG!$D$5,"")</f>
        <v>8.9836840335589521E-4</v>
      </c>
      <c r="R92" s="114" t="s">
        <v>1290</v>
      </c>
      <c r="S92" s="114" t="s">
        <v>1323</v>
      </c>
      <c r="T92" s="114" t="s">
        <v>1320</v>
      </c>
    </row>
    <row r="93" spans="1:20" ht="51" x14ac:dyDescent="0.2">
      <c r="A93" s="108" t="s">
        <v>263</v>
      </c>
      <c r="B93" s="114" t="s">
        <v>1413</v>
      </c>
      <c r="C93" s="114" t="s">
        <v>56</v>
      </c>
      <c r="D93" s="114" t="s">
        <v>169</v>
      </c>
      <c r="E93" s="114" t="s">
        <v>253</v>
      </c>
      <c r="F93" s="114" t="s">
        <v>234</v>
      </c>
      <c r="G93" s="114" t="s">
        <v>180</v>
      </c>
      <c r="H93" s="115">
        <v>237.01300000000001</v>
      </c>
      <c r="I93" s="116">
        <v>7.9049999999999994</v>
      </c>
      <c r="J93" s="116">
        <v>9.66</v>
      </c>
      <c r="K93" s="116">
        <v>2289.54</v>
      </c>
      <c r="L93" s="116">
        <v>10.54</v>
      </c>
      <c r="M93" s="116">
        <v>12.88</v>
      </c>
      <c r="N93" s="116">
        <v>3052.72</v>
      </c>
      <c r="O93" s="121">
        <f t="shared" si="2"/>
        <v>0.25</v>
      </c>
      <c r="P93" s="121">
        <f t="shared" si="3"/>
        <v>0.25</v>
      </c>
      <c r="Q93" s="121">
        <f>IFERROR(K93/RESUMO_DILIG!$D$5,"")</f>
        <v>2.5587744783420825E-4</v>
      </c>
      <c r="R93" s="114" t="s">
        <v>1293</v>
      </c>
      <c r="S93" s="114" t="s">
        <v>1323</v>
      </c>
      <c r="T93" s="114" t="s">
        <v>1320</v>
      </c>
    </row>
    <row r="94" spans="1:20" ht="51" x14ac:dyDescent="0.2">
      <c r="A94" s="108" t="s">
        <v>264</v>
      </c>
      <c r="B94" s="114" t="s">
        <v>1415</v>
      </c>
      <c r="C94" s="114" t="s">
        <v>56</v>
      </c>
      <c r="D94" s="114" t="s">
        <v>169</v>
      </c>
      <c r="E94" s="114" t="s">
        <v>253</v>
      </c>
      <c r="F94" s="114" t="s">
        <v>235</v>
      </c>
      <c r="G94" s="114" t="s">
        <v>180</v>
      </c>
      <c r="H94" s="115">
        <v>26.658000000000001</v>
      </c>
      <c r="I94" s="116">
        <v>6.5175000000000001</v>
      </c>
      <c r="J94" s="116">
        <v>7.9649999999999999</v>
      </c>
      <c r="K94" s="116">
        <v>212.33</v>
      </c>
      <c r="L94" s="116">
        <v>8.69</v>
      </c>
      <c r="M94" s="116">
        <v>10.62</v>
      </c>
      <c r="N94" s="116">
        <v>283.10000000000002</v>
      </c>
      <c r="O94" s="121">
        <f t="shared" si="2"/>
        <v>0.25</v>
      </c>
      <c r="P94" s="121">
        <f t="shared" si="3"/>
        <v>0.24998233839632644</v>
      </c>
      <c r="Q94" s="121">
        <f>IFERROR(K94/RESUMO_DILIG!$D$5,"")</f>
        <v>2.3729857743755271E-5</v>
      </c>
      <c r="R94" s="114" t="s">
        <v>1293</v>
      </c>
      <c r="S94" s="114" t="s">
        <v>1323</v>
      </c>
      <c r="T94" s="114" t="s">
        <v>1320</v>
      </c>
    </row>
    <row r="95" spans="1:20" ht="51" x14ac:dyDescent="0.2">
      <c r="A95" s="108" t="s">
        <v>265</v>
      </c>
      <c r="B95" s="114" t="s">
        <v>1428</v>
      </c>
      <c r="C95" s="114" t="s">
        <v>56</v>
      </c>
      <c r="D95" s="114" t="s">
        <v>169</v>
      </c>
      <c r="E95" s="114" t="s">
        <v>253</v>
      </c>
      <c r="F95" s="114" t="s">
        <v>266</v>
      </c>
      <c r="G95" s="114" t="s">
        <v>180</v>
      </c>
      <c r="H95" s="115">
        <v>425.86399999999998</v>
      </c>
      <c r="I95" s="116">
        <v>9.5474999999999994</v>
      </c>
      <c r="J95" s="116">
        <v>11.662500000000001</v>
      </c>
      <c r="K95" s="116">
        <v>4966.63</v>
      </c>
      <c r="L95" s="116">
        <v>12.73</v>
      </c>
      <c r="M95" s="116">
        <v>15.55</v>
      </c>
      <c r="N95" s="116">
        <v>6622.18</v>
      </c>
      <c r="O95" s="121">
        <f t="shared" si="2"/>
        <v>0.24999999999999989</v>
      </c>
      <c r="P95" s="121">
        <f t="shared" si="3"/>
        <v>0.25000075503837105</v>
      </c>
      <c r="Q95" s="121">
        <f>IFERROR(K95/RESUMO_DILIG!$D$5,"")</f>
        <v>5.5506722255859863E-4</v>
      </c>
      <c r="R95" s="114" t="s">
        <v>1293</v>
      </c>
      <c r="S95" s="114" t="s">
        <v>1323</v>
      </c>
      <c r="T95" s="114" t="s">
        <v>1320</v>
      </c>
    </row>
    <row r="96" spans="1:20" ht="51" x14ac:dyDescent="0.2">
      <c r="A96" s="108" t="s">
        <v>267</v>
      </c>
      <c r="B96" s="114" t="s">
        <v>1429</v>
      </c>
      <c r="C96" s="114" t="s">
        <v>56</v>
      </c>
      <c r="D96" s="114" t="s">
        <v>169</v>
      </c>
      <c r="E96" s="114" t="s">
        <v>253</v>
      </c>
      <c r="F96" s="114" t="s">
        <v>268</v>
      </c>
      <c r="G96" s="114" t="s">
        <v>180</v>
      </c>
      <c r="H96" s="115">
        <v>1036.328</v>
      </c>
      <c r="I96" s="116">
        <v>8.5724999999999998</v>
      </c>
      <c r="J96" s="116">
        <v>10.477500000000001</v>
      </c>
      <c r="K96" s="116">
        <v>10858.12</v>
      </c>
      <c r="L96" s="116">
        <v>11.43</v>
      </c>
      <c r="M96" s="116">
        <v>13.97</v>
      </c>
      <c r="N96" s="116">
        <v>14477.5</v>
      </c>
      <c r="O96" s="121">
        <f t="shared" si="2"/>
        <v>0.25</v>
      </c>
      <c r="P96" s="121">
        <f t="shared" si="3"/>
        <v>0.25000034536349502</v>
      </c>
      <c r="Q96" s="121">
        <f>IFERROR(K96/RESUMO_DILIG!$D$5,"")</f>
        <v>1.2134961755975321E-3</v>
      </c>
      <c r="R96" s="114" t="s">
        <v>1290</v>
      </c>
      <c r="S96" s="114" t="s">
        <v>1323</v>
      </c>
      <c r="T96" s="114" t="s">
        <v>1320</v>
      </c>
    </row>
    <row r="97" spans="1:20" ht="51" x14ac:dyDescent="0.2">
      <c r="A97" s="108" t="s">
        <v>1430</v>
      </c>
      <c r="B97" s="114" t="s">
        <v>1431</v>
      </c>
      <c r="C97" s="114" t="s">
        <v>56</v>
      </c>
      <c r="D97" s="114"/>
      <c r="E97" s="114"/>
      <c r="F97" s="114" t="s">
        <v>269</v>
      </c>
      <c r="G97" s="114" t="s">
        <v>180</v>
      </c>
      <c r="H97" s="115">
        <v>323.78300000000002</v>
      </c>
      <c r="I97" s="116">
        <v>7.4550000000000001</v>
      </c>
      <c r="J97" s="116">
        <v>9.1050000000000004</v>
      </c>
      <c r="K97" s="116">
        <v>2948.04</v>
      </c>
      <c r="L97" s="116">
        <v>9.94</v>
      </c>
      <c r="M97" s="116">
        <v>12.14</v>
      </c>
      <c r="N97" s="116">
        <v>3930.72</v>
      </c>
      <c r="O97" s="121">
        <f t="shared" si="2"/>
        <v>0.25</v>
      </c>
      <c r="P97" s="121">
        <f t="shared" si="3"/>
        <v>0.25</v>
      </c>
      <c r="Q97" s="121">
        <f>IFERROR(K97/RESUMO_DILIG!$D$5,"")</f>
        <v>3.2947096417322227E-4</v>
      </c>
      <c r="R97" s="114" t="s">
        <v>1293</v>
      </c>
      <c r="S97" s="114" t="s">
        <v>1323</v>
      </c>
      <c r="T97" s="114" t="s">
        <v>1320</v>
      </c>
    </row>
    <row r="98" spans="1:20" ht="51" x14ac:dyDescent="0.2">
      <c r="A98" s="108" t="s">
        <v>1432</v>
      </c>
      <c r="B98" s="114" t="s">
        <v>1433</v>
      </c>
      <c r="C98" s="114" t="s">
        <v>56</v>
      </c>
      <c r="D98" s="114"/>
      <c r="E98" s="114"/>
      <c r="F98" s="114" t="s">
        <v>270</v>
      </c>
      <c r="G98" s="114" t="s">
        <v>180</v>
      </c>
      <c r="H98" s="115">
        <v>60.871000000000002</v>
      </c>
      <c r="I98" s="116">
        <v>6.39</v>
      </c>
      <c r="J98" s="116">
        <v>7.8075000000000001</v>
      </c>
      <c r="K98" s="116">
        <v>475.25</v>
      </c>
      <c r="L98" s="116">
        <v>8.52</v>
      </c>
      <c r="M98" s="116">
        <v>10.41</v>
      </c>
      <c r="N98" s="116">
        <v>633.66</v>
      </c>
      <c r="O98" s="121">
        <f t="shared" si="2"/>
        <v>0.25</v>
      </c>
      <c r="P98" s="121">
        <f t="shared" si="3"/>
        <v>0.2499921093330808</v>
      </c>
      <c r="Q98" s="121">
        <f>IFERROR(K98/RESUMO_DILIG!$D$5,"")</f>
        <v>5.3113619802758404E-5</v>
      </c>
      <c r="R98" s="114" t="s">
        <v>1293</v>
      </c>
      <c r="S98" s="114" t="s">
        <v>1323</v>
      </c>
      <c r="T98" s="114" t="s">
        <v>1320</v>
      </c>
    </row>
    <row r="99" spans="1:20" ht="63.75" x14ac:dyDescent="0.2">
      <c r="A99" s="108" t="s">
        <v>1434</v>
      </c>
      <c r="B99" s="114" t="s">
        <v>236</v>
      </c>
      <c r="C99" s="114" t="s">
        <v>209</v>
      </c>
      <c r="D99" s="114"/>
      <c r="E99" s="114"/>
      <c r="F99" s="114" t="s">
        <v>271</v>
      </c>
      <c r="G99" s="114" t="s">
        <v>118</v>
      </c>
      <c r="H99" s="115">
        <v>20.338000000000001</v>
      </c>
      <c r="I99" s="116">
        <v>521.81999999999994</v>
      </c>
      <c r="J99" s="116">
        <v>637.81499999999994</v>
      </c>
      <c r="K99" s="116">
        <v>12971.88</v>
      </c>
      <c r="L99" s="116">
        <v>695.76</v>
      </c>
      <c r="M99" s="116">
        <v>850.42</v>
      </c>
      <c r="N99" s="116">
        <v>17295.84</v>
      </c>
      <c r="O99" s="121">
        <f t="shared" si="2"/>
        <v>0.25</v>
      </c>
      <c r="P99" s="121">
        <f t="shared" si="3"/>
        <v>0.25</v>
      </c>
      <c r="Q99" s="121">
        <f>IFERROR(K99/RESUMO_DILIG!$D$5,"")</f>
        <v>1.4497285690626106E-3</v>
      </c>
      <c r="R99" s="114" t="s">
        <v>1290</v>
      </c>
      <c r="S99" s="114" t="s">
        <v>1319</v>
      </c>
      <c r="T99" s="114" t="s">
        <v>1320</v>
      </c>
    </row>
    <row r="100" spans="1:20" ht="38.25" x14ac:dyDescent="0.2">
      <c r="A100" s="108" t="s">
        <v>1435</v>
      </c>
      <c r="B100" s="114" t="s">
        <v>272</v>
      </c>
      <c r="C100" s="114" t="s">
        <v>209</v>
      </c>
      <c r="D100" s="114"/>
      <c r="E100" s="114"/>
      <c r="F100" s="114" t="s">
        <v>273</v>
      </c>
      <c r="G100" s="114" t="s">
        <v>118</v>
      </c>
      <c r="H100" s="115">
        <v>14.555999999999999</v>
      </c>
      <c r="I100" s="116">
        <v>540.85500000000002</v>
      </c>
      <c r="J100" s="116">
        <v>661.08</v>
      </c>
      <c r="K100" s="116">
        <v>9622.68</v>
      </c>
      <c r="L100" s="116">
        <v>721.14</v>
      </c>
      <c r="M100" s="116">
        <v>881.44</v>
      </c>
      <c r="N100" s="116">
        <v>12830.24</v>
      </c>
      <c r="O100" s="121">
        <f t="shared" si="2"/>
        <v>0.25</v>
      </c>
      <c r="P100" s="121">
        <f t="shared" si="3"/>
        <v>0.25</v>
      </c>
      <c r="Q100" s="121">
        <f>IFERROR(K100/RESUMO_DILIG!$D$5,"")</f>
        <v>1.0754242335688738E-3</v>
      </c>
      <c r="R100" s="114" t="s">
        <v>1290</v>
      </c>
      <c r="S100" s="114" t="s">
        <v>1319</v>
      </c>
      <c r="T100" s="114" t="s">
        <v>1320</v>
      </c>
    </row>
    <row r="101" spans="1:20" ht="51" x14ac:dyDescent="0.2">
      <c r="A101" s="108" t="s">
        <v>1436</v>
      </c>
      <c r="B101" s="114" t="s">
        <v>1393</v>
      </c>
      <c r="C101" s="114" t="s">
        <v>24</v>
      </c>
      <c r="D101" s="114"/>
      <c r="E101" s="114"/>
      <c r="F101" s="114" t="s">
        <v>194</v>
      </c>
      <c r="G101" s="114" t="s">
        <v>180</v>
      </c>
      <c r="H101" s="115">
        <v>406.76</v>
      </c>
      <c r="I101" s="116">
        <v>23.13</v>
      </c>
      <c r="J101" s="116">
        <v>28.267499999999998</v>
      </c>
      <c r="K101" s="116">
        <v>11498.08</v>
      </c>
      <c r="L101" s="116">
        <v>30.84</v>
      </c>
      <c r="M101" s="116">
        <v>37.69</v>
      </c>
      <c r="N101" s="116">
        <v>15330.78</v>
      </c>
      <c r="O101" s="121">
        <f t="shared" si="2"/>
        <v>0.25</v>
      </c>
      <c r="P101" s="121">
        <f t="shared" si="3"/>
        <v>0.25000032614126622</v>
      </c>
      <c r="Q101" s="121">
        <f>IFERROR(K101/RESUMO_DILIG!$D$5,"")</f>
        <v>1.2850176740277757E-3</v>
      </c>
      <c r="R101" s="114" t="s">
        <v>1290</v>
      </c>
      <c r="S101" s="114" t="s">
        <v>1323</v>
      </c>
      <c r="T101" s="114" t="s">
        <v>1320</v>
      </c>
    </row>
    <row r="102" spans="1:20" ht="51" x14ac:dyDescent="0.2">
      <c r="A102" s="108" t="s">
        <v>276</v>
      </c>
      <c r="B102" s="114" t="s">
        <v>1437</v>
      </c>
      <c r="C102" s="114" t="s">
        <v>56</v>
      </c>
      <c r="D102" s="114" t="s">
        <v>169</v>
      </c>
      <c r="E102" s="114" t="s">
        <v>275</v>
      </c>
      <c r="F102" s="114" t="s">
        <v>277</v>
      </c>
      <c r="G102" s="114" t="s">
        <v>26</v>
      </c>
      <c r="H102" s="115">
        <v>52.44</v>
      </c>
      <c r="I102" s="116">
        <v>70.282499999999999</v>
      </c>
      <c r="J102" s="116">
        <v>85.905000000000001</v>
      </c>
      <c r="K102" s="116">
        <v>4504.8500000000004</v>
      </c>
      <c r="L102" s="116">
        <v>93.71</v>
      </c>
      <c r="M102" s="116">
        <v>114.54</v>
      </c>
      <c r="N102" s="116">
        <v>6006.47</v>
      </c>
      <c r="O102" s="121">
        <f t="shared" si="2"/>
        <v>0.25</v>
      </c>
      <c r="P102" s="121">
        <f t="shared" si="3"/>
        <v>0.25000041621784508</v>
      </c>
      <c r="Q102" s="121">
        <f>IFERROR(K102/RESUMO_DILIG!$D$5,"")</f>
        <v>5.03459000880497E-4</v>
      </c>
      <c r="R102" s="114" t="s">
        <v>1293</v>
      </c>
      <c r="S102" s="114" t="s">
        <v>1323</v>
      </c>
      <c r="T102" s="114" t="s">
        <v>1320</v>
      </c>
    </row>
    <row r="103" spans="1:20" ht="63.75" x14ac:dyDescent="0.2">
      <c r="A103" s="108" t="s">
        <v>278</v>
      </c>
      <c r="B103" s="114" t="s">
        <v>1394</v>
      </c>
      <c r="C103" s="114" t="s">
        <v>56</v>
      </c>
      <c r="D103" s="114" t="s">
        <v>169</v>
      </c>
      <c r="E103" s="114" t="s">
        <v>275</v>
      </c>
      <c r="F103" s="114" t="s">
        <v>198</v>
      </c>
      <c r="G103" s="114" t="s">
        <v>26</v>
      </c>
      <c r="H103" s="115">
        <v>151.80000000000001</v>
      </c>
      <c r="I103" s="116">
        <v>83.594999999999999</v>
      </c>
      <c r="J103" s="116">
        <v>102.17249999999999</v>
      </c>
      <c r="K103" s="116">
        <v>15509.78</v>
      </c>
      <c r="L103" s="116">
        <v>111.46</v>
      </c>
      <c r="M103" s="116">
        <v>136.22999999999999</v>
      </c>
      <c r="N103" s="116">
        <v>20679.71</v>
      </c>
      <c r="O103" s="121">
        <f t="shared" si="2"/>
        <v>0.25</v>
      </c>
      <c r="P103" s="121">
        <f t="shared" si="3"/>
        <v>0.25000012089144374</v>
      </c>
      <c r="Q103" s="121">
        <f>IFERROR(K103/RESUMO_DILIG!$D$5,"")</f>
        <v>1.7333625631655472E-3</v>
      </c>
      <c r="R103" s="114" t="s">
        <v>1290</v>
      </c>
      <c r="S103" s="114" t="s">
        <v>1323</v>
      </c>
      <c r="T103" s="114" t="s">
        <v>1320</v>
      </c>
    </row>
    <row r="104" spans="1:20" ht="63.75" x14ac:dyDescent="0.2">
      <c r="A104" s="108" t="s">
        <v>279</v>
      </c>
      <c r="B104" s="114" t="s">
        <v>1399</v>
      </c>
      <c r="C104" s="114" t="s">
        <v>56</v>
      </c>
      <c r="D104" s="114" t="s">
        <v>169</v>
      </c>
      <c r="E104" s="114" t="s">
        <v>275</v>
      </c>
      <c r="F104" s="114" t="s">
        <v>214</v>
      </c>
      <c r="G104" s="114" t="s">
        <v>26</v>
      </c>
      <c r="H104" s="115">
        <v>326.78399999999999</v>
      </c>
      <c r="I104" s="116">
        <v>113.57250000000001</v>
      </c>
      <c r="J104" s="116">
        <v>138.8175</v>
      </c>
      <c r="K104" s="116">
        <v>45363.33</v>
      </c>
      <c r="L104" s="116">
        <v>151.43</v>
      </c>
      <c r="M104" s="116">
        <v>185.09</v>
      </c>
      <c r="N104" s="116">
        <v>60484.45</v>
      </c>
      <c r="O104" s="121">
        <f t="shared" si="2"/>
        <v>0.25</v>
      </c>
      <c r="P104" s="121">
        <f t="shared" si="3"/>
        <v>0.25000012399881288</v>
      </c>
      <c r="Q104" s="121">
        <f>IFERROR(K104/RESUMO_DILIG!$D$5,"")</f>
        <v>5.0697751974898781E-3</v>
      </c>
      <c r="R104" s="114" t="s">
        <v>1287</v>
      </c>
      <c r="S104" s="114" t="s">
        <v>1319</v>
      </c>
      <c r="T104" s="114" t="s">
        <v>1320</v>
      </c>
    </row>
    <row r="105" spans="1:20" ht="51" x14ac:dyDescent="0.2">
      <c r="A105" s="108" t="s">
        <v>280</v>
      </c>
      <c r="B105" s="114" t="s">
        <v>1385</v>
      </c>
      <c r="C105" s="114" t="s">
        <v>56</v>
      </c>
      <c r="D105" s="114" t="s">
        <v>169</v>
      </c>
      <c r="E105" s="114" t="s">
        <v>275</v>
      </c>
      <c r="F105" s="114" t="s">
        <v>188</v>
      </c>
      <c r="G105" s="114" t="s">
        <v>180</v>
      </c>
      <c r="H105" s="115">
        <v>539.08100000000002</v>
      </c>
      <c r="I105" s="116">
        <v>11.692499999999999</v>
      </c>
      <c r="J105" s="116">
        <v>14.287500000000001</v>
      </c>
      <c r="K105" s="116">
        <v>7702.11</v>
      </c>
      <c r="L105" s="116">
        <v>15.59</v>
      </c>
      <c r="M105" s="116">
        <v>19.05</v>
      </c>
      <c r="N105" s="116">
        <v>10269.49</v>
      </c>
      <c r="O105" s="121">
        <f t="shared" si="2"/>
        <v>0.25</v>
      </c>
      <c r="P105" s="121">
        <f t="shared" si="3"/>
        <v>0.25000073031864289</v>
      </c>
      <c r="Q105" s="121">
        <f>IFERROR(K105/RESUMO_DILIG!$D$5,"")</f>
        <v>8.6078262434302686E-4</v>
      </c>
      <c r="R105" s="114" t="s">
        <v>1290</v>
      </c>
      <c r="S105" s="114" t="s">
        <v>1323</v>
      </c>
      <c r="T105" s="114" t="s">
        <v>1320</v>
      </c>
    </row>
    <row r="106" spans="1:20" ht="51" x14ac:dyDescent="0.2">
      <c r="A106" s="108" t="s">
        <v>281</v>
      </c>
      <c r="B106" s="114" t="s">
        <v>1395</v>
      </c>
      <c r="C106" s="114" t="s">
        <v>56</v>
      </c>
      <c r="D106" s="114" t="s">
        <v>169</v>
      </c>
      <c r="E106" s="114" t="s">
        <v>275</v>
      </c>
      <c r="F106" s="114" t="s">
        <v>200</v>
      </c>
      <c r="G106" s="114" t="s">
        <v>180</v>
      </c>
      <c r="H106" s="115">
        <v>680.36300000000006</v>
      </c>
      <c r="I106" s="116">
        <v>11.925000000000001</v>
      </c>
      <c r="J106" s="116">
        <v>14.5725</v>
      </c>
      <c r="K106" s="116">
        <v>9914.58</v>
      </c>
      <c r="L106" s="116">
        <v>15.9</v>
      </c>
      <c r="M106" s="116">
        <v>19.43</v>
      </c>
      <c r="N106" s="116">
        <v>13219.45</v>
      </c>
      <c r="O106" s="121">
        <f t="shared" si="2"/>
        <v>0.25</v>
      </c>
      <c r="P106" s="121">
        <f t="shared" si="3"/>
        <v>0.25000056734584275</v>
      </c>
      <c r="Q106" s="121">
        <f>IFERROR(K106/RESUMO_DILIG!$D$5,"")</f>
        <v>1.108046780902751E-3</v>
      </c>
      <c r="R106" s="114" t="s">
        <v>1290</v>
      </c>
      <c r="S106" s="114" t="s">
        <v>1323</v>
      </c>
      <c r="T106" s="114" t="s">
        <v>1320</v>
      </c>
    </row>
    <row r="107" spans="1:20" ht="51" x14ac:dyDescent="0.2">
      <c r="A107" s="108" t="s">
        <v>283</v>
      </c>
      <c r="B107" s="114" t="s">
        <v>1402</v>
      </c>
      <c r="C107" s="114" t="s">
        <v>56</v>
      </c>
      <c r="D107" s="114" t="s">
        <v>169</v>
      </c>
      <c r="E107" s="114" t="s">
        <v>275</v>
      </c>
      <c r="F107" s="114" t="s">
        <v>1403</v>
      </c>
      <c r="G107" s="114" t="s">
        <v>180</v>
      </c>
      <c r="H107" s="115">
        <v>690.423</v>
      </c>
      <c r="I107" s="116">
        <v>9.6225000000000005</v>
      </c>
      <c r="J107" s="116">
        <v>11.76</v>
      </c>
      <c r="K107" s="116">
        <v>8119.37</v>
      </c>
      <c r="L107" s="116">
        <v>12.83</v>
      </c>
      <c r="M107" s="116">
        <v>15.68</v>
      </c>
      <c r="N107" s="116">
        <v>10825.83</v>
      </c>
      <c r="O107" s="121">
        <f t="shared" si="2"/>
        <v>0.25</v>
      </c>
      <c r="P107" s="121">
        <f t="shared" si="3"/>
        <v>0.25000023092917589</v>
      </c>
      <c r="Q107" s="121">
        <f>IFERROR(K107/RESUMO_DILIG!$D$5,"")</f>
        <v>9.0741532081624939E-4</v>
      </c>
      <c r="R107" s="114" t="s">
        <v>1290</v>
      </c>
      <c r="S107" s="114" t="s">
        <v>1323</v>
      </c>
      <c r="T107" s="114" t="s">
        <v>1320</v>
      </c>
    </row>
    <row r="108" spans="1:20" ht="51" x14ac:dyDescent="0.2">
      <c r="A108" s="108" t="s">
        <v>284</v>
      </c>
      <c r="B108" s="114" t="s">
        <v>1397</v>
      </c>
      <c r="C108" s="114" t="s">
        <v>56</v>
      </c>
      <c r="D108" s="114" t="s">
        <v>169</v>
      </c>
      <c r="E108" s="114" t="s">
        <v>275</v>
      </c>
      <c r="F108" s="114" t="s">
        <v>204</v>
      </c>
      <c r="G108" s="114" t="s">
        <v>180</v>
      </c>
      <c r="H108" s="115">
        <v>662.62</v>
      </c>
      <c r="I108" s="116">
        <v>8.3925000000000001</v>
      </c>
      <c r="J108" s="116">
        <v>10.2525</v>
      </c>
      <c r="K108" s="116">
        <v>6793.51</v>
      </c>
      <c r="L108" s="116">
        <v>11.19</v>
      </c>
      <c r="M108" s="116">
        <v>13.67</v>
      </c>
      <c r="N108" s="116">
        <v>9058.01</v>
      </c>
      <c r="O108" s="121">
        <f t="shared" si="2"/>
        <v>0.25</v>
      </c>
      <c r="P108" s="121">
        <f t="shared" si="3"/>
        <v>0.24999972400118786</v>
      </c>
      <c r="Q108" s="121">
        <f>IFERROR(K108/RESUMO_DILIG!$D$5,"")</f>
        <v>7.592381005076008E-4</v>
      </c>
      <c r="R108" s="114" t="s">
        <v>1290</v>
      </c>
      <c r="S108" s="114" t="s">
        <v>1323</v>
      </c>
      <c r="T108" s="114" t="s">
        <v>1320</v>
      </c>
    </row>
    <row r="109" spans="1:20" ht="38.25" x14ac:dyDescent="0.2">
      <c r="A109" s="108" t="s">
        <v>285</v>
      </c>
      <c r="B109" s="114" t="s">
        <v>1438</v>
      </c>
      <c r="C109" s="114" t="s">
        <v>56</v>
      </c>
      <c r="D109" s="114" t="s">
        <v>169</v>
      </c>
      <c r="E109" s="114" t="s">
        <v>275</v>
      </c>
      <c r="F109" s="114" t="s">
        <v>286</v>
      </c>
      <c r="G109" s="114" t="s">
        <v>118</v>
      </c>
      <c r="H109" s="115">
        <v>8.2650000000000006</v>
      </c>
      <c r="I109" s="116">
        <v>571.98</v>
      </c>
      <c r="J109" s="116">
        <v>699.12749999999994</v>
      </c>
      <c r="K109" s="116">
        <v>5778.28</v>
      </c>
      <c r="L109" s="116">
        <v>762.64</v>
      </c>
      <c r="M109" s="116">
        <v>932.17</v>
      </c>
      <c r="N109" s="116">
        <v>7704.38</v>
      </c>
      <c r="O109" s="121">
        <f t="shared" si="2"/>
        <v>0.25</v>
      </c>
      <c r="P109" s="121">
        <f t="shared" si="3"/>
        <v>0.25000064898148855</v>
      </c>
      <c r="Q109" s="121">
        <f>IFERROR(K109/RESUMO_DILIG!$D$5,"")</f>
        <v>6.4577667971358829E-4</v>
      </c>
      <c r="R109" s="114" t="s">
        <v>1290</v>
      </c>
      <c r="S109" s="114" t="s">
        <v>1323</v>
      </c>
      <c r="T109" s="114" t="s">
        <v>1320</v>
      </c>
    </row>
    <row r="110" spans="1:20" ht="38.25" x14ac:dyDescent="0.2">
      <c r="A110" s="108" t="s">
        <v>287</v>
      </c>
      <c r="B110" s="114" t="s">
        <v>208</v>
      </c>
      <c r="C110" s="114" t="s">
        <v>209</v>
      </c>
      <c r="D110" s="114" t="s">
        <v>169</v>
      </c>
      <c r="E110" s="114" t="s">
        <v>275</v>
      </c>
      <c r="F110" s="114" t="s">
        <v>210</v>
      </c>
      <c r="G110" s="114" t="s">
        <v>118</v>
      </c>
      <c r="H110" s="115">
        <v>7.59</v>
      </c>
      <c r="I110" s="116">
        <v>520.93500000000006</v>
      </c>
      <c r="J110" s="116">
        <v>636.73500000000001</v>
      </c>
      <c r="K110" s="116">
        <v>4832.8100000000004</v>
      </c>
      <c r="L110" s="116">
        <v>694.58</v>
      </c>
      <c r="M110" s="116">
        <v>848.98</v>
      </c>
      <c r="N110" s="116">
        <v>6443.75</v>
      </c>
      <c r="O110" s="121">
        <f t="shared" si="2"/>
        <v>0.25</v>
      </c>
      <c r="P110" s="121">
        <f t="shared" si="3"/>
        <v>0.25000038797284185</v>
      </c>
      <c r="Q110" s="121">
        <f>IFERROR(K110/RESUMO_DILIG!$D$5,"")</f>
        <v>5.4011158951913492E-4</v>
      </c>
      <c r="R110" s="114" t="s">
        <v>1293</v>
      </c>
      <c r="S110" s="114" t="s">
        <v>1319</v>
      </c>
      <c r="T110" s="114" t="s">
        <v>1320</v>
      </c>
    </row>
    <row r="111" spans="1:20" ht="63.75" x14ac:dyDescent="0.2">
      <c r="A111" s="108" t="s">
        <v>1439</v>
      </c>
      <c r="B111" s="114" t="s">
        <v>236</v>
      </c>
      <c r="C111" s="114" t="s">
        <v>209</v>
      </c>
      <c r="D111" s="114"/>
      <c r="E111" s="114"/>
      <c r="F111" s="114" t="s">
        <v>271</v>
      </c>
      <c r="G111" s="114" t="s">
        <v>118</v>
      </c>
      <c r="H111" s="115">
        <v>18.547000000000001</v>
      </c>
      <c r="I111" s="116">
        <v>521.81999999999994</v>
      </c>
      <c r="J111" s="116">
        <v>637.81499999999994</v>
      </c>
      <c r="K111" s="116">
        <v>11829.55</v>
      </c>
      <c r="L111" s="116">
        <v>695.76</v>
      </c>
      <c r="M111" s="116">
        <v>850.42</v>
      </c>
      <c r="N111" s="116">
        <v>15772.73</v>
      </c>
      <c r="O111" s="121">
        <f t="shared" si="2"/>
        <v>0.25</v>
      </c>
      <c r="P111" s="121">
        <f t="shared" si="3"/>
        <v>0.24999984149858656</v>
      </c>
      <c r="Q111" s="121">
        <f>IFERROR(K111/RESUMO_DILIG!$D$5,"")</f>
        <v>1.3220625379015689E-3</v>
      </c>
      <c r="R111" s="114" t="s">
        <v>1293</v>
      </c>
      <c r="S111" s="114" t="s">
        <v>1323</v>
      </c>
      <c r="T111" s="114" t="s">
        <v>1320</v>
      </c>
    </row>
    <row r="112" spans="1:20" ht="38.25" x14ac:dyDescent="0.2">
      <c r="A112" s="108" t="s">
        <v>1440</v>
      </c>
      <c r="B112" s="114" t="s">
        <v>1391</v>
      </c>
      <c r="C112" s="114" t="s">
        <v>56</v>
      </c>
      <c r="D112" s="114"/>
      <c r="E112" s="114"/>
      <c r="F112" s="114" t="s">
        <v>192</v>
      </c>
      <c r="G112" s="114" t="s">
        <v>26</v>
      </c>
      <c r="H112" s="115">
        <v>163.392</v>
      </c>
      <c r="I112" s="116">
        <v>43.852499999999999</v>
      </c>
      <c r="J112" s="116">
        <v>53.594999999999999</v>
      </c>
      <c r="K112" s="116">
        <v>8756.99</v>
      </c>
      <c r="L112" s="116">
        <v>58.47</v>
      </c>
      <c r="M112" s="116">
        <v>71.459999999999994</v>
      </c>
      <c r="N112" s="116">
        <v>11675.99</v>
      </c>
      <c r="O112" s="121">
        <f t="shared" si="2"/>
        <v>0.25</v>
      </c>
      <c r="P112" s="121">
        <f t="shared" si="3"/>
        <v>0.25000021411460616</v>
      </c>
      <c r="Q112" s="121">
        <f>IFERROR(K112/RESUMO_DILIG!$D$5,"")</f>
        <v>9.7867530242305581E-4</v>
      </c>
      <c r="R112" s="114" t="s">
        <v>1290</v>
      </c>
      <c r="S112" s="114" t="s">
        <v>1323</v>
      </c>
      <c r="T112" s="114" t="s">
        <v>1320</v>
      </c>
    </row>
    <row r="113" spans="1:20" ht="63.75" x14ac:dyDescent="0.2">
      <c r="A113" s="108" t="s">
        <v>291</v>
      </c>
      <c r="B113" s="114" t="s">
        <v>1441</v>
      </c>
      <c r="C113" s="114" t="s">
        <v>56</v>
      </c>
      <c r="D113" s="114" t="s">
        <v>288</v>
      </c>
      <c r="E113" s="114" t="s">
        <v>290</v>
      </c>
      <c r="F113" s="114" t="s">
        <v>292</v>
      </c>
      <c r="G113" s="114" t="s">
        <v>26</v>
      </c>
      <c r="H113" s="115">
        <v>922.11</v>
      </c>
      <c r="I113" s="116">
        <v>54.157499999999999</v>
      </c>
      <c r="J113" s="116">
        <v>66.195000000000007</v>
      </c>
      <c r="K113" s="116">
        <v>61039.07</v>
      </c>
      <c r="L113" s="116">
        <v>72.209999999999994</v>
      </c>
      <c r="M113" s="116">
        <v>88.26</v>
      </c>
      <c r="N113" s="116">
        <v>81385.42</v>
      </c>
      <c r="O113" s="121">
        <f t="shared" si="2"/>
        <v>0.25</v>
      </c>
      <c r="P113" s="121">
        <f t="shared" si="3"/>
        <v>0.24999993856393443</v>
      </c>
      <c r="Q113" s="121">
        <f>IFERROR(K113/RESUMO_DILIG!$D$5,"")</f>
        <v>6.8216853384407286E-3</v>
      </c>
      <c r="R113" s="114" t="s">
        <v>1287</v>
      </c>
      <c r="S113" s="114" t="s">
        <v>1319</v>
      </c>
      <c r="T113" s="114" t="s">
        <v>1320</v>
      </c>
    </row>
    <row r="114" spans="1:20" ht="63.75" x14ac:dyDescent="0.2">
      <c r="A114" s="108" t="s">
        <v>293</v>
      </c>
      <c r="B114" s="114" t="s">
        <v>1442</v>
      </c>
      <c r="C114" s="114" t="s">
        <v>56</v>
      </c>
      <c r="D114" s="114" t="s">
        <v>288</v>
      </c>
      <c r="E114" s="114" t="s">
        <v>290</v>
      </c>
      <c r="F114" s="114" t="s">
        <v>294</v>
      </c>
      <c r="G114" s="114" t="s">
        <v>26</v>
      </c>
      <c r="H114" s="115">
        <v>80.296999999999997</v>
      </c>
      <c r="I114" s="116">
        <v>82.664999999999992</v>
      </c>
      <c r="J114" s="116">
        <v>101.03999999999999</v>
      </c>
      <c r="K114" s="116">
        <v>8113.2</v>
      </c>
      <c r="L114" s="116">
        <v>110.22</v>
      </c>
      <c r="M114" s="116">
        <v>134.72</v>
      </c>
      <c r="N114" s="116">
        <v>10817.61</v>
      </c>
      <c r="O114" s="121">
        <f t="shared" si="2"/>
        <v>0.25</v>
      </c>
      <c r="P114" s="121">
        <f t="shared" si="3"/>
        <v>0.25000069331395758</v>
      </c>
      <c r="Q114" s="121">
        <f>IFERROR(K114/RESUMO_DILIG!$D$5,"")</f>
        <v>9.0672576577325507E-4</v>
      </c>
      <c r="R114" s="114" t="s">
        <v>1290</v>
      </c>
      <c r="S114" s="114" t="s">
        <v>1323</v>
      </c>
      <c r="T114" s="114" t="s">
        <v>1320</v>
      </c>
    </row>
    <row r="115" spans="1:20" ht="63.75" x14ac:dyDescent="0.2">
      <c r="A115" s="108" t="s">
        <v>295</v>
      </c>
      <c r="B115" s="114" t="s">
        <v>1443</v>
      </c>
      <c r="C115" s="114" t="s">
        <v>56</v>
      </c>
      <c r="D115" s="114" t="s">
        <v>288</v>
      </c>
      <c r="E115" s="114" t="s">
        <v>290</v>
      </c>
      <c r="F115" s="114" t="s">
        <v>296</v>
      </c>
      <c r="G115" s="114" t="s">
        <v>26</v>
      </c>
      <c r="H115" s="115">
        <v>741.14700000000005</v>
      </c>
      <c r="I115" s="116">
        <v>82.717500000000001</v>
      </c>
      <c r="J115" s="116">
        <v>101.10000000000001</v>
      </c>
      <c r="K115" s="116">
        <v>74929.960000000006</v>
      </c>
      <c r="L115" s="116">
        <v>110.29</v>
      </c>
      <c r="M115" s="116">
        <v>134.80000000000001</v>
      </c>
      <c r="N115" s="116">
        <v>99906.61</v>
      </c>
      <c r="O115" s="121">
        <f t="shared" si="2"/>
        <v>0.25</v>
      </c>
      <c r="P115" s="121">
        <f t="shared" si="3"/>
        <v>0.24999997497663062</v>
      </c>
      <c r="Q115" s="121">
        <f>IFERROR(K115/RESUMO_DILIG!$D$5,"")</f>
        <v>8.3741218459250834E-3</v>
      </c>
      <c r="R115" s="114" t="s">
        <v>1287</v>
      </c>
      <c r="S115" s="114" t="s">
        <v>1319</v>
      </c>
      <c r="T115" s="114" t="s">
        <v>1320</v>
      </c>
    </row>
    <row r="116" spans="1:20" ht="38.25" x14ac:dyDescent="0.2">
      <c r="A116" s="108" t="s">
        <v>297</v>
      </c>
      <c r="B116" s="114" t="s">
        <v>1444</v>
      </c>
      <c r="C116" s="114" t="s">
        <v>56</v>
      </c>
      <c r="D116" s="114" t="s">
        <v>288</v>
      </c>
      <c r="E116" s="114" t="s">
        <v>290</v>
      </c>
      <c r="F116" s="114" t="s">
        <v>1445</v>
      </c>
      <c r="G116" s="114" t="s">
        <v>99</v>
      </c>
      <c r="H116" s="115">
        <v>358.99799999999999</v>
      </c>
      <c r="I116" s="116">
        <v>11.175000000000001</v>
      </c>
      <c r="J116" s="116">
        <v>13.657500000000001</v>
      </c>
      <c r="K116" s="116">
        <v>4903.01</v>
      </c>
      <c r="L116" s="116">
        <v>14.9</v>
      </c>
      <c r="M116" s="116">
        <v>18.21</v>
      </c>
      <c r="N116" s="116">
        <v>6537.35</v>
      </c>
      <c r="O116" s="121">
        <f t="shared" si="2"/>
        <v>0.25</v>
      </c>
      <c r="P116" s="121">
        <f t="shared" si="3"/>
        <v>0.25000038241795219</v>
      </c>
      <c r="Q116" s="121">
        <f>IFERROR(K116/RESUMO_DILIG!$D$5,"")</f>
        <v>5.4795709422224617E-4</v>
      </c>
      <c r="R116" s="114" t="s">
        <v>1293</v>
      </c>
      <c r="S116" s="114" t="s">
        <v>1323</v>
      </c>
      <c r="T116" s="114" t="s">
        <v>1320</v>
      </c>
    </row>
    <row r="117" spans="1:20" ht="38.25" x14ac:dyDescent="0.2">
      <c r="A117" s="108" t="s">
        <v>299</v>
      </c>
      <c r="B117" s="114" t="s">
        <v>1446</v>
      </c>
      <c r="C117" s="114" t="s">
        <v>56</v>
      </c>
      <c r="D117" s="114" t="s">
        <v>288</v>
      </c>
      <c r="E117" s="114" t="s">
        <v>290</v>
      </c>
      <c r="F117" s="114" t="s">
        <v>300</v>
      </c>
      <c r="G117" s="114" t="s">
        <v>99</v>
      </c>
      <c r="H117" s="115">
        <v>46.192999999999998</v>
      </c>
      <c r="I117" s="116">
        <v>68.114999999999995</v>
      </c>
      <c r="J117" s="116">
        <v>83.25</v>
      </c>
      <c r="K117" s="116">
        <v>3845.56</v>
      </c>
      <c r="L117" s="116">
        <v>90.82</v>
      </c>
      <c r="M117" s="116">
        <v>111</v>
      </c>
      <c r="N117" s="116">
        <v>5127.42</v>
      </c>
      <c r="O117" s="121">
        <f t="shared" si="2"/>
        <v>0.25</v>
      </c>
      <c r="P117" s="121">
        <f t="shared" si="3"/>
        <v>0.25000097514929542</v>
      </c>
      <c r="Q117" s="121">
        <f>IFERROR(K117/RESUMO_DILIG!$D$5,"")</f>
        <v>4.2977719467374143E-4</v>
      </c>
      <c r="R117" s="114" t="s">
        <v>1293</v>
      </c>
      <c r="S117" s="114" t="s">
        <v>1323</v>
      </c>
      <c r="T117" s="114" t="s">
        <v>1320</v>
      </c>
    </row>
    <row r="118" spans="1:20" ht="38.25" x14ac:dyDescent="0.2">
      <c r="A118" s="108" t="s">
        <v>301</v>
      </c>
      <c r="B118" s="114" t="s">
        <v>1447</v>
      </c>
      <c r="C118" s="114" t="s">
        <v>56</v>
      </c>
      <c r="D118" s="114" t="s">
        <v>288</v>
      </c>
      <c r="E118" s="114" t="s">
        <v>290</v>
      </c>
      <c r="F118" s="114" t="s">
        <v>1448</v>
      </c>
      <c r="G118" s="114" t="s">
        <v>99</v>
      </c>
      <c r="H118" s="115">
        <v>44.1</v>
      </c>
      <c r="I118" s="116">
        <v>48.982500000000002</v>
      </c>
      <c r="J118" s="116">
        <v>59.864999999999995</v>
      </c>
      <c r="K118" s="116">
        <v>2640.04</v>
      </c>
      <c r="L118" s="116">
        <v>65.31</v>
      </c>
      <c r="M118" s="116">
        <v>79.819999999999993</v>
      </c>
      <c r="N118" s="116">
        <v>3520.06</v>
      </c>
      <c r="O118" s="121">
        <f t="shared" si="2"/>
        <v>0.25</v>
      </c>
      <c r="P118" s="121">
        <f t="shared" si="3"/>
        <v>0.25000142043033358</v>
      </c>
      <c r="Q118" s="121">
        <f>IFERROR(K118/RESUMO_DILIG!$D$5,"")</f>
        <v>2.9504909168663715E-4</v>
      </c>
      <c r="R118" s="114" t="s">
        <v>1293</v>
      </c>
      <c r="S118" s="114" t="s">
        <v>1323</v>
      </c>
      <c r="T118" s="114" t="s">
        <v>1320</v>
      </c>
    </row>
    <row r="119" spans="1:20" ht="51" x14ac:dyDescent="0.2">
      <c r="A119" s="108" t="s">
        <v>303</v>
      </c>
      <c r="B119" s="114" t="s">
        <v>1449</v>
      </c>
      <c r="C119" s="114" t="s">
        <v>56</v>
      </c>
      <c r="D119" s="114" t="s">
        <v>288</v>
      </c>
      <c r="E119" s="114" t="s">
        <v>290</v>
      </c>
      <c r="F119" s="114" t="s">
        <v>1450</v>
      </c>
      <c r="G119" s="114" t="s">
        <v>99</v>
      </c>
      <c r="H119" s="115">
        <v>70.629000000000005</v>
      </c>
      <c r="I119" s="116">
        <v>63.547499999999999</v>
      </c>
      <c r="J119" s="116">
        <v>77.67</v>
      </c>
      <c r="K119" s="116">
        <v>5485.75</v>
      </c>
      <c r="L119" s="116">
        <v>84.73</v>
      </c>
      <c r="M119" s="116">
        <v>103.56</v>
      </c>
      <c r="N119" s="116">
        <v>7314.33</v>
      </c>
      <c r="O119" s="121">
        <f t="shared" si="2"/>
        <v>0.25</v>
      </c>
      <c r="P119" s="121">
        <f t="shared" si="3"/>
        <v>0.24999965820519443</v>
      </c>
      <c r="Q119" s="121">
        <f>IFERROR(K119/RESUMO_DILIG!$D$5,"")</f>
        <v>6.1308372400417025E-4</v>
      </c>
      <c r="R119" s="114" t="s">
        <v>1293</v>
      </c>
      <c r="S119" s="114" t="s">
        <v>1323</v>
      </c>
      <c r="T119" s="114" t="s">
        <v>1320</v>
      </c>
    </row>
    <row r="120" spans="1:20" ht="76.5" x14ac:dyDescent="0.2">
      <c r="A120" s="108" t="s">
        <v>307</v>
      </c>
      <c r="B120" s="114" t="s">
        <v>1451</v>
      </c>
      <c r="C120" s="114" t="s">
        <v>56</v>
      </c>
      <c r="D120" s="114" t="s">
        <v>288</v>
      </c>
      <c r="E120" s="114" t="s">
        <v>306</v>
      </c>
      <c r="F120" s="114" t="s">
        <v>308</v>
      </c>
      <c r="G120" s="114" t="s">
        <v>26</v>
      </c>
      <c r="H120" s="115">
        <v>803.67100000000005</v>
      </c>
      <c r="I120" s="116">
        <v>83.317499999999995</v>
      </c>
      <c r="J120" s="116">
        <v>101.83500000000001</v>
      </c>
      <c r="K120" s="116">
        <v>81841.83</v>
      </c>
      <c r="L120" s="116">
        <v>111.09</v>
      </c>
      <c r="M120" s="116">
        <v>135.78</v>
      </c>
      <c r="N120" s="116">
        <v>109122.44</v>
      </c>
      <c r="O120" s="121">
        <f t="shared" si="2"/>
        <v>0.25</v>
      </c>
      <c r="P120" s="121">
        <f t="shared" si="3"/>
        <v>0.25</v>
      </c>
      <c r="Q120" s="121">
        <f>IFERROR(K120/RESUMO_DILIG!$D$5,"")</f>
        <v>9.1465877802882414E-3</v>
      </c>
      <c r="R120" s="114" t="s">
        <v>1287</v>
      </c>
      <c r="S120" s="114" t="s">
        <v>1319</v>
      </c>
      <c r="T120" s="114" t="s">
        <v>1320</v>
      </c>
    </row>
    <row r="121" spans="1:20" ht="89.25" x14ac:dyDescent="0.2">
      <c r="A121" s="108" t="s">
        <v>309</v>
      </c>
      <c r="B121" s="114" t="s">
        <v>310</v>
      </c>
      <c r="C121" s="114" t="s">
        <v>209</v>
      </c>
      <c r="D121" s="114" t="s">
        <v>288</v>
      </c>
      <c r="E121" s="114" t="s">
        <v>306</v>
      </c>
      <c r="F121" s="114" t="s">
        <v>311</v>
      </c>
      <c r="G121" s="114" t="s">
        <v>26</v>
      </c>
      <c r="H121" s="115">
        <v>638.43600000000004</v>
      </c>
      <c r="I121" s="116">
        <v>95.474999999999994</v>
      </c>
      <c r="J121" s="116">
        <v>116.6925</v>
      </c>
      <c r="K121" s="116">
        <v>74500.69</v>
      </c>
      <c r="L121" s="116">
        <v>127.3</v>
      </c>
      <c r="M121" s="116">
        <v>155.59</v>
      </c>
      <c r="N121" s="116">
        <v>99334.25</v>
      </c>
      <c r="O121" s="121">
        <f t="shared" si="2"/>
        <v>0.25</v>
      </c>
      <c r="P121" s="121">
        <f t="shared" si="3"/>
        <v>0.24999997483244696</v>
      </c>
      <c r="Q121" s="121">
        <f>IFERROR(K121/RESUMO_DILIG!$D$5,"")</f>
        <v>8.3261469199435358E-3</v>
      </c>
      <c r="R121" s="114" t="s">
        <v>1287</v>
      </c>
      <c r="S121" s="114" t="s">
        <v>1319</v>
      </c>
      <c r="T121" s="114" t="s">
        <v>1320</v>
      </c>
    </row>
    <row r="122" spans="1:20" ht="63.75" x14ac:dyDescent="0.2">
      <c r="A122" s="108" t="s">
        <v>312</v>
      </c>
      <c r="B122" s="114" t="s">
        <v>1452</v>
      </c>
      <c r="C122" s="114" t="s">
        <v>24</v>
      </c>
      <c r="D122" s="114" t="s">
        <v>288</v>
      </c>
      <c r="E122" s="114" t="s">
        <v>306</v>
      </c>
      <c r="F122" s="114" t="s">
        <v>314</v>
      </c>
      <c r="G122" s="114" t="s">
        <v>26</v>
      </c>
      <c r="H122" s="115">
        <v>1442.107</v>
      </c>
      <c r="I122" s="116">
        <v>34.5075</v>
      </c>
      <c r="J122" s="116">
        <v>42.172499999999999</v>
      </c>
      <c r="K122" s="116">
        <v>60817.25</v>
      </c>
      <c r="L122" s="116">
        <v>46.01</v>
      </c>
      <c r="M122" s="116">
        <v>56.23</v>
      </c>
      <c r="N122" s="116">
        <v>81089.67</v>
      </c>
      <c r="O122" s="121">
        <f t="shared" si="2"/>
        <v>0.25</v>
      </c>
      <c r="P122" s="121">
        <f t="shared" si="3"/>
        <v>0.2500000308300675</v>
      </c>
      <c r="Q122" s="121">
        <f>IFERROR(K122/RESUMO_DILIG!$D$5,"")</f>
        <v>6.7968948846908123E-3</v>
      </c>
      <c r="R122" s="114" t="s">
        <v>1287</v>
      </c>
      <c r="S122" s="114" t="s">
        <v>1319</v>
      </c>
      <c r="T122" s="114" t="s">
        <v>1320</v>
      </c>
    </row>
    <row r="123" spans="1:20" ht="51" x14ac:dyDescent="0.2">
      <c r="A123" s="108" t="s">
        <v>315</v>
      </c>
      <c r="B123" s="114" t="s">
        <v>316</v>
      </c>
      <c r="C123" s="114" t="s">
        <v>317</v>
      </c>
      <c r="D123" s="114" t="s">
        <v>288</v>
      </c>
      <c r="E123" s="114" t="s">
        <v>306</v>
      </c>
      <c r="F123" s="114" t="s">
        <v>318</v>
      </c>
      <c r="G123" s="114" t="s">
        <v>26</v>
      </c>
      <c r="H123" s="115">
        <v>76.228999999999999</v>
      </c>
      <c r="I123" s="116">
        <v>1075.9575</v>
      </c>
      <c r="J123" s="116">
        <v>1315.1399999999999</v>
      </c>
      <c r="K123" s="116">
        <v>100251.8</v>
      </c>
      <c r="L123" s="116">
        <v>1434.61</v>
      </c>
      <c r="M123" s="116">
        <v>1753.52</v>
      </c>
      <c r="N123" s="116">
        <v>133669.07</v>
      </c>
      <c r="O123" s="121">
        <f t="shared" si="2"/>
        <v>0.25000000000000011</v>
      </c>
      <c r="P123" s="121">
        <f t="shared" si="3"/>
        <v>0.25000001870290567</v>
      </c>
      <c r="Q123" s="121">
        <f>IFERROR(K123/RESUMO_DILIG!$D$5,"")</f>
        <v>1.1204073623865702E-2</v>
      </c>
      <c r="R123" s="114" t="s">
        <v>1287</v>
      </c>
      <c r="S123" s="114" t="s">
        <v>1319</v>
      </c>
      <c r="T123" s="114" t="s">
        <v>1320</v>
      </c>
    </row>
    <row r="124" spans="1:20" ht="38.25" x14ac:dyDescent="0.2">
      <c r="A124" s="108" t="s">
        <v>319</v>
      </c>
      <c r="B124" s="114" t="s">
        <v>1453</v>
      </c>
      <c r="C124" s="114" t="s">
        <v>56</v>
      </c>
      <c r="D124" s="114" t="s">
        <v>288</v>
      </c>
      <c r="E124" s="114" t="s">
        <v>306</v>
      </c>
      <c r="F124" s="114" t="s">
        <v>320</v>
      </c>
      <c r="G124" s="114" t="s">
        <v>26</v>
      </c>
      <c r="H124" s="115">
        <v>48.411000000000001</v>
      </c>
      <c r="I124" s="116">
        <v>805.41750000000002</v>
      </c>
      <c r="J124" s="116">
        <v>984.45749999999998</v>
      </c>
      <c r="K124" s="116">
        <v>47658.57</v>
      </c>
      <c r="L124" s="116">
        <v>1073.8900000000001</v>
      </c>
      <c r="M124" s="116">
        <v>1312.61</v>
      </c>
      <c r="N124" s="116">
        <v>63544.76</v>
      </c>
      <c r="O124" s="121">
        <f t="shared" si="2"/>
        <v>0.25</v>
      </c>
      <c r="P124" s="121">
        <f t="shared" si="3"/>
        <v>0.25</v>
      </c>
      <c r="Q124" s="121">
        <f>IFERROR(K124/RESUMO_DILIG!$D$5,"")</f>
        <v>5.3262896734837407E-3</v>
      </c>
      <c r="R124" s="114" t="s">
        <v>1287</v>
      </c>
      <c r="S124" s="114" t="s">
        <v>1319</v>
      </c>
      <c r="T124" s="114" t="s">
        <v>1320</v>
      </c>
    </row>
    <row r="125" spans="1:20" ht="63.75" x14ac:dyDescent="0.2">
      <c r="A125" s="108" t="s">
        <v>321</v>
      </c>
      <c r="B125" s="114" t="s">
        <v>322</v>
      </c>
      <c r="C125" s="114" t="s">
        <v>209</v>
      </c>
      <c r="D125" s="114" t="s">
        <v>288</v>
      </c>
      <c r="E125" s="114" t="s">
        <v>306</v>
      </c>
      <c r="F125" s="114" t="s">
        <v>323</v>
      </c>
      <c r="G125" s="114" t="s">
        <v>26</v>
      </c>
      <c r="H125" s="115">
        <v>15.861000000000001</v>
      </c>
      <c r="I125" s="116">
        <v>574.35749999999996</v>
      </c>
      <c r="J125" s="116">
        <v>702.03</v>
      </c>
      <c r="K125" s="116">
        <v>11134.89</v>
      </c>
      <c r="L125" s="116">
        <v>765.81</v>
      </c>
      <c r="M125" s="116">
        <v>936.04</v>
      </c>
      <c r="N125" s="116">
        <v>14846.53</v>
      </c>
      <c r="O125" s="121">
        <f t="shared" si="2"/>
        <v>0.25</v>
      </c>
      <c r="P125" s="121">
        <f t="shared" si="3"/>
        <v>0.25000050516854788</v>
      </c>
      <c r="Q125" s="121">
        <f>IFERROR(K125/RESUMO_DILIG!$D$5,"")</f>
        <v>1.244427804325169E-3</v>
      </c>
      <c r="R125" s="114" t="s">
        <v>1290</v>
      </c>
      <c r="S125" s="114" t="s">
        <v>1319</v>
      </c>
      <c r="T125" s="114" t="s">
        <v>1320</v>
      </c>
    </row>
    <row r="126" spans="1:20" ht="63.75" x14ac:dyDescent="0.2">
      <c r="A126" s="108" t="s">
        <v>326</v>
      </c>
      <c r="B126" s="114" t="s">
        <v>1454</v>
      </c>
      <c r="C126" s="114" t="s">
        <v>56</v>
      </c>
      <c r="D126" s="114" t="s">
        <v>288</v>
      </c>
      <c r="E126" s="114" t="s">
        <v>325</v>
      </c>
      <c r="F126" s="114" t="s">
        <v>1455</v>
      </c>
      <c r="G126" s="114" t="s">
        <v>26</v>
      </c>
      <c r="H126" s="115">
        <v>3488.8989999999999</v>
      </c>
      <c r="I126" s="116">
        <v>8.1750000000000007</v>
      </c>
      <c r="J126" s="116">
        <v>9.99</v>
      </c>
      <c r="K126" s="116">
        <v>34854.1</v>
      </c>
      <c r="L126" s="116">
        <v>10.9</v>
      </c>
      <c r="M126" s="116">
        <v>13.32</v>
      </c>
      <c r="N126" s="116">
        <v>46472.13</v>
      </c>
      <c r="O126" s="121">
        <f t="shared" si="2"/>
        <v>0.25</v>
      </c>
      <c r="P126" s="121">
        <f t="shared" si="3"/>
        <v>0.24999994620431643</v>
      </c>
      <c r="Q126" s="121">
        <f>IFERROR(K126/RESUMO_DILIG!$D$5,"")</f>
        <v>3.8952707332295037E-3</v>
      </c>
      <c r="R126" s="114" t="s">
        <v>1287</v>
      </c>
      <c r="S126" s="114" t="s">
        <v>1319</v>
      </c>
      <c r="T126" s="114" t="s">
        <v>1320</v>
      </c>
    </row>
    <row r="127" spans="1:20" ht="89.25" x14ac:dyDescent="0.2">
      <c r="A127" s="108" t="s">
        <v>328</v>
      </c>
      <c r="B127" s="114" t="s">
        <v>1456</v>
      </c>
      <c r="C127" s="114" t="s">
        <v>56</v>
      </c>
      <c r="D127" s="114" t="s">
        <v>288</v>
      </c>
      <c r="E127" s="114" t="s">
        <v>325</v>
      </c>
      <c r="F127" s="114" t="s">
        <v>329</v>
      </c>
      <c r="G127" s="114" t="s">
        <v>26</v>
      </c>
      <c r="H127" s="115">
        <v>2115.672</v>
      </c>
      <c r="I127" s="116">
        <v>50.722499999999997</v>
      </c>
      <c r="J127" s="116">
        <v>61.994999999999997</v>
      </c>
      <c r="K127" s="116">
        <v>131161.07999999999</v>
      </c>
      <c r="L127" s="116">
        <v>67.63</v>
      </c>
      <c r="M127" s="116">
        <v>82.66</v>
      </c>
      <c r="N127" s="116">
        <v>174881.44</v>
      </c>
      <c r="O127" s="121">
        <f t="shared" si="2"/>
        <v>0.25</v>
      </c>
      <c r="P127" s="121">
        <f t="shared" si="3"/>
        <v>0.25000000000000011</v>
      </c>
      <c r="Q127" s="121">
        <f>IFERROR(K127/RESUMO_DILIG!$D$5,"")</f>
        <v>1.4658473931697377E-2</v>
      </c>
      <c r="R127" s="114" t="s">
        <v>1287</v>
      </c>
      <c r="S127" s="114" t="s">
        <v>1319</v>
      </c>
      <c r="T127" s="114" t="s">
        <v>1320</v>
      </c>
    </row>
    <row r="128" spans="1:20" ht="63.75" x14ac:dyDescent="0.2">
      <c r="A128" s="108" t="s">
        <v>330</v>
      </c>
      <c r="B128" s="114" t="s">
        <v>1457</v>
      </c>
      <c r="C128" s="114" t="s">
        <v>56</v>
      </c>
      <c r="D128" s="114" t="s">
        <v>288</v>
      </c>
      <c r="E128" s="114" t="s">
        <v>325</v>
      </c>
      <c r="F128" s="114" t="s">
        <v>331</v>
      </c>
      <c r="G128" s="114" t="s">
        <v>26</v>
      </c>
      <c r="H128" s="115">
        <v>1175.704</v>
      </c>
      <c r="I128" s="116">
        <v>31.807499999999997</v>
      </c>
      <c r="J128" s="116">
        <v>38.872500000000002</v>
      </c>
      <c r="K128" s="116">
        <v>45702.55</v>
      </c>
      <c r="L128" s="116">
        <v>42.41</v>
      </c>
      <c r="M128" s="116">
        <v>51.83</v>
      </c>
      <c r="N128" s="116">
        <v>60936.73</v>
      </c>
      <c r="O128" s="121">
        <f t="shared" si="2"/>
        <v>0.24999999999999989</v>
      </c>
      <c r="P128" s="121">
        <f t="shared" si="3"/>
        <v>0.24999995897384053</v>
      </c>
      <c r="Q128" s="121">
        <f>IFERROR(K128/RESUMO_DILIG!$D$5,"")</f>
        <v>5.1076861961421487E-3</v>
      </c>
      <c r="R128" s="114" t="s">
        <v>1287</v>
      </c>
      <c r="S128" s="114" t="s">
        <v>1319</v>
      </c>
      <c r="T128" s="114" t="s">
        <v>1320</v>
      </c>
    </row>
    <row r="129" spans="1:20" ht="63.75" x14ac:dyDescent="0.2">
      <c r="A129" s="108" t="s">
        <v>332</v>
      </c>
      <c r="B129" s="114" t="s">
        <v>1458</v>
      </c>
      <c r="C129" s="114" t="s">
        <v>56</v>
      </c>
      <c r="D129" s="114" t="s">
        <v>288</v>
      </c>
      <c r="E129" s="114" t="s">
        <v>325</v>
      </c>
      <c r="F129" s="114" t="s">
        <v>333</v>
      </c>
      <c r="G129" s="114" t="s">
        <v>26</v>
      </c>
      <c r="H129" s="115">
        <v>682.82500000000005</v>
      </c>
      <c r="I129" s="116">
        <v>60.12</v>
      </c>
      <c r="J129" s="116">
        <v>73.477499999999992</v>
      </c>
      <c r="K129" s="116">
        <v>50172.27</v>
      </c>
      <c r="L129" s="116">
        <v>80.16</v>
      </c>
      <c r="M129" s="116">
        <v>97.97</v>
      </c>
      <c r="N129" s="116">
        <v>66896.36</v>
      </c>
      <c r="O129" s="121">
        <f t="shared" si="2"/>
        <v>0.25000000000000011</v>
      </c>
      <c r="P129" s="121">
        <f t="shared" si="3"/>
        <v>0.25</v>
      </c>
      <c r="Q129" s="121">
        <f>IFERROR(K129/RESUMO_DILIG!$D$5,"")</f>
        <v>5.607219091891302E-3</v>
      </c>
      <c r="R129" s="114" t="s">
        <v>1287</v>
      </c>
      <c r="S129" s="114" t="s">
        <v>1319</v>
      </c>
      <c r="T129" s="114" t="s">
        <v>1320</v>
      </c>
    </row>
    <row r="130" spans="1:20" ht="38.25" x14ac:dyDescent="0.2">
      <c r="A130" s="108" t="s">
        <v>334</v>
      </c>
      <c r="B130" s="114" t="s">
        <v>1459</v>
      </c>
      <c r="C130" s="114" t="s">
        <v>335</v>
      </c>
      <c r="D130" s="114" t="s">
        <v>288</v>
      </c>
      <c r="E130" s="114" t="s">
        <v>325</v>
      </c>
      <c r="F130" s="114" t="s">
        <v>336</v>
      </c>
      <c r="G130" s="114" t="s">
        <v>26</v>
      </c>
      <c r="H130" s="115">
        <v>1233.3820000000001</v>
      </c>
      <c r="I130" s="116">
        <v>41.467500000000001</v>
      </c>
      <c r="J130" s="116">
        <v>50.685000000000002</v>
      </c>
      <c r="K130" s="116">
        <v>62513.96</v>
      </c>
      <c r="L130" s="116">
        <v>55.29</v>
      </c>
      <c r="M130" s="116">
        <v>67.58</v>
      </c>
      <c r="N130" s="116">
        <v>83351.95</v>
      </c>
      <c r="O130" s="121">
        <f t="shared" si="2"/>
        <v>0.25</v>
      </c>
      <c r="P130" s="121">
        <f t="shared" si="3"/>
        <v>0.25000002999329951</v>
      </c>
      <c r="Q130" s="121">
        <f>IFERROR(K130/RESUMO_DILIG!$D$5,"")</f>
        <v>6.9865180511411822E-3</v>
      </c>
      <c r="R130" s="114" t="s">
        <v>1287</v>
      </c>
      <c r="S130" s="114" t="s">
        <v>1319</v>
      </c>
      <c r="T130" s="114" t="s">
        <v>1320</v>
      </c>
    </row>
    <row r="131" spans="1:20" ht="38.25" x14ac:dyDescent="0.2">
      <c r="A131" s="108" t="s">
        <v>337</v>
      </c>
      <c r="B131" s="114" t="s">
        <v>1460</v>
      </c>
      <c r="C131" s="114" t="s">
        <v>56</v>
      </c>
      <c r="D131" s="114" t="s">
        <v>288</v>
      </c>
      <c r="E131" s="114" t="s">
        <v>325</v>
      </c>
      <c r="F131" s="114" t="s">
        <v>338</v>
      </c>
      <c r="G131" s="114" t="s">
        <v>26</v>
      </c>
      <c r="H131" s="115">
        <v>1233.3820000000001</v>
      </c>
      <c r="I131" s="116">
        <v>23.565000000000001</v>
      </c>
      <c r="J131" s="116">
        <v>28.799999999999997</v>
      </c>
      <c r="K131" s="116">
        <v>35521.4</v>
      </c>
      <c r="L131" s="116">
        <v>31.42</v>
      </c>
      <c r="M131" s="116">
        <v>38.4</v>
      </c>
      <c r="N131" s="116">
        <v>47361.86</v>
      </c>
      <c r="O131" s="121">
        <f t="shared" si="2"/>
        <v>0.25</v>
      </c>
      <c r="P131" s="121">
        <f t="shared" si="3"/>
        <v>0.24999989442982173</v>
      </c>
      <c r="Q131" s="121">
        <f>IFERROR(K131/RESUMO_DILIG!$D$5,"")</f>
        <v>3.9698477316395635E-3</v>
      </c>
      <c r="R131" s="114" t="s">
        <v>1287</v>
      </c>
      <c r="S131" s="114" t="s">
        <v>1319</v>
      </c>
      <c r="T131" s="114" t="s">
        <v>1320</v>
      </c>
    </row>
    <row r="132" spans="1:20" ht="63.75" x14ac:dyDescent="0.2">
      <c r="A132" s="108" t="s">
        <v>339</v>
      </c>
      <c r="B132" s="114" t="s">
        <v>340</v>
      </c>
      <c r="C132" s="114" t="s">
        <v>317</v>
      </c>
      <c r="D132" s="114" t="s">
        <v>288</v>
      </c>
      <c r="E132" s="114" t="s">
        <v>325</v>
      </c>
      <c r="F132" s="114" t="s">
        <v>1461</v>
      </c>
      <c r="G132" s="114" t="s">
        <v>342</v>
      </c>
      <c r="H132" s="115">
        <v>10.5</v>
      </c>
      <c r="I132" s="116">
        <v>89.564999999999998</v>
      </c>
      <c r="J132" s="116">
        <v>109.47</v>
      </c>
      <c r="K132" s="116">
        <v>1149.43</v>
      </c>
      <c r="L132" s="116">
        <v>119.42</v>
      </c>
      <c r="M132" s="116">
        <v>145.96</v>
      </c>
      <c r="N132" s="116">
        <v>1532.58</v>
      </c>
      <c r="O132" s="121">
        <f t="shared" ref="O132:O195" si="4">IFERROR(1-J132/M132,"")</f>
        <v>0.25</v>
      </c>
      <c r="P132" s="121">
        <f t="shared" ref="P132:P195" si="5">IFERROR(1-K132/N132,"")</f>
        <v>0.25000326247243199</v>
      </c>
      <c r="Q132" s="121">
        <f>IFERROR(K132/RESUMO_DILIG!$D$5,"")</f>
        <v>1.2845952237745313E-4</v>
      </c>
      <c r="R132" s="114" t="s">
        <v>1293</v>
      </c>
      <c r="S132" s="114" t="s">
        <v>1323</v>
      </c>
      <c r="T132" s="114" t="s">
        <v>1320</v>
      </c>
    </row>
    <row r="133" spans="1:20" ht="51" x14ac:dyDescent="0.2">
      <c r="A133" s="108" t="s">
        <v>345</v>
      </c>
      <c r="B133" s="114" t="s">
        <v>346</v>
      </c>
      <c r="C133" s="114" t="s">
        <v>209</v>
      </c>
      <c r="D133" s="114" t="s">
        <v>288</v>
      </c>
      <c r="E133" s="114" t="s">
        <v>344</v>
      </c>
      <c r="F133" s="114" t="s">
        <v>1462</v>
      </c>
      <c r="G133" s="114" t="s">
        <v>26</v>
      </c>
      <c r="H133" s="115">
        <v>135.49</v>
      </c>
      <c r="I133" s="116">
        <v>447.85500000000002</v>
      </c>
      <c r="J133" s="116">
        <v>547.41</v>
      </c>
      <c r="K133" s="116">
        <v>74168.58</v>
      </c>
      <c r="L133" s="116">
        <v>597.14</v>
      </c>
      <c r="M133" s="116">
        <v>729.88</v>
      </c>
      <c r="N133" s="116">
        <v>98891.44</v>
      </c>
      <c r="O133" s="121">
        <f t="shared" si="4"/>
        <v>0.25</v>
      </c>
      <c r="P133" s="121">
        <f t="shared" si="5"/>
        <v>0.25</v>
      </c>
      <c r="Q133" s="121">
        <f>IFERROR(K133/RESUMO_DILIG!$D$5,"")</f>
        <v>8.2890305301009382E-3</v>
      </c>
      <c r="R133" s="114" t="s">
        <v>1287</v>
      </c>
      <c r="S133" s="114" t="s">
        <v>1319</v>
      </c>
      <c r="T133" s="114" t="s">
        <v>1320</v>
      </c>
    </row>
    <row r="134" spans="1:20" ht="38.25" x14ac:dyDescent="0.2">
      <c r="A134" s="108" t="s">
        <v>348</v>
      </c>
      <c r="B134" s="114" t="s">
        <v>349</v>
      </c>
      <c r="C134" s="114" t="s">
        <v>209</v>
      </c>
      <c r="D134" s="114" t="s">
        <v>288</v>
      </c>
      <c r="E134" s="114" t="s">
        <v>344</v>
      </c>
      <c r="F134" s="114" t="s">
        <v>350</v>
      </c>
      <c r="G134" s="114" t="s">
        <v>26</v>
      </c>
      <c r="H134" s="115">
        <v>592.59400000000005</v>
      </c>
      <c r="I134" s="116">
        <v>175.58250000000001</v>
      </c>
      <c r="J134" s="116">
        <v>214.61249999999998</v>
      </c>
      <c r="K134" s="116">
        <v>127178.07</v>
      </c>
      <c r="L134" s="116">
        <v>234.11</v>
      </c>
      <c r="M134" s="116">
        <v>286.14999999999998</v>
      </c>
      <c r="N134" s="116">
        <v>169570.77</v>
      </c>
      <c r="O134" s="121">
        <f t="shared" si="4"/>
        <v>0.25</v>
      </c>
      <c r="P134" s="121">
        <f t="shared" si="5"/>
        <v>0.25000004422932076</v>
      </c>
      <c r="Q134" s="121">
        <f>IFERROR(K134/RESUMO_DILIG!$D$5,"")</f>
        <v>1.4213335417629869E-2</v>
      </c>
      <c r="R134" s="114" t="s">
        <v>1287</v>
      </c>
      <c r="S134" s="114" t="s">
        <v>1319</v>
      </c>
      <c r="T134" s="114" t="s">
        <v>1320</v>
      </c>
    </row>
    <row r="135" spans="1:20" ht="38.25" x14ac:dyDescent="0.2">
      <c r="A135" s="108" t="s">
        <v>351</v>
      </c>
      <c r="B135" s="114" t="s">
        <v>1463</v>
      </c>
      <c r="C135" s="114" t="s">
        <v>209</v>
      </c>
      <c r="D135" s="114" t="s">
        <v>288</v>
      </c>
      <c r="E135" s="114" t="s">
        <v>344</v>
      </c>
      <c r="F135" s="114" t="s">
        <v>1464</v>
      </c>
      <c r="G135" s="114" t="s">
        <v>26</v>
      </c>
      <c r="H135" s="115">
        <v>136.19300000000001</v>
      </c>
      <c r="I135" s="116">
        <v>281.80500000000001</v>
      </c>
      <c r="J135" s="116">
        <v>344.44499999999999</v>
      </c>
      <c r="K135" s="116">
        <v>46910.99</v>
      </c>
      <c r="L135" s="116">
        <v>375.74</v>
      </c>
      <c r="M135" s="116">
        <v>459.26</v>
      </c>
      <c r="N135" s="116">
        <v>62547.99</v>
      </c>
      <c r="O135" s="121">
        <f t="shared" si="4"/>
        <v>0.25</v>
      </c>
      <c r="P135" s="121">
        <f t="shared" si="5"/>
        <v>0.25000003996930997</v>
      </c>
      <c r="Q135" s="121">
        <f>IFERROR(K135/RESUMO_DILIG!$D$5,"")</f>
        <v>5.2427406363619181E-3</v>
      </c>
      <c r="R135" s="114" t="s">
        <v>1287</v>
      </c>
      <c r="S135" s="114" t="s">
        <v>1319</v>
      </c>
      <c r="T135" s="114" t="s">
        <v>1320</v>
      </c>
    </row>
    <row r="136" spans="1:20" ht="63.75" x14ac:dyDescent="0.2">
      <c r="A136" s="108" t="s">
        <v>356</v>
      </c>
      <c r="B136" s="114" t="s">
        <v>1465</v>
      </c>
      <c r="C136" s="114" t="s">
        <v>56</v>
      </c>
      <c r="D136" s="114" t="s">
        <v>288</v>
      </c>
      <c r="E136" s="114" t="s">
        <v>355</v>
      </c>
      <c r="F136" s="114" t="s">
        <v>357</v>
      </c>
      <c r="G136" s="114" t="s">
        <v>26</v>
      </c>
      <c r="H136" s="115">
        <v>1325.896</v>
      </c>
      <c r="I136" s="116">
        <v>92.97</v>
      </c>
      <c r="J136" s="116">
        <v>113.63249999999999</v>
      </c>
      <c r="K136" s="116">
        <v>150664.87</v>
      </c>
      <c r="L136" s="116">
        <v>123.96</v>
      </c>
      <c r="M136" s="116">
        <v>151.51</v>
      </c>
      <c r="N136" s="116">
        <v>200886.5</v>
      </c>
      <c r="O136" s="121">
        <f t="shared" si="4"/>
        <v>0.25</v>
      </c>
      <c r="P136" s="121">
        <f t="shared" si="5"/>
        <v>0.25000002488967654</v>
      </c>
      <c r="Q136" s="121">
        <f>IFERROR(K136/RESUMO_DILIG!$D$5,"")</f>
        <v>1.6838204361519244E-2</v>
      </c>
      <c r="R136" s="114" t="s">
        <v>1287</v>
      </c>
      <c r="S136" s="114" t="s">
        <v>1319</v>
      </c>
      <c r="T136" s="114" t="s">
        <v>1320</v>
      </c>
    </row>
    <row r="137" spans="1:20" ht="38.25" x14ac:dyDescent="0.2">
      <c r="A137" s="108" t="s">
        <v>358</v>
      </c>
      <c r="B137" s="114" t="s">
        <v>1466</v>
      </c>
      <c r="C137" s="114" t="s">
        <v>56</v>
      </c>
      <c r="D137" s="114" t="s">
        <v>288</v>
      </c>
      <c r="E137" s="114" t="s">
        <v>355</v>
      </c>
      <c r="F137" s="114" t="s">
        <v>359</v>
      </c>
      <c r="G137" s="114" t="s">
        <v>26</v>
      </c>
      <c r="H137" s="115">
        <v>29.904</v>
      </c>
      <c r="I137" s="116">
        <v>63.510000000000005</v>
      </c>
      <c r="J137" s="116">
        <v>77.625</v>
      </c>
      <c r="K137" s="116">
        <v>2321.29</v>
      </c>
      <c r="L137" s="116">
        <v>84.68</v>
      </c>
      <c r="M137" s="116">
        <v>103.5</v>
      </c>
      <c r="N137" s="116">
        <v>3095.06</v>
      </c>
      <c r="O137" s="121">
        <f t="shared" si="4"/>
        <v>0.25</v>
      </c>
      <c r="P137" s="121">
        <f t="shared" si="5"/>
        <v>0.2500016154775675</v>
      </c>
      <c r="Q137" s="121">
        <f>IFERROR(K137/RESUMO_DILIG!$D$5,"")</f>
        <v>2.5942580644280916E-4</v>
      </c>
      <c r="R137" s="114" t="s">
        <v>1293</v>
      </c>
      <c r="S137" s="114" t="s">
        <v>1323</v>
      </c>
      <c r="T137" s="114" t="s">
        <v>1320</v>
      </c>
    </row>
    <row r="138" spans="1:20" ht="38.25" x14ac:dyDescent="0.2">
      <c r="A138" s="108" t="s">
        <v>360</v>
      </c>
      <c r="B138" s="114" t="s">
        <v>1467</v>
      </c>
      <c r="C138" s="114" t="s">
        <v>56</v>
      </c>
      <c r="D138" s="114" t="s">
        <v>288</v>
      </c>
      <c r="E138" s="114" t="s">
        <v>355</v>
      </c>
      <c r="F138" s="114" t="s">
        <v>1468</v>
      </c>
      <c r="G138" s="114" t="s">
        <v>26</v>
      </c>
      <c r="H138" s="115">
        <v>19.806999999999999</v>
      </c>
      <c r="I138" s="116">
        <v>59.107500000000002</v>
      </c>
      <c r="J138" s="116">
        <v>72.239999999999995</v>
      </c>
      <c r="K138" s="116">
        <v>1430.85</v>
      </c>
      <c r="L138" s="116">
        <v>78.81</v>
      </c>
      <c r="M138" s="116">
        <v>96.32</v>
      </c>
      <c r="N138" s="116">
        <v>1907.81</v>
      </c>
      <c r="O138" s="121">
        <f t="shared" si="4"/>
        <v>0.25</v>
      </c>
      <c r="P138" s="121">
        <f t="shared" si="5"/>
        <v>0.25000393120908271</v>
      </c>
      <c r="Q138" s="121">
        <f>IFERROR(K138/RESUMO_DILIG!$D$5,"")</f>
        <v>1.5991083197217646E-4</v>
      </c>
      <c r="R138" s="114" t="s">
        <v>1293</v>
      </c>
      <c r="S138" s="114" t="s">
        <v>1323</v>
      </c>
      <c r="T138" s="114" t="s">
        <v>1320</v>
      </c>
    </row>
    <row r="139" spans="1:20" ht="76.5" x14ac:dyDescent="0.2">
      <c r="A139" s="108" t="s">
        <v>364</v>
      </c>
      <c r="B139" s="114" t="s">
        <v>1469</v>
      </c>
      <c r="C139" s="114" t="s">
        <v>56</v>
      </c>
      <c r="D139" s="114" t="s">
        <v>288</v>
      </c>
      <c r="E139" s="114" t="s">
        <v>363</v>
      </c>
      <c r="F139" s="114" t="s">
        <v>365</v>
      </c>
      <c r="G139" s="114" t="s">
        <v>26</v>
      </c>
      <c r="H139" s="115">
        <v>1131.93</v>
      </c>
      <c r="I139" s="116">
        <v>34.072499999999998</v>
      </c>
      <c r="J139" s="116">
        <v>41.64</v>
      </c>
      <c r="K139" s="116">
        <v>47133.56</v>
      </c>
      <c r="L139" s="116">
        <v>45.43</v>
      </c>
      <c r="M139" s="116">
        <v>55.52</v>
      </c>
      <c r="N139" s="116">
        <v>62844.75</v>
      </c>
      <c r="O139" s="121">
        <f t="shared" si="4"/>
        <v>0.25</v>
      </c>
      <c r="P139" s="121">
        <f t="shared" si="5"/>
        <v>0.25000003978057039</v>
      </c>
      <c r="Q139" s="121">
        <f>IFERROR(K139/RESUMO_DILIG!$D$5,"")</f>
        <v>5.2676149096065258E-3</v>
      </c>
      <c r="R139" s="114" t="s">
        <v>1287</v>
      </c>
      <c r="S139" s="114" t="s">
        <v>1319</v>
      </c>
      <c r="T139" s="114" t="s">
        <v>1320</v>
      </c>
    </row>
    <row r="140" spans="1:20" ht="76.5" x14ac:dyDescent="0.2">
      <c r="A140" s="108" t="s">
        <v>366</v>
      </c>
      <c r="B140" s="114" t="s">
        <v>1470</v>
      </c>
      <c r="C140" s="114" t="s">
        <v>56</v>
      </c>
      <c r="D140" s="114" t="s">
        <v>288</v>
      </c>
      <c r="E140" s="114" t="s">
        <v>363</v>
      </c>
      <c r="F140" s="114" t="s">
        <v>1471</v>
      </c>
      <c r="G140" s="114" t="s">
        <v>26</v>
      </c>
      <c r="H140" s="115">
        <v>262.12400000000002</v>
      </c>
      <c r="I140" s="116">
        <v>47.557499999999997</v>
      </c>
      <c r="J140" s="116">
        <v>58.125</v>
      </c>
      <c r="K140" s="116">
        <v>15235.95</v>
      </c>
      <c r="L140" s="116">
        <v>63.41</v>
      </c>
      <c r="M140" s="116">
        <v>77.5</v>
      </c>
      <c r="N140" s="116">
        <v>20314.61</v>
      </c>
      <c r="O140" s="121">
        <f t="shared" si="4"/>
        <v>0.25</v>
      </c>
      <c r="P140" s="121">
        <f t="shared" si="5"/>
        <v>0.25000036919241864</v>
      </c>
      <c r="Q140" s="121">
        <f>IFERROR(K140/RESUMO_DILIG!$D$5,"")</f>
        <v>1.7027595068571004E-3</v>
      </c>
      <c r="R140" s="114" t="s">
        <v>1290</v>
      </c>
      <c r="S140" s="114" t="s">
        <v>1323</v>
      </c>
      <c r="T140" s="114" t="s">
        <v>1320</v>
      </c>
    </row>
    <row r="141" spans="1:20" ht="38.25" x14ac:dyDescent="0.2">
      <c r="A141" s="108" t="s">
        <v>368</v>
      </c>
      <c r="B141" s="114" t="s">
        <v>369</v>
      </c>
      <c r="C141" s="114" t="s">
        <v>209</v>
      </c>
      <c r="D141" s="114" t="s">
        <v>288</v>
      </c>
      <c r="E141" s="114" t="s">
        <v>363</v>
      </c>
      <c r="F141" s="114" t="s">
        <v>370</v>
      </c>
      <c r="G141" s="114" t="s">
        <v>371</v>
      </c>
      <c r="H141" s="115">
        <v>14.662000000000001</v>
      </c>
      <c r="I141" s="116">
        <v>327.82500000000005</v>
      </c>
      <c r="J141" s="116">
        <v>400.69499999999999</v>
      </c>
      <c r="K141" s="116">
        <v>5874.99</v>
      </c>
      <c r="L141" s="116">
        <v>437.1</v>
      </c>
      <c r="M141" s="116">
        <v>534.26</v>
      </c>
      <c r="N141" s="116">
        <v>7833.32</v>
      </c>
      <c r="O141" s="121">
        <f t="shared" si="4"/>
        <v>0.25</v>
      </c>
      <c r="P141" s="121">
        <f t="shared" si="5"/>
        <v>0.25</v>
      </c>
      <c r="Q141" s="121">
        <f>IFERROR(K141/RESUMO_DILIG!$D$5,"")</f>
        <v>6.5658492415572351E-4</v>
      </c>
      <c r="R141" s="114" t="s">
        <v>1290</v>
      </c>
      <c r="S141" s="114" t="s">
        <v>1319</v>
      </c>
      <c r="T141" s="114" t="s">
        <v>1320</v>
      </c>
    </row>
    <row r="142" spans="1:20" ht="127.5" x14ac:dyDescent="0.2">
      <c r="A142" s="108" t="s">
        <v>372</v>
      </c>
      <c r="B142" s="114" t="s">
        <v>1472</v>
      </c>
      <c r="C142" s="114" t="s">
        <v>24</v>
      </c>
      <c r="D142" s="114" t="s">
        <v>288</v>
      </c>
      <c r="E142" s="114" t="s">
        <v>363</v>
      </c>
      <c r="F142" s="114" t="s">
        <v>374</v>
      </c>
      <c r="G142" s="114" t="s">
        <v>26</v>
      </c>
      <c r="H142" s="115">
        <v>1316.288</v>
      </c>
      <c r="I142" s="116">
        <v>135.42750000000001</v>
      </c>
      <c r="J142" s="116">
        <v>165.5325</v>
      </c>
      <c r="K142" s="116">
        <v>217888.44</v>
      </c>
      <c r="L142" s="116">
        <v>180.57</v>
      </c>
      <c r="M142" s="116">
        <v>220.71</v>
      </c>
      <c r="N142" s="116">
        <v>290517.92</v>
      </c>
      <c r="O142" s="121">
        <f t="shared" si="4"/>
        <v>0.25</v>
      </c>
      <c r="P142" s="121">
        <f t="shared" si="5"/>
        <v>0.25</v>
      </c>
      <c r="Q142" s="121">
        <f>IFERROR(K142/RESUMO_DILIG!$D$5,"")</f>
        <v>2.4351065253184926E-2</v>
      </c>
      <c r="R142" s="114" t="s">
        <v>1287</v>
      </c>
      <c r="S142" s="114" t="s">
        <v>1319</v>
      </c>
      <c r="T142" s="114" t="s">
        <v>1320</v>
      </c>
    </row>
    <row r="143" spans="1:20" ht="38.25" x14ac:dyDescent="0.2">
      <c r="A143" s="108" t="s">
        <v>375</v>
      </c>
      <c r="B143" s="114" t="s">
        <v>1473</v>
      </c>
      <c r="C143" s="114" t="s">
        <v>56</v>
      </c>
      <c r="D143" s="114" t="s">
        <v>288</v>
      </c>
      <c r="E143" s="114" t="s">
        <v>363</v>
      </c>
      <c r="F143" s="114" t="s">
        <v>1474</v>
      </c>
      <c r="G143" s="114" t="s">
        <v>26</v>
      </c>
      <c r="H143" s="115">
        <v>90.578999999999994</v>
      </c>
      <c r="I143" s="116">
        <v>165.61500000000001</v>
      </c>
      <c r="J143" s="116">
        <v>202.42499999999998</v>
      </c>
      <c r="K143" s="116">
        <v>18335.45</v>
      </c>
      <c r="L143" s="116">
        <v>220.82</v>
      </c>
      <c r="M143" s="116">
        <v>269.89999999999998</v>
      </c>
      <c r="N143" s="116">
        <v>24447.27</v>
      </c>
      <c r="O143" s="121">
        <f t="shared" si="4"/>
        <v>0.25</v>
      </c>
      <c r="P143" s="121">
        <f t="shared" si="5"/>
        <v>0.25000010226090685</v>
      </c>
      <c r="Q143" s="121">
        <f>IFERROR(K143/RESUMO_DILIG!$D$5,"")</f>
        <v>2.0491575385849273E-3</v>
      </c>
      <c r="R143" s="114" t="s">
        <v>1290</v>
      </c>
      <c r="S143" s="114" t="s">
        <v>1323</v>
      </c>
      <c r="T143" s="114" t="s">
        <v>1320</v>
      </c>
    </row>
    <row r="144" spans="1:20" ht="38.25" x14ac:dyDescent="0.2">
      <c r="A144" s="108" t="s">
        <v>377</v>
      </c>
      <c r="B144" s="114" t="s">
        <v>1475</v>
      </c>
      <c r="C144" s="114" t="s">
        <v>56</v>
      </c>
      <c r="D144" s="114" t="s">
        <v>288</v>
      </c>
      <c r="E144" s="114" t="s">
        <v>363</v>
      </c>
      <c r="F144" s="114" t="s">
        <v>1476</v>
      </c>
      <c r="G144" s="114" t="s">
        <v>26</v>
      </c>
      <c r="H144" s="115">
        <v>32.209000000000003</v>
      </c>
      <c r="I144" s="116">
        <v>397.8075</v>
      </c>
      <c r="J144" s="116">
        <v>486.24</v>
      </c>
      <c r="K144" s="116">
        <v>15661.3</v>
      </c>
      <c r="L144" s="116">
        <v>530.41</v>
      </c>
      <c r="M144" s="116">
        <v>648.32000000000005</v>
      </c>
      <c r="N144" s="116">
        <v>20881.73</v>
      </c>
      <c r="O144" s="121">
        <f t="shared" si="4"/>
        <v>0.25</v>
      </c>
      <c r="P144" s="121">
        <f t="shared" si="5"/>
        <v>0.2499998802781187</v>
      </c>
      <c r="Q144" s="121">
        <f>IFERROR(K144/RESUMO_DILIG!$D$5,"")</f>
        <v>1.7502963362797269E-3</v>
      </c>
      <c r="R144" s="114" t="s">
        <v>1290</v>
      </c>
      <c r="S144" s="114" t="s">
        <v>1323</v>
      </c>
      <c r="T144" s="114" t="s">
        <v>1320</v>
      </c>
    </row>
    <row r="145" spans="1:20" ht="38.25" x14ac:dyDescent="0.2">
      <c r="A145" s="108" t="s">
        <v>379</v>
      </c>
      <c r="B145" s="114" t="s">
        <v>1477</v>
      </c>
      <c r="C145" s="114" t="s">
        <v>56</v>
      </c>
      <c r="D145" s="114" t="s">
        <v>288</v>
      </c>
      <c r="E145" s="114" t="s">
        <v>363</v>
      </c>
      <c r="F145" s="114" t="s">
        <v>380</v>
      </c>
      <c r="G145" s="114" t="s">
        <v>26</v>
      </c>
      <c r="H145" s="115">
        <v>19.687000000000001</v>
      </c>
      <c r="I145" s="116">
        <v>136.0575</v>
      </c>
      <c r="J145" s="116">
        <v>166.29749999999999</v>
      </c>
      <c r="K145" s="116">
        <v>3273.89</v>
      </c>
      <c r="L145" s="116">
        <v>181.41</v>
      </c>
      <c r="M145" s="116">
        <v>221.73</v>
      </c>
      <c r="N145" s="116">
        <v>4365.1899999999996</v>
      </c>
      <c r="O145" s="121">
        <f t="shared" si="4"/>
        <v>0.25</v>
      </c>
      <c r="P145" s="121">
        <f t="shared" si="5"/>
        <v>0.250000572712757</v>
      </c>
      <c r="Q145" s="121">
        <f>IFERROR(K145/RESUMO_DILIG!$D$5,"")</f>
        <v>3.6588774063346175E-4</v>
      </c>
      <c r="R145" s="114" t="s">
        <v>1293</v>
      </c>
      <c r="S145" s="114" t="s">
        <v>1323</v>
      </c>
      <c r="T145" s="114" t="s">
        <v>1320</v>
      </c>
    </row>
    <row r="146" spans="1:20" ht="38.25" x14ac:dyDescent="0.2">
      <c r="A146" s="108" t="s">
        <v>381</v>
      </c>
      <c r="B146" s="114" t="s">
        <v>1478</v>
      </c>
      <c r="C146" s="114" t="s">
        <v>335</v>
      </c>
      <c r="D146" s="114" t="s">
        <v>288</v>
      </c>
      <c r="E146" s="114" t="s">
        <v>363</v>
      </c>
      <c r="F146" s="114" t="s">
        <v>382</v>
      </c>
      <c r="G146" s="114" t="s">
        <v>99</v>
      </c>
      <c r="H146" s="115">
        <v>30.75</v>
      </c>
      <c r="I146" s="116">
        <v>130.38749999999999</v>
      </c>
      <c r="J146" s="116">
        <v>159.36750000000001</v>
      </c>
      <c r="K146" s="116">
        <v>4900.55</v>
      </c>
      <c r="L146" s="116">
        <v>173.85</v>
      </c>
      <c r="M146" s="116">
        <v>212.49</v>
      </c>
      <c r="N146" s="116">
        <v>6534.06</v>
      </c>
      <c r="O146" s="121">
        <f t="shared" si="4"/>
        <v>0.25</v>
      </c>
      <c r="P146" s="121">
        <f t="shared" si="5"/>
        <v>0.24999923477898889</v>
      </c>
      <c r="Q146" s="121">
        <f>IFERROR(K146/RESUMO_DILIG!$D$5,"")</f>
        <v>5.4768216627965852E-4</v>
      </c>
      <c r="R146" s="114" t="s">
        <v>1293</v>
      </c>
      <c r="S146" s="114" t="s">
        <v>1323</v>
      </c>
      <c r="T146" s="114" t="s">
        <v>1320</v>
      </c>
    </row>
    <row r="147" spans="1:20" ht="51" x14ac:dyDescent="0.2">
      <c r="A147" s="108" t="s">
        <v>383</v>
      </c>
      <c r="B147" s="114" t="s">
        <v>384</v>
      </c>
      <c r="C147" s="114" t="s">
        <v>317</v>
      </c>
      <c r="D147" s="114" t="s">
        <v>288</v>
      </c>
      <c r="E147" s="114" t="s">
        <v>363</v>
      </c>
      <c r="F147" s="114" t="s">
        <v>1479</v>
      </c>
      <c r="G147" s="114" t="s">
        <v>342</v>
      </c>
      <c r="H147" s="115">
        <v>1.996</v>
      </c>
      <c r="I147" s="116">
        <v>187.16250000000002</v>
      </c>
      <c r="J147" s="116">
        <v>228.76499999999999</v>
      </c>
      <c r="K147" s="116">
        <v>456.61</v>
      </c>
      <c r="L147" s="116">
        <v>249.55</v>
      </c>
      <c r="M147" s="116">
        <v>305.02</v>
      </c>
      <c r="N147" s="116">
        <v>608.80999999999995</v>
      </c>
      <c r="O147" s="121">
        <f t="shared" si="4"/>
        <v>0.25</v>
      </c>
      <c r="P147" s="121">
        <f t="shared" si="5"/>
        <v>0.24999589362855401</v>
      </c>
      <c r="Q147" s="121">
        <f>IFERROR(K147/RESUMO_DILIG!$D$5,"")</f>
        <v>5.1030425961362473E-5</v>
      </c>
      <c r="R147" s="114" t="s">
        <v>1293</v>
      </c>
      <c r="S147" s="114" t="s">
        <v>1323</v>
      </c>
      <c r="T147" s="114" t="s">
        <v>1320</v>
      </c>
    </row>
    <row r="148" spans="1:20" ht="25.5" x14ac:dyDescent="0.2">
      <c r="A148" s="108" t="s">
        <v>1480</v>
      </c>
      <c r="B148" s="114" t="s">
        <v>386</v>
      </c>
      <c r="C148" s="114" t="s">
        <v>317</v>
      </c>
      <c r="D148" s="114"/>
      <c r="E148" s="114"/>
      <c r="F148" s="114" t="s">
        <v>387</v>
      </c>
      <c r="G148" s="114" t="s">
        <v>342</v>
      </c>
      <c r="H148" s="115">
        <v>626.70600000000002</v>
      </c>
      <c r="I148" s="116">
        <v>42.442500000000003</v>
      </c>
      <c r="J148" s="116">
        <v>51.87</v>
      </c>
      <c r="K148" s="116">
        <v>32507.24</v>
      </c>
      <c r="L148" s="116">
        <v>56.59</v>
      </c>
      <c r="M148" s="116">
        <v>69.16</v>
      </c>
      <c r="N148" s="116">
        <v>43342.98</v>
      </c>
      <c r="O148" s="121">
        <f t="shared" si="4"/>
        <v>0.25</v>
      </c>
      <c r="P148" s="121">
        <f t="shared" si="5"/>
        <v>0.24999988464106526</v>
      </c>
      <c r="Q148" s="121">
        <f>IFERROR(K148/RESUMO_DILIG!$D$5,"")</f>
        <v>3.6329872408143509E-3</v>
      </c>
      <c r="R148" s="114" t="s">
        <v>1290</v>
      </c>
      <c r="S148" s="114" t="s">
        <v>1323</v>
      </c>
      <c r="T148" s="114" t="s">
        <v>1320</v>
      </c>
    </row>
    <row r="149" spans="1:20" ht="25.5" x14ac:dyDescent="0.2">
      <c r="A149" s="108" t="s">
        <v>1481</v>
      </c>
      <c r="B149" s="114" t="s">
        <v>1482</v>
      </c>
      <c r="C149" s="114" t="s">
        <v>56</v>
      </c>
      <c r="D149" s="114"/>
      <c r="E149" s="114"/>
      <c r="F149" s="114" t="s">
        <v>388</v>
      </c>
      <c r="G149" s="114" t="s">
        <v>99</v>
      </c>
      <c r="H149" s="115">
        <v>73.102000000000004</v>
      </c>
      <c r="I149" s="116">
        <v>101.5275</v>
      </c>
      <c r="J149" s="116">
        <v>124.095</v>
      </c>
      <c r="K149" s="116">
        <v>9071.59</v>
      </c>
      <c r="L149" s="116">
        <v>135.37</v>
      </c>
      <c r="M149" s="116">
        <v>165.46</v>
      </c>
      <c r="N149" s="116">
        <v>12095.45</v>
      </c>
      <c r="O149" s="121">
        <f t="shared" si="4"/>
        <v>0.25</v>
      </c>
      <c r="P149" s="121">
        <f t="shared" si="5"/>
        <v>0.24999979331070776</v>
      </c>
      <c r="Q149" s="121">
        <f>IFERROR(K149/RESUMO_DILIG!$D$5,"")</f>
        <v>1.0138347864629251E-3</v>
      </c>
      <c r="R149" s="114" t="s">
        <v>1290</v>
      </c>
      <c r="S149" s="114" t="s">
        <v>1323</v>
      </c>
      <c r="T149" s="114" t="s">
        <v>1320</v>
      </c>
    </row>
    <row r="150" spans="1:20" ht="25.5" x14ac:dyDescent="0.2">
      <c r="A150" s="108" t="s">
        <v>1483</v>
      </c>
      <c r="B150" s="114" t="s">
        <v>1484</v>
      </c>
      <c r="C150" s="114" t="s">
        <v>335</v>
      </c>
      <c r="D150" s="114"/>
      <c r="E150" s="114"/>
      <c r="F150" s="114" t="s">
        <v>389</v>
      </c>
      <c r="G150" s="114" t="s">
        <v>99</v>
      </c>
      <c r="H150" s="115">
        <v>38.198999999999998</v>
      </c>
      <c r="I150" s="116">
        <v>25.125</v>
      </c>
      <c r="J150" s="116">
        <v>30.704999999999998</v>
      </c>
      <c r="K150" s="116">
        <v>1172.9000000000001</v>
      </c>
      <c r="L150" s="116">
        <v>33.5</v>
      </c>
      <c r="M150" s="116">
        <v>40.94</v>
      </c>
      <c r="N150" s="116">
        <v>1563.86</v>
      </c>
      <c r="O150" s="121">
        <f t="shared" si="4"/>
        <v>0.25</v>
      </c>
      <c r="P150" s="121">
        <f t="shared" si="5"/>
        <v>0.24999680278285774</v>
      </c>
      <c r="Q150" s="121">
        <f>IFERROR(K150/RESUMO_DILIG!$D$5,"")</f>
        <v>1.3108251376466141E-4</v>
      </c>
      <c r="R150" s="114" t="s">
        <v>1293</v>
      </c>
      <c r="S150" s="114" t="s">
        <v>1323</v>
      </c>
      <c r="T150" s="114" t="s">
        <v>1320</v>
      </c>
    </row>
    <row r="151" spans="1:20" ht="51" x14ac:dyDescent="0.2">
      <c r="A151" s="108" t="s">
        <v>392</v>
      </c>
      <c r="B151" s="114" t="s">
        <v>1485</v>
      </c>
      <c r="C151" s="114" t="s">
        <v>56</v>
      </c>
      <c r="D151" s="114" t="s">
        <v>288</v>
      </c>
      <c r="E151" s="114" t="s">
        <v>391</v>
      </c>
      <c r="F151" s="114" t="s">
        <v>1486</v>
      </c>
      <c r="G151" s="114" t="s">
        <v>26</v>
      </c>
      <c r="H151" s="115">
        <v>834.29499999999996</v>
      </c>
      <c r="I151" s="116">
        <v>73.710000000000008</v>
      </c>
      <c r="J151" s="116">
        <v>90.09</v>
      </c>
      <c r="K151" s="116">
        <v>75161.63</v>
      </c>
      <c r="L151" s="116">
        <v>98.28</v>
      </c>
      <c r="M151" s="116">
        <v>120.12</v>
      </c>
      <c r="N151" s="116">
        <v>100215.51</v>
      </c>
      <c r="O151" s="121">
        <f t="shared" si="4"/>
        <v>0.25</v>
      </c>
      <c r="P151" s="121">
        <f t="shared" si="5"/>
        <v>0.2500000249462383</v>
      </c>
      <c r="Q151" s="121">
        <f>IFERROR(K151/RESUMO_DILIG!$D$5,"")</f>
        <v>8.4000131290386127E-3</v>
      </c>
      <c r="R151" s="114" t="s">
        <v>1287</v>
      </c>
      <c r="S151" s="114" t="s">
        <v>1319</v>
      </c>
      <c r="T151" s="114" t="s">
        <v>1320</v>
      </c>
    </row>
    <row r="152" spans="1:20" ht="38.25" x14ac:dyDescent="0.2">
      <c r="A152" s="108" t="s">
        <v>394</v>
      </c>
      <c r="B152" s="114" t="s">
        <v>1487</v>
      </c>
      <c r="C152" s="114" t="s">
        <v>56</v>
      </c>
      <c r="D152" s="114" t="s">
        <v>288</v>
      </c>
      <c r="E152" s="114" t="s">
        <v>391</v>
      </c>
      <c r="F152" s="114" t="s">
        <v>1488</v>
      </c>
      <c r="G152" s="114" t="s">
        <v>26</v>
      </c>
      <c r="H152" s="115">
        <v>766.25300000000004</v>
      </c>
      <c r="I152" s="116">
        <v>153.89999999999998</v>
      </c>
      <c r="J152" s="116">
        <v>188.10750000000002</v>
      </c>
      <c r="K152" s="116">
        <v>144137.93</v>
      </c>
      <c r="L152" s="116">
        <v>205.2</v>
      </c>
      <c r="M152" s="116">
        <v>250.81</v>
      </c>
      <c r="N152" s="116">
        <v>192183.91</v>
      </c>
      <c r="O152" s="121">
        <f t="shared" si="4"/>
        <v>0.24999999999999989</v>
      </c>
      <c r="P152" s="121">
        <f t="shared" si="5"/>
        <v>0.25000001300837316</v>
      </c>
      <c r="Q152" s="121">
        <f>IFERROR(K152/RESUMO_DILIG!$D$5,"")</f>
        <v>1.6108757944611477E-2</v>
      </c>
      <c r="R152" s="114" t="s">
        <v>1287</v>
      </c>
      <c r="S152" s="114" t="s">
        <v>1319</v>
      </c>
      <c r="T152" s="114" t="s">
        <v>1320</v>
      </c>
    </row>
    <row r="153" spans="1:20" ht="63.75" x14ac:dyDescent="0.2">
      <c r="A153" s="108" t="s">
        <v>396</v>
      </c>
      <c r="B153" s="114" t="s">
        <v>1489</v>
      </c>
      <c r="C153" s="114" t="s">
        <v>56</v>
      </c>
      <c r="D153" s="114" t="s">
        <v>288</v>
      </c>
      <c r="E153" s="114" t="s">
        <v>391</v>
      </c>
      <c r="F153" s="114" t="s">
        <v>397</v>
      </c>
      <c r="G153" s="114" t="s">
        <v>26</v>
      </c>
      <c r="H153" s="115">
        <v>548.673</v>
      </c>
      <c r="I153" s="116">
        <v>60.382500000000007</v>
      </c>
      <c r="J153" s="116">
        <v>73.800000000000011</v>
      </c>
      <c r="K153" s="116">
        <v>40492.06</v>
      </c>
      <c r="L153" s="116">
        <v>80.510000000000005</v>
      </c>
      <c r="M153" s="116">
        <v>98.4</v>
      </c>
      <c r="N153" s="116">
        <v>53989.42</v>
      </c>
      <c r="O153" s="121">
        <f t="shared" si="4"/>
        <v>0.24999999999999989</v>
      </c>
      <c r="P153" s="121">
        <f t="shared" si="5"/>
        <v>0.25000009261073741</v>
      </c>
      <c r="Q153" s="121">
        <f>IFERROR(K153/RESUMO_DILIG!$D$5,"")</f>
        <v>4.5253653442829701E-3</v>
      </c>
      <c r="R153" s="114" t="s">
        <v>1287</v>
      </c>
      <c r="S153" s="114" t="s">
        <v>1319</v>
      </c>
      <c r="T153" s="114" t="s">
        <v>1320</v>
      </c>
    </row>
    <row r="154" spans="1:20" ht="89.25" x14ac:dyDescent="0.2">
      <c r="A154" s="108" t="s">
        <v>398</v>
      </c>
      <c r="B154" s="114" t="s">
        <v>1490</v>
      </c>
      <c r="C154" s="114" t="s">
        <v>56</v>
      </c>
      <c r="D154" s="114" t="s">
        <v>288</v>
      </c>
      <c r="E154" s="114" t="s">
        <v>391</v>
      </c>
      <c r="F154" s="114" t="s">
        <v>399</v>
      </c>
      <c r="G154" s="114" t="s">
        <v>99</v>
      </c>
      <c r="H154" s="115">
        <v>202.65799999999999</v>
      </c>
      <c r="I154" s="116">
        <v>42.344999999999999</v>
      </c>
      <c r="J154" s="116">
        <v>51.757500000000007</v>
      </c>
      <c r="K154" s="116">
        <v>10489.07</v>
      </c>
      <c r="L154" s="116">
        <v>56.46</v>
      </c>
      <c r="M154" s="116">
        <v>69.010000000000005</v>
      </c>
      <c r="N154" s="116">
        <v>13985.42</v>
      </c>
      <c r="O154" s="121">
        <f t="shared" si="4"/>
        <v>0.25</v>
      </c>
      <c r="P154" s="121">
        <f t="shared" si="5"/>
        <v>0.24999964248481632</v>
      </c>
      <c r="Q154" s="121">
        <f>IFERROR(K154/RESUMO_DILIG!$D$5,"")</f>
        <v>1.1722513962430701E-3</v>
      </c>
      <c r="R154" s="114" t="s">
        <v>1290</v>
      </c>
      <c r="S154" s="114" t="s">
        <v>1323</v>
      </c>
      <c r="T154" s="114" t="s">
        <v>1320</v>
      </c>
    </row>
    <row r="155" spans="1:20" ht="38.25" x14ac:dyDescent="0.2">
      <c r="A155" s="108" t="s">
        <v>400</v>
      </c>
      <c r="B155" s="114" t="s">
        <v>1491</v>
      </c>
      <c r="C155" s="114" t="s">
        <v>335</v>
      </c>
      <c r="D155" s="114" t="s">
        <v>288</v>
      </c>
      <c r="E155" s="114" t="s">
        <v>391</v>
      </c>
      <c r="F155" s="114" t="s">
        <v>401</v>
      </c>
      <c r="G155" s="114" t="s">
        <v>26</v>
      </c>
      <c r="H155" s="115">
        <v>483.697</v>
      </c>
      <c r="I155" s="116">
        <v>138.8175</v>
      </c>
      <c r="J155" s="116">
        <v>169.67249999999999</v>
      </c>
      <c r="K155" s="116">
        <v>82070.070000000007</v>
      </c>
      <c r="L155" s="116">
        <v>185.09</v>
      </c>
      <c r="M155" s="116">
        <v>226.23</v>
      </c>
      <c r="N155" s="116">
        <v>109426.77</v>
      </c>
      <c r="O155" s="121">
        <f t="shared" si="4"/>
        <v>0.25</v>
      </c>
      <c r="P155" s="121">
        <f t="shared" si="5"/>
        <v>0.25000006853898726</v>
      </c>
      <c r="Q155" s="121">
        <f>IFERROR(K155/RESUMO_DILIG!$D$5,"")</f>
        <v>9.1720957289127165E-3</v>
      </c>
      <c r="R155" s="114" t="s">
        <v>1287</v>
      </c>
      <c r="S155" s="114" t="s">
        <v>1319</v>
      </c>
      <c r="T155" s="114" t="s">
        <v>1320</v>
      </c>
    </row>
    <row r="156" spans="1:20" ht="38.25" x14ac:dyDescent="0.2">
      <c r="A156" s="108" t="s">
        <v>404</v>
      </c>
      <c r="B156" s="114" t="s">
        <v>1492</v>
      </c>
      <c r="C156" s="114" t="s">
        <v>56</v>
      </c>
      <c r="D156" s="114" t="s">
        <v>288</v>
      </c>
      <c r="E156" s="114" t="s">
        <v>403</v>
      </c>
      <c r="F156" s="114" t="s">
        <v>405</v>
      </c>
      <c r="G156" s="114" t="s">
        <v>99</v>
      </c>
      <c r="H156" s="115">
        <v>42.094999999999999</v>
      </c>
      <c r="I156" s="116">
        <v>110.17500000000001</v>
      </c>
      <c r="J156" s="116">
        <v>134.66250000000002</v>
      </c>
      <c r="K156" s="116">
        <v>5668.61</v>
      </c>
      <c r="L156" s="116">
        <v>146.9</v>
      </c>
      <c r="M156" s="116">
        <v>179.55</v>
      </c>
      <c r="N156" s="116">
        <v>7558.15</v>
      </c>
      <c r="O156" s="121">
        <f t="shared" si="4"/>
        <v>0.24999999999999989</v>
      </c>
      <c r="P156" s="121">
        <f t="shared" si="5"/>
        <v>0.25000033076877282</v>
      </c>
      <c r="Q156" s="121">
        <f>IFERROR(K156/RESUMO_DILIG!$D$5,"")</f>
        <v>6.3352003440318629E-4</v>
      </c>
      <c r="R156" s="114" t="s">
        <v>1290</v>
      </c>
      <c r="S156" s="114" t="s">
        <v>1323</v>
      </c>
      <c r="T156" s="114" t="s">
        <v>1320</v>
      </c>
    </row>
    <row r="157" spans="1:20" ht="51" x14ac:dyDescent="0.2">
      <c r="A157" s="108" t="s">
        <v>406</v>
      </c>
      <c r="B157" s="114" t="s">
        <v>1493</v>
      </c>
      <c r="C157" s="114" t="s">
        <v>56</v>
      </c>
      <c r="D157" s="114" t="s">
        <v>288</v>
      </c>
      <c r="E157" s="114" t="s">
        <v>403</v>
      </c>
      <c r="F157" s="114" t="s">
        <v>407</v>
      </c>
      <c r="G157" s="114" t="s">
        <v>99</v>
      </c>
      <c r="H157" s="115">
        <v>336.04300000000001</v>
      </c>
      <c r="I157" s="116">
        <v>132.03750000000002</v>
      </c>
      <c r="J157" s="116">
        <v>161.38499999999999</v>
      </c>
      <c r="K157" s="116">
        <v>54232.29</v>
      </c>
      <c r="L157" s="116">
        <v>176.05</v>
      </c>
      <c r="M157" s="116">
        <v>215.18</v>
      </c>
      <c r="N157" s="116">
        <v>72309.73</v>
      </c>
      <c r="O157" s="121">
        <f t="shared" si="4"/>
        <v>0.25000000000000011</v>
      </c>
      <c r="P157" s="121">
        <f t="shared" si="5"/>
        <v>0.25000010372048131</v>
      </c>
      <c r="Q157" s="121">
        <f>IFERROR(K157/RESUMO_DILIG!$D$5,"")</f>
        <v>6.0609641916737223E-3</v>
      </c>
      <c r="R157" s="114" t="s">
        <v>1287</v>
      </c>
      <c r="S157" s="114" t="s">
        <v>1319</v>
      </c>
      <c r="T157" s="114" t="s">
        <v>1320</v>
      </c>
    </row>
    <row r="158" spans="1:20" ht="76.5" x14ac:dyDescent="0.2">
      <c r="A158" s="108" t="s">
        <v>408</v>
      </c>
      <c r="B158" s="114" t="s">
        <v>1494</v>
      </c>
      <c r="C158" s="114" t="s">
        <v>24</v>
      </c>
      <c r="D158" s="114" t="s">
        <v>288</v>
      </c>
      <c r="E158" s="114" t="s">
        <v>403</v>
      </c>
      <c r="F158" s="114" t="s">
        <v>410</v>
      </c>
      <c r="G158" s="114" t="s">
        <v>99</v>
      </c>
      <c r="H158" s="115">
        <v>230.05</v>
      </c>
      <c r="I158" s="116">
        <v>48.457499999999996</v>
      </c>
      <c r="J158" s="116">
        <v>59.227499999999999</v>
      </c>
      <c r="K158" s="116">
        <v>13625.28</v>
      </c>
      <c r="L158" s="116">
        <v>64.61</v>
      </c>
      <c r="M158" s="116">
        <v>78.97</v>
      </c>
      <c r="N158" s="116">
        <v>18167.04</v>
      </c>
      <c r="O158" s="121">
        <f t="shared" si="4"/>
        <v>0.25</v>
      </c>
      <c r="P158" s="121">
        <f t="shared" si="5"/>
        <v>0.25</v>
      </c>
      <c r="Q158" s="121">
        <f>IFERROR(K158/RESUMO_DILIG!$D$5,"")</f>
        <v>1.5227521128377234E-3</v>
      </c>
      <c r="R158" s="114" t="s">
        <v>1290</v>
      </c>
      <c r="S158" s="114" t="s">
        <v>1323</v>
      </c>
      <c r="T158" s="114" t="s">
        <v>1320</v>
      </c>
    </row>
    <row r="159" spans="1:20" ht="51" x14ac:dyDescent="0.2">
      <c r="A159" s="108" t="s">
        <v>411</v>
      </c>
      <c r="B159" s="114" t="s">
        <v>1495</v>
      </c>
      <c r="C159" s="114" t="s">
        <v>56</v>
      </c>
      <c r="D159" s="114" t="s">
        <v>288</v>
      </c>
      <c r="E159" s="114" t="s">
        <v>403</v>
      </c>
      <c r="F159" s="114" t="s">
        <v>412</v>
      </c>
      <c r="G159" s="114" t="s">
        <v>118</v>
      </c>
      <c r="H159" s="115">
        <v>0.69399999999999995</v>
      </c>
      <c r="I159" s="116">
        <v>1274.8274999999999</v>
      </c>
      <c r="J159" s="116">
        <v>1558.2149999999999</v>
      </c>
      <c r="K159" s="116">
        <v>1081.4000000000001</v>
      </c>
      <c r="L159" s="116">
        <v>1699.77</v>
      </c>
      <c r="M159" s="116">
        <v>2077.62</v>
      </c>
      <c r="N159" s="116">
        <v>1441.86</v>
      </c>
      <c r="O159" s="121">
        <f t="shared" si="4"/>
        <v>0.25</v>
      </c>
      <c r="P159" s="121">
        <f t="shared" si="5"/>
        <v>0.24999653225694574</v>
      </c>
      <c r="Q159" s="121">
        <f>IFERROR(K159/RESUMO_DILIG!$D$5,"")</f>
        <v>1.208565354123155E-4</v>
      </c>
      <c r="R159" s="114" t="s">
        <v>1293</v>
      </c>
      <c r="S159" s="114" t="s">
        <v>1323</v>
      </c>
      <c r="T159" s="114" t="s">
        <v>1320</v>
      </c>
    </row>
    <row r="160" spans="1:20" ht="38.25" x14ac:dyDescent="0.2">
      <c r="A160" s="108" t="s">
        <v>416</v>
      </c>
      <c r="B160" s="114" t="s">
        <v>1496</v>
      </c>
      <c r="C160" s="114" t="s">
        <v>56</v>
      </c>
      <c r="D160" s="114" t="s">
        <v>413</v>
      </c>
      <c r="E160" s="114" t="s">
        <v>415</v>
      </c>
      <c r="F160" s="114" t="s">
        <v>1497</v>
      </c>
      <c r="G160" s="114" t="s">
        <v>26</v>
      </c>
      <c r="H160" s="115">
        <v>3376.1179999999999</v>
      </c>
      <c r="I160" s="116">
        <v>4.0724999999999998</v>
      </c>
      <c r="J160" s="116">
        <v>4.9725000000000001</v>
      </c>
      <c r="K160" s="116">
        <v>16787.740000000002</v>
      </c>
      <c r="L160" s="116">
        <v>5.43</v>
      </c>
      <c r="M160" s="116">
        <v>6.63</v>
      </c>
      <c r="N160" s="116">
        <v>22383.66</v>
      </c>
      <c r="O160" s="121">
        <f t="shared" si="4"/>
        <v>0.25</v>
      </c>
      <c r="P160" s="121">
        <f t="shared" si="5"/>
        <v>0.25000022337723138</v>
      </c>
      <c r="Q160" s="121">
        <f>IFERROR(K160/RESUMO_DILIG!$D$5,"")</f>
        <v>1.8761865117465743E-3</v>
      </c>
      <c r="R160" s="114" t="s">
        <v>1290</v>
      </c>
      <c r="S160" s="114" t="s">
        <v>1323</v>
      </c>
      <c r="T160" s="114" t="s">
        <v>1320</v>
      </c>
    </row>
    <row r="161" spans="1:20" ht="38.25" x14ac:dyDescent="0.2">
      <c r="A161" s="108" t="s">
        <v>418</v>
      </c>
      <c r="B161" s="114" t="s">
        <v>1498</v>
      </c>
      <c r="C161" s="114" t="s">
        <v>56</v>
      </c>
      <c r="D161" s="114" t="s">
        <v>413</v>
      </c>
      <c r="E161" s="114" t="s">
        <v>415</v>
      </c>
      <c r="F161" s="114" t="s">
        <v>419</v>
      </c>
      <c r="G161" s="114" t="s">
        <v>26</v>
      </c>
      <c r="H161" s="115">
        <v>2257.8420000000001</v>
      </c>
      <c r="I161" s="116">
        <v>18.037500000000001</v>
      </c>
      <c r="J161" s="116">
        <v>22.0425</v>
      </c>
      <c r="K161" s="116">
        <v>49768.480000000003</v>
      </c>
      <c r="L161" s="116">
        <v>24.05</v>
      </c>
      <c r="M161" s="116">
        <v>29.39</v>
      </c>
      <c r="N161" s="116">
        <v>66357.97</v>
      </c>
      <c r="O161" s="121">
        <f t="shared" si="4"/>
        <v>0.25</v>
      </c>
      <c r="P161" s="121">
        <f t="shared" si="5"/>
        <v>0.24999996232555033</v>
      </c>
      <c r="Q161" s="121">
        <f>IFERROR(K161/RESUMO_DILIG!$D$5,"")</f>
        <v>5.5620917935427366E-3</v>
      </c>
      <c r="R161" s="114" t="s">
        <v>1287</v>
      </c>
      <c r="S161" s="114" t="s">
        <v>1319</v>
      </c>
      <c r="T161" s="114" t="s">
        <v>1320</v>
      </c>
    </row>
    <row r="162" spans="1:20" ht="38.25" x14ac:dyDescent="0.2">
      <c r="A162" s="108" t="s">
        <v>420</v>
      </c>
      <c r="B162" s="114" t="s">
        <v>1499</v>
      </c>
      <c r="C162" s="114" t="s">
        <v>56</v>
      </c>
      <c r="D162" s="114" t="s">
        <v>413</v>
      </c>
      <c r="E162" s="114" t="s">
        <v>415</v>
      </c>
      <c r="F162" s="114" t="s">
        <v>1500</v>
      </c>
      <c r="G162" s="114" t="s">
        <v>26</v>
      </c>
      <c r="H162" s="115">
        <v>2257.8420000000001</v>
      </c>
      <c r="I162" s="116">
        <v>12.375</v>
      </c>
      <c r="J162" s="116">
        <v>15.120000000000001</v>
      </c>
      <c r="K162" s="116">
        <v>34138.57</v>
      </c>
      <c r="L162" s="116">
        <v>16.5</v>
      </c>
      <c r="M162" s="116">
        <v>20.16</v>
      </c>
      <c r="N162" s="116">
        <v>45518.09</v>
      </c>
      <c r="O162" s="121">
        <f t="shared" si="4"/>
        <v>0.25</v>
      </c>
      <c r="P162" s="121">
        <f t="shared" si="5"/>
        <v>0.24999994507678147</v>
      </c>
      <c r="Q162" s="121">
        <f>IFERROR(K162/RESUMO_DILIG!$D$5,"")</f>
        <v>3.8153035825141588E-3</v>
      </c>
      <c r="R162" s="114" t="s">
        <v>1287</v>
      </c>
      <c r="S162" s="114" t="s">
        <v>1319</v>
      </c>
      <c r="T162" s="114" t="s">
        <v>1320</v>
      </c>
    </row>
    <row r="163" spans="1:20" ht="25.5" x14ac:dyDescent="0.2">
      <c r="A163" s="108" t="s">
        <v>424</v>
      </c>
      <c r="B163" s="114" t="s">
        <v>1501</v>
      </c>
      <c r="C163" s="114" t="s">
        <v>56</v>
      </c>
      <c r="D163" s="114" t="s">
        <v>413</v>
      </c>
      <c r="E163" s="114" t="s">
        <v>423</v>
      </c>
      <c r="F163" s="114" t="s">
        <v>425</v>
      </c>
      <c r="G163" s="114" t="s">
        <v>26</v>
      </c>
      <c r="H163" s="115">
        <v>39.978999999999999</v>
      </c>
      <c r="I163" s="116">
        <v>10.23</v>
      </c>
      <c r="J163" s="116">
        <v>12.502500000000001</v>
      </c>
      <c r="K163" s="116">
        <v>499.83</v>
      </c>
      <c r="L163" s="116">
        <v>13.64</v>
      </c>
      <c r="M163" s="116">
        <v>16.670000000000002</v>
      </c>
      <c r="N163" s="116">
        <v>666.44</v>
      </c>
      <c r="O163" s="121">
        <f t="shared" si="4"/>
        <v>0.25</v>
      </c>
      <c r="P163" s="121">
        <f t="shared" si="5"/>
        <v>0.25000000000000011</v>
      </c>
      <c r="Q163" s="121">
        <f>IFERROR(K163/RESUMO_DILIG!$D$5,"")</f>
        <v>5.5860664042109904E-5</v>
      </c>
      <c r="R163" s="114" t="s">
        <v>1293</v>
      </c>
      <c r="S163" s="114" t="s">
        <v>1323</v>
      </c>
      <c r="T163" s="114" t="s">
        <v>1320</v>
      </c>
    </row>
    <row r="164" spans="1:20" ht="63.75" x14ac:dyDescent="0.2">
      <c r="A164" s="108" t="s">
        <v>426</v>
      </c>
      <c r="B164" s="114" t="s">
        <v>1502</v>
      </c>
      <c r="C164" s="114" t="s">
        <v>56</v>
      </c>
      <c r="D164" s="114" t="s">
        <v>413</v>
      </c>
      <c r="E164" s="114" t="s">
        <v>423</v>
      </c>
      <c r="F164" s="114" t="s">
        <v>427</v>
      </c>
      <c r="G164" s="114" t="s">
        <v>26</v>
      </c>
      <c r="H164" s="115">
        <v>1359.8</v>
      </c>
      <c r="I164" s="116">
        <v>11.22</v>
      </c>
      <c r="J164" s="116">
        <v>13.71</v>
      </c>
      <c r="K164" s="116">
        <v>18642.849999999999</v>
      </c>
      <c r="L164" s="116">
        <v>14.96</v>
      </c>
      <c r="M164" s="116">
        <v>18.28</v>
      </c>
      <c r="N164" s="116">
        <v>24857.14</v>
      </c>
      <c r="O164" s="121">
        <f t="shared" si="4"/>
        <v>0.25</v>
      </c>
      <c r="P164" s="121">
        <f t="shared" si="5"/>
        <v>0.25000020114944843</v>
      </c>
      <c r="Q164" s="121">
        <f>IFERROR(K164/RESUMO_DILIG!$D$5,"")</f>
        <v>2.0835123554757591E-3</v>
      </c>
      <c r="R164" s="114" t="s">
        <v>1290</v>
      </c>
      <c r="S164" s="114" t="s">
        <v>1323</v>
      </c>
      <c r="T164" s="114" t="s">
        <v>1320</v>
      </c>
    </row>
    <row r="165" spans="1:20" ht="76.5" x14ac:dyDescent="0.2">
      <c r="A165" s="108" t="s">
        <v>428</v>
      </c>
      <c r="B165" s="114" t="s">
        <v>1503</v>
      </c>
      <c r="C165" s="114" t="s">
        <v>56</v>
      </c>
      <c r="D165" s="114" t="s">
        <v>413</v>
      </c>
      <c r="E165" s="114" t="s">
        <v>423</v>
      </c>
      <c r="F165" s="114" t="s">
        <v>429</v>
      </c>
      <c r="G165" s="114" t="s">
        <v>26</v>
      </c>
      <c r="H165" s="115">
        <v>1359.8</v>
      </c>
      <c r="I165" s="116">
        <v>50.662499999999994</v>
      </c>
      <c r="J165" s="116">
        <v>61.92</v>
      </c>
      <c r="K165" s="116">
        <v>84198.81</v>
      </c>
      <c r="L165" s="116">
        <v>67.55</v>
      </c>
      <c r="M165" s="116">
        <v>82.56</v>
      </c>
      <c r="N165" s="116">
        <v>112265.08</v>
      </c>
      <c r="O165" s="121">
        <f t="shared" si="4"/>
        <v>0.25</v>
      </c>
      <c r="P165" s="121">
        <f t="shared" si="5"/>
        <v>0.25</v>
      </c>
      <c r="Q165" s="121">
        <f>IFERROR(K165/RESUMO_DILIG!$D$5,"")</f>
        <v>9.4100022770850968E-3</v>
      </c>
      <c r="R165" s="114" t="s">
        <v>1287</v>
      </c>
      <c r="S165" s="114" t="s">
        <v>1319</v>
      </c>
      <c r="T165" s="114" t="s">
        <v>1320</v>
      </c>
    </row>
    <row r="166" spans="1:20" ht="25.5" x14ac:dyDescent="0.2">
      <c r="A166" s="108" t="s">
        <v>430</v>
      </c>
      <c r="B166" s="114" t="s">
        <v>431</v>
      </c>
      <c r="C166" s="114" t="s">
        <v>24</v>
      </c>
      <c r="D166" s="114" t="s">
        <v>413</v>
      </c>
      <c r="E166" s="114" t="s">
        <v>423</v>
      </c>
      <c r="F166" s="114" t="s">
        <v>432</v>
      </c>
      <c r="G166" s="114" t="s">
        <v>180</v>
      </c>
      <c r="H166" s="115">
        <v>940.67200000000003</v>
      </c>
      <c r="I166" s="116">
        <v>11.25</v>
      </c>
      <c r="J166" s="116">
        <v>13.747499999999999</v>
      </c>
      <c r="K166" s="116">
        <v>12931.88</v>
      </c>
      <c r="L166" s="116">
        <v>15</v>
      </c>
      <c r="M166" s="116">
        <v>18.329999999999998</v>
      </c>
      <c r="N166" s="116">
        <v>17242.509999999998</v>
      </c>
      <c r="O166" s="121">
        <f t="shared" si="4"/>
        <v>0.25</v>
      </c>
      <c r="P166" s="121">
        <f t="shared" si="5"/>
        <v>0.2500001449904915</v>
      </c>
      <c r="Q166" s="121">
        <f>IFERROR(K166/RESUMO_DILIG!$D$5,"")</f>
        <v>1.4452581960124047E-3</v>
      </c>
      <c r="R166" s="114" t="s">
        <v>1290</v>
      </c>
      <c r="S166" s="114" t="s">
        <v>1323</v>
      </c>
      <c r="T166" s="114" t="s">
        <v>1320</v>
      </c>
    </row>
    <row r="167" spans="1:20" ht="38.25" x14ac:dyDescent="0.2">
      <c r="A167" s="108" t="s">
        <v>435</v>
      </c>
      <c r="B167" s="114" t="s">
        <v>1504</v>
      </c>
      <c r="C167" s="114" t="s">
        <v>56</v>
      </c>
      <c r="D167" s="114" t="s">
        <v>413</v>
      </c>
      <c r="E167" s="114" t="s">
        <v>434</v>
      </c>
      <c r="F167" s="114" t="s">
        <v>436</v>
      </c>
      <c r="G167" s="114" t="s">
        <v>99</v>
      </c>
      <c r="H167" s="115">
        <v>374.10399999999998</v>
      </c>
      <c r="I167" s="116">
        <v>6.4875000000000007</v>
      </c>
      <c r="J167" s="116">
        <v>7.9275000000000002</v>
      </c>
      <c r="K167" s="116">
        <v>2965.7</v>
      </c>
      <c r="L167" s="116">
        <v>8.65</v>
      </c>
      <c r="M167" s="116">
        <v>10.57</v>
      </c>
      <c r="N167" s="116">
        <v>3954.27</v>
      </c>
      <c r="O167" s="121">
        <f t="shared" si="4"/>
        <v>0.25</v>
      </c>
      <c r="P167" s="121">
        <f t="shared" si="5"/>
        <v>0.250000632227946</v>
      </c>
      <c r="Q167" s="121">
        <f>IFERROR(K167/RESUMO_DILIG!$D$5,"")</f>
        <v>3.3144463387488815E-4</v>
      </c>
      <c r="R167" s="114" t="s">
        <v>1293</v>
      </c>
      <c r="S167" s="114" t="s">
        <v>1323</v>
      </c>
      <c r="T167" s="114" t="s">
        <v>1320</v>
      </c>
    </row>
    <row r="168" spans="1:20" ht="38.25" x14ac:dyDescent="0.2">
      <c r="A168" s="108" t="s">
        <v>437</v>
      </c>
      <c r="B168" s="114" t="s">
        <v>1505</v>
      </c>
      <c r="C168" s="114" t="s">
        <v>56</v>
      </c>
      <c r="D168" s="114" t="s">
        <v>413</v>
      </c>
      <c r="E168" s="114" t="s">
        <v>434</v>
      </c>
      <c r="F168" s="114" t="s">
        <v>438</v>
      </c>
      <c r="G168" s="114" t="s">
        <v>26</v>
      </c>
      <c r="H168" s="115">
        <v>73.769000000000005</v>
      </c>
      <c r="I168" s="116">
        <v>20.325000000000003</v>
      </c>
      <c r="J168" s="116">
        <v>24.839999999999996</v>
      </c>
      <c r="K168" s="116">
        <v>1832.42</v>
      </c>
      <c r="L168" s="116">
        <v>27.1</v>
      </c>
      <c r="M168" s="116">
        <v>33.119999999999997</v>
      </c>
      <c r="N168" s="116">
        <v>2443.2199999999998</v>
      </c>
      <c r="O168" s="121">
        <f t="shared" si="4"/>
        <v>0.25</v>
      </c>
      <c r="P168" s="121">
        <f t="shared" si="5"/>
        <v>0.24999795352035414</v>
      </c>
      <c r="Q168" s="121">
        <f>IFERROR(K168/RESUMO_DILIG!$D$5,"")</f>
        <v>2.0479002461645568E-4</v>
      </c>
      <c r="R168" s="114" t="s">
        <v>1293</v>
      </c>
      <c r="S168" s="114" t="s">
        <v>1323</v>
      </c>
      <c r="T168" s="114" t="s">
        <v>1320</v>
      </c>
    </row>
    <row r="169" spans="1:20" ht="25.5" x14ac:dyDescent="0.2">
      <c r="A169" s="108" t="s">
        <v>441</v>
      </c>
      <c r="B169" s="114" t="s">
        <v>1506</v>
      </c>
      <c r="C169" s="114" t="s">
        <v>56</v>
      </c>
      <c r="D169" s="114" t="s">
        <v>413</v>
      </c>
      <c r="E169" s="114" t="s">
        <v>440</v>
      </c>
      <c r="F169" s="114" t="s">
        <v>1507</v>
      </c>
      <c r="G169" s="114" t="s">
        <v>26</v>
      </c>
      <c r="H169" s="115">
        <v>29.904</v>
      </c>
      <c r="I169" s="116">
        <v>5.0999999999999996</v>
      </c>
      <c r="J169" s="116">
        <v>6.2324999999999999</v>
      </c>
      <c r="K169" s="116">
        <v>186.37</v>
      </c>
      <c r="L169" s="116">
        <v>6.8</v>
      </c>
      <c r="M169" s="116">
        <v>8.31</v>
      </c>
      <c r="N169" s="116">
        <v>248.5</v>
      </c>
      <c r="O169" s="121">
        <f t="shared" si="4"/>
        <v>0.25</v>
      </c>
      <c r="P169" s="121">
        <f t="shared" si="5"/>
        <v>0.2500201207243461</v>
      </c>
      <c r="Q169" s="121">
        <f>IFERROR(K169/RESUMO_DILIG!$D$5,"")</f>
        <v>2.0828585634171665E-5</v>
      </c>
      <c r="R169" s="114" t="s">
        <v>1293</v>
      </c>
      <c r="S169" s="114" t="s">
        <v>1323</v>
      </c>
      <c r="T169" s="114" t="s">
        <v>1320</v>
      </c>
    </row>
    <row r="170" spans="1:20" ht="38.25" x14ac:dyDescent="0.2">
      <c r="A170" s="108" t="s">
        <v>443</v>
      </c>
      <c r="B170" s="114" t="s">
        <v>1508</v>
      </c>
      <c r="C170" s="114" t="s">
        <v>56</v>
      </c>
      <c r="D170" s="114" t="s">
        <v>413</v>
      </c>
      <c r="E170" s="114" t="s">
        <v>440</v>
      </c>
      <c r="F170" s="114" t="s">
        <v>1509</v>
      </c>
      <c r="G170" s="114" t="s">
        <v>26</v>
      </c>
      <c r="H170" s="115">
        <v>29.904</v>
      </c>
      <c r="I170" s="116">
        <v>33.06</v>
      </c>
      <c r="J170" s="116">
        <v>40.402499999999996</v>
      </c>
      <c r="K170" s="116">
        <v>1208.19</v>
      </c>
      <c r="L170" s="116">
        <v>44.08</v>
      </c>
      <c r="M170" s="116">
        <v>53.87</v>
      </c>
      <c r="N170" s="116">
        <v>1610.92</v>
      </c>
      <c r="O170" s="121">
        <f t="shared" si="4"/>
        <v>0.25</v>
      </c>
      <c r="P170" s="121">
        <f t="shared" si="5"/>
        <v>0.25</v>
      </c>
      <c r="Q170" s="121">
        <f>IFERROR(K170/RESUMO_DILIG!$D$5,"")</f>
        <v>1.3502650038820554E-4</v>
      </c>
      <c r="R170" s="114" t="s">
        <v>1293</v>
      </c>
      <c r="S170" s="114" t="s">
        <v>1323</v>
      </c>
      <c r="T170" s="114" t="s">
        <v>1320</v>
      </c>
    </row>
    <row r="171" spans="1:20" ht="38.25" x14ac:dyDescent="0.2">
      <c r="A171" s="108" t="s">
        <v>445</v>
      </c>
      <c r="B171" s="114" t="s">
        <v>1510</v>
      </c>
      <c r="C171" s="114" t="s">
        <v>56</v>
      </c>
      <c r="D171" s="114" t="s">
        <v>413</v>
      </c>
      <c r="E171" s="114" t="s">
        <v>440</v>
      </c>
      <c r="F171" s="114" t="s">
        <v>446</v>
      </c>
      <c r="G171" s="114" t="s">
        <v>26</v>
      </c>
      <c r="H171" s="115">
        <v>29.904</v>
      </c>
      <c r="I171" s="116">
        <v>14.895</v>
      </c>
      <c r="J171" s="116">
        <v>18.202500000000001</v>
      </c>
      <c r="K171" s="116">
        <v>544.32000000000005</v>
      </c>
      <c r="L171" s="116">
        <v>19.86</v>
      </c>
      <c r="M171" s="116">
        <v>24.27</v>
      </c>
      <c r="N171" s="116">
        <v>725.77</v>
      </c>
      <c r="O171" s="121">
        <f t="shared" si="4"/>
        <v>0.25</v>
      </c>
      <c r="P171" s="121">
        <f t="shared" si="5"/>
        <v>0.2500103338523223</v>
      </c>
      <c r="Q171" s="121">
        <f>IFERROR(K171/RESUMO_DILIG!$D$5,"")</f>
        <v>6.0832836467201381E-5</v>
      </c>
      <c r="R171" s="114" t="s">
        <v>1293</v>
      </c>
      <c r="S171" s="114" t="s">
        <v>1323</v>
      </c>
      <c r="T171" s="114" t="s">
        <v>1320</v>
      </c>
    </row>
    <row r="172" spans="1:20" ht="89.25" x14ac:dyDescent="0.2">
      <c r="A172" s="108" t="s">
        <v>450</v>
      </c>
      <c r="B172" s="114" t="s">
        <v>1511</v>
      </c>
      <c r="C172" s="114" t="s">
        <v>56</v>
      </c>
      <c r="D172" s="114" t="s">
        <v>447</v>
      </c>
      <c r="E172" s="114" t="s">
        <v>449</v>
      </c>
      <c r="F172" s="114" t="s">
        <v>451</v>
      </c>
      <c r="G172" s="114" t="s">
        <v>84</v>
      </c>
      <c r="H172" s="115">
        <v>26</v>
      </c>
      <c r="I172" s="116">
        <v>740.51250000000005</v>
      </c>
      <c r="J172" s="116">
        <v>905.12249999999995</v>
      </c>
      <c r="K172" s="116">
        <v>23533.18</v>
      </c>
      <c r="L172" s="116">
        <v>987.35</v>
      </c>
      <c r="M172" s="116">
        <v>1206.83</v>
      </c>
      <c r="N172" s="116">
        <v>31377.58</v>
      </c>
      <c r="O172" s="121">
        <f t="shared" si="4"/>
        <v>0.25</v>
      </c>
      <c r="P172" s="121">
        <f t="shared" si="5"/>
        <v>0.2500001593494463</v>
      </c>
      <c r="Q172" s="121">
        <f>IFERROR(K172/RESUMO_DILIG!$D$5,"")</f>
        <v>2.6300523414410902E-3</v>
      </c>
      <c r="R172" s="114" t="s">
        <v>1287</v>
      </c>
      <c r="S172" s="114" t="s">
        <v>1319</v>
      </c>
      <c r="T172" s="114" t="s">
        <v>1320</v>
      </c>
    </row>
    <row r="173" spans="1:20" ht="76.5" x14ac:dyDescent="0.2">
      <c r="A173" s="108" t="s">
        <v>452</v>
      </c>
      <c r="B173" s="114" t="s">
        <v>1512</v>
      </c>
      <c r="C173" s="114" t="s">
        <v>56</v>
      </c>
      <c r="D173" s="114" t="s">
        <v>447</v>
      </c>
      <c r="E173" s="114" t="s">
        <v>449</v>
      </c>
      <c r="F173" s="114" t="s">
        <v>453</v>
      </c>
      <c r="G173" s="114" t="s">
        <v>84</v>
      </c>
      <c r="H173" s="115">
        <v>2</v>
      </c>
      <c r="I173" s="116">
        <v>913.29</v>
      </c>
      <c r="J173" s="116">
        <v>1116.3075000000001</v>
      </c>
      <c r="K173" s="116">
        <v>2232.61</v>
      </c>
      <c r="L173" s="116">
        <v>1217.72</v>
      </c>
      <c r="M173" s="116">
        <v>1488.41</v>
      </c>
      <c r="N173" s="116">
        <v>2976.82</v>
      </c>
      <c r="O173" s="121">
        <f t="shared" si="4"/>
        <v>0.25</v>
      </c>
      <c r="P173" s="121">
        <f t="shared" si="5"/>
        <v>0.25000167964472153</v>
      </c>
      <c r="Q173" s="121">
        <f>IFERROR(K173/RESUMO_DILIG!$D$5,"")</f>
        <v>2.4951498939050279E-4</v>
      </c>
      <c r="R173" s="114" t="s">
        <v>1293</v>
      </c>
      <c r="S173" s="114" t="s">
        <v>1323</v>
      </c>
      <c r="T173" s="114" t="s">
        <v>1320</v>
      </c>
    </row>
    <row r="174" spans="1:20" ht="63.75" x14ac:dyDescent="0.2">
      <c r="A174" s="108" t="s">
        <v>454</v>
      </c>
      <c r="B174" s="114" t="s">
        <v>1513</v>
      </c>
      <c r="C174" s="114" t="s">
        <v>335</v>
      </c>
      <c r="D174" s="114" t="s">
        <v>447</v>
      </c>
      <c r="E174" s="114" t="s">
        <v>449</v>
      </c>
      <c r="F174" s="114" t="s">
        <v>455</v>
      </c>
      <c r="G174" s="114" t="s">
        <v>84</v>
      </c>
      <c r="H174" s="115">
        <v>11</v>
      </c>
      <c r="I174" s="116">
        <v>2082.5025000000001</v>
      </c>
      <c r="J174" s="116">
        <v>2545.44</v>
      </c>
      <c r="K174" s="116">
        <v>27999.84</v>
      </c>
      <c r="L174" s="116">
        <v>2776.67</v>
      </c>
      <c r="M174" s="116">
        <v>3393.92</v>
      </c>
      <c r="N174" s="116">
        <v>37333.120000000003</v>
      </c>
      <c r="O174" s="121">
        <f t="shared" si="4"/>
        <v>0.25</v>
      </c>
      <c r="P174" s="121">
        <f t="shared" si="5"/>
        <v>0.25</v>
      </c>
      <c r="Q174" s="121">
        <f>IFERROR(K174/RESUMO_DILIG!$D$5,"")</f>
        <v>3.1292432536519032E-3</v>
      </c>
      <c r="R174" s="114" t="s">
        <v>1287</v>
      </c>
      <c r="S174" s="114" t="s">
        <v>1319</v>
      </c>
      <c r="T174" s="114" t="s">
        <v>1320</v>
      </c>
    </row>
    <row r="175" spans="1:20" ht="76.5" x14ac:dyDescent="0.2">
      <c r="A175" s="108" t="s">
        <v>456</v>
      </c>
      <c r="B175" s="114" t="s">
        <v>457</v>
      </c>
      <c r="C175" s="114" t="s">
        <v>209</v>
      </c>
      <c r="D175" s="114" t="s">
        <v>447</v>
      </c>
      <c r="E175" s="114" t="s">
        <v>449</v>
      </c>
      <c r="F175" s="114" t="s">
        <v>458</v>
      </c>
      <c r="G175" s="114" t="s">
        <v>84</v>
      </c>
      <c r="H175" s="115">
        <v>11</v>
      </c>
      <c r="I175" s="116">
        <v>2009.73</v>
      </c>
      <c r="J175" s="116">
        <v>2456.4900000000002</v>
      </c>
      <c r="K175" s="116">
        <v>27021.39</v>
      </c>
      <c r="L175" s="116">
        <v>2679.64</v>
      </c>
      <c r="M175" s="116">
        <v>3275.32</v>
      </c>
      <c r="N175" s="116">
        <v>36028.519999999997</v>
      </c>
      <c r="O175" s="121">
        <f t="shared" si="4"/>
        <v>0.25</v>
      </c>
      <c r="P175" s="121">
        <f t="shared" si="5"/>
        <v>0.25</v>
      </c>
      <c r="Q175" s="121">
        <f>IFERROR(K175/RESUMO_DILIG!$D$5,"")</f>
        <v>3.0198923408775546E-3</v>
      </c>
      <c r="R175" s="114" t="s">
        <v>1287</v>
      </c>
      <c r="S175" s="114" t="s">
        <v>1319</v>
      </c>
      <c r="T175" s="114" t="s">
        <v>1320</v>
      </c>
    </row>
    <row r="176" spans="1:20" ht="63.75" x14ac:dyDescent="0.2">
      <c r="A176" s="108" t="s">
        <v>459</v>
      </c>
      <c r="B176" s="114" t="s">
        <v>1514</v>
      </c>
      <c r="C176" s="114" t="s">
        <v>56</v>
      </c>
      <c r="D176" s="114" t="s">
        <v>447</v>
      </c>
      <c r="E176" s="114" t="s">
        <v>449</v>
      </c>
      <c r="F176" s="114" t="s">
        <v>1515</v>
      </c>
      <c r="G176" s="114" t="s">
        <v>26</v>
      </c>
      <c r="H176" s="115">
        <v>10.71</v>
      </c>
      <c r="I176" s="116">
        <v>697.86750000000006</v>
      </c>
      <c r="J176" s="116">
        <v>852.99749999999995</v>
      </c>
      <c r="K176" s="116">
        <v>9135.6</v>
      </c>
      <c r="L176" s="116">
        <v>930.49</v>
      </c>
      <c r="M176" s="116">
        <v>1137.33</v>
      </c>
      <c r="N176" s="116">
        <v>12180.8</v>
      </c>
      <c r="O176" s="121">
        <f t="shared" si="4"/>
        <v>0.25</v>
      </c>
      <c r="P176" s="121">
        <f t="shared" si="5"/>
        <v>0.24999999999999989</v>
      </c>
      <c r="Q176" s="121">
        <f>IFERROR(K176/RESUMO_DILIG!$D$5,"")</f>
        <v>1.0209885009365169E-3</v>
      </c>
      <c r="R176" s="114" t="s">
        <v>1290</v>
      </c>
      <c r="S176" s="114" t="s">
        <v>1323</v>
      </c>
      <c r="T176" s="114" t="s">
        <v>1320</v>
      </c>
    </row>
    <row r="177" spans="1:20" ht="63.75" x14ac:dyDescent="0.2">
      <c r="A177" s="108" t="s">
        <v>461</v>
      </c>
      <c r="B177" s="114" t="s">
        <v>1516</v>
      </c>
      <c r="C177" s="114" t="s">
        <v>56</v>
      </c>
      <c r="D177" s="114" t="s">
        <v>447</v>
      </c>
      <c r="E177" s="114" t="s">
        <v>449</v>
      </c>
      <c r="F177" s="114" t="s">
        <v>1517</v>
      </c>
      <c r="G177" s="114" t="s">
        <v>84</v>
      </c>
      <c r="H177" s="115">
        <v>1</v>
      </c>
      <c r="I177" s="116">
        <v>1446.0674999999999</v>
      </c>
      <c r="J177" s="116">
        <v>1767.5249999999999</v>
      </c>
      <c r="K177" s="116">
        <v>1767.52</v>
      </c>
      <c r="L177" s="116">
        <v>1928.09</v>
      </c>
      <c r="M177" s="116">
        <v>2356.6999999999998</v>
      </c>
      <c r="N177" s="116">
        <v>2356.6999999999998</v>
      </c>
      <c r="O177" s="121">
        <f t="shared" si="4"/>
        <v>0.25</v>
      </c>
      <c r="P177" s="121">
        <f t="shared" si="5"/>
        <v>0.25000212161072677</v>
      </c>
      <c r="Q177" s="121">
        <f>IFERROR(K177/RESUMO_DILIG!$D$5,"")</f>
        <v>1.9753684434249666E-4</v>
      </c>
      <c r="R177" s="114" t="s">
        <v>1293</v>
      </c>
      <c r="S177" s="114" t="s">
        <v>1323</v>
      </c>
      <c r="T177" s="114" t="s">
        <v>1320</v>
      </c>
    </row>
    <row r="178" spans="1:20" ht="63.75" x14ac:dyDescent="0.2">
      <c r="A178" s="108" t="s">
        <v>463</v>
      </c>
      <c r="B178" s="114" t="s">
        <v>1518</v>
      </c>
      <c r="C178" s="114" t="s">
        <v>56</v>
      </c>
      <c r="D178" s="114" t="s">
        <v>447</v>
      </c>
      <c r="E178" s="114" t="s">
        <v>449</v>
      </c>
      <c r="F178" s="114" t="s">
        <v>1519</v>
      </c>
      <c r="G178" s="114" t="s">
        <v>84</v>
      </c>
      <c r="H178" s="115">
        <v>26</v>
      </c>
      <c r="I178" s="116">
        <v>182.85000000000002</v>
      </c>
      <c r="J178" s="116">
        <v>223.49250000000001</v>
      </c>
      <c r="K178" s="116">
        <v>5810.8</v>
      </c>
      <c r="L178" s="116">
        <v>243.8</v>
      </c>
      <c r="M178" s="116">
        <v>297.99</v>
      </c>
      <c r="N178" s="116">
        <v>7747.74</v>
      </c>
      <c r="O178" s="121">
        <f t="shared" si="4"/>
        <v>0.25</v>
      </c>
      <c r="P178" s="121">
        <f t="shared" si="5"/>
        <v>0.25000064534948252</v>
      </c>
      <c r="Q178" s="121">
        <f>IFERROR(K178/RESUMO_DILIG!$D$5,"")</f>
        <v>6.4941109300340567E-4</v>
      </c>
      <c r="R178" s="114" t="s">
        <v>1290</v>
      </c>
      <c r="S178" s="114" t="s">
        <v>1323</v>
      </c>
      <c r="T178" s="114" t="s">
        <v>1320</v>
      </c>
    </row>
    <row r="179" spans="1:20" ht="63.75" x14ac:dyDescent="0.2">
      <c r="A179" s="108" t="s">
        <v>465</v>
      </c>
      <c r="B179" s="114" t="s">
        <v>1520</v>
      </c>
      <c r="C179" s="114" t="s">
        <v>56</v>
      </c>
      <c r="D179" s="114" t="s">
        <v>447</v>
      </c>
      <c r="E179" s="114" t="s">
        <v>449</v>
      </c>
      <c r="F179" s="114" t="s">
        <v>1521</v>
      </c>
      <c r="G179" s="114" t="s">
        <v>84</v>
      </c>
      <c r="H179" s="115">
        <v>2</v>
      </c>
      <c r="I179" s="116">
        <v>157.71</v>
      </c>
      <c r="J179" s="116">
        <v>192.76499999999999</v>
      </c>
      <c r="K179" s="116">
        <v>385.53</v>
      </c>
      <c r="L179" s="116">
        <v>210.28</v>
      </c>
      <c r="M179" s="116">
        <v>257.02</v>
      </c>
      <c r="N179" s="116">
        <v>514.04</v>
      </c>
      <c r="O179" s="121">
        <f t="shared" si="4"/>
        <v>0.25</v>
      </c>
      <c r="P179" s="121">
        <f t="shared" si="5"/>
        <v>0.25</v>
      </c>
      <c r="Q179" s="121">
        <f>IFERROR(K179/RESUMO_DILIG!$D$5,"")</f>
        <v>4.3086573051146649E-5</v>
      </c>
      <c r="R179" s="114" t="s">
        <v>1293</v>
      </c>
      <c r="S179" s="114" t="s">
        <v>1323</v>
      </c>
      <c r="T179" s="114" t="s">
        <v>1320</v>
      </c>
    </row>
    <row r="180" spans="1:20" ht="63.75" x14ac:dyDescent="0.2">
      <c r="A180" s="108" t="s">
        <v>467</v>
      </c>
      <c r="B180" s="114" t="s">
        <v>1522</v>
      </c>
      <c r="C180" s="114" t="s">
        <v>24</v>
      </c>
      <c r="D180" s="114" t="s">
        <v>447</v>
      </c>
      <c r="E180" s="114" t="s">
        <v>449</v>
      </c>
      <c r="F180" s="114" t="s">
        <v>469</v>
      </c>
      <c r="G180" s="114" t="s">
        <v>99</v>
      </c>
      <c r="H180" s="115">
        <v>3.6</v>
      </c>
      <c r="I180" s="116">
        <v>47.43</v>
      </c>
      <c r="J180" s="116">
        <v>57.967500000000001</v>
      </c>
      <c r="K180" s="116">
        <v>208.68</v>
      </c>
      <c r="L180" s="116">
        <v>63.24</v>
      </c>
      <c r="M180" s="116">
        <v>77.290000000000006</v>
      </c>
      <c r="N180" s="116">
        <v>278.24</v>
      </c>
      <c r="O180" s="121">
        <f t="shared" si="4"/>
        <v>0.25</v>
      </c>
      <c r="P180" s="121">
        <f t="shared" si="5"/>
        <v>0.25</v>
      </c>
      <c r="Q180" s="121">
        <f>IFERROR(K180/RESUMO_DILIG!$D$5,"")</f>
        <v>2.3321936202923984E-5</v>
      </c>
      <c r="R180" s="114" t="s">
        <v>1293</v>
      </c>
      <c r="S180" s="114" t="s">
        <v>1323</v>
      </c>
      <c r="T180" s="114" t="s">
        <v>1320</v>
      </c>
    </row>
    <row r="181" spans="1:20" ht="38.25" x14ac:dyDescent="0.2">
      <c r="A181" s="108" t="s">
        <v>1523</v>
      </c>
      <c r="B181" s="114" t="s">
        <v>470</v>
      </c>
      <c r="C181" s="114" t="s">
        <v>209</v>
      </c>
      <c r="D181" s="114"/>
      <c r="E181" s="114"/>
      <c r="F181" s="114" t="s">
        <v>471</v>
      </c>
      <c r="G181" s="114" t="s">
        <v>84</v>
      </c>
      <c r="H181" s="115">
        <v>18</v>
      </c>
      <c r="I181" s="116">
        <v>754.58249999999998</v>
      </c>
      <c r="J181" s="116">
        <v>922.31999999999994</v>
      </c>
      <c r="K181" s="116">
        <v>16601.759999999998</v>
      </c>
      <c r="L181" s="116">
        <v>1006.11</v>
      </c>
      <c r="M181" s="116">
        <v>1229.76</v>
      </c>
      <c r="N181" s="116">
        <v>22135.68</v>
      </c>
      <c r="O181" s="121">
        <f t="shared" si="4"/>
        <v>0.25</v>
      </c>
      <c r="P181" s="121">
        <f t="shared" si="5"/>
        <v>0.25000000000000011</v>
      </c>
      <c r="Q181" s="121">
        <f>IFERROR(K181/RESUMO_DILIG!$D$5,"")</f>
        <v>1.8554015122496418E-3</v>
      </c>
      <c r="R181" s="114" t="s">
        <v>1293</v>
      </c>
      <c r="S181" s="114" t="s">
        <v>1323</v>
      </c>
      <c r="T181" s="114" t="s">
        <v>1320</v>
      </c>
    </row>
    <row r="182" spans="1:20" ht="114.75" x14ac:dyDescent="0.2">
      <c r="A182" s="108" t="s">
        <v>1524</v>
      </c>
      <c r="B182" s="114" t="s">
        <v>1525</v>
      </c>
      <c r="C182" s="114" t="s">
        <v>24</v>
      </c>
      <c r="D182" s="114"/>
      <c r="E182" s="114"/>
      <c r="F182" s="114" t="s">
        <v>473</v>
      </c>
      <c r="G182" s="114" t="s">
        <v>26</v>
      </c>
      <c r="H182" s="115">
        <v>73.483000000000004</v>
      </c>
      <c r="I182" s="116">
        <v>875.84999999999991</v>
      </c>
      <c r="J182" s="116">
        <v>1070.5500000000002</v>
      </c>
      <c r="K182" s="116">
        <v>78667.22</v>
      </c>
      <c r="L182" s="116">
        <v>1167.8</v>
      </c>
      <c r="M182" s="116">
        <v>1427.4</v>
      </c>
      <c r="N182" s="116">
        <v>104889.63</v>
      </c>
      <c r="O182" s="121">
        <f t="shared" si="4"/>
        <v>0.24999999999999989</v>
      </c>
      <c r="P182" s="121">
        <f t="shared" si="5"/>
        <v>0.25000002383457742</v>
      </c>
      <c r="Q182" s="121">
        <f>IFERROR(K182/RESUMO_DILIG!$D$5,"")</f>
        <v>8.7917955055653915E-3</v>
      </c>
      <c r="R182" s="114" t="s">
        <v>1287</v>
      </c>
      <c r="S182" s="114" t="s">
        <v>1319</v>
      </c>
      <c r="T182" s="114" t="s">
        <v>1320</v>
      </c>
    </row>
    <row r="183" spans="1:20" ht="114.75" x14ac:dyDescent="0.2">
      <c r="A183" s="108" t="s">
        <v>1526</v>
      </c>
      <c r="B183" s="114" t="s">
        <v>474</v>
      </c>
      <c r="C183" s="114" t="s">
        <v>209</v>
      </c>
      <c r="D183" s="114"/>
      <c r="E183" s="114"/>
      <c r="F183" s="114" t="s">
        <v>475</v>
      </c>
      <c r="G183" s="114" t="s">
        <v>84</v>
      </c>
      <c r="H183" s="115">
        <v>1</v>
      </c>
      <c r="I183" s="116">
        <v>8206.3724999999995</v>
      </c>
      <c r="J183" s="116">
        <v>10030.6425</v>
      </c>
      <c r="K183" s="116">
        <v>10030.64</v>
      </c>
      <c r="L183" s="116">
        <v>10941.83</v>
      </c>
      <c r="M183" s="116">
        <v>13374.19</v>
      </c>
      <c r="N183" s="116">
        <v>13374.19</v>
      </c>
      <c r="O183" s="121">
        <f t="shared" si="4"/>
        <v>0.25</v>
      </c>
      <c r="P183" s="121">
        <f t="shared" si="5"/>
        <v>0.25000018692720838</v>
      </c>
      <c r="Q183" s="121">
        <f>IFERROR(K183/RESUMO_DILIG!$D$5,"")</f>
        <v>1.1210175683079233E-3</v>
      </c>
      <c r="R183" s="114" t="s">
        <v>1290</v>
      </c>
      <c r="S183" s="114" t="s">
        <v>1319</v>
      </c>
      <c r="T183" s="114" t="s">
        <v>1320</v>
      </c>
    </row>
    <row r="184" spans="1:20" ht="63.75" x14ac:dyDescent="0.2">
      <c r="A184" s="108" t="s">
        <v>478</v>
      </c>
      <c r="B184" s="114" t="s">
        <v>1527</v>
      </c>
      <c r="C184" s="114" t="s">
        <v>24</v>
      </c>
      <c r="D184" s="114" t="s">
        <v>447</v>
      </c>
      <c r="E184" s="114" t="s">
        <v>477</v>
      </c>
      <c r="F184" s="114" t="s">
        <v>1528</v>
      </c>
      <c r="G184" s="114" t="s">
        <v>26</v>
      </c>
      <c r="H184" s="115">
        <v>14.077999999999999</v>
      </c>
      <c r="I184" s="116">
        <v>478.95000000000005</v>
      </c>
      <c r="J184" s="116">
        <v>585.41999999999996</v>
      </c>
      <c r="K184" s="116">
        <v>8241.5400000000009</v>
      </c>
      <c r="L184" s="116">
        <v>638.6</v>
      </c>
      <c r="M184" s="116">
        <v>780.56</v>
      </c>
      <c r="N184" s="116">
        <v>10988.72</v>
      </c>
      <c r="O184" s="121">
        <f t="shared" si="4"/>
        <v>0.25</v>
      </c>
      <c r="P184" s="121">
        <f t="shared" si="5"/>
        <v>0.24999999999999989</v>
      </c>
      <c r="Q184" s="121">
        <f>IFERROR(K184/RESUMO_DILIG!$D$5,"")</f>
        <v>9.2106895770484071E-4</v>
      </c>
      <c r="R184" s="114" t="s">
        <v>1290</v>
      </c>
      <c r="S184" s="114" t="s">
        <v>1323</v>
      </c>
      <c r="T184" s="114" t="s">
        <v>1320</v>
      </c>
    </row>
    <row r="185" spans="1:20" ht="63.75" x14ac:dyDescent="0.2">
      <c r="A185" s="108" t="s">
        <v>481</v>
      </c>
      <c r="B185" s="114" t="s">
        <v>1529</v>
      </c>
      <c r="C185" s="114" t="s">
        <v>24</v>
      </c>
      <c r="D185" s="114" t="s">
        <v>447</v>
      </c>
      <c r="E185" s="114" t="s">
        <v>477</v>
      </c>
      <c r="F185" s="114" t="s">
        <v>1530</v>
      </c>
      <c r="G185" s="114" t="s">
        <v>84</v>
      </c>
      <c r="H185" s="115">
        <v>4</v>
      </c>
      <c r="I185" s="116">
        <v>141.19499999999999</v>
      </c>
      <c r="J185" s="116">
        <v>172.58250000000001</v>
      </c>
      <c r="K185" s="116">
        <v>690.33</v>
      </c>
      <c r="L185" s="116">
        <v>188.26</v>
      </c>
      <c r="M185" s="116">
        <v>230.11</v>
      </c>
      <c r="N185" s="116">
        <v>920.44</v>
      </c>
      <c r="O185" s="121">
        <f t="shared" si="4"/>
        <v>0.25</v>
      </c>
      <c r="P185" s="121">
        <f t="shared" si="5"/>
        <v>0.25</v>
      </c>
      <c r="Q185" s="121">
        <f>IFERROR(K185/RESUMO_DILIG!$D$5,"")</f>
        <v>7.7150815693715336E-5</v>
      </c>
      <c r="R185" s="114" t="s">
        <v>1293</v>
      </c>
      <c r="S185" s="114" t="s">
        <v>1323</v>
      </c>
      <c r="T185" s="114" t="s">
        <v>1320</v>
      </c>
    </row>
    <row r="186" spans="1:20" ht="63.75" x14ac:dyDescent="0.2">
      <c r="A186" s="108" t="s">
        <v>484</v>
      </c>
      <c r="B186" s="114" t="s">
        <v>1531</v>
      </c>
      <c r="C186" s="114" t="s">
        <v>56</v>
      </c>
      <c r="D186" s="114" t="s">
        <v>447</v>
      </c>
      <c r="E186" s="114" t="s">
        <v>477</v>
      </c>
      <c r="F186" s="114" t="s">
        <v>485</v>
      </c>
      <c r="G186" s="114" t="s">
        <v>84</v>
      </c>
      <c r="H186" s="115">
        <v>2</v>
      </c>
      <c r="I186" s="116">
        <v>3876.3825000000002</v>
      </c>
      <c r="J186" s="116">
        <v>4738.0950000000003</v>
      </c>
      <c r="K186" s="116">
        <v>9476.19</v>
      </c>
      <c r="L186" s="116">
        <v>5168.51</v>
      </c>
      <c r="M186" s="116">
        <v>6317.46</v>
      </c>
      <c r="N186" s="116">
        <v>12634.92</v>
      </c>
      <c r="O186" s="121">
        <f t="shared" si="4"/>
        <v>0.25</v>
      </c>
      <c r="P186" s="121">
        <f t="shared" si="5"/>
        <v>0.25</v>
      </c>
      <c r="Q186" s="121">
        <f>IFERROR(K186/RESUMO_DILIG!$D$5,"")</f>
        <v>1.0590526098657573E-3</v>
      </c>
      <c r="R186" s="114" t="s">
        <v>1290</v>
      </c>
      <c r="S186" s="114" t="s">
        <v>1323</v>
      </c>
      <c r="T186" s="114" t="s">
        <v>1320</v>
      </c>
    </row>
    <row r="187" spans="1:20" ht="63.75" x14ac:dyDescent="0.2">
      <c r="A187" s="108" t="s">
        <v>486</v>
      </c>
      <c r="B187" s="114" t="s">
        <v>1532</v>
      </c>
      <c r="C187" s="114" t="s">
        <v>56</v>
      </c>
      <c r="D187" s="114" t="s">
        <v>447</v>
      </c>
      <c r="E187" s="114" t="s">
        <v>477</v>
      </c>
      <c r="F187" s="114" t="s">
        <v>487</v>
      </c>
      <c r="G187" s="114" t="s">
        <v>84</v>
      </c>
      <c r="H187" s="115">
        <v>2</v>
      </c>
      <c r="I187" s="116">
        <v>1932.0749999999998</v>
      </c>
      <c r="J187" s="116">
        <v>2361.5700000000002</v>
      </c>
      <c r="K187" s="116">
        <v>4723.1400000000003</v>
      </c>
      <c r="L187" s="116">
        <v>2576.1</v>
      </c>
      <c r="M187" s="116">
        <v>3148.76</v>
      </c>
      <c r="N187" s="116">
        <v>6297.52</v>
      </c>
      <c r="O187" s="121">
        <f t="shared" si="4"/>
        <v>0.25</v>
      </c>
      <c r="P187" s="121">
        <f t="shared" si="5"/>
        <v>0.25</v>
      </c>
      <c r="Q187" s="121">
        <f>IFERROR(K187/RESUMO_DILIG!$D$5,"")</f>
        <v>5.2785494420873303E-4</v>
      </c>
      <c r="R187" s="114" t="s">
        <v>1293</v>
      </c>
      <c r="S187" s="114" t="s">
        <v>1323</v>
      </c>
      <c r="T187" s="114" t="s">
        <v>1320</v>
      </c>
    </row>
    <row r="188" spans="1:20" ht="63.75" x14ac:dyDescent="0.2">
      <c r="A188" s="108" t="s">
        <v>488</v>
      </c>
      <c r="B188" s="114" t="s">
        <v>1533</v>
      </c>
      <c r="C188" s="114" t="s">
        <v>24</v>
      </c>
      <c r="D188" s="114" t="s">
        <v>447</v>
      </c>
      <c r="E188" s="114" t="s">
        <v>477</v>
      </c>
      <c r="F188" s="114" t="s">
        <v>490</v>
      </c>
      <c r="G188" s="114" t="s">
        <v>26</v>
      </c>
      <c r="H188" s="115">
        <v>192.67599999999999</v>
      </c>
      <c r="I188" s="116">
        <v>485.12250000000006</v>
      </c>
      <c r="J188" s="116">
        <v>592.96500000000003</v>
      </c>
      <c r="K188" s="116">
        <v>114250.12</v>
      </c>
      <c r="L188" s="116">
        <v>646.83000000000004</v>
      </c>
      <c r="M188" s="116">
        <v>790.62</v>
      </c>
      <c r="N188" s="116">
        <v>152333.49</v>
      </c>
      <c r="O188" s="121">
        <f t="shared" si="4"/>
        <v>0.25</v>
      </c>
      <c r="P188" s="121">
        <f t="shared" si="5"/>
        <v>0.24999998358863829</v>
      </c>
      <c r="Q188" s="121">
        <f>IFERROR(K188/RESUMO_DILIG!$D$5,"")</f>
        <v>1.2768516435769645E-2</v>
      </c>
      <c r="R188" s="114" t="s">
        <v>1287</v>
      </c>
      <c r="S188" s="114" t="s">
        <v>1319</v>
      </c>
      <c r="T188" s="114" t="s">
        <v>1320</v>
      </c>
    </row>
    <row r="189" spans="1:20" ht="63.75" x14ac:dyDescent="0.2">
      <c r="A189" s="108" t="s">
        <v>491</v>
      </c>
      <c r="B189" s="114" t="s">
        <v>1534</v>
      </c>
      <c r="C189" s="114" t="s">
        <v>24</v>
      </c>
      <c r="D189" s="114" t="s">
        <v>447</v>
      </c>
      <c r="E189" s="114" t="s">
        <v>477</v>
      </c>
      <c r="F189" s="114" t="s">
        <v>493</v>
      </c>
      <c r="G189" s="114" t="s">
        <v>26</v>
      </c>
      <c r="H189" s="115">
        <v>140.98599999999999</v>
      </c>
      <c r="I189" s="116">
        <v>321.47249999999997</v>
      </c>
      <c r="J189" s="116">
        <v>392.9325</v>
      </c>
      <c r="K189" s="116">
        <v>55397.98</v>
      </c>
      <c r="L189" s="116">
        <v>428.63</v>
      </c>
      <c r="M189" s="116">
        <v>523.91</v>
      </c>
      <c r="N189" s="116">
        <v>73863.97</v>
      </c>
      <c r="O189" s="121">
        <f t="shared" si="4"/>
        <v>0.25</v>
      </c>
      <c r="P189" s="121">
        <f t="shared" si="5"/>
        <v>0.249999966153999</v>
      </c>
      <c r="Q189" s="121">
        <f>IFERROR(K189/RESUMO_DILIG!$D$5,"")</f>
        <v>6.1912409206960842E-3</v>
      </c>
      <c r="R189" s="114" t="s">
        <v>1287</v>
      </c>
      <c r="S189" s="114" t="s">
        <v>1319</v>
      </c>
      <c r="T189" s="114" t="s">
        <v>1320</v>
      </c>
    </row>
    <row r="190" spans="1:20" ht="114.75" x14ac:dyDescent="0.2">
      <c r="A190" s="108" t="s">
        <v>494</v>
      </c>
      <c r="B190" s="114" t="s">
        <v>1535</v>
      </c>
      <c r="C190" s="114" t="s">
        <v>24</v>
      </c>
      <c r="D190" s="114" t="s">
        <v>447</v>
      </c>
      <c r="E190" s="114" t="s">
        <v>477</v>
      </c>
      <c r="F190" s="114" t="s">
        <v>1536</v>
      </c>
      <c r="G190" s="114" t="s">
        <v>26</v>
      </c>
      <c r="H190" s="115">
        <v>5.6769999999999996</v>
      </c>
      <c r="I190" s="116">
        <v>1184.31</v>
      </c>
      <c r="J190" s="116">
        <v>1447.5749999999998</v>
      </c>
      <c r="K190" s="116">
        <v>8217.8799999999992</v>
      </c>
      <c r="L190" s="116">
        <v>1579.08</v>
      </c>
      <c r="M190" s="116">
        <v>1930.1</v>
      </c>
      <c r="N190" s="116">
        <v>10957.17</v>
      </c>
      <c r="O190" s="121">
        <f t="shared" si="4"/>
        <v>0.25000000000000011</v>
      </c>
      <c r="P190" s="121">
        <f t="shared" si="5"/>
        <v>0.24999977183889643</v>
      </c>
      <c r="Q190" s="121">
        <f>IFERROR(K190/RESUMO_DILIG!$D$5,"")</f>
        <v>9.1842473204564376E-4</v>
      </c>
      <c r="R190" s="114" t="s">
        <v>1290</v>
      </c>
      <c r="S190" s="114" t="s">
        <v>1323</v>
      </c>
      <c r="T190" s="114" t="s">
        <v>1320</v>
      </c>
    </row>
    <row r="191" spans="1:20" ht="140.25" x14ac:dyDescent="0.2">
      <c r="A191" s="108" t="s">
        <v>497</v>
      </c>
      <c r="B191" s="114" t="s">
        <v>1537</v>
      </c>
      <c r="C191" s="114" t="s">
        <v>24</v>
      </c>
      <c r="D191" s="114" t="s">
        <v>447</v>
      </c>
      <c r="E191" s="114" t="s">
        <v>477</v>
      </c>
      <c r="F191" s="114" t="s">
        <v>499</v>
      </c>
      <c r="G191" s="114" t="s">
        <v>26</v>
      </c>
      <c r="H191" s="115">
        <v>1.944</v>
      </c>
      <c r="I191" s="116">
        <v>1129.5525</v>
      </c>
      <c r="J191" s="116">
        <v>1380.645</v>
      </c>
      <c r="K191" s="116">
        <v>2683.97</v>
      </c>
      <c r="L191" s="116">
        <v>1506.07</v>
      </c>
      <c r="M191" s="116">
        <v>1840.86</v>
      </c>
      <c r="N191" s="116">
        <v>3578.63</v>
      </c>
      <c r="O191" s="121">
        <f t="shared" si="4"/>
        <v>0.25</v>
      </c>
      <c r="P191" s="121">
        <f t="shared" si="5"/>
        <v>0.25000069859136043</v>
      </c>
      <c r="Q191" s="121">
        <f>IFERROR(K191/RESUMO_DILIG!$D$5,"")</f>
        <v>2.9995867888902569E-4</v>
      </c>
      <c r="R191" s="114" t="s">
        <v>1293</v>
      </c>
      <c r="S191" s="114" t="s">
        <v>1323</v>
      </c>
      <c r="T191" s="114" t="s">
        <v>1320</v>
      </c>
    </row>
    <row r="192" spans="1:20" ht="63.75" x14ac:dyDescent="0.2">
      <c r="A192" s="108" t="s">
        <v>500</v>
      </c>
      <c r="B192" s="114" t="s">
        <v>1538</v>
      </c>
      <c r="C192" s="114" t="s">
        <v>209</v>
      </c>
      <c r="D192" s="114" t="s">
        <v>447</v>
      </c>
      <c r="E192" s="114" t="s">
        <v>477</v>
      </c>
      <c r="F192" s="114" t="s">
        <v>1539</v>
      </c>
      <c r="G192" s="114" t="s">
        <v>84</v>
      </c>
      <c r="H192" s="115">
        <v>1</v>
      </c>
      <c r="I192" s="116">
        <v>4827.7950000000001</v>
      </c>
      <c r="J192" s="116">
        <v>5901.0074999999997</v>
      </c>
      <c r="K192" s="116">
        <v>5901</v>
      </c>
      <c r="L192" s="116">
        <v>6437.06</v>
      </c>
      <c r="M192" s="116">
        <v>7868.01</v>
      </c>
      <c r="N192" s="116">
        <v>7868.01</v>
      </c>
      <c r="O192" s="121">
        <f t="shared" si="4"/>
        <v>0.25000000000000011</v>
      </c>
      <c r="P192" s="121">
        <f t="shared" si="5"/>
        <v>0.25000095322705485</v>
      </c>
      <c r="Q192" s="121">
        <f>IFERROR(K192/RESUMO_DILIG!$D$5,"")</f>
        <v>6.5949178423161986E-4</v>
      </c>
      <c r="R192" s="114" t="s">
        <v>1290</v>
      </c>
      <c r="S192" s="114" t="s">
        <v>1319</v>
      </c>
      <c r="T192" s="114" t="s">
        <v>1320</v>
      </c>
    </row>
    <row r="193" spans="1:20" ht="25.5" x14ac:dyDescent="0.2">
      <c r="A193" s="108" t="s">
        <v>1540</v>
      </c>
      <c r="B193" s="114" t="s">
        <v>1541</v>
      </c>
      <c r="C193" s="114" t="s">
        <v>335</v>
      </c>
      <c r="D193" s="114"/>
      <c r="E193" s="114"/>
      <c r="F193" s="114" t="s">
        <v>503</v>
      </c>
      <c r="G193" s="114" t="s">
        <v>84</v>
      </c>
      <c r="H193" s="115">
        <v>3</v>
      </c>
      <c r="I193" s="116">
        <v>132.58500000000001</v>
      </c>
      <c r="J193" s="116">
        <v>162.05250000000001</v>
      </c>
      <c r="K193" s="116">
        <v>486.15</v>
      </c>
      <c r="L193" s="116">
        <v>176.78</v>
      </c>
      <c r="M193" s="116">
        <v>216.07</v>
      </c>
      <c r="N193" s="116">
        <v>648.21</v>
      </c>
      <c r="O193" s="121">
        <f t="shared" si="4"/>
        <v>0.24999999999999989</v>
      </c>
      <c r="P193" s="121">
        <f t="shared" si="5"/>
        <v>0.250011570324432</v>
      </c>
      <c r="Q193" s="121">
        <f>IFERROR(K193/RESUMO_DILIG!$D$5,"")</f>
        <v>5.4331796458939503E-5</v>
      </c>
      <c r="R193" s="114" t="s">
        <v>1293</v>
      </c>
      <c r="S193" s="114" t="s">
        <v>1323</v>
      </c>
      <c r="T193" s="114" t="s">
        <v>1320</v>
      </c>
    </row>
    <row r="194" spans="1:20" ht="127.5" x14ac:dyDescent="0.2">
      <c r="A194" s="108" t="s">
        <v>506</v>
      </c>
      <c r="B194" s="114" t="s">
        <v>1542</v>
      </c>
      <c r="C194" s="114" t="s">
        <v>24</v>
      </c>
      <c r="D194" s="114" t="s">
        <v>447</v>
      </c>
      <c r="E194" s="114" t="s">
        <v>505</v>
      </c>
      <c r="F194" s="114" t="s">
        <v>508</v>
      </c>
      <c r="G194" s="114" t="s">
        <v>99</v>
      </c>
      <c r="H194" s="115">
        <v>27.93</v>
      </c>
      <c r="I194" s="116">
        <v>391.59000000000003</v>
      </c>
      <c r="J194" s="116">
        <v>478.63499999999999</v>
      </c>
      <c r="K194" s="116">
        <v>13368.27</v>
      </c>
      <c r="L194" s="116">
        <v>522.12</v>
      </c>
      <c r="M194" s="116">
        <v>638.17999999999995</v>
      </c>
      <c r="N194" s="116">
        <v>17824.36</v>
      </c>
      <c r="O194" s="121">
        <f t="shared" si="4"/>
        <v>0.25</v>
      </c>
      <c r="P194" s="121">
        <f t="shared" si="5"/>
        <v>0.25</v>
      </c>
      <c r="Q194" s="121">
        <f>IFERROR(K194/RESUMO_DILIG!$D$5,"")</f>
        <v>1.4940288483968882E-3</v>
      </c>
      <c r="R194" s="114" t="s">
        <v>1290</v>
      </c>
      <c r="S194" s="114" t="s">
        <v>1323</v>
      </c>
      <c r="T194" s="114" t="s">
        <v>1320</v>
      </c>
    </row>
    <row r="195" spans="1:20" ht="63.75" x14ac:dyDescent="0.2">
      <c r="A195" s="108" t="s">
        <v>509</v>
      </c>
      <c r="B195" s="114" t="s">
        <v>1543</v>
      </c>
      <c r="C195" s="114" t="s">
        <v>335</v>
      </c>
      <c r="D195" s="114" t="s">
        <v>447</v>
      </c>
      <c r="E195" s="114" t="s">
        <v>505</v>
      </c>
      <c r="F195" s="114" t="s">
        <v>510</v>
      </c>
      <c r="G195" s="114" t="s">
        <v>99</v>
      </c>
      <c r="H195" s="115">
        <v>6.2030000000000003</v>
      </c>
      <c r="I195" s="116">
        <v>652.32749999999999</v>
      </c>
      <c r="J195" s="116">
        <v>797.33249999999998</v>
      </c>
      <c r="K195" s="116">
        <v>4945.8500000000004</v>
      </c>
      <c r="L195" s="116">
        <v>869.77</v>
      </c>
      <c r="M195" s="116">
        <v>1063.1099999999999</v>
      </c>
      <c r="N195" s="116">
        <v>6594.47</v>
      </c>
      <c r="O195" s="121">
        <f t="shared" si="4"/>
        <v>0.25</v>
      </c>
      <c r="P195" s="121">
        <f t="shared" si="5"/>
        <v>0.2500003791055232</v>
      </c>
      <c r="Q195" s="121">
        <f>IFERROR(K195/RESUMO_DILIG!$D$5,"")</f>
        <v>5.5274486375901666E-4</v>
      </c>
      <c r="R195" s="114" t="s">
        <v>1293</v>
      </c>
      <c r="S195" s="114" t="s">
        <v>1323</v>
      </c>
      <c r="T195" s="114" t="s">
        <v>1320</v>
      </c>
    </row>
    <row r="196" spans="1:20" ht="63.75" x14ac:dyDescent="0.2">
      <c r="A196" s="108" t="s">
        <v>511</v>
      </c>
      <c r="B196" s="114" t="s">
        <v>512</v>
      </c>
      <c r="C196" s="114" t="s">
        <v>209</v>
      </c>
      <c r="D196" s="114" t="s">
        <v>447</v>
      </c>
      <c r="E196" s="114" t="s">
        <v>505</v>
      </c>
      <c r="F196" s="114" t="s">
        <v>513</v>
      </c>
      <c r="G196" s="114" t="s">
        <v>84</v>
      </c>
      <c r="H196" s="115">
        <v>12</v>
      </c>
      <c r="I196" s="116">
        <v>285.90749999999997</v>
      </c>
      <c r="J196" s="116">
        <v>349.46249999999998</v>
      </c>
      <c r="K196" s="116">
        <v>4193.55</v>
      </c>
      <c r="L196" s="116">
        <v>381.21</v>
      </c>
      <c r="M196" s="116">
        <v>465.95</v>
      </c>
      <c r="N196" s="116">
        <v>5591.4</v>
      </c>
      <c r="O196" s="121">
        <f t="shared" ref="O196:O259" si="6">IFERROR(1-J196/M196,"")</f>
        <v>0.25</v>
      </c>
      <c r="P196" s="121">
        <f t="shared" ref="P196:P259" si="7">IFERROR(1-K196/N196,"")</f>
        <v>0.24999999999999989</v>
      </c>
      <c r="Q196" s="121">
        <f>IFERROR(K196/RESUMO_DILIG!$D$5,"")</f>
        <v>4.6866832261726991E-4</v>
      </c>
      <c r="R196" s="114" t="s">
        <v>1293</v>
      </c>
      <c r="S196" s="114" t="s">
        <v>1319</v>
      </c>
      <c r="T196" s="114" t="s">
        <v>1320</v>
      </c>
    </row>
    <row r="197" spans="1:20" ht="63.75" x14ac:dyDescent="0.2">
      <c r="A197" s="108" t="s">
        <v>514</v>
      </c>
      <c r="B197" s="114" t="s">
        <v>515</v>
      </c>
      <c r="C197" s="114" t="s">
        <v>209</v>
      </c>
      <c r="D197" s="114" t="s">
        <v>447</v>
      </c>
      <c r="E197" s="114" t="s">
        <v>505</v>
      </c>
      <c r="F197" s="114" t="s">
        <v>516</v>
      </c>
      <c r="G197" s="114" t="s">
        <v>84</v>
      </c>
      <c r="H197" s="115">
        <v>1</v>
      </c>
      <c r="I197" s="116">
        <v>8255.91</v>
      </c>
      <c r="J197" s="116">
        <v>10091.1975</v>
      </c>
      <c r="K197" s="116">
        <v>10091.19</v>
      </c>
      <c r="L197" s="116">
        <v>11007.88</v>
      </c>
      <c r="M197" s="116">
        <v>13454.93</v>
      </c>
      <c r="N197" s="116">
        <v>13454.93</v>
      </c>
      <c r="O197" s="121">
        <f t="shared" si="6"/>
        <v>0.25</v>
      </c>
      <c r="P197" s="121">
        <f t="shared" si="7"/>
        <v>0.25000055741650085</v>
      </c>
      <c r="Q197" s="121">
        <f>IFERROR(K197/RESUMO_DILIG!$D$5,"")</f>
        <v>1.1277845955126725E-3</v>
      </c>
      <c r="R197" s="114" t="s">
        <v>1290</v>
      </c>
      <c r="S197" s="114" t="s">
        <v>1319</v>
      </c>
      <c r="T197" s="114" t="s">
        <v>1320</v>
      </c>
    </row>
    <row r="198" spans="1:20" ht="153" x14ac:dyDescent="0.2">
      <c r="A198" s="108" t="s">
        <v>517</v>
      </c>
      <c r="B198" s="114" t="s">
        <v>1544</v>
      </c>
      <c r="C198" s="114" t="s">
        <v>24</v>
      </c>
      <c r="D198" s="114" t="s">
        <v>447</v>
      </c>
      <c r="E198" s="114" t="s">
        <v>505</v>
      </c>
      <c r="F198" s="114" t="s">
        <v>519</v>
      </c>
      <c r="G198" s="114" t="s">
        <v>26</v>
      </c>
      <c r="H198" s="115">
        <v>115.76900000000001</v>
      </c>
      <c r="I198" s="116">
        <v>712.5</v>
      </c>
      <c r="J198" s="116">
        <v>870.88499999999999</v>
      </c>
      <c r="K198" s="116">
        <v>100821.48</v>
      </c>
      <c r="L198" s="116">
        <v>950</v>
      </c>
      <c r="M198" s="116">
        <v>1161.18</v>
      </c>
      <c r="N198" s="116">
        <v>134428.64000000001</v>
      </c>
      <c r="O198" s="121">
        <f t="shared" si="6"/>
        <v>0.25</v>
      </c>
      <c r="P198" s="121">
        <f t="shared" si="7"/>
        <v>0.25000000000000011</v>
      </c>
      <c r="Q198" s="121">
        <f>IFERROR(K198/RESUMO_DILIG!$D$5,"")</f>
        <v>1.1267740676846733E-2</v>
      </c>
      <c r="R198" s="114" t="s">
        <v>1287</v>
      </c>
      <c r="S198" s="114" t="s">
        <v>1319</v>
      </c>
      <c r="T198" s="114" t="s">
        <v>1320</v>
      </c>
    </row>
    <row r="199" spans="1:20" ht="178.5" x14ac:dyDescent="0.2">
      <c r="A199" s="108" t="s">
        <v>520</v>
      </c>
      <c r="B199" s="114" t="s">
        <v>1545</v>
      </c>
      <c r="C199" s="114" t="s">
        <v>24</v>
      </c>
      <c r="D199" s="114" t="s">
        <v>447</v>
      </c>
      <c r="E199" s="114" t="s">
        <v>505</v>
      </c>
      <c r="F199" s="114" t="s">
        <v>522</v>
      </c>
      <c r="G199" s="114" t="s">
        <v>99</v>
      </c>
      <c r="H199" s="115">
        <v>5.1369999999999996</v>
      </c>
      <c r="I199" s="116">
        <v>658.6875</v>
      </c>
      <c r="J199" s="116">
        <v>805.11</v>
      </c>
      <c r="K199" s="116">
        <v>4135.8500000000004</v>
      </c>
      <c r="L199" s="116">
        <v>878.25</v>
      </c>
      <c r="M199" s="116">
        <v>1073.48</v>
      </c>
      <c r="N199" s="116">
        <v>5514.46</v>
      </c>
      <c r="O199" s="121">
        <f t="shared" si="6"/>
        <v>0.25</v>
      </c>
      <c r="P199" s="121">
        <f t="shared" si="7"/>
        <v>0.24999909329290626</v>
      </c>
      <c r="Q199" s="121">
        <f>IFERROR(K199/RESUMO_DILIG!$D$5,"")</f>
        <v>4.6221980949234798E-4</v>
      </c>
      <c r="R199" s="114" t="s">
        <v>1293</v>
      </c>
      <c r="S199" s="114" t="s">
        <v>1323</v>
      </c>
      <c r="T199" s="114" t="s">
        <v>1320</v>
      </c>
    </row>
    <row r="200" spans="1:20" ht="63.75" x14ac:dyDescent="0.2">
      <c r="A200" s="108" t="s">
        <v>523</v>
      </c>
      <c r="B200" s="114" t="s">
        <v>1546</v>
      </c>
      <c r="C200" s="114" t="s">
        <v>24</v>
      </c>
      <c r="D200" s="114" t="s">
        <v>447</v>
      </c>
      <c r="E200" s="114" t="s">
        <v>505</v>
      </c>
      <c r="F200" s="114" t="s">
        <v>525</v>
      </c>
      <c r="G200" s="114" t="s">
        <v>84</v>
      </c>
      <c r="H200" s="115">
        <v>120</v>
      </c>
      <c r="I200" s="116">
        <v>90.967500000000001</v>
      </c>
      <c r="J200" s="116">
        <v>111.1875</v>
      </c>
      <c r="K200" s="116">
        <v>13342.5</v>
      </c>
      <c r="L200" s="116">
        <v>121.29</v>
      </c>
      <c r="M200" s="116">
        <v>148.25</v>
      </c>
      <c r="N200" s="116">
        <v>17790</v>
      </c>
      <c r="O200" s="121">
        <f t="shared" si="6"/>
        <v>0.25</v>
      </c>
      <c r="P200" s="121">
        <f t="shared" si="7"/>
        <v>0.25</v>
      </c>
      <c r="Q200" s="121">
        <f>IFERROR(K200/RESUMO_DILIG!$D$5,"")</f>
        <v>1.4911488105592929E-3</v>
      </c>
      <c r="R200" s="114" t="s">
        <v>1290</v>
      </c>
      <c r="S200" s="114" t="s">
        <v>1323</v>
      </c>
      <c r="T200" s="114" t="s">
        <v>1320</v>
      </c>
    </row>
    <row r="201" spans="1:20" ht="114.75" x14ac:dyDescent="0.2">
      <c r="A201" s="108" t="s">
        <v>526</v>
      </c>
      <c r="B201" s="114" t="s">
        <v>1547</v>
      </c>
      <c r="C201" s="114" t="s">
        <v>24</v>
      </c>
      <c r="D201" s="114" t="s">
        <v>447</v>
      </c>
      <c r="E201" s="114" t="s">
        <v>505</v>
      </c>
      <c r="F201" s="114" t="s">
        <v>1548</v>
      </c>
      <c r="G201" s="114" t="s">
        <v>26</v>
      </c>
      <c r="H201" s="115">
        <v>20.318000000000001</v>
      </c>
      <c r="I201" s="116">
        <v>559.31999999999994</v>
      </c>
      <c r="J201" s="116">
        <v>683.65499999999997</v>
      </c>
      <c r="K201" s="116">
        <v>13890.5</v>
      </c>
      <c r="L201" s="116">
        <v>745.76</v>
      </c>
      <c r="M201" s="116">
        <v>911.54</v>
      </c>
      <c r="N201" s="116">
        <v>18520.66</v>
      </c>
      <c r="O201" s="121">
        <f t="shared" si="6"/>
        <v>0.25</v>
      </c>
      <c r="P201" s="121">
        <f t="shared" si="7"/>
        <v>0.24999973003121922</v>
      </c>
      <c r="Q201" s="121">
        <f>IFERROR(K201/RESUMO_DILIG!$D$5,"")</f>
        <v>1.5523929213471133E-3</v>
      </c>
      <c r="R201" s="114" t="s">
        <v>1290</v>
      </c>
      <c r="S201" s="114" t="s">
        <v>1323</v>
      </c>
      <c r="T201" s="114" t="s">
        <v>1320</v>
      </c>
    </row>
    <row r="202" spans="1:20" ht="63.75" x14ac:dyDescent="0.2">
      <c r="A202" s="108" t="s">
        <v>529</v>
      </c>
      <c r="B202" s="114" t="s">
        <v>1549</v>
      </c>
      <c r="C202" s="114" t="s">
        <v>56</v>
      </c>
      <c r="D202" s="114" t="s">
        <v>447</v>
      </c>
      <c r="E202" s="114" t="s">
        <v>505</v>
      </c>
      <c r="F202" s="114" t="s">
        <v>530</v>
      </c>
      <c r="G202" s="114" t="s">
        <v>26</v>
      </c>
      <c r="H202" s="115">
        <v>6.86</v>
      </c>
      <c r="I202" s="116">
        <v>589.77750000000003</v>
      </c>
      <c r="J202" s="116">
        <v>720.88499999999999</v>
      </c>
      <c r="K202" s="116">
        <v>4945.2700000000004</v>
      </c>
      <c r="L202" s="116">
        <v>786.37</v>
      </c>
      <c r="M202" s="116">
        <v>961.18</v>
      </c>
      <c r="N202" s="116">
        <v>6593.69</v>
      </c>
      <c r="O202" s="121">
        <f t="shared" si="6"/>
        <v>0.25</v>
      </c>
      <c r="P202" s="121">
        <f t="shared" si="7"/>
        <v>0.24999962084963034</v>
      </c>
      <c r="Q202" s="121">
        <f>IFERROR(K202/RESUMO_DILIG!$D$5,"")</f>
        <v>5.5268004334978866E-4</v>
      </c>
      <c r="R202" s="114" t="s">
        <v>1293</v>
      </c>
      <c r="S202" s="114" t="s">
        <v>1323</v>
      </c>
      <c r="T202" s="114" t="s">
        <v>1320</v>
      </c>
    </row>
    <row r="203" spans="1:20" ht="25.5" x14ac:dyDescent="0.2">
      <c r="A203" s="108" t="s">
        <v>1550</v>
      </c>
      <c r="B203" s="114" t="s">
        <v>1551</v>
      </c>
      <c r="C203" s="114" t="s">
        <v>335</v>
      </c>
      <c r="D203" s="114"/>
      <c r="E203" s="114"/>
      <c r="F203" s="114" t="s">
        <v>531</v>
      </c>
      <c r="G203" s="114" t="s">
        <v>26</v>
      </c>
      <c r="H203" s="115">
        <v>11.638</v>
      </c>
      <c r="I203" s="116">
        <v>720.48</v>
      </c>
      <c r="J203" s="116">
        <v>880.64250000000004</v>
      </c>
      <c r="K203" s="116">
        <v>10248.91</v>
      </c>
      <c r="L203" s="116">
        <v>960.64</v>
      </c>
      <c r="M203" s="116">
        <v>1174.19</v>
      </c>
      <c r="N203" s="116">
        <v>13665.22</v>
      </c>
      <c r="O203" s="121">
        <f t="shared" si="6"/>
        <v>0.25</v>
      </c>
      <c r="P203" s="121">
        <f t="shared" si="7"/>
        <v>0.25000036589238961</v>
      </c>
      <c r="Q203" s="121">
        <f>IFERROR(K203/RESUMO_DILIG!$D$5,"")</f>
        <v>1.1454112764496341E-3</v>
      </c>
      <c r="R203" s="114" t="s">
        <v>1293</v>
      </c>
      <c r="S203" s="114" t="s">
        <v>1323</v>
      </c>
      <c r="T203" s="114" t="s">
        <v>1320</v>
      </c>
    </row>
    <row r="204" spans="1:20" ht="25.5" x14ac:dyDescent="0.2">
      <c r="A204" s="108" t="s">
        <v>1552</v>
      </c>
      <c r="B204" s="114" t="s">
        <v>1553</v>
      </c>
      <c r="C204" s="114" t="s">
        <v>335</v>
      </c>
      <c r="D204" s="114"/>
      <c r="E204" s="114"/>
      <c r="F204" s="114" t="s">
        <v>532</v>
      </c>
      <c r="G204" s="114" t="s">
        <v>84</v>
      </c>
      <c r="H204" s="115">
        <v>1</v>
      </c>
      <c r="I204" s="116">
        <v>984.24749999999995</v>
      </c>
      <c r="J204" s="116">
        <v>1203.0450000000001</v>
      </c>
      <c r="K204" s="116">
        <v>1203.04</v>
      </c>
      <c r="L204" s="116">
        <v>1312.33</v>
      </c>
      <c r="M204" s="116">
        <v>1604.06</v>
      </c>
      <c r="N204" s="116">
        <v>1604.06</v>
      </c>
      <c r="O204" s="121">
        <f t="shared" si="6"/>
        <v>0.24999999999999989</v>
      </c>
      <c r="P204" s="121">
        <f t="shared" si="7"/>
        <v>0.25000311709038314</v>
      </c>
      <c r="Q204" s="121">
        <f>IFERROR(K204/RESUMO_DILIG!$D$5,"")</f>
        <v>1.3445093985799152E-4</v>
      </c>
      <c r="R204" s="114" t="s">
        <v>1293</v>
      </c>
      <c r="S204" s="114" t="s">
        <v>1323</v>
      </c>
      <c r="T204" s="114" t="s">
        <v>1320</v>
      </c>
    </row>
    <row r="205" spans="1:20" ht="38.25" x14ac:dyDescent="0.2">
      <c r="A205" s="108" t="s">
        <v>1554</v>
      </c>
      <c r="B205" s="114" t="s">
        <v>533</v>
      </c>
      <c r="C205" s="114" t="s">
        <v>24</v>
      </c>
      <c r="D205" s="114"/>
      <c r="E205" s="114"/>
      <c r="F205" s="114" t="s">
        <v>1555</v>
      </c>
      <c r="G205" s="114" t="s">
        <v>84</v>
      </c>
      <c r="H205" s="115">
        <v>2</v>
      </c>
      <c r="I205" s="116">
        <v>37.597500000000004</v>
      </c>
      <c r="J205" s="116">
        <v>45.952500000000001</v>
      </c>
      <c r="K205" s="116">
        <v>91.9</v>
      </c>
      <c r="L205" s="116">
        <v>50.13</v>
      </c>
      <c r="M205" s="116">
        <v>61.27</v>
      </c>
      <c r="N205" s="116">
        <v>122.54</v>
      </c>
      <c r="O205" s="121">
        <f t="shared" si="6"/>
        <v>0.25</v>
      </c>
      <c r="P205" s="121">
        <f t="shared" si="7"/>
        <v>0.25004080300310105</v>
      </c>
      <c r="Q205" s="121">
        <f>IFERROR(K205/RESUMO_DILIG!$D$5,"")</f>
        <v>1.027068208284797E-5</v>
      </c>
      <c r="R205" s="114" t="s">
        <v>1293</v>
      </c>
      <c r="S205" s="114" t="s">
        <v>1323</v>
      </c>
      <c r="T205" s="114" t="s">
        <v>1320</v>
      </c>
    </row>
    <row r="206" spans="1:20" ht="63.75" x14ac:dyDescent="0.2">
      <c r="A206" s="108" t="s">
        <v>537</v>
      </c>
      <c r="B206" s="114" t="s">
        <v>538</v>
      </c>
      <c r="C206" s="114" t="s">
        <v>209</v>
      </c>
      <c r="D206" s="114" t="s">
        <v>447</v>
      </c>
      <c r="E206" s="114" t="s">
        <v>536</v>
      </c>
      <c r="F206" s="114" t="s">
        <v>539</v>
      </c>
      <c r="G206" s="114" t="s">
        <v>540</v>
      </c>
      <c r="H206" s="115">
        <v>30.593</v>
      </c>
      <c r="I206" s="116">
        <v>341.66250000000002</v>
      </c>
      <c r="J206" s="116">
        <v>417.60749999999996</v>
      </c>
      <c r="K206" s="116">
        <v>12775.86</v>
      </c>
      <c r="L206" s="116">
        <v>455.55</v>
      </c>
      <c r="M206" s="116">
        <v>556.80999999999995</v>
      </c>
      <c r="N206" s="116">
        <v>17034.48</v>
      </c>
      <c r="O206" s="121">
        <f t="shared" si="6"/>
        <v>0.25</v>
      </c>
      <c r="P206" s="121">
        <f t="shared" si="7"/>
        <v>0.25</v>
      </c>
      <c r="Q206" s="121">
        <f>IFERROR(K206/RESUMO_DILIG!$D$5,"")</f>
        <v>1.4278215059300768E-3</v>
      </c>
      <c r="R206" s="114" t="s">
        <v>1290</v>
      </c>
      <c r="S206" s="114" t="s">
        <v>1319</v>
      </c>
      <c r="T206" s="114" t="s">
        <v>1320</v>
      </c>
    </row>
    <row r="207" spans="1:20" ht="63.75" x14ac:dyDescent="0.2">
      <c r="A207" s="108" t="s">
        <v>541</v>
      </c>
      <c r="B207" s="114" t="s">
        <v>1556</v>
      </c>
      <c r="C207" s="114" t="s">
        <v>335</v>
      </c>
      <c r="D207" s="114" t="s">
        <v>447</v>
      </c>
      <c r="E207" s="114" t="s">
        <v>536</v>
      </c>
      <c r="F207" s="114" t="s">
        <v>542</v>
      </c>
      <c r="G207" s="114" t="s">
        <v>26</v>
      </c>
      <c r="H207" s="115">
        <v>173.72300000000001</v>
      </c>
      <c r="I207" s="116">
        <v>369.07500000000005</v>
      </c>
      <c r="J207" s="116">
        <v>451.11750000000001</v>
      </c>
      <c r="K207" s="116">
        <v>78369.48</v>
      </c>
      <c r="L207" s="116">
        <v>492.1</v>
      </c>
      <c r="M207" s="116">
        <v>601.49</v>
      </c>
      <c r="N207" s="116">
        <v>104492.64</v>
      </c>
      <c r="O207" s="121">
        <f t="shared" si="6"/>
        <v>0.25</v>
      </c>
      <c r="P207" s="121">
        <f t="shared" si="7"/>
        <v>0.25</v>
      </c>
      <c r="Q207" s="121">
        <f>IFERROR(K207/RESUMO_DILIG!$D$5,"")</f>
        <v>8.758520283766183E-3</v>
      </c>
      <c r="R207" s="114" t="s">
        <v>1287</v>
      </c>
      <c r="S207" s="114" t="s">
        <v>1319</v>
      </c>
      <c r="T207" s="114" t="s">
        <v>1320</v>
      </c>
    </row>
    <row r="208" spans="1:20" ht="63.75" x14ac:dyDescent="0.2">
      <c r="A208" s="108" t="s">
        <v>543</v>
      </c>
      <c r="B208" s="114" t="s">
        <v>544</v>
      </c>
      <c r="C208" s="114" t="s">
        <v>209</v>
      </c>
      <c r="D208" s="114" t="s">
        <v>447</v>
      </c>
      <c r="E208" s="114" t="s">
        <v>536</v>
      </c>
      <c r="F208" s="114" t="s">
        <v>1557</v>
      </c>
      <c r="G208" s="114" t="s">
        <v>99</v>
      </c>
      <c r="H208" s="115">
        <v>322.73500000000001</v>
      </c>
      <c r="I208" s="116">
        <v>43.125</v>
      </c>
      <c r="J208" s="116">
        <v>52.71</v>
      </c>
      <c r="K208" s="116">
        <v>17011.36</v>
      </c>
      <c r="L208" s="116">
        <v>57.5</v>
      </c>
      <c r="M208" s="116">
        <v>70.28</v>
      </c>
      <c r="N208" s="116">
        <v>22681.81</v>
      </c>
      <c r="O208" s="121">
        <f t="shared" si="6"/>
        <v>0.25</v>
      </c>
      <c r="P208" s="121">
        <f t="shared" si="7"/>
        <v>0.24999988977951937</v>
      </c>
      <c r="Q208" s="121">
        <f>IFERROR(K208/RESUMO_DILIG!$D$5,"")</f>
        <v>1.90117813228375E-3</v>
      </c>
      <c r="R208" s="114" t="s">
        <v>1290</v>
      </c>
      <c r="S208" s="114" t="s">
        <v>1319</v>
      </c>
      <c r="T208" s="114" t="s">
        <v>1320</v>
      </c>
    </row>
    <row r="209" spans="1:20" ht="63.75" x14ac:dyDescent="0.2">
      <c r="A209" s="108" t="s">
        <v>546</v>
      </c>
      <c r="B209" s="114" t="s">
        <v>1558</v>
      </c>
      <c r="C209" s="114" t="s">
        <v>335</v>
      </c>
      <c r="D209" s="114" t="s">
        <v>447</v>
      </c>
      <c r="E209" s="114" t="s">
        <v>536</v>
      </c>
      <c r="F209" s="114" t="s">
        <v>547</v>
      </c>
      <c r="G209" s="114" t="s">
        <v>26</v>
      </c>
      <c r="H209" s="115">
        <v>208.96299999999999</v>
      </c>
      <c r="I209" s="116">
        <v>215.715</v>
      </c>
      <c r="J209" s="116">
        <v>263.66250000000002</v>
      </c>
      <c r="K209" s="116">
        <v>55095.7</v>
      </c>
      <c r="L209" s="116">
        <v>287.62</v>
      </c>
      <c r="M209" s="116">
        <v>351.55</v>
      </c>
      <c r="N209" s="116">
        <v>73460.94</v>
      </c>
      <c r="O209" s="121">
        <f t="shared" si="6"/>
        <v>0.25</v>
      </c>
      <c r="P209" s="121">
        <f t="shared" si="7"/>
        <v>0.25000006806338182</v>
      </c>
      <c r="Q209" s="121">
        <f>IFERROR(K209/RESUMO_DILIG!$D$5,"")</f>
        <v>6.1574583115556782E-3</v>
      </c>
      <c r="R209" s="114" t="s">
        <v>1287</v>
      </c>
      <c r="S209" s="114" t="s">
        <v>1319</v>
      </c>
      <c r="T209" s="114" t="s">
        <v>1320</v>
      </c>
    </row>
    <row r="210" spans="1:20" ht="63.75" x14ac:dyDescent="0.2">
      <c r="A210" s="108" t="s">
        <v>550</v>
      </c>
      <c r="B210" s="114" t="s">
        <v>551</v>
      </c>
      <c r="C210" s="114" t="s">
        <v>209</v>
      </c>
      <c r="D210" s="114" t="s">
        <v>447</v>
      </c>
      <c r="E210" s="114" t="s">
        <v>549</v>
      </c>
      <c r="F210" s="114" t="s">
        <v>552</v>
      </c>
      <c r="G210" s="114" t="s">
        <v>26</v>
      </c>
      <c r="H210" s="115">
        <v>15.467000000000001</v>
      </c>
      <c r="I210" s="116">
        <v>961.44749999999999</v>
      </c>
      <c r="J210" s="116">
        <v>1175.1750000000002</v>
      </c>
      <c r="K210" s="116">
        <v>18176.43</v>
      </c>
      <c r="L210" s="116">
        <v>1281.93</v>
      </c>
      <c r="M210" s="116">
        <v>1566.9</v>
      </c>
      <c r="N210" s="116">
        <v>24235.24</v>
      </c>
      <c r="O210" s="121">
        <f t="shared" si="6"/>
        <v>0.24999999999999989</v>
      </c>
      <c r="P210" s="121">
        <f t="shared" si="7"/>
        <v>0.25</v>
      </c>
      <c r="Q210" s="121">
        <f>IFERROR(K210/RESUMO_DILIG!$D$5,"")</f>
        <v>2.0313855705238336E-3</v>
      </c>
      <c r="R210" s="114" t="s">
        <v>1290</v>
      </c>
      <c r="S210" s="114" t="s">
        <v>1319</v>
      </c>
      <c r="T210" s="114" t="s">
        <v>1320</v>
      </c>
    </row>
    <row r="211" spans="1:20" ht="51" x14ac:dyDescent="0.2">
      <c r="A211" s="108" t="s">
        <v>556</v>
      </c>
      <c r="B211" s="114" t="s">
        <v>1559</v>
      </c>
      <c r="C211" s="114" t="s">
        <v>56</v>
      </c>
      <c r="D211" s="114" t="s">
        <v>553</v>
      </c>
      <c r="E211" s="114" t="s">
        <v>555</v>
      </c>
      <c r="F211" s="114" t="s">
        <v>557</v>
      </c>
      <c r="G211" s="114" t="s">
        <v>84</v>
      </c>
      <c r="H211" s="115">
        <v>1</v>
      </c>
      <c r="I211" s="116">
        <v>253.02</v>
      </c>
      <c r="J211" s="116">
        <v>309.26250000000005</v>
      </c>
      <c r="K211" s="116">
        <v>309.26</v>
      </c>
      <c r="L211" s="116">
        <v>337.36</v>
      </c>
      <c r="M211" s="116">
        <v>412.35</v>
      </c>
      <c r="N211" s="116">
        <v>412.35</v>
      </c>
      <c r="O211" s="121">
        <f t="shared" si="6"/>
        <v>0.24999999999999989</v>
      </c>
      <c r="P211" s="121">
        <f t="shared" si="7"/>
        <v>0.25000606281071913</v>
      </c>
      <c r="Q211" s="121">
        <f>IFERROR(K211/RESUMO_DILIG!$D$5,"")</f>
        <v>3.4562689237666627E-5</v>
      </c>
      <c r="R211" s="114" t="s">
        <v>1293</v>
      </c>
      <c r="S211" s="114" t="s">
        <v>1323</v>
      </c>
      <c r="T211" s="114" t="s">
        <v>1320</v>
      </c>
    </row>
    <row r="212" spans="1:20" ht="51" x14ac:dyDescent="0.2">
      <c r="A212" s="108" t="s">
        <v>558</v>
      </c>
      <c r="B212" s="114" t="s">
        <v>1560</v>
      </c>
      <c r="C212" s="114" t="s">
        <v>56</v>
      </c>
      <c r="D212" s="114" t="s">
        <v>553</v>
      </c>
      <c r="E212" s="114" t="s">
        <v>555</v>
      </c>
      <c r="F212" s="114" t="s">
        <v>559</v>
      </c>
      <c r="G212" s="114" t="s">
        <v>84</v>
      </c>
      <c r="H212" s="115">
        <v>1</v>
      </c>
      <c r="I212" s="116">
        <v>189.36750000000001</v>
      </c>
      <c r="J212" s="116">
        <v>231.45750000000001</v>
      </c>
      <c r="K212" s="116">
        <v>231.45</v>
      </c>
      <c r="L212" s="116">
        <v>252.49</v>
      </c>
      <c r="M212" s="116">
        <v>308.61</v>
      </c>
      <c r="N212" s="116">
        <v>308.61</v>
      </c>
      <c r="O212" s="121">
        <f t="shared" si="6"/>
        <v>0.25</v>
      </c>
      <c r="P212" s="121">
        <f t="shared" si="7"/>
        <v>0.25002430251774088</v>
      </c>
      <c r="Q212" s="121">
        <f>IFERROR(K212/RESUMO_DILIG!$D$5,"")</f>
        <v>2.5866696061753672E-5</v>
      </c>
      <c r="R212" s="114" t="s">
        <v>1293</v>
      </c>
      <c r="S212" s="114" t="s">
        <v>1323</v>
      </c>
      <c r="T212" s="114" t="s">
        <v>1320</v>
      </c>
    </row>
    <row r="213" spans="1:20" ht="153" x14ac:dyDescent="0.2">
      <c r="A213" s="108" t="s">
        <v>560</v>
      </c>
      <c r="B213" s="114" t="s">
        <v>1561</v>
      </c>
      <c r="C213" s="114" t="s">
        <v>24</v>
      </c>
      <c r="D213" s="114" t="s">
        <v>553</v>
      </c>
      <c r="E213" s="114" t="s">
        <v>555</v>
      </c>
      <c r="F213" s="114" t="s">
        <v>562</v>
      </c>
      <c r="G213" s="114" t="s">
        <v>84</v>
      </c>
      <c r="H213" s="115">
        <v>1</v>
      </c>
      <c r="I213" s="116">
        <v>442.3125</v>
      </c>
      <c r="J213" s="116">
        <v>540.63750000000005</v>
      </c>
      <c r="K213" s="116">
        <v>540.63</v>
      </c>
      <c r="L213" s="116">
        <v>589.75</v>
      </c>
      <c r="M213" s="116">
        <v>720.85</v>
      </c>
      <c r="N213" s="116">
        <v>720.85</v>
      </c>
      <c r="O213" s="121">
        <f t="shared" si="6"/>
        <v>0.25</v>
      </c>
      <c r="P213" s="121">
        <f t="shared" si="7"/>
        <v>0.25001040438371369</v>
      </c>
      <c r="Q213" s="121">
        <f>IFERROR(K213/RESUMO_DILIG!$D$5,"")</f>
        <v>6.0420444553319884E-5</v>
      </c>
      <c r="R213" s="114" t="s">
        <v>1293</v>
      </c>
      <c r="S213" s="114" t="s">
        <v>1323</v>
      </c>
      <c r="T213" s="114" t="s">
        <v>1320</v>
      </c>
    </row>
    <row r="214" spans="1:20" ht="38.25" x14ac:dyDescent="0.2">
      <c r="A214" s="108" t="s">
        <v>563</v>
      </c>
      <c r="B214" s="114" t="s">
        <v>1562</v>
      </c>
      <c r="C214" s="114" t="s">
        <v>56</v>
      </c>
      <c r="D214" s="114" t="s">
        <v>553</v>
      </c>
      <c r="E214" s="114" t="s">
        <v>555</v>
      </c>
      <c r="F214" s="114" t="s">
        <v>564</v>
      </c>
      <c r="G214" s="114" t="s">
        <v>84</v>
      </c>
      <c r="H214" s="115">
        <v>3</v>
      </c>
      <c r="I214" s="116">
        <v>1157.2425000000001</v>
      </c>
      <c r="J214" s="116">
        <v>1414.4925000000001</v>
      </c>
      <c r="K214" s="116">
        <v>4243.47</v>
      </c>
      <c r="L214" s="116">
        <v>1542.99</v>
      </c>
      <c r="M214" s="116">
        <v>1885.99</v>
      </c>
      <c r="N214" s="116">
        <v>5657.97</v>
      </c>
      <c r="O214" s="121">
        <f t="shared" si="6"/>
        <v>0.25</v>
      </c>
      <c r="P214" s="121">
        <f t="shared" si="7"/>
        <v>0.25000132556376231</v>
      </c>
      <c r="Q214" s="121">
        <f>IFERROR(K214/RESUMO_DILIG!$D$5,"")</f>
        <v>4.742473481839268E-4</v>
      </c>
      <c r="R214" s="114" t="s">
        <v>1293</v>
      </c>
      <c r="S214" s="114" t="s">
        <v>1323</v>
      </c>
      <c r="T214" s="114" t="s">
        <v>1320</v>
      </c>
    </row>
    <row r="215" spans="1:20" ht="38.25" x14ac:dyDescent="0.2">
      <c r="A215" s="108" t="s">
        <v>565</v>
      </c>
      <c r="B215" s="114" t="s">
        <v>1563</v>
      </c>
      <c r="C215" s="114" t="s">
        <v>56</v>
      </c>
      <c r="D215" s="114" t="s">
        <v>553</v>
      </c>
      <c r="E215" s="114" t="s">
        <v>555</v>
      </c>
      <c r="F215" s="114" t="s">
        <v>566</v>
      </c>
      <c r="G215" s="114" t="s">
        <v>84</v>
      </c>
      <c r="H215" s="115">
        <v>2</v>
      </c>
      <c r="I215" s="116">
        <v>1229.79</v>
      </c>
      <c r="J215" s="116">
        <v>1503.165</v>
      </c>
      <c r="K215" s="116">
        <v>3006.33</v>
      </c>
      <c r="L215" s="116">
        <v>1639.72</v>
      </c>
      <c r="M215" s="116">
        <v>2004.22</v>
      </c>
      <c r="N215" s="116">
        <v>4008.44</v>
      </c>
      <c r="O215" s="121">
        <f t="shared" si="6"/>
        <v>0.25</v>
      </c>
      <c r="P215" s="121">
        <f t="shared" si="7"/>
        <v>0.25</v>
      </c>
      <c r="Q215" s="121">
        <f>IFERROR(K215/RESUMO_DILIG!$D$5,"")</f>
        <v>3.3598541530063477E-4</v>
      </c>
      <c r="R215" s="114" t="s">
        <v>1293</v>
      </c>
      <c r="S215" s="114" t="s">
        <v>1323</v>
      </c>
      <c r="T215" s="114" t="s">
        <v>1320</v>
      </c>
    </row>
    <row r="216" spans="1:20" ht="38.25" x14ac:dyDescent="0.2">
      <c r="A216" s="108" t="s">
        <v>567</v>
      </c>
      <c r="B216" s="114" t="s">
        <v>1564</v>
      </c>
      <c r="C216" s="114" t="s">
        <v>56</v>
      </c>
      <c r="D216" s="114" t="s">
        <v>553</v>
      </c>
      <c r="E216" s="114" t="s">
        <v>555</v>
      </c>
      <c r="F216" s="114" t="s">
        <v>1565</v>
      </c>
      <c r="G216" s="114" t="s">
        <v>84</v>
      </c>
      <c r="H216" s="115">
        <v>2</v>
      </c>
      <c r="I216" s="116">
        <v>86.842500000000001</v>
      </c>
      <c r="J216" s="116">
        <v>106.14750000000001</v>
      </c>
      <c r="K216" s="116">
        <v>212.29</v>
      </c>
      <c r="L216" s="116">
        <v>115.79</v>
      </c>
      <c r="M216" s="116">
        <v>141.53</v>
      </c>
      <c r="N216" s="116">
        <v>283.06</v>
      </c>
      <c r="O216" s="121">
        <f t="shared" si="6"/>
        <v>0.25</v>
      </c>
      <c r="P216" s="121">
        <f t="shared" si="7"/>
        <v>0.25001766409948423</v>
      </c>
      <c r="Q216" s="121">
        <f>IFERROR(K216/RESUMO_DILIG!$D$5,"")</f>
        <v>2.3725387370705063E-5</v>
      </c>
      <c r="R216" s="114" t="s">
        <v>1293</v>
      </c>
      <c r="S216" s="114" t="s">
        <v>1323</v>
      </c>
      <c r="T216" s="114" t="s">
        <v>1320</v>
      </c>
    </row>
    <row r="217" spans="1:20" ht="38.25" x14ac:dyDescent="0.2">
      <c r="A217" s="108" t="s">
        <v>569</v>
      </c>
      <c r="B217" s="114" t="s">
        <v>1566</v>
      </c>
      <c r="C217" s="114" t="s">
        <v>56</v>
      </c>
      <c r="D217" s="114" t="s">
        <v>553</v>
      </c>
      <c r="E217" s="114" t="s">
        <v>555</v>
      </c>
      <c r="F217" s="114" t="s">
        <v>1567</v>
      </c>
      <c r="G217" s="114" t="s">
        <v>84</v>
      </c>
      <c r="H217" s="115">
        <v>1</v>
      </c>
      <c r="I217" s="116">
        <v>216.78750000000002</v>
      </c>
      <c r="J217" s="116">
        <v>264.97500000000002</v>
      </c>
      <c r="K217" s="116">
        <v>264.97000000000003</v>
      </c>
      <c r="L217" s="116">
        <v>289.05</v>
      </c>
      <c r="M217" s="116">
        <v>353.3</v>
      </c>
      <c r="N217" s="116">
        <v>353.3</v>
      </c>
      <c r="O217" s="121">
        <f t="shared" si="6"/>
        <v>0.25</v>
      </c>
      <c r="P217" s="121">
        <f t="shared" si="7"/>
        <v>0.25001415227851675</v>
      </c>
      <c r="Q217" s="121">
        <f>IFERROR(K217/RESUMO_DILIG!$D$5,"")</f>
        <v>2.9612868677826188E-5</v>
      </c>
      <c r="R217" s="114" t="s">
        <v>1293</v>
      </c>
      <c r="S217" s="114" t="s">
        <v>1323</v>
      </c>
      <c r="T217" s="114" t="s">
        <v>1320</v>
      </c>
    </row>
    <row r="218" spans="1:20" ht="38.25" x14ac:dyDescent="0.2">
      <c r="A218" s="108" t="s">
        <v>571</v>
      </c>
      <c r="B218" s="114" t="s">
        <v>1568</v>
      </c>
      <c r="C218" s="114" t="s">
        <v>56</v>
      </c>
      <c r="D218" s="114" t="s">
        <v>553</v>
      </c>
      <c r="E218" s="114" t="s">
        <v>555</v>
      </c>
      <c r="F218" s="114" t="s">
        <v>572</v>
      </c>
      <c r="G218" s="114" t="s">
        <v>84</v>
      </c>
      <c r="H218" s="115">
        <v>1</v>
      </c>
      <c r="I218" s="116">
        <v>19.837499999999999</v>
      </c>
      <c r="J218" s="116">
        <v>24.240000000000002</v>
      </c>
      <c r="K218" s="116">
        <v>24.24</v>
      </c>
      <c r="L218" s="116">
        <v>26.45</v>
      </c>
      <c r="M218" s="116">
        <v>32.32</v>
      </c>
      <c r="N218" s="116">
        <v>32.32</v>
      </c>
      <c r="O218" s="121">
        <f t="shared" si="6"/>
        <v>0.25</v>
      </c>
      <c r="P218" s="121">
        <f t="shared" si="7"/>
        <v>0.25</v>
      </c>
      <c r="Q218" s="121">
        <f>IFERROR(K218/RESUMO_DILIG!$D$5,"")</f>
        <v>2.7090460684247524E-6</v>
      </c>
      <c r="R218" s="114" t="s">
        <v>1293</v>
      </c>
      <c r="S218" s="114" t="s">
        <v>1323</v>
      </c>
      <c r="T218" s="114" t="s">
        <v>1320</v>
      </c>
    </row>
    <row r="219" spans="1:20" ht="51" x14ac:dyDescent="0.2">
      <c r="A219" s="108" t="s">
        <v>573</v>
      </c>
      <c r="B219" s="114" t="s">
        <v>1569</v>
      </c>
      <c r="C219" s="114" t="s">
        <v>56</v>
      </c>
      <c r="D219" s="114" t="s">
        <v>553</v>
      </c>
      <c r="E219" s="114" t="s">
        <v>555</v>
      </c>
      <c r="F219" s="114" t="s">
        <v>574</v>
      </c>
      <c r="G219" s="114" t="s">
        <v>99</v>
      </c>
      <c r="H219" s="115">
        <v>12.1</v>
      </c>
      <c r="I219" s="116">
        <v>27.022500000000001</v>
      </c>
      <c r="J219" s="116">
        <v>33.022500000000001</v>
      </c>
      <c r="K219" s="116">
        <v>399.57</v>
      </c>
      <c r="L219" s="116">
        <v>36.03</v>
      </c>
      <c r="M219" s="116">
        <v>44.03</v>
      </c>
      <c r="N219" s="116">
        <v>532.76</v>
      </c>
      <c r="O219" s="121">
        <f t="shared" si="6"/>
        <v>0.25</v>
      </c>
      <c r="P219" s="121">
        <f t="shared" si="7"/>
        <v>0.25</v>
      </c>
      <c r="Q219" s="121">
        <f>IFERROR(K219/RESUMO_DILIG!$D$5,"")</f>
        <v>4.4655673991768909E-5</v>
      </c>
      <c r="R219" s="114" t="s">
        <v>1293</v>
      </c>
      <c r="S219" s="114" t="s">
        <v>1323</v>
      </c>
      <c r="T219" s="114" t="s">
        <v>1320</v>
      </c>
    </row>
    <row r="220" spans="1:20" ht="51" x14ac:dyDescent="0.2">
      <c r="A220" s="108" t="s">
        <v>1570</v>
      </c>
      <c r="B220" s="114" t="s">
        <v>1571</v>
      </c>
      <c r="C220" s="114" t="s">
        <v>56</v>
      </c>
      <c r="D220" s="114"/>
      <c r="E220" s="114"/>
      <c r="F220" s="114" t="s">
        <v>575</v>
      </c>
      <c r="G220" s="114" t="s">
        <v>99</v>
      </c>
      <c r="H220" s="115">
        <v>0.3</v>
      </c>
      <c r="I220" s="116">
        <v>23.557500000000001</v>
      </c>
      <c r="J220" s="116">
        <v>28.7925</v>
      </c>
      <c r="K220" s="116">
        <v>8.6300000000000008</v>
      </c>
      <c r="L220" s="116">
        <v>31.41</v>
      </c>
      <c r="M220" s="116">
        <v>38.39</v>
      </c>
      <c r="N220" s="116">
        <v>11.51</v>
      </c>
      <c r="O220" s="121">
        <f t="shared" si="6"/>
        <v>0.25</v>
      </c>
      <c r="P220" s="121">
        <f t="shared" si="7"/>
        <v>0.25021720243266721</v>
      </c>
      <c r="Q220" s="121">
        <f>IFERROR(K220/RESUMO_DILIG!$D$5,"")</f>
        <v>9.6448298558191486E-7</v>
      </c>
      <c r="R220" s="114" t="s">
        <v>1293</v>
      </c>
      <c r="S220" s="114" t="s">
        <v>1323</v>
      </c>
      <c r="T220" s="114" t="s">
        <v>1320</v>
      </c>
    </row>
    <row r="221" spans="1:20" ht="51" x14ac:dyDescent="0.2">
      <c r="A221" s="108" t="s">
        <v>1572</v>
      </c>
      <c r="B221" s="114" t="s">
        <v>1573</v>
      </c>
      <c r="C221" s="114" t="s">
        <v>56</v>
      </c>
      <c r="D221" s="114"/>
      <c r="E221" s="114"/>
      <c r="F221" s="114" t="s">
        <v>576</v>
      </c>
      <c r="G221" s="114" t="s">
        <v>99</v>
      </c>
      <c r="H221" s="115">
        <v>109.7</v>
      </c>
      <c r="I221" s="116">
        <v>31.740000000000002</v>
      </c>
      <c r="J221" s="116">
        <v>38.79</v>
      </c>
      <c r="K221" s="116">
        <v>4255.26</v>
      </c>
      <c r="L221" s="116">
        <v>42.32</v>
      </c>
      <c r="M221" s="116">
        <v>51.72</v>
      </c>
      <c r="N221" s="116">
        <v>5673.68</v>
      </c>
      <c r="O221" s="121">
        <f t="shared" si="6"/>
        <v>0.25</v>
      </c>
      <c r="P221" s="121">
        <f t="shared" si="7"/>
        <v>0.25</v>
      </c>
      <c r="Q221" s="121">
        <f>IFERROR(K221/RESUMO_DILIG!$D$5,"")</f>
        <v>4.7556499064047502E-4</v>
      </c>
      <c r="R221" s="114" t="s">
        <v>1293</v>
      </c>
      <c r="S221" s="114" t="s">
        <v>1323</v>
      </c>
      <c r="T221" s="114" t="s">
        <v>1320</v>
      </c>
    </row>
    <row r="222" spans="1:20" ht="51" x14ac:dyDescent="0.2">
      <c r="A222" s="108" t="s">
        <v>1574</v>
      </c>
      <c r="B222" s="114" t="s">
        <v>1575</v>
      </c>
      <c r="C222" s="114" t="s">
        <v>56</v>
      </c>
      <c r="D222" s="114"/>
      <c r="E222" s="114"/>
      <c r="F222" s="114" t="s">
        <v>577</v>
      </c>
      <c r="G222" s="114" t="s">
        <v>99</v>
      </c>
      <c r="H222" s="115">
        <v>39.700000000000003</v>
      </c>
      <c r="I222" s="116">
        <v>23.865000000000002</v>
      </c>
      <c r="J222" s="116">
        <v>29.1675</v>
      </c>
      <c r="K222" s="116">
        <v>1157.94</v>
      </c>
      <c r="L222" s="116">
        <v>31.82</v>
      </c>
      <c r="M222" s="116">
        <v>38.89</v>
      </c>
      <c r="N222" s="116">
        <v>1543.93</v>
      </c>
      <c r="O222" s="121">
        <f t="shared" si="6"/>
        <v>0.25</v>
      </c>
      <c r="P222" s="121">
        <f t="shared" si="7"/>
        <v>0.25000485773318737</v>
      </c>
      <c r="Q222" s="121">
        <f>IFERROR(K222/RESUMO_DILIG!$D$5,"")</f>
        <v>1.2941059424388443E-4</v>
      </c>
      <c r="R222" s="114" t="s">
        <v>1293</v>
      </c>
      <c r="S222" s="114" t="s">
        <v>1323</v>
      </c>
      <c r="T222" s="114" t="s">
        <v>1320</v>
      </c>
    </row>
    <row r="223" spans="1:20" ht="38.25" x14ac:dyDescent="0.2">
      <c r="A223" s="108" t="s">
        <v>1576</v>
      </c>
      <c r="B223" s="114" t="s">
        <v>1577</v>
      </c>
      <c r="C223" s="114" t="s">
        <v>56</v>
      </c>
      <c r="D223" s="114"/>
      <c r="E223" s="114"/>
      <c r="F223" s="114" t="s">
        <v>1578</v>
      </c>
      <c r="G223" s="114" t="s">
        <v>84</v>
      </c>
      <c r="H223" s="115">
        <v>1</v>
      </c>
      <c r="I223" s="116">
        <v>27.787499999999998</v>
      </c>
      <c r="J223" s="116">
        <v>33.96</v>
      </c>
      <c r="K223" s="116">
        <v>33.96</v>
      </c>
      <c r="L223" s="116">
        <v>37.049999999999997</v>
      </c>
      <c r="M223" s="116">
        <v>45.28</v>
      </c>
      <c r="N223" s="116">
        <v>45.28</v>
      </c>
      <c r="O223" s="121">
        <f t="shared" si="6"/>
        <v>0.25</v>
      </c>
      <c r="P223" s="121">
        <f t="shared" si="7"/>
        <v>0.25</v>
      </c>
      <c r="Q223" s="121">
        <f>IFERROR(K223/RESUMO_DILIG!$D$5,"")</f>
        <v>3.7953467196247775E-6</v>
      </c>
      <c r="R223" s="114" t="s">
        <v>1293</v>
      </c>
      <c r="S223" s="114" t="s">
        <v>1323</v>
      </c>
      <c r="T223" s="114" t="s">
        <v>1320</v>
      </c>
    </row>
    <row r="224" spans="1:20" ht="38.25" x14ac:dyDescent="0.2">
      <c r="A224" s="108" t="s">
        <v>1579</v>
      </c>
      <c r="B224" s="114" t="s">
        <v>1580</v>
      </c>
      <c r="C224" s="114" t="s">
        <v>56</v>
      </c>
      <c r="D224" s="114"/>
      <c r="E224" s="114"/>
      <c r="F224" s="114" t="s">
        <v>579</v>
      </c>
      <c r="G224" s="114" t="s">
        <v>84</v>
      </c>
      <c r="H224" s="115">
        <v>1</v>
      </c>
      <c r="I224" s="116">
        <v>33.532499999999999</v>
      </c>
      <c r="J224" s="116">
        <v>40.980000000000004</v>
      </c>
      <c r="K224" s="116">
        <v>40.98</v>
      </c>
      <c r="L224" s="116">
        <v>44.71</v>
      </c>
      <c r="M224" s="116">
        <v>54.64</v>
      </c>
      <c r="N224" s="116">
        <v>54.64</v>
      </c>
      <c r="O224" s="121">
        <f t="shared" si="6"/>
        <v>0.24999999999999989</v>
      </c>
      <c r="P224" s="121">
        <f t="shared" si="7"/>
        <v>0.25000000000000011</v>
      </c>
      <c r="Q224" s="121">
        <f>IFERROR(K224/RESUMO_DILIG!$D$5,"")</f>
        <v>4.579897189935906E-6</v>
      </c>
      <c r="R224" s="114" t="s">
        <v>1293</v>
      </c>
      <c r="S224" s="114" t="s">
        <v>1323</v>
      </c>
      <c r="T224" s="114" t="s">
        <v>1320</v>
      </c>
    </row>
    <row r="225" spans="1:20" ht="38.25" x14ac:dyDescent="0.2">
      <c r="A225" s="108" t="s">
        <v>1581</v>
      </c>
      <c r="B225" s="114" t="s">
        <v>1582</v>
      </c>
      <c r="C225" s="114" t="s">
        <v>56</v>
      </c>
      <c r="D225" s="114"/>
      <c r="E225" s="114"/>
      <c r="F225" s="114" t="s">
        <v>580</v>
      </c>
      <c r="G225" s="114" t="s">
        <v>84</v>
      </c>
      <c r="H225" s="115">
        <v>8</v>
      </c>
      <c r="I225" s="116">
        <v>49.987500000000004</v>
      </c>
      <c r="J225" s="116">
        <v>61.094999999999999</v>
      </c>
      <c r="K225" s="116">
        <v>488.76</v>
      </c>
      <c r="L225" s="116">
        <v>66.650000000000006</v>
      </c>
      <c r="M225" s="116">
        <v>81.459999999999994</v>
      </c>
      <c r="N225" s="116">
        <v>651.67999999999995</v>
      </c>
      <c r="O225" s="121">
        <f t="shared" si="6"/>
        <v>0.25</v>
      </c>
      <c r="P225" s="121">
        <f t="shared" si="7"/>
        <v>0.25</v>
      </c>
      <c r="Q225" s="121">
        <f>IFERROR(K225/RESUMO_DILIG!$D$5,"")</f>
        <v>5.4623488300465433E-5</v>
      </c>
      <c r="R225" s="114" t="s">
        <v>1293</v>
      </c>
      <c r="S225" s="114" t="s">
        <v>1323</v>
      </c>
      <c r="T225" s="114" t="s">
        <v>1320</v>
      </c>
    </row>
    <row r="226" spans="1:20" ht="38.25" x14ac:dyDescent="0.2">
      <c r="A226" s="108" t="s">
        <v>1583</v>
      </c>
      <c r="B226" s="114" t="s">
        <v>1584</v>
      </c>
      <c r="C226" s="114" t="s">
        <v>56</v>
      </c>
      <c r="D226" s="114"/>
      <c r="E226" s="114"/>
      <c r="F226" s="114" t="s">
        <v>654</v>
      </c>
      <c r="G226" s="114" t="s">
        <v>84</v>
      </c>
      <c r="H226" s="115">
        <v>2</v>
      </c>
      <c r="I226" s="116">
        <v>69.84</v>
      </c>
      <c r="J226" s="116">
        <v>85.364999999999995</v>
      </c>
      <c r="K226" s="116">
        <v>170.73</v>
      </c>
      <c r="L226" s="116">
        <v>93.12</v>
      </c>
      <c r="M226" s="116">
        <v>113.82</v>
      </c>
      <c r="N226" s="116">
        <v>227.64</v>
      </c>
      <c r="O226" s="121">
        <f t="shared" si="6"/>
        <v>0.25</v>
      </c>
      <c r="P226" s="121">
        <f t="shared" si="7"/>
        <v>0.25</v>
      </c>
      <c r="Q226" s="121">
        <f>IFERROR(K226/RESUMO_DILIG!$D$5,"")</f>
        <v>1.9080669771541173E-5</v>
      </c>
      <c r="R226" s="114" t="s">
        <v>1293</v>
      </c>
      <c r="S226" s="114" t="s">
        <v>1323</v>
      </c>
      <c r="T226" s="114" t="s">
        <v>1320</v>
      </c>
    </row>
    <row r="227" spans="1:20" ht="63.75" x14ac:dyDescent="0.2">
      <c r="A227" s="108" t="s">
        <v>1585</v>
      </c>
      <c r="B227" s="114" t="s">
        <v>1586</v>
      </c>
      <c r="C227" s="114" t="s">
        <v>56</v>
      </c>
      <c r="D227" s="114"/>
      <c r="E227" s="114"/>
      <c r="F227" s="114" t="s">
        <v>582</v>
      </c>
      <c r="G227" s="114" t="s">
        <v>84</v>
      </c>
      <c r="H227" s="115">
        <v>1</v>
      </c>
      <c r="I227" s="116">
        <v>17.085000000000001</v>
      </c>
      <c r="J227" s="116">
        <v>20.88</v>
      </c>
      <c r="K227" s="116">
        <v>20.88</v>
      </c>
      <c r="L227" s="116">
        <v>22.78</v>
      </c>
      <c r="M227" s="116">
        <v>27.84</v>
      </c>
      <c r="N227" s="116">
        <v>27.84</v>
      </c>
      <c r="O227" s="121">
        <f t="shared" si="6"/>
        <v>0.25</v>
      </c>
      <c r="P227" s="121">
        <f t="shared" si="7"/>
        <v>0.25</v>
      </c>
      <c r="Q227" s="121">
        <f>IFERROR(K227/RESUMO_DILIG!$D$5,"")</f>
        <v>2.3335347322074604E-6</v>
      </c>
      <c r="R227" s="114" t="s">
        <v>1293</v>
      </c>
      <c r="S227" s="114" t="s">
        <v>1323</v>
      </c>
      <c r="T227" s="114" t="s">
        <v>1320</v>
      </c>
    </row>
    <row r="228" spans="1:20" ht="63.75" x14ac:dyDescent="0.2">
      <c r="A228" s="108" t="s">
        <v>1587</v>
      </c>
      <c r="B228" s="114" t="s">
        <v>1588</v>
      </c>
      <c r="C228" s="114" t="s">
        <v>56</v>
      </c>
      <c r="D228" s="114"/>
      <c r="E228" s="114"/>
      <c r="F228" s="114" t="s">
        <v>583</v>
      </c>
      <c r="G228" s="114" t="s">
        <v>84</v>
      </c>
      <c r="H228" s="115">
        <v>3</v>
      </c>
      <c r="I228" s="116">
        <v>4.7324999999999999</v>
      </c>
      <c r="J228" s="116">
        <v>5.7824999999999998</v>
      </c>
      <c r="K228" s="116">
        <v>17.34</v>
      </c>
      <c r="L228" s="116">
        <v>6.31</v>
      </c>
      <c r="M228" s="116">
        <v>7.71</v>
      </c>
      <c r="N228" s="116">
        <v>23.13</v>
      </c>
      <c r="O228" s="121">
        <f t="shared" si="6"/>
        <v>0.25</v>
      </c>
      <c r="P228" s="121">
        <f t="shared" si="7"/>
        <v>0.2503242542153048</v>
      </c>
      <c r="Q228" s="121">
        <f>IFERROR(K228/RESUMO_DILIG!$D$5,"")</f>
        <v>1.9379067172642415E-6</v>
      </c>
      <c r="R228" s="114" t="s">
        <v>1293</v>
      </c>
      <c r="S228" s="114" t="s">
        <v>1323</v>
      </c>
      <c r="T228" s="114" t="s">
        <v>1320</v>
      </c>
    </row>
    <row r="229" spans="1:20" ht="63.75" x14ac:dyDescent="0.2">
      <c r="A229" s="108" t="s">
        <v>1589</v>
      </c>
      <c r="B229" s="114" t="s">
        <v>1590</v>
      </c>
      <c r="C229" s="114" t="s">
        <v>56</v>
      </c>
      <c r="D229" s="114"/>
      <c r="E229" s="114"/>
      <c r="F229" s="114" t="s">
        <v>584</v>
      </c>
      <c r="G229" s="114" t="s">
        <v>84</v>
      </c>
      <c r="H229" s="115">
        <v>1</v>
      </c>
      <c r="I229" s="116">
        <v>5.9850000000000003</v>
      </c>
      <c r="J229" s="116">
        <v>7.3125</v>
      </c>
      <c r="K229" s="116">
        <v>7.31</v>
      </c>
      <c r="L229" s="116">
        <v>7.98</v>
      </c>
      <c r="M229" s="116">
        <v>9.75</v>
      </c>
      <c r="N229" s="116">
        <v>9.75</v>
      </c>
      <c r="O229" s="121">
        <f t="shared" si="6"/>
        <v>0.25</v>
      </c>
      <c r="P229" s="121">
        <f t="shared" si="7"/>
        <v>0.25025641025641032</v>
      </c>
      <c r="Q229" s="121">
        <f>IFERROR(K229/RESUMO_DILIG!$D$5,"")</f>
        <v>8.1696067492512138E-7</v>
      </c>
      <c r="R229" s="114" t="s">
        <v>1293</v>
      </c>
      <c r="S229" s="114" t="s">
        <v>1323</v>
      </c>
      <c r="T229" s="114" t="s">
        <v>1320</v>
      </c>
    </row>
    <row r="230" spans="1:20" ht="51" x14ac:dyDescent="0.2">
      <c r="A230" s="108" t="s">
        <v>1591</v>
      </c>
      <c r="B230" s="114" t="s">
        <v>1592</v>
      </c>
      <c r="C230" s="114" t="s">
        <v>56</v>
      </c>
      <c r="D230" s="114"/>
      <c r="E230" s="114"/>
      <c r="F230" s="114" t="s">
        <v>1593</v>
      </c>
      <c r="G230" s="114" t="s">
        <v>84</v>
      </c>
      <c r="H230" s="115">
        <v>2</v>
      </c>
      <c r="I230" s="116">
        <v>12.315000000000001</v>
      </c>
      <c r="J230" s="116">
        <v>15.0525</v>
      </c>
      <c r="K230" s="116">
        <v>30.1</v>
      </c>
      <c r="L230" s="116">
        <v>16.420000000000002</v>
      </c>
      <c r="M230" s="116">
        <v>20.07</v>
      </c>
      <c r="N230" s="116">
        <v>40.14</v>
      </c>
      <c r="O230" s="121">
        <f t="shared" si="6"/>
        <v>0.25</v>
      </c>
      <c r="P230" s="121">
        <f t="shared" si="7"/>
        <v>0.25012456402590932</v>
      </c>
      <c r="Q230" s="121">
        <f>IFERROR(K230/RESUMO_DILIG!$D$5,"")</f>
        <v>3.3639557202799116E-6</v>
      </c>
      <c r="R230" s="114" t="s">
        <v>1293</v>
      </c>
      <c r="S230" s="114" t="s">
        <v>1323</v>
      </c>
      <c r="T230" s="114" t="s">
        <v>1320</v>
      </c>
    </row>
    <row r="231" spans="1:20" ht="51" x14ac:dyDescent="0.2">
      <c r="A231" s="108" t="s">
        <v>1594</v>
      </c>
      <c r="B231" s="114" t="s">
        <v>1595</v>
      </c>
      <c r="C231" s="114" t="s">
        <v>56</v>
      </c>
      <c r="D231" s="114"/>
      <c r="E231" s="114"/>
      <c r="F231" s="114" t="s">
        <v>586</v>
      </c>
      <c r="G231" s="114" t="s">
        <v>84</v>
      </c>
      <c r="H231" s="115">
        <v>1</v>
      </c>
      <c r="I231" s="116">
        <v>14.1675</v>
      </c>
      <c r="J231" s="116">
        <v>17.309999999999999</v>
      </c>
      <c r="K231" s="116">
        <v>17.309999999999999</v>
      </c>
      <c r="L231" s="116">
        <v>18.89</v>
      </c>
      <c r="M231" s="116">
        <v>23.08</v>
      </c>
      <c r="N231" s="116">
        <v>23.08</v>
      </c>
      <c r="O231" s="121">
        <f t="shared" si="6"/>
        <v>0.25</v>
      </c>
      <c r="P231" s="121">
        <f t="shared" si="7"/>
        <v>0.25</v>
      </c>
      <c r="Q231" s="121">
        <f>IFERROR(K231/RESUMO_DILIG!$D$5,"")</f>
        <v>1.9345539374765871E-6</v>
      </c>
      <c r="R231" s="114" t="s">
        <v>1293</v>
      </c>
      <c r="S231" s="114" t="s">
        <v>1323</v>
      </c>
      <c r="T231" s="114" t="s">
        <v>1320</v>
      </c>
    </row>
    <row r="232" spans="1:20" ht="51" x14ac:dyDescent="0.2">
      <c r="A232" s="108" t="s">
        <v>1596</v>
      </c>
      <c r="B232" s="114" t="s">
        <v>1597</v>
      </c>
      <c r="C232" s="114" t="s">
        <v>56</v>
      </c>
      <c r="D232" s="114"/>
      <c r="E232" s="114"/>
      <c r="F232" s="114" t="s">
        <v>587</v>
      </c>
      <c r="G232" s="114" t="s">
        <v>84</v>
      </c>
      <c r="H232" s="115">
        <v>4</v>
      </c>
      <c r="I232" s="116">
        <v>9.6150000000000002</v>
      </c>
      <c r="J232" s="116">
        <v>11.745000000000001</v>
      </c>
      <c r="K232" s="116">
        <v>46.98</v>
      </c>
      <c r="L232" s="116">
        <v>12.82</v>
      </c>
      <c r="M232" s="116">
        <v>15.66</v>
      </c>
      <c r="N232" s="116">
        <v>62.64</v>
      </c>
      <c r="O232" s="121">
        <f t="shared" si="6"/>
        <v>0.24999999999999989</v>
      </c>
      <c r="P232" s="121">
        <f t="shared" si="7"/>
        <v>0.25000000000000011</v>
      </c>
      <c r="Q232" s="121">
        <f>IFERROR(K232/RESUMO_DILIG!$D$5,"")</f>
        <v>5.250453147466785E-6</v>
      </c>
      <c r="R232" s="114" t="s">
        <v>1293</v>
      </c>
      <c r="S232" s="114" t="s">
        <v>1323</v>
      </c>
      <c r="T232" s="114" t="s">
        <v>1320</v>
      </c>
    </row>
    <row r="233" spans="1:20" ht="51" x14ac:dyDescent="0.2">
      <c r="A233" s="108" t="s">
        <v>1598</v>
      </c>
      <c r="B233" s="114" t="s">
        <v>1599</v>
      </c>
      <c r="C233" s="114" t="s">
        <v>56</v>
      </c>
      <c r="D233" s="114"/>
      <c r="E233" s="114"/>
      <c r="F233" s="114" t="s">
        <v>588</v>
      </c>
      <c r="G233" s="114" t="s">
        <v>84</v>
      </c>
      <c r="H233" s="115">
        <v>26</v>
      </c>
      <c r="I233" s="116">
        <v>12.825000000000001</v>
      </c>
      <c r="J233" s="116">
        <v>15.674999999999999</v>
      </c>
      <c r="K233" s="116">
        <v>407.55</v>
      </c>
      <c r="L233" s="116">
        <v>17.100000000000001</v>
      </c>
      <c r="M233" s="116">
        <v>20.9</v>
      </c>
      <c r="N233" s="116">
        <v>543.4</v>
      </c>
      <c r="O233" s="121">
        <f t="shared" si="6"/>
        <v>0.25</v>
      </c>
      <c r="P233" s="121">
        <f t="shared" si="7"/>
        <v>0.25</v>
      </c>
      <c r="Q233" s="121">
        <f>IFERROR(K233/RESUMO_DILIG!$D$5,"")</f>
        <v>4.5547513415284987E-5</v>
      </c>
      <c r="R233" s="114" t="s">
        <v>1293</v>
      </c>
      <c r="S233" s="114" t="s">
        <v>1323</v>
      </c>
      <c r="T233" s="114" t="s">
        <v>1320</v>
      </c>
    </row>
    <row r="234" spans="1:20" ht="51" x14ac:dyDescent="0.2">
      <c r="A234" s="108" t="s">
        <v>1600</v>
      </c>
      <c r="B234" s="114" t="s">
        <v>1601</v>
      </c>
      <c r="C234" s="114" t="s">
        <v>56</v>
      </c>
      <c r="D234" s="114"/>
      <c r="E234" s="114"/>
      <c r="F234" s="114" t="s">
        <v>589</v>
      </c>
      <c r="G234" s="114" t="s">
        <v>84</v>
      </c>
      <c r="H234" s="115">
        <v>2</v>
      </c>
      <c r="I234" s="116">
        <v>16.447499999999998</v>
      </c>
      <c r="J234" s="116">
        <v>20.100000000000001</v>
      </c>
      <c r="K234" s="116">
        <v>40.200000000000003</v>
      </c>
      <c r="L234" s="116">
        <v>21.93</v>
      </c>
      <c r="M234" s="116">
        <v>26.8</v>
      </c>
      <c r="N234" s="116">
        <v>53.6</v>
      </c>
      <c r="O234" s="121">
        <f t="shared" si="6"/>
        <v>0.25</v>
      </c>
      <c r="P234" s="121">
        <f t="shared" si="7"/>
        <v>0.25</v>
      </c>
      <c r="Q234" s="121">
        <f>IFERROR(K234/RESUMO_DILIG!$D$5,"")</f>
        <v>4.4927249154568922E-6</v>
      </c>
      <c r="R234" s="114" t="s">
        <v>1293</v>
      </c>
      <c r="S234" s="114" t="s">
        <v>1323</v>
      </c>
      <c r="T234" s="114" t="s">
        <v>1320</v>
      </c>
    </row>
    <row r="235" spans="1:20" ht="51" x14ac:dyDescent="0.2">
      <c r="A235" s="108" t="s">
        <v>1602</v>
      </c>
      <c r="B235" s="114" t="s">
        <v>1603</v>
      </c>
      <c r="C235" s="114" t="s">
        <v>56</v>
      </c>
      <c r="D235" s="114"/>
      <c r="E235" s="114"/>
      <c r="F235" s="114" t="s">
        <v>656</v>
      </c>
      <c r="G235" s="114" t="s">
        <v>84</v>
      </c>
      <c r="H235" s="115">
        <v>8</v>
      </c>
      <c r="I235" s="116">
        <v>18.502500000000001</v>
      </c>
      <c r="J235" s="116">
        <v>22.612499999999997</v>
      </c>
      <c r="K235" s="116">
        <v>180.9</v>
      </c>
      <c r="L235" s="116">
        <v>24.67</v>
      </c>
      <c r="M235" s="116">
        <v>30.15</v>
      </c>
      <c r="N235" s="116">
        <v>241.2</v>
      </c>
      <c r="O235" s="121">
        <f t="shared" si="6"/>
        <v>0.25000000000000011</v>
      </c>
      <c r="P235" s="121">
        <f t="shared" si="7"/>
        <v>0.24999999999999989</v>
      </c>
      <c r="Q235" s="121">
        <f>IFERROR(K235/RESUMO_DILIG!$D$5,"")</f>
        <v>2.0217262119556013E-5</v>
      </c>
      <c r="R235" s="114" t="s">
        <v>1293</v>
      </c>
      <c r="S235" s="114" t="s">
        <v>1323</v>
      </c>
      <c r="T235" s="114" t="s">
        <v>1320</v>
      </c>
    </row>
    <row r="236" spans="1:20" ht="51" x14ac:dyDescent="0.2">
      <c r="A236" s="108" t="s">
        <v>1604</v>
      </c>
      <c r="B236" s="114" t="s">
        <v>1605</v>
      </c>
      <c r="C236" s="114" t="s">
        <v>56</v>
      </c>
      <c r="D236" s="114"/>
      <c r="E236" s="114"/>
      <c r="F236" s="114" t="s">
        <v>1606</v>
      </c>
      <c r="G236" s="114" t="s">
        <v>84</v>
      </c>
      <c r="H236" s="115">
        <v>1</v>
      </c>
      <c r="I236" s="116">
        <v>14.04</v>
      </c>
      <c r="J236" s="116">
        <v>17.16</v>
      </c>
      <c r="K236" s="116">
        <v>17.16</v>
      </c>
      <c r="L236" s="116">
        <v>18.72</v>
      </c>
      <c r="M236" s="116">
        <v>22.88</v>
      </c>
      <c r="N236" s="116">
        <v>22.88</v>
      </c>
      <c r="O236" s="121">
        <f t="shared" si="6"/>
        <v>0.25</v>
      </c>
      <c r="P236" s="121">
        <f t="shared" si="7"/>
        <v>0.25</v>
      </c>
      <c r="Q236" s="121">
        <f>IFERROR(K236/RESUMO_DILIG!$D$5,"")</f>
        <v>1.917790038538315E-6</v>
      </c>
      <c r="R236" s="114" t="s">
        <v>1293</v>
      </c>
      <c r="S236" s="114" t="s">
        <v>1323</v>
      </c>
      <c r="T236" s="114" t="s">
        <v>1320</v>
      </c>
    </row>
    <row r="237" spans="1:20" ht="51" x14ac:dyDescent="0.2">
      <c r="A237" s="108" t="s">
        <v>1607</v>
      </c>
      <c r="B237" s="114" t="s">
        <v>1608</v>
      </c>
      <c r="C237" s="114" t="s">
        <v>56</v>
      </c>
      <c r="D237" s="114"/>
      <c r="E237" s="114"/>
      <c r="F237" s="114" t="s">
        <v>592</v>
      </c>
      <c r="G237" s="114" t="s">
        <v>84</v>
      </c>
      <c r="H237" s="115">
        <v>4</v>
      </c>
      <c r="I237" s="116">
        <v>8.58</v>
      </c>
      <c r="J237" s="116">
        <v>10.484999999999999</v>
      </c>
      <c r="K237" s="116">
        <v>41.94</v>
      </c>
      <c r="L237" s="116">
        <v>11.44</v>
      </c>
      <c r="M237" s="116">
        <v>13.98</v>
      </c>
      <c r="N237" s="116">
        <v>55.92</v>
      </c>
      <c r="O237" s="121">
        <f t="shared" si="6"/>
        <v>0.25000000000000011</v>
      </c>
      <c r="P237" s="121">
        <f t="shared" si="7"/>
        <v>0.25000000000000011</v>
      </c>
      <c r="Q237" s="121">
        <f>IFERROR(K237/RESUMO_DILIG!$D$5,"")</f>
        <v>4.6871861431408463E-6</v>
      </c>
      <c r="R237" s="114" t="s">
        <v>1293</v>
      </c>
      <c r="S237" s="114" t="s">
        <v>1323</v>
      </c>
      <c r="T237" s="114" t="s">
        <v>1320</v>
      </c>
    </row>
    <row r="238" spans="1:20" ht="51" x14ac:dyDescent="0.2">
      <c r="A238" s="108" t="s">
        <v>1609</v>
      </c>
      <c r="B238" s="114" t="s">
        <v>1610</v>
      </c>
      <c r="C238" s="114" t="s">
        <v>56</v>
      </c>
      <c r="D238" s="114"/>
      <c r="E238" s="114"/>
      <c r="F238" s="114" t="s">
        <v>593</v>
      </c>
      <c r="G238" s="114" t="s">
        <v>84</v>
      </c>
      <c r="H238" s="115">
        <v>3</v>
      </c>
      <c r="I238" s="116">
        <v>13.919999999999998</v>
      </c>
      <c r="J238" s="116">
        <v>17.009999999999998</v>
      </c>
      <c r="K238" s="116">
        <v>51.03</v>
      </c>
      <c r="L238" s="116">
        <v>18.559999999999999</v>
      </c>
      <c r="M238" s="116">
        <v>22.68</v>
      </c>
      <c r="N238" s="116">
        <v>68.040000000000006</v>
      </c>
      <c r="O238" s="121">
        <f t="shared" si="6"/>
        <v>0.25000000000000011</v>
      </c>
      <c r="P238" s="121">
        <f t="shared" si="7"/>
        <v>0.25</v>
      </c>
      <c r="Q238" s="121">
        <f>IFERROR(K238/RESUMO_DILIG!$D$5,"")</f>
        <v>5.7030784188001293E-6</v>
      </c>
      <c r="R238" s="114" t="s">
        <v>1293</v>
      </c>
      <c r="S238" s="114" t="s">
        <v>1323</v>
      </c>
      <c r="T238" s="114" t="s">
        <v>1320</v>
      </c>
    </row>
    <row r="239" spans="1:20" ht="38.25" x14ac:dyDescent="0.2">
      <c r="A239" s="108" t="s">
        <v>1611</v>
      </c>
      <c r="B239" s="114" t="s">
        <v>1612</v>
      </c>
      <c r="C239" s="114" t="s">
        <v>56</v>
      </c>
      <c r="D239" s="114"/>
      <c r="E239" s="114"/>
      <c r="F239" s="114" t="s">
        <v>594</v>
      </c>
      <c r="G239" s="114" t="s">
        <v>84</v>
      </c>
      <c r="H239" s="115">
        <v>4</v>
      </c>
      <c r="I239" s="116">
        <v>17.737499999999997</v>
      </c>
      <c r="J239" s="116">
        <v>21.674999999999997</v>
      </c>
      <c r="K239" s="116">
        <v>86.7</v>
      </c>
      <c r="L239" s="116">
        <v>23.65</v>
      </c>
      <c r="M239" s="116">
        <v>28.9</v>
      </c>
      <c r="N239" s="116">
        <v>115.6</v>
      </c>
      <c r="O239" s="121">
        <f t="shared" si="6"/>
        <v>0.25000000000000011</v>
      </c>
      <c r="P239" s="121">
        <f t="shared" si="7"/>
        <v>0.24999999999999989</v>
      </c>
      <c r="Q239" s="121">
        <f>IFERROR(K239/RESUMO_DILIG!$D$5,"")</f>
        <v>9.6895335863212082E-6</v>
      </c>
      <c r="R239" s="114" t="s">
        <v>1293</v>
      </c>
      <c r="S239" s="114" t="s">
        <v>1323</v>
      </c>
      <c r="T239" s="114" t="s">
        <v>1320</v>
      </c>
    </row>
    <row r="240" spans="1:20" ht="38.25" x14ac:dyDescent="0.2">
      <c r="A240" s="108" t="s">
        <v>1613</v>
      </c>
      <c r="B240" s="114" t="s">
        <v>1614</v>
      </c>
      <c r="C240" s="114" t="s">
        <v>56</v>
      </c>
      <c r="D240" s="114"/>
      <c r="E240" s="114"/>
      <c r="F240" s="114" t="s">
        <v>595</v>
      </c>
      <c r="G240" s="114" t="s">
        <v>84</v>
      </c>
      <c r="H240" s="115">
        <v>1</v>
      </c>
      <c r="I240" s="116">
        <v>27.39</v>
      </c>
      <c r="J240" s="116">
        <v>33.472500000000004</v>
      </c>
      <c r="K240" s="116">
        <v>33.47</v>
      </c>
      <c r="L240" s="116">
        <v>36.520000000000003</v>
      </c>
      <c r="M240" s="116">
        <v>44.63</v>
      </c>
      <c r="N240" s="116">
        <v>44.63</v>
      </c>
      <c r="O240" s="121">
        <f t="shared" si="6"/>
        <v>0.25</v>
      </c>
      <c r="P240" s="121">
        <f t="shared" si="7"/>
        <v>0.25005601613264627</v>
      </c>
      <c r="Q240" s="121">
        <f>IFERROR(K240/RESUMO_DILIG!$D$5,"")</f>
        <v>3.7405846497597554E-6</v>
      </c>
      <c r="R240" s="114" t="s">
        <v>1293</v>
      </c>
      <c r="S240" s="114" t="s">
        <v>1323</v>
      </c>
      <c r="T240" s="114" t="s">
        <v>1320</v>
      </c>
    </row>
    <row r="241" spans="1:20" ht="38.25" x14ac:dyDescent="0.2">
      <c r="A241" s="108" t="s">
        <v>1615</v>
      </c>
      <c r="B241" s="114" t="s">
        <v>1616</v>
      </c>
      <c r="C241" s="114" t="s">
        <v>56</v>
      </c>
      <c r="D241" s="114"/>
      <c r="E241" s="114"/>
      <c r="F241" s="114" t="s">
        <v>596</v>
      </c>
      <c r="G241" s="114" t="s">
        <v>84</v>
      </c>
      <c r="H241" s="115">
        <v>1</v>
      </c>
      <c r="I241" s="116">
        <v>25.275000000000002</v>
      </c>
      <c r="J241" s="116">
        <v>30.892499999999998</v>
      </c>
      <c r="K241" s="116">
        <v>30.89</v>
      </c>
      <c r="L241" s="116">
        <v>33.700000000000003</v>
      </c>
      <c r="M241" s="116">
        <v>41.19</v>
      </c>
      <c r="N241" s="116">
        <v>41.19</v>
      </c>
      <c r="O241" s="121">
        <f t="shared" si="6"/>
        <v>0.25</v>
      </c>
      <c r="P241" s="121">
        <f t="shared" si="7"/>
        <v>0.25006069434328715</v>
      </c>
      <c r="Q241" s="121">
        <f>IFERROR(K241/RESUMO_DILIG!$D$5,"")</f>
        <v>3.4522455880214773E-6</v>
      </c>
      <c r="R241" s="114" t="s">
        <v>1293</v>
      </c>
      <c r="S241" s="114" t="s">
        <v>1323</v>
      </c>
      <c r="T241" s="114" t="s">
        <v>1320</v>
      </c>
    </row>
    <row r="242" spans="1:20" ht="38.25" x14ac:dyDescent="0.2">
      <c r="A242" s="108" t="s">
        <v>1617</v>
      </c>
      <c r="B242" s="114" t="s">
        <v>1618</v>
      </c>
      <c r="C242" s="114" t="s">
        <v>56</v>
      </c>
      <c r="D242" s="114"/>
      <c r="E242" s="114"/>
      <c r="F242" s="114" t="s">
        <v>597</v>
      </c>
      <c r="G242" s="114" t="s">
        <v>84</v>
      </c>
      <c r="H242" s="115">
        <v>5</v>
      </c>
      <c r="I242" s="116">
        <v>14.805</v>
      </c>
      <c r="J242" s="116">
        <v>18.09</v>
      </c>
      <c r="K242" s="116">
        <v>90.45</v>
      </c>
      <c r="L242" s="116">
        <v>19.739999999999998</v>
      </c>
      <c r="M242" s="116">
        <v>24.12</v>
      </c>
      <c r="N242" s="116">
        <v>120.6</v>
      </c>
      <c r="O242" s="121">
        <f t="shared" si="6"/>
        <v>0.25</v>
      </c>
      <c r="P242" s="121">
        <f t="shared" si="7"/>
        <v>0.24999999999999989</v>
      </c>
      <c r="Q242" s="121">
        <f>IFERROR(K242/RESUMO_DILIG!$D$5,"")</f>
        <v>1.0108631059778007E-5</v>
      </c>
      <c r="R242" s="114" t="s">
        <v>1293</v>
      </c>
      <c r="S242" s="114" t="s">
        <v>1323</v>
      </c>
      <c r="T242" s="114" t="s">
        <v>1320</v>
      </c>
    </row>
    <row r="243" spans="1:20" ht="38.25" x14ac:dyDescent="0.2">
      <c r="A243" s="108" t="s">
        <v>1619</v>
      </c>
      <c r="B243" s="114" t="s">
        <v>1620</v>
      </c>
      <c r="C243" s="114" t="s">
        <v>56</v>
      </c>
      <c r="D243" s="114"/>
      <c r="E243" s="114"/>
      <c r="F243" s="114" t="s">
        <v>1621</v>
      </c>
      <c r="G243" s="114" t="s">
        <v>84</v>
      </c>
      <c r="H243" s="115">
        <v>2</v>
      </c>
      <c r="I243" s="116">
        <v>25.462500000000002</v>
      </c>
      <c r="J243" s="116">
        <v>31.1175</v>
      </c>
      <c r="K243" s="116">
        <v>62.23</v>
      </c>
      <c r="L243" s="116">
        <v>33.950000000000003</v>
      </c>
      <c r="M243" s="116">
        <v>41.49</v>
      </c>
      <c r="N243" s="116">
        <v>82.98</v>
      </c>
      <c r="O243" s="121">
        <f t="shared" si="6"/>
        <v>0.25</v>
      </c>
      <c r="P243" s="121">
        <f t="shared" si="7"/>
        <v>0.25006025548324906</v>
      </c>
      <c r="Q243" s="121">
        <f>IFERROR(K243/RESUMO_DILIG!$D$5,"")</f>
        <v>6.9547828728577704E-6</v>
      </c>
      <c r="R243" s="114" t="s">
        <v>1293</v>
      </c>
      <c r="S243" s="114" t="s">
        <v>1323</v>
      </c>
      <c r="T243" s="114" t="s">
        <v>1320</v>
      </c>
    </row>
    <row r="244" spans="1:20" ht="38.25" x14ac:dyDescent="0.2">
      <c r="A244" s="108" t="s">
        <v>1622</v>
      </c>
      <c r="B244" s="114" t="s">
        <v>1623</v>
      </c>
      <c r="C244" s="114" t="s">
        <v>56</v>
      </c>
      <c r="D244" s="114"/>
      <c r="E244" s="114"/>
      <c r="F244" s="114" t="s">
        <v>666</v>
      </c>
      <c r="G244" s="114" t="s">
        <v>84</v>
      </c>
      <c r="H244" s="115">
        <v>1</v>
      </c>
      <c r="I244" s="116">
        <v>28.402499999999996</v>
      </c>
      <c r="J244" s="116">
        <v>34.71</v>
      </c>
      <c r="K244" s="116">
        <v>34.71</v>
      </c>
      <c r="L244" s="116">
        <v>37.869999999999997</v>
      </c>
      <c r="M244" s="116">
        <v>46.28</v>
      </c>
      <c r="N244" s="116">
        <v>46.28</v>
      </c>
      <c r="O244" s="121">
        <f t="shared" si="6"/>
        <v>0.25</v>
      </c>
      <c r="P244" s="121">
        <f t="shared" si="7"/>
        <v>0.25</v>
      </c>
      <c r="Q244" s="121">
        <f>IFERROR(K244/RESUMO_DILIG!$D$5,"")</f>
        <v>3.8791662143161369E-6</v>
      </c>
      <c r="R244" s="114" t="s">
        <v>1293</v>
      </c>
      <c r="S244" s="114" t="s">
        <v>1323</v>
      </c>
      <c r="T244" s="114" t="s">
        <v>1320</v>
      </c>
    </row>
    <row r="245" spans="1:20" ht="25.5" x14ac:dyDescent="0.2">
      <c r="A245" s="108" t="s">
        <v>1624</v>
      </c>
      <c r="B245" s="114" t="s">
        <v>600</v>
      </c>
      <c r="C245" s="114" t="s">
        <v>209</v>
      </c>
      <c r="D245" s="114"/>
      <c r="E245" s="114"/>
      <c r="F245" s="114" t="s">
        <v>601</v>
      </c>
      <c r="G245" s="114" t="s">
        <v>84</v>
      </c>
      <c r="H245" s="115">
        <v>1</v>
      </c>
      <c r="I245" s="116">
        <v>306.54000000000002</v>
      </c>
      <c r="J245" s="116">
        <v>374.67750000000001</v>
      </c>
      <c r="K245" s="116">
        <v>374.67</v>
      </c>
      <c r="L245" s="116">
        <v>408.72</v>
      </c>
      <c r="M245" s="116">
        <v>499.57</v>
      </c>
      <c r="N245" s="116">
        <v>499.57</v>
      </c>
      <c r="O245" s="121">
        <f t="shared" si="6"/>
        <v>0.25</v>
      </c>
      <c r="P245" s="121">
        <f t="shared" si="7"/>
        <v>0.25001501291110351</v>
      </c>
      <c r="Q245" s="121">
        <f>IFERROR(K245/RESUMO_DILIG!$D$5,"")</f>
        <v>4.1872866768015768E-5</v>
      </c>
      <c r="R245" s="114" t="s">
        <v>1293</v>
      </c>
      <c r="S245" s="114" t="s">
        <v>1319</v>
      </c>
      <c r="T245" s="114" t="s">
        <v>1320</v>
      </c>
    </row>
    <row r="246" spans="1:20" ht="51" x14ac:dyDescent="0.2">
      <c r="A246" s="108" t="s">
        <v>1625</v>
      </c>
      <c r="B246" s="114" t="s">
        <v>1626</v>
      </c>
      <c r="C246" s="114" t="s">
        <v>56</v>
      </c>
      <c r="D246" s="114"/>
      <c r="E246" s="114"/>
      <c r="F246" s="114" t="s">
        <v>1627</v>
      </c>
      <c r="G246" s="114" t="s">
        <v>84</v>
      </c>
      <c r="H246" s="115">
        <v>1</v>
      </c>
      <c r="I246" s="116">
        <v>9.4499999999999993</v>
      </c>
      <c r="J246" s="116">
        <v>11.55</v>
      </c>
      <c r="K246" s="116">
        <v>11.55</v>
      </c>
      <c r="L246" s="116">
        <v>12.6</v>
      </c>
      <c r="M246" s="116">
        <v>15.4</v>
      </c>
      <c r="N246" s="116">
        <v>15.4</v>
      </c>
      <c r="O246" s="121">
        <f t="shared" si="6"/>
        <v>0.25</v>
      </c>
      <c r="P246" s="121">
        <f t="shared" si="7"/>
        <v>0.25</v>
      </c>
      <c r="Q246" s="121">
        <f>IFERROR(K246/RESUMO_DILIG!$D$5,"")</f>
        <v>1.290820218246943E-6</v>
      </c>
      <c r="R246" s="114" t="s">
        <v>1293</v>
      </c>
      <c r="S246" s="114" t="s">
        <v>1323</v>
      </c>
      <c r="T246" s="114" t="s">
        <v>1320</v>
      </c>
    </row>
    <row r="247" spans="1:20" ht="38.25" x14ac:dyDescent="0.2">
      <c r="A247" s="108" t="s">
        <v>1628</v>
      </c>
      <c r="B247" s="114" t="s">
        <v>1629</v>
      </c>
      <c r="C247" s="114" t="s">
        <v>56</v>
      </c>
      <c r="D247" s="114"/>
      <c r="E247" s="114"/>
      <c r="F247" s="114" t="s">
        <v>1630</v>
      </c>
      <c r="G247" s="114" t="s">
        <v>84</v>
      </c>
      <c r="H247" s="115">
        <v>1</v>
      </c>
      <c r="I247" s="116">
        <v>91.710000000000008</v>
      </c>
      <c r="J247" s="116">
        <v>112.095</v>
      </c>
      <c r="K247" s="116">
        <v>112.09</v>
      </c>
      <c r="L247" s="116">
        <v>122.28</v>
      </c>
      <c r="M247" s="116">
        <v>149.46</v>
      </c>
      <c r="N247" s="116">
        <v>149.46</v>
      </c>
      <c r="O247" s="121">
        <f t="shared" si="6"/>
        <v>0.25</v>
      </c>
      <c r="P247" s="121">
        <f t="shared" si="7"/>
        <v>0.25003345376689412</v>
      </c>
      <c r="Q247" s="121">
        <f>IFERROR(K247/RESUMO_DILIG!$D$5,"")</f>
        <v>1.2527102879939379E-5</v>
      </c>
      <c r="R247" s="114" t="s">
        <v>1293</v>
      </c>
      <c r="S247" s="114" t="s">
        <v>1323</v>
      </c>
      <c r="T247" s="114" t="s">
        <v>1320</v>
      </c>
    </row>
    <row r="248" spans="1:20" ht="25.5" x14ac:dyDescent="0.2">
      <c r="A248" s="108" t="s">
        <v>1631</v>
      </c>
      <c r="B248" s="114" t="s">
        <v>1632</v>
      </c>
      <c r="C248" s="114" t="s">
        <v>335</v>
      </c>
      <c r="D248" s="114"/>
      <c r="E248" s="114"/>
      <c r="F248" s="114" t="s">
        <v>604</v>
      </c>
      <c r="G248" s="114" t="s">
        <v>26</v>
      </c>
      <c r="H248" s="115">
        <v>1.08</v>
      </c>
      <c r="I248" s="116">
        <v>396.03749999999997</v>
      </c>
      <c r="J248" s="116">
        <v>484.07249999999999</v>
      </c>
      <c r="K248" s="116">
        <v>522.79</v>
      </c>
      <c r="L248" s="116">
        <v>528.04999999999995</v>
      </c>
      <c r="M248" s="116">
        <v>645.42999999999995</v>
      </c>
      <c r="N248" s="116">
        <v>697.06</v>
      </c>
      <c r="O248" s="121">
        <f t="shared" si="6"/>
        <v>0.25</v>
      </c>
      <c r="P248" s="121">
        <f t="shared" si="7"/>
        <v>0.25000717298367425</v>
      </c>
      <c r="Q248" s="121">
        <f>IFERROR(K248/RESUMO_DILIG!$D$5,"")</f>
        <v>5.8426658172928071E-5</v>
      </c>
      <c r="R248" s="114" t="s">
        <v>1293</v>
      </c>
      <c r="S248" s="114" t="s">
        <v>1323</v>
      </c>
      <c r="T248" s="114" t="s">
        <v>1320</v>
      </c>
    </row>
    <row r="249" spans="1:20" ht="38.25" x14ac:dyDescent="0.2">
      <c r="A249" s="108" t="s">
        <v>1633</v>
      </c>
      <c r="B249" s="114" t="s">
        <v>1634</v>
      </c>
      <c r="C249" s="114" t="s">
        <v>56</v>
      </c>
      <c r="D249" s="114"/>
      <c r="E249" s="114"/>
      <c r="F249" s="114" t="s">
        <v>942</v>
      </c>
      <c r="G249" s="114" t="s">
        <v>84</v>
      </c>
      <c r="H249" s="115">
        <v>3</v>
      </c>
      <c r="I249" s="116">
        <v>118.38</v>
      </c>
      <c r="J249" s="116">
        <v>144.69</v>
      </c>
      <c r="K249" s="116">
        <v>434.07</v>
      </c>
      <c r="L249" s="116">
        <v>157.84</v>
      </c>
      <c r="M249" s="116">
        <v>192.92</v>
      </c>
      <c r="N249" s="116">
        <v>578.76</v>
      </c>
      <c r="O249" s="121">
        <f t="shared" si="6"/>
        <v>0.25</v>
      </c>
      <c r="P249" s="121">
        <f t="shared" si="7"/>
        <v>0.25</v>
      </c>
      <c r="Q249" s="121">
        <f>IFERROR(K249/RESUMO_DILIG!$D$5,"")</f>
        <v>4.8511370747571468E-5</v>
      </c>
      <c r="R249" s="114" t="s">
        <v>1293</v>
      </c>
      <c r="S249" s="114" t="s">
        <v>1323</v>
      </c>
      <c r="T249" s="114" t="s">
        <v>1320</v>
      </c>
    </row>
    <row r="250" spans="1:20" ht="51" x14ac:dyDescent="0.2">
      <c r="A250" s="108" t="s">
        <v>608</v>
      </c>
      <c r="B250" s="114" t="s">
        <v>1569</v>
      </c>
      <c r="C250" s="114" t="s">
        <v>56</v>
      </c>
      <c r="D250" s="114" t="s">
        <v>553</v>
      </c>
      <c r="E250" s="114" t="s">
        <v>607</v>
      </c>
      <c r="F250" s="114" t="s">
        <v>574</v>
      </c>
      <c r="G250" s="114" t="s">
        <v>99</v>
      </c>
      <c r="H250" s="115">
        <v>35.6</v>
      </c>
      <c r="I250" s="116">
        <v>27.022500000000001</v>
      </c>
      <c r="J250" s="116">
        <v>33.022500000000001</v>
      </c>
      <c r="K250" s="116">
        <v>1175.5999999999999</v>
      </c>
      <c r="L250" s="116">
        <v>36.03</v>
      </c>
      <c r="M250" s="116">
        <v>44.03</v>
      </c>
      <c r="N250" s="116">
        <v>1567.46</v>
      </c>
      <c r="O250" s="121">
        <f t="shared" si="6"/>
        <v>0.25</v>
      </c>
      <c r="P250" s="121">
        <f t="shared" si="7"/>
        <v>0.24999681012593633</v>
      </c>
      <c r="Q250" s="121">
        <f>IFERROR(K250/RESUMO_DILIG!$D$5,"")</f>
        <v>1.313842639455503E-4</v>
      </c>
      <c r="R250" s="114" t="s">
        <v>1293</v>
      </c>
      <c r="S250" s="114" t="s">
        <v>1323</v>
      </c>
      <c r="T250" s="114" t="s">
        <v>1320</v>
      </c>
    </row>
    <row r="251" spans="1:20" ht="51" x14ac:dyDescent="0.2">
      <c r="A251" s="108" t="s">
        <v>609</v>
      </c>
      <c r="B251" s="114" t="s">
        <v>1571</v>
      </c>
      <c r="C251" s="114" t="s">
        <v>56</v>
      </c>
      <c r="D251" s="114" t="s">
        <v>553</v>
      </c>
      <c r="E251" s="114" t="s">
        <v>607</v>
      </c>
      <c r="F251" s="114" t="s">
        <v>575</v>
      </c>
      <c r="G251" s="114" t="s">
        <v>99</v>
      </c>
      <c r="H251" s="115">
        <v>126</v>
      </c>
      <c r="I251" s="116">
        <v>23.557500000000001</v>
      </c>
      <c r="J251" s="116">
        <v>28.7925</v>
      </c>
      <c r="K251" s="116">
        <v>3627.85</v>
      </c>
      <c r="L251" s="116">
        <v>31.41</v>
      </c>
      <c r="M251" s="116">
        <v>38.39</v>
      </c>
      <c r="N251" s="116">
        <v>4837.1400000000003</v>
      </c>
      <c r="O251" s="121">
        <f t="shared" si="6"/>
        <v>0.25</v>
      </c>
      <c r="P251" s="121">
        <f t="shared" si="7"/>
        <v>0.25000103366865556</v>
      </c>
      <c r="Q251" s="121">
        <f>IFERROR(K251/RESUMO_DILIG!$D$5,"")</f>
        <v>4.0544607175473346E-4</v>
      </c>
      <c r="R251" s="114" t="s">
        <v>1293</v>
      </c>
      <c r="S251" s="114" t="s">
        <v>1323</v>
      </c>
      <c r="T251" s="114" t="s">
        <v>1320</v>
      </c>
    </row>
    <row r="252" spans="1:20" ht="51" x14ac:dyDescent="0.2">
      <c r="A252" s="108" t="s">
        <v>610</v>
      </c>
      <c r="B252" s="114" t="s">
        <v>1575</v>
      </c>
      <c r="C252" s="114" t="s">
        <v>56</v>
      </c>
      <c r="D252" s="114" t="s">
        <v>553</v>
      </c>
      <c r="E252" s="114" t="s">
        <v>607</v>
      </c>
      <c r="F252" s="114" t="s">
        <v>577</v>
      </c>
      <c r="G252" s="114" t="s">
        <v>99</v>
      </c>
      <c r="H252" s="115">
        <v>172.4</v>
      </c>
      <c r="I252" s="116">
        <v>23.865000000000002</v>
      </c>
      <c r="J252" s="116">
        <v>29.1675</v>
      </c>
      <c r="K252" s="116">
        <v>5028.47</v>
      </c>
      <c r="L252" s="116">
        <v>31.82</v>
      </c>
      <c r="M252" s="116">
        <v>38.89</v>
      </c>
      <c r="N252" s="116">
        <v>6704.63</v>
      </c>
      <c r="O252" s="121">
        <f t="shared" si="6"/>
        <v>0.25</v>
      </c>
      <c r="P252" s="121">
        <f t="shared" si="7"/>
        <v>0.25000037287665389</v>
      </c>
      <c r="Q252" s="121">
        <f>IFERROR(K252/RESUMO_DILIG!$D$5,"")</f>
        <v>5.6197841929421684E-4</v>
      </c>
      <c r="R252" s="114" t="s">
        <v>1293</v>
      </c>
      <c r="S252" s="114" t="s">
        <v>1323</v>
      </c>
      <c r="T252" s="114" t="s">
        <v>1320</v>
      </c>
    </row>
    <row r="253" spans="1:20" ht="38.25" x14ac:dyDescent="0.2">
      <c r="A253" s="108" t="s">
        <v>611</v>
      </c>
      <c r="B253" s="114" t="s">
        <v>1635</v>
      </c>
      <c r="C253" s="114" t="s">
        <v>56</v>
      </c>
      <c r="D253" s="114" t="s">
        <v>553</v>
      </c>
      <c r="E253" s="114" t="s">
        <v>607</v>
      </c>
      <c r="F253" s="114" t="s">
        <v>612</v>
      </c>
      <c r="G253" s="114" t="s">
        <v>84</v>
      </c>
      <c r="H253" s="115">
        <v>2</v>
      </c>
      <c r="I253" s="116">
        <v>67.89</v>
      </c>
      <c r="J253" s="116">
        <v>82.98</v>
      </c>
      <c r="K253" s="116">
        <v>165.96</v>
      </c>
      <c r="L253" s="116">
        <v>90.52</v>
      </c>
      <c r="M253" s="116">
        <v>110.64</v>
      </c>
      <c r="N253" s="116">
        <v>221.28</v>
      </c>
      <c r="O253" s="121">
        <f t="shared" si="6"/>
        <v>0.25</v>
      </c>
      <c r="P253" s="121">
        <f t="shared" si="7"/>
        <v>0.25</v>
      </c>
      <c r="Q253" s="121">
        <f>IFERROR(K253/RESUMO_DILIG!$D$5,"")</f>
        <v>1.8547577785304126E-5</v>
      </c>
      <c r="R253" s="114" t="s">
        <v>1293</v>
      </c>
      <c r="S253" s="114" t="s">
        <v>1323</v>
      </c>
      <c r="T253" s="114" t="s">
        <v>1320</v>
      </c>
    </row>
    <row r="254" spans="1:20" ht="38.25" x14ac:dyDescent="0.2">
      <c r="A254" s="108" t="s">
        <v>613</v>
      </c>
      <c r="B254" s="114" t="s">
        <v>1584</v>
      </c>
      <c r="C254" s="114" t="s">
        <v>56</v>
      </c>
      <c r="D254" s="114" t="s">
        <v>553</v>
      </c>
      <c r="E254" s="114" t="s">
        <v>607</v>
      </c>
      <c r="F254" s="114" t="s">
        <v>654</v>
      </c>
      <c r="G254" s="114" t="s">
        <v>84</v>
      </c>
      <c r="H254" s="115">
        <v>5</v>
      </c>
      <c r="I254" s="116">
        <v>69.84</v>
      </c>
      <c r="J254" s="116">
        <v>85.364999999999995</v>
      </c>
      <c r="K254" s="116">
        <v>426.82</v>
      </c>
      <c r="L254" s="116">
        <v>93.12</v>
      </c>
      <c r="M254" s="116">
        <v>113.82</v>
      </c>
      <c r="N254" s="116">
        <v>569.1</v>
      </c>
      <c r="O254" s="121">
        <f t="shared" si="6"/>
        <v>0.25</v>
      </c>
      <c r="P254" s="121">
        <f t="shared" si="7"/>
        <v>0.25000878580214381</v>
      </c>
      <c r="Q254" s="121">
        <f>IFERROR(K254/RESUMO_DILIG!$D$5,"")</f>
        <v>4.7701115632221655E-5</v>
      </c>
      <c r="R254" s="114" t="s">
        <v>1293</v>
      </c>
      <c r="S254" s="114" t="s">
        <v>1323</v>
      </c>
      <c r="T254" s="114" t="s">
        <v>1320</v>
      </c>
    </row>
    <row r="255" spans="1:20" ht="51" x14ac:dyDescent="0.2">
      <c r="A255" s="108" t="s">
        <v>614</v>
      </c>
      <c r="B255" s="114" t="s">
        <v>1636</v>
      </c>
      <c r="C255" s="114" t="s">
        <v>56</v>
      </c>
      <c r="D255" s="114" t="s">
        <v>553</v>
      </c>
      <c r="E255" s="114" t="s">
        <v>607</v>
      </c>
      <c r="F255" s="114" t="s">
        <v>1637</v>
      </c>
      <c r="G255" s="114" t="s">
        <v>84</v>
      </c>
      <c r="H255" s="115">
        <v>28</v>
      </c>
      <c r="I255" s="116">
        <v>61.050000000000004</v>
      </c>
      <c r="J255" s="116">
        <v>74.617499999999993</v>
      </c>
      <c r="K255" s="116">
        <v>2089.29</v>
      </c>
      <c r="L255" s="116">
        <v>81.400000000000006</v>
      </c>
      <c r="M255" s="116">
        <v>99.49</v>
      </c>
      <c r="N255" s="116">
        <v>2785.72</v>
      </c>
      <c r="O255" s="121">
        <f t="shared" si="6"/>
        <v>0.25</v>
      </c>
      <c r="P255" s="121">
        <f t="shared" si="7"/>
        <v>0.25</v>
      </c>
      <c r="Q255" s="121">
        <f>IFERROR(K255/RESUMO_DILIG!$D$5,"")</f>
        <v>2.3349764275161516E-4</v>
      </c>
      <c r="R255" s="114" t="s">
        <v>1293</v>
      </c>
      <c r="S255" s="114" t="s">
        <v>1323</v>
      </c>
      <c r="T255" s="114" t="s">
        <v>1320</v>
      </c>
    </row>
    <row r="256" spans="1:20" ht="51" x14ac:dyDescent="0.2">
      <c r="A256" s="108" t="s">
        <v>616</v>
      </c>
      <c r="B256" s="114" t="s">
        <v>1638</v>
      </c>
      <c r="C256" s="114" t="s">
        <v>56</v>
      </c>
      <c r="D256" s="114" t="s">
        <v>553</v>
      </c>
      <c r="E256" s="114" t="s">
        <v>607</v>
      </c>
      <c r="F256" s="114" t="s">
        <v>1639</v>
      </c>
      <c r="G256" s="114" t="s">
        <v>84</v>
      </c>
      <c r="H256" s="115">
        <v>4</v>
      </c>
      <c r="I256" s="116">
        <v>58.252499999999998</v>
      </c>
      <c r="J256" s="116">
        <v>71.197500000000005</v>
      </c>
      <c r="K256" s="116">
        <v>284.79000000000002</v>
      </c>
      <c r="L256" s="116">
        <v>77.67</v>
      </c>
      <c r="M256" s="116">
        <v>94.93</v>
      </c>
      <c r="N256" s="116">
        <v>379.72</v>
      </c>
      <c r="O256" s="121">
        <f t="shared" si="6"/>
        <v>0.25</v>
      </c>
      <c r="P256" s="121">
        <f t="shared" si="7"/>
        <v>0.25</v>
      </c>
      <c r="Q256" s="121">
        <f>IFERROR(K256/RESUMO_DILIG!$D$5,"")</f>
        <v>3.182793852420319E-5</v>
      </c>
      <c r="R256" s="114" t="s">
        <v>1293</v>
      </c>
      <c r="S256" s="114" t="s">
        <v>1323</v>
      </c>
      <c r="T256" s="114" t="s">
        <v>1320</v>
      </c>
    </row>
    <row r="257" spans="1:20" ht="51" x14ac:dyDescent="0.2">
      <c r="A257" s="108" t="s">
        <v>618</v>
      </c>
      <c r="B257" s="114" t="s">
        <v>1603</v>
      </c>
      <c r="C257" s="114" t="s">
        <v>56</v>
      </c>
      <c r="D257" s="114" t="s">
        <v>553</v>
      </c>
      <c r="E257" s="114" t="s">
        <v>607</v>
      </c>
      <c r="F257" s="114" t="s">
        <v>656</v>
      </c>
      <c r="G257" s="114" t="s">
        <v>84</v>
      </c>
      <c r="H257" s="115">
        <v>7</v>
      </c>
      <c r="I257" s="116">
        <v>18.502500000000001</v>
      </c>
      <c r="J257" s="116">
        <v>22.612499999999997</v>
      </c>
      <c r="K257" s="116">
        <v>158.28</v>
      </c>
      <c r="L257" s="116">
        <v>24.67</v>
      </c>
      <c r="M257" s="116">
        <v>30.15</v>
      </c>
      <c r="N257" s="116">
        <v>211.05</v>
      </c>
      <c r="O257" s="121">
        <f t="shared" si="6"/>
        <v>0.25000000000000011</v>
      </c>
      <c r="P257" s="121">
        <f t="shared" si="7"/>
        <v>0.25003553660270084</v>
      </c>
      <c r="Q257" s="121">
        <f>IFERROR(K257/RESUMO_DILIG!$D$5,"")</f>
        <v>1.76892661596646E-5</v>
      </c>
      <c r="R257" s="114" t="s">
        <v>1293</v>
      </c>
      <c r="S257" s="114" t="s">
        <v>1323</v>
      </c>
      <c r="T257" s="114" t="s">
        <v>1320</v>
      </c>
    </row>
    <row r="258" spans="1:20" ht="38.25" x14ac:dyDescent="0.2">
      <c r="A258" s="108" t="s">
        <v>620</v>
      </c>
      <c r="B258" s="114" t="s">
        <v>1640</v>
      </c>
      <c r="C258" s="114" t="s">
        <v>56</v>
      </c>
      <c r="D258" s="114" t="s">
        <v>553</v>
      </c>
      <c r="E258" s="114" t="s">
        <v>607</v>
      </c>
      <c r="F258" s="114" t="s">
        <v>621</v>
      </c>
      <c r="G258" s="114" t="s">
        <v>84</v>
      </c>
      <c r="H258" s="115">
        <v>8</v>
      </c>
      <c r="I258" s="116">
        <v>11.73</v>
      </c>
      <c r="J258" s="116">
        <v>14.3325</v>
      </c>
      <c r="K258" s="116">
        <v>114.66</v>
      </c>
      <c r="L258" s="116">
        <v>15.64</v>
      </c>
      <c r="M258" s="116">
        <v>19.11</v>
      </c>
      <c r="N258" s="116">
        <v>152.88</v>
      </c>
      <c r="O258" s="121">
        <f t="shared" si="6"/>
        <v>0.25</v>
      </c>
      <c r="P258" s="121">
        <f t="shared" si="7"/>
        <v>0.25</v>
      </c>
      <c r="Q258" s="121">
        <f>IFERROR(K258/RESUMO_DILIG!$D$5,"")</f>
        <v>1.2814324348415105E-5</v>
      </c>
      <c r="R258" s="114" t="s">
        <v>1293</v>
      </c>
      <c r="S258" s="114" t="s">
        <v>1323</v>
      </c>
      <c r="T258" s="114" t="s">
        <v>1320</v>
      </c>
    </row>
    <row r="259" spans="1:20" ht="51" x14ac:dyDescent="0.2">
      <c r="A259" s="108" t="s">
        <v>1641</v>
      </c>
      <c r="B259" s="114" t="s">
        <v>1597</v>
      </c>
      <c r="C259" s="114" t="s">
        <v>56</v>
      </c>
      <c r="D259" s="114"/>
      <c r="E259" s="114"/>
      <c r="F259" s="114" t="s">
        <v>587</v>
      </c>
      <c r="G259" s="114" t="s">
        <v>84</v>
      </c>
      <c r="H259" s="115">
        <v>82</v>
      </c>
      <c r="I259" s="116">
        <v>9.6150000000000002</v>
      </c>
      <c r="J259" s="116">
        <v>11.745000000000001</v>
      </c>
      <c r="K259" s="116">
        <v>963.09</v>
      </c>
      <c r="L259" s="116">
        <v>12.82</v>
      </c>
      <c r="M259" s="116">
        <v>15.66</v>
      </c>
      <c r="N259" s="116">
        <v>1284.1199999999999</v>
      </c>
      <c r="O259" s="121">
        <f t="shared" si="6"/>
        <v>0.24999999999999989</v>
      </c>
      <c r="P259" s="121">
        <f t="shared" si="7"/>
        <v>0.24999999999999989</v>
      </c>
      <c r="Q259" s="121">
        <f>IFERROR(K259/RESUMO_DILIG!$D$5,"")</f>
        <v>1.0763428952306911E-4</v>
      </c>
      <c r="R259" s="114" t="s">
        <v>1293</v>
      </c>
      <c r="S259" s="114" t="s">
        <v>1323</v>
      </c>
      <c r="T259" s="114" t="s">
        <v>1320</v>
      </c>
    </row>
    <row r="260" spans="1:20" ht="51" x14ac:dyDescent="0.2">
      <c r="A260" s="108" t="s">
        <v>1642</v>
      </c>
      <c r="B260" s="114" t="s">
        <v>1643</v>
      </c>
      <c r="C260" s="114" t="s">
        <v>56</v>
      </c>
      <c r="D260" s="114"/>
      <c r="E260" s="114"/>
      <c r="F260" s="114" t="s">
        <v>622</v>
      </c>
      <c r="G260" s="114" t="s">
        <v>84</v>
      </c>
      <c r="H260" s="115">
        <v>5</v>
      </c>
      <c r="I260" s="116">
        <v>10.215</v>
      </c>
      <c r="J260" s="116">
        <v>12.48</v>
      </c>
      <c r="K260" s="116">
        <v>62.4</v>
      </c>
      <c r="L260" s="116">
        <v>13.62</v>
      </c>
      <c r="M260" s="116">
        <v>16.64</v>
      </c>
      <c r="N260" s="116">
        <v>83.2</v>
      </c>
      <c r="O260" s="121">
        <f t="shared" ref="O260:O323" si="8">IFERROR(1-J260/M260,"")</f>
        <v>0.25</v>
      </c>
      <c r="P260" s="121">
        <f t="shared" ref="P260:P323" si="9">IFERROR(1-K260/N260,"")</f>
        <v>0.25</v>
      </c>
      <c r="Q260" s="121">
        <f>IFERROR(K260/RESUMO_DILIG!$D$5,"")</f>
        <v>6.9737819583211458E-6</v>
      </c>
      <c r="R260" s="114" t="s">
        <v>1293</v>
      </c>
      <c r="S260" s="114" t="s">
        <v>1323</v>
      </c>
      <c r="T260" s="114" t="s">
        <v>1320</v>
      </c>
    </row>
    <row r="261" spans="1:20" ht="51" x14ac:dyDescent="0.2">
      <c r="A261" s="108" t="s">
        <v>1644</v>
      </c>
      <c r="B261" s="114" t="s">
        <v>1645</v>
      </c>
      <c r="C261" s="114" t="s">
        <v>56</v>
      </c>
      <c r="D261" s="114"/>
      <c r="E261" s="114"/>
      <c r="F261" s="114" t="s">
        <v>623</v>
      </c>
      <c r="G261" s="114" t="s">
        <v>84</v>
      </c>
      <c r="H261" s="115">
        <v>7</v>
      </c>
      <c r="I261" s="116">
        <v>16.4925</v>
      </c>
      <c r="J261" s="116">
        <v>20.1525</v>
      </c>
      <c r="K261" s="116">
        <v>141.06</v>
      </c>
      <c r="L261" s="116">
        <v>21.99</v>
      </c>
      <c r="M261" s="116">
        <v>26.87</v>
      </c>
      <c r="N261" s="116">
        <v>188.09</v>
      </c>
      <c r="O261" s="121">
        <f t="shared" si="8"/>
        <v>0.25</v>
      </c>
      <c r="P261" s="121">
        <f t="shared" si="9"/>
        <v>0.25003987452815146</v>
      </c>
      <c r="Q261" s="121">
        <f>IFERROR(K261/RESUMO_DILIG!$D$5,"")</f>
        <v>1.5764770561550975E-5</v>
      </c>
      <c r="R261" s="114" t="s">
        <v>1293</v>
      </c>
      <c r="S261" s="114" t="s">
        <v>1323</v>
      </c>
      <c r="T261" s="114" t="s">
        <v>1320</v>
      </c>
    </row>
    <row r="262" spans="1:20" ht="38.25" x14ac:dyDescent="0.2">
      <c r="A262" s="108" t="s">
        <v>1646</v>
      </c>
      <c r="B262" s="114" t="s">
        <v>1647</v>
      </c>
      <c r="C262" s="114" t="s">
        <v>56</v>
      </c>
      <c r="D262" s="114"/>
      <c r="E262" s="114"/>
      <c r="F262" s="114" t="s">
        <v>624</v>
      </c>
      <c r="G262" s="114" t="s">
        <v>84</v>
      </c>
      <c r="H262" s="115">
        <v>1</v>
      </c>
      <c r="I262" s="116">
        <v>14.9175</v>
      </c>
      <c r="J262" s="116">
        <v>18.232499999999998</v>
      </c>
      <c r="K262" s="116">
        <v>18.23</v>
      </c>
      <c r="L262" s="116">
        <v>19.89</v>
      </c>
      <c r="M262" s="116">
        <v>24.31</v>
      </c>
      <c r="N262" s="116">
        <v>24.31</v>
      </c>
      <c r="O262" s="121">
        <f t="shared" si="8"/>
        <v>0.25</v>
      </c>
      <c r="P262" s="121">
        <f t="shared" si="9"/>
        <v>0.2501028383381324</v>
      </c>
      <c r="Q262" s="121">
        <f>IFERROR(K262/RESUMO_DILIG!$D$5,"")</f>
        <v>2.0373725176313219E-6</v>
      </c>
      <c r="R262" s="114" t="s">
        <v>1293</v>
      </c>
      <c r="S262" s="114" t="s">
        <v>1323</v>
      </c>
      <c r="T262" s="114" t="s">
        <v>1320</v>
      </c>
    </row>
    <row r="263" spans="1:20" ht="51" x14ac:dyDescent="0.2">
      <c r="A263" s="108" t="s">
        <v>1648</v>
      </c>
      <c r="B263" s="114" t="s">
        <v>1649</v>
      </c>
      <c r="C263" s="114" t="s">
        <v>56</v>
      </c>
      <c r="D263" s="114"/>
      <c r="E263" s="114"/>
      <c r="F263" s="114" t="s">
        <v>625</v>
      </c>
      <c r="G263" s="114" t="s">
        <v>84</v>
      </c>
      <c r="H263" s="115">
        <v>2</v>
      </c>
      <c r="I263" s="116">
        <v>21.8475</v>
      </c>
      <c r="J263" s="116">
        <v>26.700000000000003</v>
      </c>
      <c r="K263" s="116">
        <v>53.4</v>
      </c>
      <c r="L263" s="116">
        <v>29.13</v>
      </c>
      <c r="M263" s="116">
        <v>35.6</v>
      </c>
      <c r="N263" s="116">
        <v>71.2</v>
      </c>
      <c r="O263" s="121">
        <f t="shared" si="8"/>
        <v>0.25</v>
      </c>
      <c r="P263" s="121">
        <f t="shared" si="9"/>
        <v>0.25</v>
      </c>
      <c r="Q263" s="121">
        <f>IFERROR(K263/RESUMO_DILIG!$D$5,"")</f>
        <v>5.9679480220248265E-6</v>
      </c>
      <c r="R263" s="114" t="s">
        <v>1293</v>
      </c>
      <c r="S263" s="114" t="s">
        <v>1323</v>
      </c>
      <c r="T263" s="114" t="s">
        <v>1320</v>
      </c>
    </row>
    <row r="264" spans="1:20" ht="51" x14ac:dyDescent="0.2">
      <c r="A264" s="108" t="s">
        <v>1650</v>
      </c>
      <c r="B264" s="114" t="s">
        <v>1610</v>
      </c>
      <c r="C264" s="114" t="s">
        <v>56</v>
      </c>
      <c r="D264" s="114"/>
      <c r="E264" s="114"/>
      <c r="F264" s="114" t="s">
        <v>593</v>
      </c>
      <c r="G264" s="114" t="s">
        <v>84</v>
      </c>
      <c r="H264" s="115">
        <v>6</v>
      </c>
      <c r="I264" s="116">
        <v>13.919999999999998</v>
      </c>
      <c r="J264" s="116">
        <v>17.009999999999998</v>
      </c>
      <c r="K264" s="116">
        <v>102.06</v>
      </c>
      <c r="L264" s="116">
        <v>18.559999999999999</v>
      </c>
      <c r="M264" s="116">
        <v>22.68</v>
      </c>
      <c r="N264" s="116">
        <v>136.08000000000001</v>
      </c>
      <c r="O264" s="121">
        <f t="shared" si="8"/>
        <v>0.25000000000000011</v>
      </c>
      <c r="P264" s="121">
        <f t="shared" si="9"/>
        <v>0.25</v>
      </c>
      <c r="Q264" s="121">
        <f>IFERROR(K264/RESUMO_DILIG!$D$5,"")</f>
        <v>1.1406156837600259E-5</v>
      </c>
      <c r="R264" s="114" t="s">
        <v>1293</v>
      </c>
      <c r="S264" s="114" t="s">
        <v>1323</v>
      </c>
      <c r="T264" s="114" t="s">
        <v>1320</v>
      </c>
    </row>
    <row r="265" spans="1:20" ht="51" x14ac:dyDescent="0.2">
      <c r="A265" s="108" t="s">
        <v>1651</v>
      </c>
      <c r="B265" s="114" t="s">
        <v>1652</v>
      </c>
      <c r="C265" s="114" t="s">
        <v>56</v>
      </c>
      <c r="D265" s="114"/>
      <c r="E265" s="114"/>
      <c r="F265" s="114" t="s">
        <v>626</v>
      </c>
      <c r="G265" s="114" t="s">
        <v>84</v>
      </c>
      <c r="H265" s="115">
        <v>1</v>
      </c>
      <c r="I265" s="116">
        <v>30.547499999999999</v>
      </c>
      <c r="J265" s="116">
        <v>37.335000000000001</v>
      </c>
      <c r="K265" s="116">
        <v>37.33</v>
      </c>
      <c r="L265" s="116">
        <v>40.729999999999997</v>
      </c>
      <c r="M265" s="116">
        <v>49.78</v>
      </c>
      <c r="N265" s="116">
        <v>49.78</v>
      </c>
      <c r="O265" s="121">
        <f t="shared" si="8"/>
        <v>0.25</v>
      </c>
      <c r="P265" s="121">
        <f t="shared" si="9"/>
        <v>0.25010044194455605</v>
      </c>
      <c r="Q265" s="121">
        <f>IFERROR(K265/RESUMO_DILIG!$D$5,"")</f>
        <v>4.1719756491046214E-6</v>
      </c>
      <c r="R265" s="114" t="s">
        <v>1293</v>
      </c>
      <c r="S265" s="114" t="s">
        <v>1323</v>
      </c>
      <c r="T265" s="114" t="s">
        <v>1320</v>
      </c>
    </row>
    <row r="266" spans="1:20" ht="51" x14ac:dyDescent="0.2">
      <c r="A266" s="108" t="s">
        <v>1653</v>
      </c>
      <c r="B266" s="114" t="s">
        <v>1654</v>
      </c>
      <c r="C266" s="114" t="s">
        <v>56</v>
      </c>
      <c r="D266" s="114"/>
      <c r="E266" s="114"/>
      <c r="F266" s="114" t="s">
        <v>627</v>
      </c>
      <c r="G266" s="114" t="s">
        <v>84</v>
      </c>
      <c r="H266" s="115">
        <v>23</v>
      </c>
      <c r="I266" s="116">
        <v>11.73</v>
      </c>
      <c r="J266" s="116">
        <v>14.3325</v>
      </c>
      <c r="K266" s="116">
        <v>329.64</v>
      </c>
      <c r="L266" s="116">
        <v>15.64</v>
      </c>
      <c r="M266" s="116">
        <v>19.11</v>
      </c>
      <c r="N266" s="116">
        <v>439.53</v>
      </c>
      <c r="O266" s="121">
        <f t="shared" si="8"/>
        <v>0.25</v>
      </c>
      <c r="P266" s="121">
        <f t="shared" si="9"/>
        <v>0.25001706368165999</v>
      </c>
      <c r="Q266" s="121">
        <f>IFERROR(K266/RESUMO_DILIG!$D$5,"")</f>
        <v>3.6840344306746511E-5</v>
      </c>
      <c r="R266" s="114" t="s">
        <v>1293</v>
      </c>
      <c r="S266" s="114" t="s">
        <v>1323</v>
      </c>
      <c r="T266" s="114" t="s">
        <v>1320</v>
      </c>
    </row>
    <row r="267" spans="1:20" ht="51" x14ac:dyDescent="0.2">
      <c r="A267" s="108" t="s">
        <v>1655</v>
      </c>
      <c r="B267" s="114" t="s">
        <v>1656</v>
      </c>
      <c r="C267" s="114" t="s">
        <v>56</v>
      </c>
      <c r="D267" s="114"/>
      <c r="E267" s="114"/>
      <c r="F267" s="114" t="s">
        <v>628</v>
      </c>
      <c r="G267" s="114" t="s">
        <v>84</v>
      </c>
      <c r="H267" s="115">
        <v>28</v>
      </c>
      <c r="I267" s="116">
        <v>6.9674999999999994</v>
      </c>
      <c r="J267" s="116">
        <v>8.5124999999999993</v>
      </c>
      <c r="K267" s="116">
        <v>238.35</v>
      </c>
      <c r="L267" s="116">
        <v>9.2899999999999991</v>
      </c>
      <c r="M267" s="116">
        <v>11.35</v>
      </c>
      <c r="N267" s="116">
        <v>317.8</v>
      </c>
      <c r="O267" s="121">
        <f t="shared" si="8"/>
        <v>0.25</v>
      </c>
      <c r="P267" s="121">
        <f t="shared" si="9"/>
        <v>0.25</v>
      </c>
      <c r="Q267" s="121">
        <f>IFERROR(K267/RESUMO_DILIG!$D$5,"")</f>
        <v>2.6637835412914183E-5</v>
      </c>
      <c r="R267" s="114" t="s">
        <v>1293</v>
      </c>
      <c r="S267" s="114" t="s">
        <v>1323</v>
      </c>
      <c r="T267" s="114" t="s">
        <v>1320</v>
      </c>
    </row>
    <row r="268" spans="1:20" ht="38.25" x14ac:dyDescent="0.2">
      <c r="A268" s="108" t="s">
        <v>1657</v>
      </c>
      <c r="B268" s="114" t="s">
        <v>1614</v>
      </c>
      <c r="C268" s="114" t="s">
        <v>56</v>
      </c>
      <c r="D268" s="114"/>
      <c r="E268" s="114"/>
      <c r="F268" s="114" t="s">
        <v>595</v>
      </c>
      <c r="G268" s="114" t="s">
        <v>84</v>
      </c>
      <c r="H268" s="115">
        <v>7</v>
      </c>
      <c r="I268" s="116">
        <v>27.39</v>
      </c>
      <c r="J268" s="116">
        <v>33.472500000000004</v>
      </c>
      <c r="K268" s="116">
        <v>234.3</v>
      </c>
      <c r="L268" s="116">
        <v>36.520000000000003</v>
      </c>
      <c r="M268" s="116">
        <v>44.63</v>
      </c>
      <c r="N268" s="116">
        <v>312.41000000000003</v>
      </c>
      <c r="O268" s="121">
        <f t="shared" si="8"/>
        <v>0.25</v>
      </c>
      <c r="P268" s="121">
        <f t="shared" si="9"/>
        <v>0.25002400691399129</v>
      </c>
      <c r="Q268" s="121">
        <f>IFERROR(K268/RESUMO_DILIG!$D$5,"")</f>
        <v>2.6185210141580841E-5</v>
      </c>
      <c r="R268" s="114" t="s">
        <v>1293</v>
      </c>
      <c r="S268" s="114" t="s">
        <v>1323</v>
      </c>
      <c r="T268" s="114" t="s">
        <v>1320</v>
      </c>
    </row>
    <row r="269" spans="1:20" ht="38.25" x14ac:dyDescent="0.2">
      <c r="A269" s="108" t="s">
        <v>1658</v>
      </c>
      <c r="B269" s="114" t="s">
        <v>1659</v>
      </c>
      <c r="C269" s="114" t="s">
        <v>56</v>
      </c>
      <c r="D269" s="114"/>
      <c r="E269" s="114"/>
      <c r="F269" s="114" t="s">
        <v>629</v>
      </c>
      <c r="G269" s="114" t="s">
        <v>84</v>
      </c>
      <c r="H269" s="115">
        <v>16</v>
      </c>
      <c r="I269" s="116">
        <v>16.634999999999998</v>
      </c>
      <c r="J269" s="116">
        <v>20.3325</v>
      </c>
      <c r="K269" s="116">
        <v>325.32</v>
      </c>
      <c r="L269" s="116">
        <v>22.18</v>
      </c>
      <c r="M269" s="116">
        <v>27.11</v>
      </c>
      <c r="N269" s="116">
        <v>433.76</v>
      </c>
      <c r="O269" s="121">
        <f t="shared" si="8"/>
        <v>0.25</v>
      </c>
      <c r="P269" s="121">
        <f t="shared" si="9"/>
        <v>0.25</v>
      </c>
      <c r="Q269" s="121">
        <f>IFERROR(K269/RESUMO_DILIG!$D$5,"")</f>
        <v>3.6357544017324283E-5</v>
      </c>
      <c r="R269" s="114" t="s">
        <v>1293</v>
      </c>
      <c r="S269" s="114" t="s">
        <v>1323</v>
      </c>
      <c r="T269" s="114" t="s">
        <v>1320</v>
      </c>
    </row>
    <row r="270" spans="1:20" ht="38.25" x14ac:dyDescent="0.2">
      <c r="A270" s="108" t="s">
        <v>1660</v>
      </c>
      <c r="B270" s="114" t="s">
        <v>1661</v>
      </c>
      <c r="C270" s="114" t="s">
        <v>56</v>
      </c>
      <c r="D270" s="114"/>
      <c r="E270" s="114"/>
      <c r="F270" s="114" t="s">
        <v>630</v>
      </c>
      <c r="G270" s="114" t="s">
        <v>84</v>
      </c>
      <c r="H270" s="115">
        <v>29</v>
      </c>
      <c r="I270" s="116">
        <v>12</v>
      </c>
      <c r="J270" s="116">
        <v>14.662500000000001</v>
      </c>
      <c r="K270" s="116">
        <v>425.21</v>
      </c>
      <c r="L270" s="116">
        <v>16</v>
      </c>
      <c r="M270" s="116">
        <v>19.55</v>
      </c>
      <c r="N270" s="116">
        <v>566.95000000000005</v>
      </c>
      <c r="O270" s="121">
        <f t="shared" si="8"/>
        <v>0.25</v>
      </c>
      <c r="P270" s="121">
        <f t="shared" si="9"/>
        <v>0.25000440955992598</v>
      </c>
      <c r="Q270" s="121">
        <f>IFERROR(K270/RESUMO_DILIG!$D$5,"")</f>
        <v>4.7521183116950871E-5</v>
      </c>
      <c r="R270" s="114" t="s">
        <v>1293</v>
      </c>
      <c r="S270" s="114" t="s">
        <v>1323</v>
      </c>
      <c r="T270" s="114" t="s">
        <v>1320</v>
      </c>
    </row>
    <row r="271" spans="1:20" ht="38.25" x14ac:dyDescent="0.2">
      <c r="A271" s="108" t="s">
        <v>1662</v>
      </c>
      <c r="B271" s="114" t="s">
        <v>1616</v>
      </c>
      <c r="C271" s="114" t="s">
        <v>56</v>
      </c>
      <c r="D271" s="114"/>
      <c r="E271" s="114"/>
      <c r="F271" s="114" t="s">
        <v>596</v>
      </c>
      <c r="G271" s="114" t="s">
        <v>84</v>
      </c>
      <c r="H271" s="115">
        <v>6</v>
      </c>
      <c r="I271" s="116">
        <v>25.275000000000002</v>
      </c>
      <c r="J271" s="116">
        <v>30.892499999999998</v>
      </c>
      <c r="K271" s="116">
        <v>185.35</v>
      </c>
      <c r="L271" s="116">
        <v>33.700000000000003</v>
      </c>
      <c r="M271" s="116">
        <v>41.19</v>
      </c>
      <c r="N271" s="116">
        <v>247.14</v>
      </c>
      <c r="O271" s="121">
        <f t="shared" si="8"/>
        <v>0.25</v>
      </c>
      <c r="P271" s="121">
        <f t="shared" si="9"/>
        <v>0.25002023144776242</v>
      </c>
      <c r="Q271" s="121">
        <f>IFERROR(K271/RESUMO_DILIG!$D$5,"")</f>
        <v>2.0714591121391414E-5</v>
      </c>
      <c r="R271" s="114" t="s">
        <v>1293</v>
      </c>
      <c r="S271" s="114" t="s">
        <v>1323</v>
      </c>
      <c r="T271" s="114" t="s">
        <v>1320</v>
      </c>
    </row>
    <row r="272" spans="1:20" ht="51" x14ac:dyDescent="0.2">
      <c r="A272" s="108" t="s">
        <v>1663</v>
      </c>
      <c r="B272" s="114" t="s">
        <v>1664</v>
      </c>
      <c r="C272" s="114" t="s">
        <v>56</v>
      </c>
      <c r="D272" s="114"/>
      <c r="E272" s="114"/>
      <c r="F272" s="114" t="s">
        <v>631</v>
      </c>
      <c r="G272" s="114" t="s">
        <v>84</v>
      </c>
      <c r="H272" s="115">
        <v>1</v>
      </c>
      <c r="I272" s="116">
        <v>18.697499999999998</v>
      </c>
      <c r="J272" s="116">
        <v>22.852499999999999</v>
      </c>
      <c r="K272" s="116">
        <v>22.85</v>
      </c>
      <c r="L272" s="116">
        <v>24.93</v>
      </c>
      <c r="M272" s="116">
        <v>30.47</v>
      </c>
      <c r="N272" s="116">
        <v>30.47</v>
      </c>
      <c r="O272" s="121">
        <f t="shared" si="8"/>
        <v>0.25</v>
      </c>
      <c r="P272" s="121">
        <f t="shared" si="9"/>
        <v>0.25008204791598287</v>
      </c>
      <c r="Q272" s="121">
        <f>IFERROR(K272/RESUMO_DILIG!$D$5,"")</f>
        <v>2.5537006049300992E-6</v>
      </c>
      <c r="R272" s="114" t="s">
        <v>1293</v>
      </c>
      <c r="S272" s="114" t="s">
        <v>1323</v>
      </c>
      <c r="T272" s="114" t="s">
        <v>1320</v>
      </c>
    </row>
    <row r="273" spans="1:20" ht="51" x14ac:dyDescent="0.2">
      <c r="A273" s="108" t="s">
        <v>1665</v>
      </c>
      <c r="B273" s="114" t="s">
        <v>1666</v>
      </c>
      <c r="C273" s="114" t="s">
        <v>56</v>
      </c>
      <c r="D273" s="114"/>
      <c r="E273" s="114"/>
      <c r="F273" s="114" t="s">
        <v>632</v>
      </c>
      <c r="G273" s="114" t="s">
        <v>84</v>
      </c>
      <c r="H273" s="115">
        <v>3</v>
      </c>
      <c r="I273" s="116">
        <v>11.4375</v>
      </c>
      <c r="J273" s="116">
        <v>13.98</v>
      </c>
      <c r="K273" s="116">
        <v>41.94</v>
      </c>
      <c r="L273" s="116">
        <v>15.25</v>
      </c>
      <c r="M273" s="116">
        <v>18.64</v>
      </c>
      <c r="N273" s="116">
        <v>55.92</v>
      </c>
      <c r="O273" s="121">
        <f t="shared" si="8"/>
        <v>0.25</v>
      </c>
      <c r="P273" s="121">
        <f t="shared" si="9"/>
        <v>0.25000000000000011</v>
      </c>
      <c r="Q273" s="121">
        <f>IFERROR(K273/RESUMO_DILIG!$D$5,"")</f>
        <v>4.6871861431408463E-6</v>
      </c>
      <c r="R273" s="114" t="s">
        <v>1293</v>
      </c>
      <c r="S273" s="114" t="s">
        <v>1323</v>
      </c>
      <c r="T273" s="114" t="s">
        <v>1320</v>
      </c>
    </row>
    <row r="274" spans="1:20" ht="51" x14ac:dyDescent="0.2">
      <c r="A274" s="108" t="s">
        <v>1667</v>
      </c>
      <c r="B274" s="114" t="s">
        <v>1668</v>
      </c>
      <c r="C274" s="114" t="s">
        <v>56</v>
      </c>
      <c r="D274" s="114"/>
      <c r="E274" s="114"/>
      <c r="F274" s="114" t="s">
        <v>1669</v>
      </c>
      <c r="G274" s="114" t="s">
        <v>84</v>
      </c>
      <c r="H274" s="115">
        <v>24</v>
      </c>
      <c r="I274" s="116">
        <v>9.93</v>
      </c>
      <c r="J274" s="116">
        <v>12.135</v>
      </c>
      <c r="K274" s="116">
        <v>291.24</v>
      </c>
      <c r="L274" s="116">
        <v>13.24</v>
      </c>
      <c r="M274" s="116">
        <v>16.18</v>
      </c>
      <c r="N274" s="116">
        <v>388.32</v>
      </c>
      <c r="O274" s="121">
        <f t="shared" si="8"/>
        <v>0.25</v>
      </c>
      <c r="P274" s="121">
        <f t="shared" si="9"/>
        <v>0.25</v>
      </c>
      <c r="Q274" s="121">
        <f>IFERROR(K274/RESUMO_DILIG!$D$5,"")</f>
        <v>3.2548786178548885E-5</v>
      </c>
      <c r="R274" s="114" t="s">
        <v>1293</v>
      </c>
      <c r="S274" s="114" t="s">
        <v>1323</v>
      </c>
      <c r="T274" s="114" t="s">
        <v>1320</v>
      </c>
    </row>
    <row r="275" spans="1:20" ht="51" x14ac:dyDescent="0.2">
      <c r="A275" s="108" t="s">
        <v>1670</v>
      </c>
      <c r="B275" s="114" t="s">
        <v>1592</v>
      </c>
      <c r="C275" s="114" t="s">
        <v>56</v>
      </c>
      <c r="D275" s="114"/>
      <c r="E275" s="114"/>
      <c r="F275" s="114" t="s">
        <v>1593</v>
      </c>
      <c r="G275" s="114" t="s">
        <v>84</v>
      </c>
      <c r="H275" s="115">
        <v>4</v>
      </c>
      <c r="I275" s="116">
        <v>12.315000000000001</v>
      </c>
      <c r="J275" s="116">
        <v>15.0525</v>
      </c>
      <c r="K275" s="116">
        <v>60.21</v>
      </c>
      <c r="L275" s="116">
        <v>16.420000000000002</v>
      </c>
      <c r="M275" s="116">
        <v>20.07</v>
      </c>
      <c r="N275" s="116">
        <v>80.28</v>
      </c>
      <c r="O275" s="121">
        <f t="shared" si="8"/>
        <v>0.25</v>
      </c>
      <c r="P275" s="121">
        <f t="shared" si="9"/>
        <v>0.25</v>
      </c>
      <c r="Q275" s="121">
        <f>IFERROR(K275/RESUMO_DILIG!$D$5,"")</f>
        <v>6.729029033822375E-6</v>
      </c>
      <c r="R275" s="114" t="s">
        <v>1293</v>
      </c>
      <c r="S275" s="114" t="s">
        <v>1323</v>
      </c>
      <c r="T275" s="114" t="s">
        <v>1320</v>
      </c>
    </row>
    <row r="276" spans="1:20" ht="63.75" x14ac:dyDescent="0.2">
      <c r="A276" s="108" t="s">
        <v>1671</v>
      </c>
      <c r="B276" s="114" t="s">
        <v>1672</v>
      </c>
      <c r="C276" s="114" t="s">
        <v>56</v>
      </c>
      <c r="D276" s="114"/>
      <c r="E276" s="114"/>
      <c r="F276" s="114" t="s">
        <v>635</v>
      </c>
      <c r="G276" s="114" t="s">
        <v>84</v>
      </c>
      <c r="H276" s="115">
        <v>2</v>
      </c>
      <c r="I276" s="116">
        <v>29.505000000000003</v>
      </c>
      <c r="J276" s="116">
        <v>36.06</v>
      </c>
      <c r="K276" s="116">
        <v>72.12</v>
      </c>
      <c r="L276" s="116">
        <v>39.340000000000003</v>
      </c>
      <c r="M276" s="116">
        <v>48.08</v>
      </c>
      <c r="N276" s="116">
        <v>96.16</v>
      </c>
      <c r="O276" s="121">
        <f t="shared" si="8"/>
        <v>0.24999999999999989</v>
      </c>
      <c r="P276" s="121">
        <f t="shared" si="9"/>
        <v>0.24999999999999989</v>
      </c>
      <c r="Q276" s="121">
        <f>IFERROR(K276/RESUMO_DILIG!$D$5,"")</f>
        <v>8.0600826095211701E-6</v>
      </c>
      <c r="R276" s="114" t="s">
        <v>1293</v>
      </c>
      <c r="S276" s="114" t="s">
        <v>1323</v>
      </c>
      <c r="T276" s="114" t="s">
        <v>1320</v>
      </c>
    </row>
    <row r="277" spans="1:20" ht="63.75" x14ac:dyDescent="0.2">
      <c r="A277" s="108" t="s">
        <v>1673</v>
      </c>
      <c r="B277" s="114" t="s">
        <v>1674</v>
      </c>
      <c r="C277" s="114" t="s">
        <v>56</v>
      </c>
      <c r="D277" s="114"/>
      <c r="E277" s="114"/>
      <c r="F277" s="114" t="s">
        <v>636</v>
      </c>
      <c r="G277" s="114" t="s">
        <v>84</v>
      </c>
      <c r="H277" s="115">
        <v>56</v>
      </c>
      <c r="I277" s="116">
        <v>6.5249999999999995</v>
      </c>
      <c r="J277" s="116">
        <v>7.9725000000000001</v>
      </c>
      <c r="K277" s="116">
        <v>446.46</v>
      </c>
      <c r="L277" s="116">
        <v>8.6999999999999993</v>
      </c>
      <c r="M277" s="116">
        <v>10.63</v>
      </c>
      <c r="N277" s="116">
        <v>595.28</v>
      </c>
      <c r="O277" s="121">
        <f t="shared" si="8"/>
        <v>0.25</v>
      </c>
      <c r="P277" s="121">
        <f t="shared" si="9"/>
        <v>0.25</v>
      </c>
      <c r="Q277" s="121">
        <f>IFERROR(K277/RESUMO_DILIG!$D$5,"")</f>
        <v>4.9896068799872732E-5</v>
      </c>
      <c r="R277" s="114" t="s">
        <v>1293</v>
      </c>
      <c r="S277" s="114" t="s">
        <v>1323</v>
      </c>
      <c r="T277" s="114" t="s">
        <v>1320</v>
      </c>
    </row>
    <row r="278" spans="1:20" ht="63.75" x14ac:dyDescent="0.2">
      <c r="A278" s="108" t="s">
        <v>1675</v>
      </c>
      <c r="B278" s="114" t="s">
        <v>1676</v>
      </c>
      <c r="C278" s="114" t="s">
        <v>56</v>
      </c>
      <c r="D278" s="114"/>
      <c r="E278" s="114"/>
      <c r="F278" s="114" t="s">
        <v>637</v>
      </c>
      <c r="G278" s="114" t="s">
        <v>84</v>
      </c>
      <c r="H278" s="115">
        <v>6</v>
      </c>
      <c r="I278" s="116">
        <v>5.4450000000000003</v>
      </c>
      <c r="J278" s="116">
        <v>6.6524999999999999</v>
      </c>
      <c r="K278" s="116">
        <v>39.909999999999997</v>
      </c>
      <c r="L278" s="116">
        <v>7.26</v>
      </c>
      <c r="M278" s="116">
        <v>8.8699999999999992</v>
      </c>
      <c r="N278" s="116">
        <v>53.22</v>
      </c>
      <c r="O278" s="121">
        <f t="shared" si="8"/>
        <v>0.25</v>
      </c>
      <c r="P278" s="121">
        <f t="shared" si="9"/>
        <v>0.25009394964299136</v>
      </c>
      <c r="Q278" s="121">
        <f>IFERROR(K278/RESUMO_DILIG!$D$5,"")</f>
        <v>4.4603147108428991E-6</v>
      </c>
      <c r="R278" s="114" t="s">
        <v>1293</v>
      </c>
      <c r="S278" s="114" t="s">
        <v>1323</v>
      </c>
      <c r="T278" s="114" t="s">
        <v>1320</v>
      </c>
    </row>
    <row r="279" spans="1:20" ht="51" x14ac:dyDescent="0.2">
      <c r="A279" s="108" t="s">
        <v>1677</v>
      </c>
      <c r="B279" s="114" t="s">
        <v>1678</v>
      </c>
      <c r="C279" s="114" t="s">
        <v>56</v>
      </c>
      <c r="D279" s="114"/>
      <c r="E279" s="114"/>
      <c r="F279" s="114" t="s">
        <v>1679</v>
      </c>
      <c r="G279" s="114" t="s">
        <v>84</v>
      </c>
      <c r="H279" s="115">
        <v>51</v>
      </c>
      <c r="I279" s="116">
        <v>11.9925</v>
      </c>
      <c r="J279" s="116">
        <v>14.654999999999999</v>
      </c>
      <c r="K279" s="116">
        <v>747.4</v>
      </c>
      <c r="L279" s="116">
        <v>15.99</v>
      </c>
      <c r="M279" s="116">
        <v>19.54</v>
      </c>
      <c r="N279" s="116">
        <v>996.54</v>
      </c>
      <c r="O279" s="121">
        <f t="shared" si="8"/>
        <v>0.25</v>
      </c>
      <c r="P279" s="121">
        <f t="shared" si="9"/>
        <v>0.25000501736006586</v>
      </c>
      <c r="Q279" s="121">
        <f>IFERROR(K279/RESUMO_DILIG!$D$5,"")</f>
        <v>8.3528920443096542E-5</v>
      </c>
      <c r="R279" s="114" t="s">
        <v>1293</v>
      </c>
      <c r="S279" s="114" t="s">
        <v>1323</v>
      </c>
      <c r="T279" s="114" t="s">
        <v>1320</v>
      </c>
    </row>
    <row r="280" spans="1:20" ht="63.75" x14ac:dyDescent="0.2">
      <c r="A280" s="108" t="s">
        <v>1680</v>
      </c>
      <c r="B280" s="114" t="s">
        <v>1681</v>
      </c>
      <c r="C280" s="114" t="s">
        <v>56</v>
      </c>
      <c r="D280" s="114"/>
      <c r="E280" s="114"/>
      <c r="F280" s="114" t="s">
        <v>639</v>
      </c>
      <c r="G280" s="114" t="s">
        <v>84</v>
      </c>
      <c r="H280" s="115">
        <v>24</v>
      </c>
      <c r="I280" s="116">
        <v>18.36</v>
      </c>
      <c r="J280" s="116">
        <v>22.44</v>
      </c>
      <c r="K280" s="116">
        <v>538.55999999999995</v>
      </c>
      <c r="L280" s="116">
        <v>24.48</v>
      </c>
      <c r="M280" s="116">
        <v>29.92</v>
      </c>
      <c r="N280" s="116">
        <v>718.08</v>
      </c>
      <c r="O280" s="121">
        <f t="shared" si="8"/>
        <v>0.25</v>
      </c>
      <c r="P280" s="121">
        <f t="shared" si="9"/>
        <v>0.25000000000000011</v>
      </c>
      <c r="Q280" s="121">
        <f>IFERROR(K280/RESUMO_DILIG!$D$5,"")</f>
        <v>6.0189102747971727E-5</v>
      </c>
      <c r="R280" s="114" t="s">
        <v>1293</v>
      </c>
      <c r="S280" s="114" t="s">
        <v>1323</v>
      </c>
      <c r="T280" s="114" t="s">
        <v>1320</v>
      </c>
    </row>
    <row r="281" spans="1:20" ht="38.25" x14ac:dyDescent="0.2">
      <c r="A281" s="108" t="s">
        <v>1682</v>
      </c>
      <c r="B281" s="114" t="s">
        <v>1683</v>
      </c>
      <c r="C281" s="114" t="s">
        <v>56</v>
      </c>
      <c r="D281" s="114"/>
      <c r="E281" s="114"/>
      <c r="F281" s="114" t="s">
        <v>640</v>
      </c>
      <c r="G281" s="114" t="s">
        <v>84</v>
      </c>
      <c r="H281" s="115">
        <v>1</v>
      </c>
      <c r="I281" s="116">
        <v>9.6449999999999996</v>
      </c>
      <c r="J281" s="116">
        <v>11.782500000000001</v>
      </c>
      <c r="K281" s="116">
        <v>11.78</v>
      </c>
      <c r="L281" s="116">
        <v>12.86</v>
      </c>
      <c r="M281" s="116">
        <v>15.71</v>
      </c>
      <c r="N281" s="116">
        <v>15.71</v>
      </c>
      <c r="O281" s="121">
        <f t="shared" si="8"/>
        <v>0.25</v>
      </c>
      <c r="P281" s="121">
        <f t="shared" si="9"/>
        <v>0.25015913430935721</v>
      </c>
      <c r="Q281" s="121">
        <f>IFERROR(K281/RESUMO_DILIG!$D$5,"")</f>
        <v>1.3165248632856264E-6</v>
      </c>
      <c r="R281" s="114" t="s">
        <v>1293</v>
      </c>
      <c r="S281" s="114" t="s">
        <v>1323</v>
      </c>
      <c r="T281" s="114" t="s">
        <v>1320</v>
      </c>
    </row>
    <row r="282" spans="1:20" ht="63.75" x14ac:dyDescent="0.2">
      <c r="A282" s="108" t="s">
        <v>1684</v>
      </c>
      <c r="B282" s="114" t="s">
        <v>1685</v>
      </c>
      <c r="C282" s="114" t="s">
        <v>56</v>
      </c>
      <c r="D282" s="114"/>
      <c r="E282" s="114"/>
      <c r="F282" s="114" t="s">
        <v>1686</v>
      </c>
      <c r="G282" s="114" t="s">
        <v>99</v>
      </c>
      <c r="H282" s="115">
        <v>107.83</v>
      </c>
      <c r="I282" s="116">
        <v>6.87</v>
      </c>
      <c r="J282" s="116">
        <v>8.3925000000000001</v>
      </c>
      <c r="K282" s="116">
        <v>904.96</v>
      </c>
      <c r="L282" s="116">
        <v>9.16</v>
      </c>
      <c r="M282" s="116">
        <v>11.19</v>
      </c>
      <c r="N282" s="116">
        <v>1206.6099999999999</v>
      </c>
      <c r="O282" s="121">
        <f t="shared" si="8"/>
        <v>0.25</v>
      </c>
      <c r="P282" s="121">
        <f t="shared" si="9"/>
        <v>0.24999792807949539</v>
      </c>
      <c r="Q282" s="121">
        <f>IFERROR(K282/RESUMO_DILIG!$D$5,"")</f>
        <v>1.0113771988785745E-4</v>
      </c>
      <c r="R282" s="114" t="s">
        <v>1293</v>
      </c>
      <c r="S282" s="114" t="s">
        <v>1323</v>
      </c>
      <c r="T282" s="114" t="s">
        <v>1320</v>
      </c>
    </row>
    <row r="283" spans="1:20" ht="63.75" x14ac:dyDescent="0.2">
      <c r="A283" s="108" t="s">
        <v>1687</v>
      </c>
      <c r="B283" s="114" t="s">
        <v>1688</v>
      </c>
      <c r="C283" s="114" t="s">
        <v>56</v>
      </c>
      <c r="D283" s="114"/>
      <c r="E283" s="114"/>
      <c r="F283" s="114" t="s">
        <v>1689</v>
      </c>
      <c r="G283" s="114" t="s">
        <v>99</v>
      </c>
      <c r="H283" s="115">
        <v>107.83</v>
      </c>
      <c r="I283" s="116">
        <v>15.375</v>
      </c>
      <c r="J283" s="116">
        <v>18.787500000000001</v>
      </c>
      <c r="K283" s="116">
        <v>2025.85</v>
      </c>
      <c r="L283" s="116">
        <v>20.5</v>
      </c>
      <c r="M283" s="116">
        <v>25.05</v>
      </c>
      <c r="N283" s="116">
        <v>2701.14</v>
      </c>
      <c r="O283" s="121">
        <f t="shared" si="8"/>
        <v>0.25</v>
      </c>
      <c r="P283" s="121">
        <f t="shared" si="9"/>
        <v>0.25000185107028883</v>
      </c>
      <c r="Q283" s="121">
        <f>IFERROR(K283/RESUMO_DILIG!$D$5,"")</f>
        <v>2.2640763109398865E-4</v>
      </c>
      <c r="R283" s="114" t="s">
        <v>1293</v>
      </c>
      <c r="S283" s="114" t="s">
        <v>1323</v>
      </c>
      <c r="T283" s="114" t="s">
        <v>1320</v>
      </c>
    </row>
    <row r="284" spans="1:20" ht="51" x14ac:dyDescent="0.2">
      <c r="A284" s="108" t="s">
        <v>645</v>
      </c>
      <c r="B284" s="114" t="s">
        <v>1569</v>
      </c>
      <c r="C284" s="114" t="s">
        <v>56</v>
      </c>
      <c r="D284" s="114" t="s">
        <v>553</v>
      </c>
      <c r="E284" s="114" t="s">
        <v>644</v>
      </c>
      <c r="F284" s="114" t="s">
        <v>574</v>
      </c>
      <c r="G284" s="114" t="s">
        <v>99</v>
      </c>
      <c r="H284" s="115">
        <v>12.7</v>
      </c>
      <c r="I284" s="116">
        <v>27.022500000000001</v>
      </c>
      <c r="J284" s="116">
        <v>33.022500000000001</v>
      </c>
      <c r="K284" s="116">
        <v>419.38</v>
      </c>
      <c r="L284" s="116">
        <v>36.03</v>
      </c>
      <c r="M284" s="116">
        <v>44.03</v>
      </c>
      <c r="N284" s="116">
        <v>559.17999999999995</v>
      </c>
      <c r="O284" s="121">
        <f t="shared" si="8"/>
        <v>0.25</v>
      </c>
      <c r="P284" s="121">
        <f t="shared" si="9"/>
        <v>0.25000894166458021</v>
      </c>
      <c r="Q284" s="121">
        <f>IFERROR(K284/RESUMO_DILIG!$D$5,"")</f>
        <v>4.6869626244883365E-5</v>
      </c>
      <c r="R284" s="114" t="s">
        <v>1293</v>
      </c>
      <c r="S284" s="114" t="s">
        <v>1323</v>
      </c>
      <c r="T284" s="114" t="s">
        <v>1320</v>
      </c>
    </row>
    <row r="285" spans="1:20" ht="51" x14ac:dyDescent="0.2">
      <c r="A285" s="108" t="s">
        <v>646</v>
      </c>
      <c r="B285" s="114" t="s">
        <v>1690</v>
      </c>
      <c r="C285" s="114" t="s">
        <v>56</v>
      </c>
      <c r="D285" s="114" t="s">
        <v>553</v>
      </c>
      <c r="E285" s="114" t="s">
        <v>644</v>
      </c>
      <c r="F285" s="114" t="s">
        <v>647</v>
      </c>
      <c r="G285" s="114" t="s">
        <v>99</v>
      </c>
      <c r="H285" s="115">
        <v>1.1000000000000001</v>
      </c>
      <c r="I285" s="116">
        <v>17.52</v>
      </c>
      <c r="J285" s="116">
        <v>21.412500000000001</v>
      </c>
      <c r="K285" s="116">
        <v>23.55</v>
      </c>
      <c r="L285" s="116">
        <v>23.36</v>
      </c>
      <c r="M285" s="116">
        <v>28.55</v>
      </c>
      <c r="N285" s="116">
        <v>31.4</v>
      </c>
      <c r="O285" s="121">
        <f t="shared" si="8"/>
        <v>0.25</v>
      </c>
      <c r="P285" s="121">
        <f t="shared" si="9"/>
        <v>0.24999999999999989</v>
      </c>
      <c r="Q285" s="121">
        <f>IFERROR(K285/RESUMO_DILIG!$D$5,"")</f>
        <v>2.6319321333087017E-6</v>
      </c>
      <c r="R285" s="114" t="s">
        <v>1293</v>
      </c>
      <c r="S285" s="114" t="s">
        <v>1323</v>
      </c>
      <c r="T285" s="114" t="s">
        <v>1320</v>
      </c>
    </row>
    <row r="286" spans="1:20" ht="51" x14ac:dyDescent="0.2">
      <c r="A286" s="108" t="s">
        <v>648</v>
      </c>
      <c r="B286" s="114" t="s">
        <v>1575</v>
      </c>
      <c r="C286" s="114" t="s">
        <v>56</v>
      </c>
      <c r="D286" s="114" t="s">
        <v>553</v>
      </c>
      <c r="E286" s="114" t="s">
        <v>644</v>
      </c>
      <c r="F286" s="114" t="s">
        <v>577</v>
      </c>
      <c r="G286" s="114" t="s">
        <v>99</v>
      </c>
      <c r="H286" s="115">
        <v>103.2</v>
      </c>
      <c r="I286" s="116">
        <v>23.865000000000002</v>
      </c>
      <c r="J286" s="116">
        <v>29.1675</v>
      </c>
      <c r="K286" s="116">
        <v>3010.08</v>
      </c>
      <c r="L286" s="116">
        <v>31.82</v>
      </c>
      <c r="M286" s="116">
        <v>38.89</v>
      </c>
      <c r="N286" s="116">
        <v>4013.44</v>
      </c>
      <c r="O286" s="121">
        <f t="shared" si="8"/>
        <v>0.25</v>
      </c>
      <c r="P286" s="121">
        <f t="shared" si="9"/>
        <v>0.25</v>
      </c>
      <c r="Q286" s="121">
        <f>IFERROR(K286/RESUMO_DILIG!$D$5,"")</f>
        <v>3.3640451277409158E-4</v>
      </c>
      <c r="R286" s="114" t="s">
        <v>1293</v>
      </c>
      <c r="S286" s="114" t="s">
        <v>1323</v>
      </c>
      <c r="T286" s="114" t="s">
        <v>1320</v>
      </c>
    </row>
    <row r="287" spans="1:20" ht="38.25" x14ac:dyDescent="0.2">
      <c r="A287" s="108" t="s">
        <v>649</v>
      </c>
      <c r="B287" s="114" t="s">
        <v>1580</v>
      </c>
      <c r="C287" s="114" t="s">
        <v>56</v>
      </c>
      <c r="D287" s="114" t="s">
        <v>553</v>
      </c>
      <c r="E287" s="114" t="s">
        <v>644</v>
      </c>
      <c r="F287" s="114" t="s">
        <v>579</v>
      </c>
      <c r="G287" s="114" t="s">
        <v>84</v>
      </c>
      <c r="H287" s="115">
        <v>2</v>
      </c>
      <c r="I287" s="116">
        <v>33.532499999999999</v>
      </c>
      <c r="J287" s="116">
        <v>40.980000000000004</v>
      </c>
      <c r="K287" s="116">
        <v>81.96</v>
      </c>
      <c r="L287" s="116">
        <v>44.71</v>
      </c>
      <c r="M287" s="116">
        <v>54.64</v>
      </c>
      <c r="N287" s="116">
        <v>109.28</v>
      </c>
      <c r="O287" s="121">
        <f t="shared" si="8"/>
        <v>0.24999999999999989</v>
      </c>
      <c r="P287" s="121">
        <f t="shared" si="9"/>
        <v>0.25000000000000011</v>
      </c>
      <c r="Q287" s="121">
        <f>IFERROR(K287/RESUMO_DILIG!$D$5,"")</f>
        <v>9.159794379871812E-6</v>
      </c>
      <c r="R287" s="114" t="s">
        <v>1293</v>
      </c>
      <c r="S287" s="114" t="s">
        <v>1323</v>
      </c>
      <c r="T287" s="114" t="s">
        <v>1320</v>
      </c>
    </row>
    <row r="288" spans="1:20" ht="38.25" x14ac:dyDescent="0.2">
      <c r="A288" s="108" t="s">
        <v>651</v>
      </c>
      <c r="B288" s="114" t="s">
        <v>1582</v>
      </c>
      <c r="C288" s="114" t="s">
        <v>56</v>
      </c>
      <c r="D288" s="114" t="s">
        <v>553</v>
      </c>
      <c r="E288" s="114" t="s">
        <v>644</v>
      </c>
      <c r="F288" s="114" t="s">
        <v>580</v>
      </c>
      <c r="G288" s="114" t="s">
        <v>84</v>
      </c>
      <c r="H288" s="115">
        <v>2</v>
      </c>
      <c r="I288" s="116">
        <v>49.987500000000004</v>
      </c>
      <c r="J288" s="116">
        <v>61.094999999999999</v>
      </c>
      <c r="K288" s="116">
        <v>122.19</v>
      </c>
      <c r="L288" s="116">
        <v>66.650000000000006</v>
      </c>
      <c r="M288" s="116">
        <v>81.459999999999994</v>
      </c>
      <c r="N288" s="116">
        <v>162.91999999999999</v>
      </c>
      <c r="O288" s="121">
        <f t="shared" si="8"/>
        <v>0.25</v>
      </c>
      <c r="P288" s="121">
        <f t="shared" si="9"/>
        <v>0.25</v>
      </c>
      <c r="Q288" s="121">
        <f>IFERROR(K288/RESUMO_DILIG!$D$5,"")</f>
        <v>1.3655872075116358E-5</v>
      </c>
      <c r="R288" s="114" t="s">
        <v>1293</v>
      </c>
      <c r="S288" s="114" t="s">
        <v>1323</v>
      </c>
      <c r="T288" s="114" t="s">
        <v>1320</v>
      </c>
    </row>
    <row r="289" spans="1:20" ht="38.25" x14ac:dyDescent="0.2">
      <c r="A289" s="108" t="s">
        <v>653</v>
      </c>
      <c r="B289" s="114" t="s">
        <v>1584</v>
      </c>
      <c r="C289" s="114" t="s">
        <v>56</v>
      </c>
      <c r="D289" s="114" t="s">
        <v>553</v>
      </c>
      <c r="E289" s="114" t="s">
        <v>644</v>
      </c>
      <c r="F289" s="114" t="s">
        <v>654</v>
      </c>
      <c r="G289" s="114" t="s">
        <v>84</v>
      </c>
      <c r="H289" s="115">
        <v>2</v>
      </c>
      <c r="I289" s="116">
        <v>69.84</v>
      </c>
      <c r="J289" s="116">
        <v>85.364999999999995</v>
      </c>
      <c r="K289" s="116">
        <v>170.73</v>
      </c>
      <c r="L289" s="116">
        <v>93.12</v>
      </c>
      <c r="M289" s="116">
        <v>113.82</v>
      </c>
      <c r="N289" s="116">
        <v>227.64</v>
      </c>
      <c r="O289" s="121">
        <f t="shared" si="8"/>
        <v>0.25</v>
      </c>
      <c r="P289" s="121">
        <f t="shared" si="9"/>
        <v>0.25</v>
      </c>
      <c r="Q289" s="121">
        <f>IFERROR(K289/RESUMO_DILIG!$D$5,"")</f>
        <v>1.9080669771541173E-5</v>
      </c>
      <c r="R289" s="114" t="s">
        <v>1293</v>
      </c>
      <c r="S289" s="114" t="s">
        <v>1323</v>
      </c>
      <c r="T289" s="114" t="s">
        <v>1320</v>
      </c>
    </row>
    <row r="290" spans="1:20" ht="51" x14ac:dyDescent="0.2">
      <c r="A290" s="108" t="s">
        <v>655</v>
      </c>
      <c r="B290" s="114" t="s">
        <v>1603</v>
      </c>
      <c r="C290" s="114" t="s">
        <v>56</v>
      </c>
      <c r="D290" s="114" t="s">
        <v>553</v>
      </c>
      <c r="E290" s="114" t="s">
        <v>644</v>
      </c>
      <c r="F290" s="114" t="s">
        <v>656</v>
      </c>
      <c r="G290" s="114" t="s">
        <v>84</v>
      </c>
      <c r="H290" s="115">
        <v>6</v>
      </c>
      <c r="I290" s="116">
        <v>18.502500000000001</v>
      </c>
      <c r="J290" s="116">
        <v>22.612499999999997</v>
      </c>
      <c r="K290" s="116">
        <v>135.66999999999999</v>
      </c>
      <c r="L290" s="116">
        <v>24.67</v>
      </c>
      <c r="M290" s="116">
        <v>30.15</v>
      </c>
      <c r="N290" s="116">
        <v>180.9</v>
      </c>
      <c r="O290" s="121">
        <f t="shared" si="8"/>
        <v>0.25000000000000011</v>
      </c>
      <c r="P290" s="121">
        <f t="shared" si="9"/>
        <v>0.2500276395798785</v>
      </c>
      <c r="Q290" s="121">
        <f>IFERROR(K290/RESUMO_DILIG!$D$5,"")</f>
        <v>1.5162387793035734E-5</v>
      </c>
      <c r="R290" s="114" t="s">
        <v>1293</v>
      </c>
      <c r="S290" s="114" t="s">
        <v>1323</v>
      </c>
      <c r="T290" s="114" t="s">
        <v>1320</v>
      </c>
    </row>
    <row r="291" spans="1:20" ht="51" x14ac:dyDescent="0.2">
      <c r="A291" s="108" t="s">
        <v>657</v>
      </c>
      <c r="B291" s="114" t="s">
        <v>1691</v>
      </c>
      <c r="C291" s="114" t="s">
        <v>56</v>
      </c>
      <c r="D291" s="114" t="s">
        <v>553</v>
      </c>
      <c r="E291" s="114" t="s">
        <v>644</v>
      </c>
      <c r="F291" s="114" t="s">
        <v>658</v>
      </c>
      <c r="G291" s="114" t="s">
        <v>84</v>
      </c>
      <c r="H291" s="115">
        <v>1</v>
      </c>
      <c r="I291" s="116">
        <v>11.805</v>
      </c>
      <c r="J291" s="116">
        <v>14.422499999999999</v>
      </c>
      <c r="K291" s="116">
        <v>14.42</v>
      </c>
      <c r="L291" s="116">
        <v>15.74</v>
      </c>
      <c r="M291" s="116">
        <v>19.23</v>
      </c>
      <c r="N291" s="116">
        <v>19.23</v>
      </c>
      <c r="O291" s="121">
        <f t="shared" si="8"/>
        <v>0.25</v>
      </c>
      <c r="P291" s="121">
        <f t="shared" si="9"/>
        <v>0.25013000520020801</v>
      </c>
      <c r="Q291" s="121">
        <f>IFERROR(K291/RESUMO_DILIG!$D$5,"")</f>
        <v>1.6115694845992136E-6</v>
      </c>
      <c r="R291" s="114" t="s">
        <v>1293</v>
      </c>
      <c r="S291" s="114" t="s">
        <v>1323</v>
      </c>
      <c r="T291" s="114" t="s">
        <v>1320</v>
      </c>
    </row>
    <row r="292" spans="1:20" ht="51" x14ac:dyDescent="0.2">
      <c r="A292" s="108" t="s">
        <v>659</v>
      </c>
      <c r="B292" s="114" t="s">
        <v>1643</v>
      </c>
      <c r="C292" s="114" t="s">
        <v>56</v>
      </c>
      <c r="D292" s="114" t="s">
        <v>553</v>
      </c>
      <c r="E292" s="114" t="s">
        <v>644</v>
      </c>
      <c r="F292" s="114" t="s">
        <v>622</v>
      </c>
      <c r="G292" s="114" t="s">
        <v>84</v>
      </c>
      <c r="H292" s="115">
        <v>1</v>
      </c>
      <c r="I292" s="116">
        <v>10.215</v>
      </c>
      <c r="J292" s="116">
        <v>12.48</v>
      </c>
      <c r="K292" s="116">
        <v>12.48</v>
      </c>
      <c r="L292" s="116">
        <v>13.62</v>
      </c>
      <c r="M292" s="116">
        <v>16.64</v>
      </c>
      <c r="N292" s="116">
        <v>16.64</v>
      </c>
      <c r="O292" s="121">
        <f t="shared" si="8"/>
        <v>0.25</v>
      </c>
      <c r="P292" s="121">
        <f t="shared" si="9"/>
        <v>0.25</v>
      </c>
      <c r="Q292" s="121">
        <f>IFERROR(K292/RESUMO_DILIG!$D$5,"")</f>
        <v>1.3947563916642291E-6</v>
      </c>
      <c r="R292" s="114" t="s">
        <v>1293</v>
      </c>
      <c r="S292" s="114" t="s">
        <v>1323</v>
      </c>
      <c r="T292" s="114" t="s">
        <v>1320</v>
      </c>
    </row>
    <row r="293" spans="1:20" ht="51" x14ac:dyDescent="0.2">
      <c r="A293" s="108" t="s">
        <v>1692</v>
      </c>
      <c r="B293" s="114" t="s">
        <v>1597</v>
      </c>
      <c r="C293" s="114" t="s">
        <v>56</v>
      </c>
      <c r="D293" s="114"/>
      <c r="E293" s="114"/>
      <c r="F293" s="114" t="s">
        <v>587</v>
      </c>
      <c r="G293" s="114" t="s">
        <v>84</v>
      </c>
      <c r="H293" s="115">
        <v>5</v>
      </c>
      <c r="I293" s="116">
        <v>9.6150000000000002</v>
      </c>
      <c r="J293" s="116">
        <v>11.745000000000001</v>
      </c>
      <c r="K293" s="116">
        <v>58.72</v>
      </c>
      <c r="L293" s="116">
        <v>12.82</v>
      </c>
      <c r="M293" s="116">
        <v>15.66</v>
      </c>
      <c r="N293" s="116">
        <v>78.3</v>
      </c>
      <c r="O293" s="121">
        <f t="shared" si="8"/>
        <v>0.24999999999999989</v>
      </c>
      <c r="P293" s="121">
        <f t="shared" si="9"/>
        <v>0.25006385696040867</v>
      </c>
      <c r="Q293" s="121">
        <f>IFERROR(K293/RESUMO_DILIG!$D$5,"")</f>
        <v>6.5625076377022063E-6</v>
      </c>
      <c r="R293" s="114" t="s">
        <v>1293</v>
      </c>
      <c r="S293" s="114" t="s">
        <v>1323</v>
      </c>
      <c r="T293" s="114" t="s">
        <v>1320</v>
      </c>
    </row>
    <row r="294" spans="1:20" ht="38.25" x14ac:dyDescent="0.2">
      <c r="A294" s="108" t="s">
        <v>1693</v>
      </c>
      <c r="B294" s="114" t="s">
        <v>1647</v>
      </c>
      <c r="C294" s="114" t="s">
        <v>56</v>
      </c>
      <c r="D294" s="114"/>
      <c r="E294" s="114"/>
      <c r="F294" s="114" t="s">
        <v>624</v>
      </c>
      <c r="G294" s="114" t="s">
        <v>84</v>
      </c>
      <c r="H294" s="115">
        <v>1</v>
      </c>
      <c r="I294" s="116">
        <v>14.9175</v>
      </c>
      <c r="J294" s="116">
        <v>18.232499999999998</v>
      </c>
      <c r="K294" s="116">
        <v>18.23</v>
      </c>
      <c r="L294" s="116">
        <v>19.89</v>
      </c>
      <c r="M294" s="116">
        <v>24.31</v>
      </c>
      <c r="N294" s="116">
        <v>24.31</v>
      </c>
      <c r="O294" s="121">
        <f t="shared" si="8"/>
        <v>0.25</v>
      </c>
      <c r="P294" s="121">
        <f t="shared" si="9"/>
        <v>0.2501028383381324</v>
      </c>
      <c r="Q294" s="121">
        <f>IFERROR(K294/RESUMO_DILIG!$D$5,"")</f>
        <v>2.0373725176313219E-6</v>
      </c>
      <c r="R294" s="114" t="s">
        <v>1293</v>
      </c>
      <c r="S294" s="114" t="s">
        <v>1323</v>
      </c>
      <c r="T294" s="114" t="s">
        <v>1320</v>
      </c>
    </row>
    <row r="295" spans="1:20" ht="51" x14ac:dyDescent="0.2">
      <c r="A295" s="108" t="s">
        <v>1694</v>
      </c>
      <c r="B295" s="114" t="s">
        <v>1695</v>
      </c>
      <c r="C295" s="114" t="s">
        <v>56</v>
      </c>
      <c r="D295" s="114"/>
      <c r="E295" s="114"/>
      <c r="F295" s="114" t="s">
        <v>1696</v>
      </c>
      <c r="G295" s="114" t="s">
        <v>84</v>
      </c>
      <c r="H295" s="115">
        <v>1</v>
      </c>
      <c r="I295" s="116">
        <v>9.27</v>
      </c>
      <c r="J295" s="116">
        <v>11.324999999999999</v>
      </c>
      <c r="K295" s="116">
        <v>11.32</v>
      </c>
      <c r="L295" s="116">
        <v>12.36</v>
      </c>
      <c r="M295" s="116">
        <v>15.1</v>
      </c>
      <c r="N295" s="116">
        <v>15.1</v>
      </c>
      <c r="O295" s="121">
        <f t="shared" si="8"/>
        <v>0.25</v>
      </c>
      <c r="P295" s="121">
        <f t="shared" si="9"/>
        <v>0.25033112582781458</v>
      </c>
      <c r="Q295" s="121">
        <f>IFERROR(K295/RESUMO_DILIG!$D$5,"")</f>
        <v>1.2651155732082592E-6</v>
      </c>
      <c r="R295" s="114" t="s">
        <v>1293</v>
      </c>
      <c r="S295" s="114" t="s">
        <v>1323</v>
      </c>
      <c r="T295" s="114" t="s">
        <v>1320</v>
      </c>
    </row>
    <row r="296" spans="1:20" ht="51" x14ac:dyDescent="0.2">
      <c r="A296" s="108" t="s">
        <v>1697</v>
      </c>
      <c r="B296" s="114" t="s">
        <v>1698</v>
      </c>
      <c r="C296" s="114" t="s">
        <v>56</v>
      </c>
      <c r="D296" s="114"/>
      <c r="E296" s="114"/>
      <c r="F296" s="114" t="s">
        <v>661</v>
      </c>
      <c r="G296" s="114" t="s">
        <v>84</v>
      </c>
      <c r="H296" s="115">
        <v>1</v>
      </c>
      <c r="I296" s="116">
        <v>24.150000000000002</v>
      </c>
      <c r="J296" s="116">
        <v>29.512500000000003</v>
      </c>
      <c r="K296" s="116">
        <v>29.51</v>
      </c>
      <c r="L296" s="116">
        <v>32.200000000000003</v>
      </c>
      <c r="M296" s="116">
        <v>39.35</v>
      </c>
      <c r="N296" s="116">
        <v>39.35</v>
      </c>
      <c r="O296" s="121">
        <f t="shared" si="8"/>
        <v>0.25</v>
      </c>
      <c r="P296" s="121">
        <f t="shared" si="9"/>
        <v>0.25006353240152479</v>
      </c>
      <c r="Q296" s="121">
        <f>IFERROR(K296/RESUMO_DILIG!$D$5,"")</f>
        <v>3.2980177177893752E-6</v>
      </c>
      <c r="R296" s="114" t="s">
        <v>1293</v>
      </c>
      <c r="S296" s="114" t="s">
        <v>1323</v>
      </c>
      <c r="T296" s="114" t="s">
        <v>1320</v>
      </c>
    </row>
    <row r="297" spans="1:20" ht="38.25" x14ac:dyDescent="0.2">
      <c r="A297" s="108" t="s">
        <v>1699</v>
      </c>
      <c r="B297" s="114" t="s">
        <v>1614</v>
      </c>
      <c r="C297" s="114" t="s">
        <v>56</v>
      </c>
      <c r="D297" s="114"/>
      <c r="E297" s="114"/>
      <c r="F297" s="114" t="s">
        <v>595</v>
      </c>
      <c r="G297" s="114" t="s">
        <v>84</v>
      </c>
      <c r="H297" s="115">
        <v>1</v>
      </c>
      <c r="I297" s="116">
        <v>27.39</v>
      </c>
      <c r="J297" s="116">
        <v>33.472500000000004</v>
      </c>
      <c r="K297" s="116">
        <v>33.47</v>
      </c>
      <c r="L297" s="116">
        <v>36.520000000000003</v>
      </c>
      <c r="M297" s="116">
        <v>44.63</v>
      </c>
      <c r="N297" s="116">
        <v>44.63</v>
      </c>
      <c r="O297" s="121">
        <f t="shared" si="8"/>
        <v>0.25</v>
      </c>
      <c r="P297" s="121">
        <f t="shared" si="9"/>
        <v>0.25005601613264627</v>
      </c>
      <c r="Q297" s="121">
        <f>IFERROR(K297/RESUMO_DILIG!$D$5,"")</f>
        <v>3.7405846497597554E-6</v>
      </c>
      <c r="R297" s="114" t="s">
        <v>1293</v>
      </c>
      <c r="S297" s="114" t="s">
        <v>1323</v>
      </c>
      <c r="T297" s="114" t="s">
        <v>1320</v>
      </c>
    </row>
    <row r="298" spans="1:20" ht="38.25" x14ac:dyDescent="0.2">
      <c r="A298" s="108" t="s">
        <v>1700</v>
      </c>
      <c r="B298" s="114" t="s">
        <v>1701</v>
      </c>
      <c r="C298" s="114" t="s">
        <v>56</v>
      </c>
      <c r="D298" s="114"/>
      <c r="E298" s="114"/>
      <c r="F298" s="114" t="s">
        <v>662</v>
      </c>
      <c r="G298" s="114" t="s">
        <v>84</v>
      </c>
      <c r="H298" s="115">
        <v>1</v>
      </c>
      <c r="I298" s="116">
        <v>10.095000000000001</v>
      </c>
      <c r="J298" s="116">
        <v>12.337499999999999</v>
      </c>
      <c r="K298" s="116">
        <v>12.33</v>
      </c>
      <c r="L298" s="116">
        <v>13.46</v>
      </c>
      <c r="M298" s="116">
        <v>16.45</v>
      </c>
      <c r="N298" s="116">
        <v>16.45</v>
      </c>
      <c r="O298" s="121">
        <f t="shared" si="8"/>
        <v>0.25</v>
      </c>
      <c r="P298" s="121">
        <f t="shared" si="9"/>
        <v>0.25045592705167175</v>
      </c>
      <c r="Q298" s="121">
        <f>IFERROR(K298/RESUMO_DILIG!$D$5,"")</f>
        <v>1.3779924927259571E-6</v>
      </c>
      <c r="R298" s="114" t="s">
        <v>1293</v>
      </c>
      <c r="S298" s="114" t="s">
        <v>1323</v>
      </c>
      <c r="T298" s="114" t="s">
        <v>1320</v>
      </c>
    </row>
    <row r="299" spans="1:20" ht="38.25" x14ac:dyDescent="0.2">
      <c r="A299" s="108" t="s">
        <v>1702</v>
      </c>
      <c r="B299" s="114" t="s">
        <v>1661</v>
      </c>
      <c r="C299" s="114" t="s">
        <v>56</v>
      </c>
      <c r="D299" s="114"/>
      <c r="E299" s="114"/>
      <c r="F299" s="114" t="s">
        <v>630</v>
      </c>
      <c r="G299" s="114" t="s">
        <v>84</v>
      </c>
      <c r="H299" s="115">
        <v>1</v>
      </c>
      <c r="I299" s="116">
        <v>12</v>
      </c>
      <c r="J299" s="116">
        <v>14.662500000000001</v>
      </c>
      <c r="K299" s="116">
        <v>14.66</v>
      </c>
      <c r="L299" s="116">
        <v>16</v>
      </c>
      <c r="M299" s="116">
        <v>19.55</v>
      </c>
      <c r="N299" s="116">
        <v>19.55</v>
      </c>
      <c r="O299" s="121">
        <f t="shared" si="8"/>
        <v>0.25</v>
      </c>
      <c r="P299" s="121">
        <f t="shared" si="9"/>
        <v>0.25012787723785168</v>
      </c>
      <c r="Q299" s="121">
        <f>IFERROR(K299/RESUMO_DILIG!$D$5,"")</f>
        <v>1.6383917229004486E-6</v>
      </c>
      <c r="R299" s="114" t="s">
        <v>1293</v>
      </c>
      <c r="S299" s="114" t="s">
        <v>1323</v>
      </c>
      <c r="T299" s="114" t="s">
        <v>1320</v>
      </c>
    </row>
    <row r="300" spans="1:20" ht="38.25" x14ac:dyDescent="0.2">
      <c r="A300" s="108" t="s">
        <v>1703</v>
      </c>
      <c r="B300" s="114" t="s">
        <v>1704</v>
      </c>
      <c r="C300" s="114" t="s">
        <v>56</v>
      </c>
      <c r="D300" s="114"/>
      <c r="E300" s="114"/>
      <c r="F300" s="114" t="s">
        <v>663</v>
      </c>
      <c r="G300" s="114" t="s">
        <v>84</v>
      </c>
      <c r="H300" s="115">
        <v>2</v>
      </c>
      <c r="I300" s="116">
        <v>17.377500000000001</v>
      </c>
      <c r="J300" s="116">
        <v>21.240000000000002</v>
      </c>
      <c r="K300" s="116">
        <v>42.48</v>
      </c>
      <c r="L300" s="116">
        <v>23.17</v>
      </c>
      <c r="M300" s="116">
        <v>28.32</v>
      </c>
      <c r="N300" s="116">
        <v>56.64</v>
      </c>
      <c r="O300" s="121">
        <f t="shared" si="8"/>
        <v>0.24999999999999989</v>
      </c>
      <c r="P300" s="121">
        <f t="shared" si="9"/>
        <v>0.25000000000000011</v>
      </c>
      <c r="Q300" s="121">
        <f>IFERROR(K300/RESUMO_DILIG!$D$5,"")</f>
        <v>4.7475361793186258E-6</v>
      </c>
      <c r="R300" s="114" t="s">
        <v>1293</v>
      </c>
      <c r="S300" s="114" t="s">
        <v>1323</v>
      </c>
      <c r="T300" s="114" t="s">
        <v>1320</v>
      </c>
    </row>
    <row r="301" spans="1:20" ht="51" x14ac:dyDescent="0.2">
      <c r="A301" s="108" t="s">
        <v>1705</v>
      </c>
      <c r="B301" s="114" t="s">
        <v>1706</v>
      </c>
      <c r="C301" s="114" t="s">
        <v>56</v>
      </c>
      <c r="D301" s="114"/>
      <c r="E301" s="114"/>
      <c r="F301" s="114" t="s">
        <v>664</v>
      </c>
      <c r="G301" s="114" t="s">
        <v>84</v>
      </c>
      <c r="H301" s="115">
        <v>2</v>
      </c>
      <c r="I301" s="116">
        <v>7.1325000000000003</v>
      </c>
      <c r="J301" s="116">
        <v>8.7149999999999999</v>
      </c>
      <c r="K301" s="116">
        <v>17.43</v>
      </c>
      <c r="L301" s="116">
        <v>9.51</v>
      </c>
      <c r="M301" s="116">
        <v>11.62</v>
      </c>
      <c r="N301" s="116">
        <v>23.24</v>
      </c>
      <c r="O301" s="121">
        <f t="shared" si="8"/>
        <v>0.25</v>
      </c>
      <c r="P301" s="121">
        <f t="shared" si="9"/>
        <v>0.25</v>
      </c>
      <c r="Q301" s="121">
        <f>IFERROR(K301/RESUMO_DILIG!$D$5,"")</f>
        <v>1.9479650566272047E-6</v>
      </c>
      <c r="R301" s="114" t="s">
        <v>1293</v>
      </c>
      <c r="S301" s="114" t="s">
        <v>1323</v>
      </c>
      <c r="T301" s="114" t="s">
        <v>1320</v>
      </c>
    </row>
    <row r="302" spans="1:20" ht="63.75" x14ac:dyDescent="0.2">
      <c r="A302" s="108" t="s">
        <v>1707</v>
      </c>
      <c r="B302" s="114" t="s">
        <v>1674</v>
      </c>
      <c r="C302" s="114" t="s">
        <v>56</v>
      </c>
      <c r="D302" s="114"/>
      <c r="E302" s="114"/>
      <c r="F302" s="114" t="s">
        <v>636</v>
      </c>
      <c r="G302" s="114" t="s">
        <v>84</v>
      </c>
      <c r="H302" s="115">
        <v>2</v>
      </c>
      <c r="I302" s="116">
        <v>6.5249999999999995</v>
      </c>
      <c r="J302" s="116">
        <v>7.9725000000000001</v>
      </c>
      <c r="K302" s="116">
        <v>15.94</v>
      </c>
      <c r="L302" s="116">
        <v>8.6999999999999993</v>
      </c>
      <c r="M302" s="116">
        <v>10.63</v>
      </c>
      <c r="N302" s="116">
        <v>21.26</v>
      </c>
      <c r="O302" s="121">
        <f t="shared" si="8"/>
        <v>0.25</v>
      </c>
      <c r="P302" s="121">
        <f t="shared" si="9"/>
        <v>0.25023518344308571</v>
      </c>
      <c r="Q302" s="121">
        <f>IFERROR(K302/RESUMO_DILIG!$D$5,"")</f>
        <v>1.7814436605070362E-6</v>
      </c>
      <c r="R302" s="114" t="s">
        <v>1293</v>
      </c>
      <c r="S302" s="114" t="s">
        <v>1323</v>
      </c>
      <c r="T302" s="114" t="s">
        <v>1320</v>
      </c>
    </row>
    <row r="303" spans="1:20" ht="63.75" x14ac:dyDescent="0.2">
      <c r="A303" s="108" t="s">
        <v>1708</v>
      </c>
      <c r="B303" s="114" t="s">
        <v>1676</v>
      </c>
      <c r="C303" s="114" t="s">
        <v>56</v>
      </c>
      <c r="D303" s="114"/>
      <c r="E303" s="114"/>
      <c r="F303" s="114" t="s">
        <v>637</v>
      </c>
      <c r="G303" s="114" t="s">
        <v>84</v>
      </c>
      <c r="H303" s="115">
        <v>2</v>
      </c>
      <c r="I303" s="116">
        <v>5.4450000000000003</v>
      </c>
      <c r="J303" s="116">
        <v>6.6524999999999999</v>
      </c>
      <c r="K303" s="116">
        <v>13.3</v>
      </c>
      <c r="L303" s="116">
        <v>7.26</v>
      </c>
      <c r="M303" s="116">
        <v>8.8699999999999992</v>
      </c>
      <c r="N303" s="116">
        <v>17.739999999999998</v>
      </c>
      <c r="O303" s="121">
        <f t="shared" si="8"/>
        <v>0.25</v>
      </c>
      <c r="P303" s="121">
        <f t="shared" si="9"/>
        <v>0.25028184892897398</v>
      </c>
      <c r="Q303" s="121">
        <f>IFERROR(K303/RESUMO_DILIG!$D$5,"")</f>
        <v>1.4863990391934495E-6</v>
      </c>
      <c r="R303" s="114" t="s">
        <v>1293</v>
      </c>
      <c r="S303" s="114" t="s">
        <v>1323</v>
      </c>
      <c r="T303" s="114" t="s">
        <v>1320</v>
      </c>
    </row>
    <row r="304" spans="1:20" ht="63.75" x14ac:dyDescent="0.2">
      <c r="A304" s="108" t="s">
        <v>1709</v>
      </c>
      <c r="B304" s="114" t="s">
        <v>1710</v>
      </c>
      <c r="C304" s="114" t="s">
        <v>56</v>
      </c>
      <c r="D304" s="114"/>
      <c r="E304" s="114"/>
      <c r="F304" s="114" t="s">
        <v>1711</v>
      </c>
      <c r="G304" s="114" t="s">
        <v>84</v>
      </c>
      <c r="H304" s="115">
        <v>3</v>
      </c>
      <c r="I304" s="116">
        <v>19.89</v>
      </c>
      <c r="J304" s="116">
        <v>24.307499999999997</v>
      </c>
      <c r="K304" s="116">
        <v>72.92</v>
      </c>
      <c r="L304" s="116">
        <v>26.52</v>
      </c>
      <c r="M304" s="116">
        <v>32.409999999999997</v>
      </c>
      <c r="N304" s="116">
        <v>97.23</v>
      </c>
      <c r="O304" s="121">
        <f t="shared" si="8"/>
        <v>0.25</v>
      </c>
      <c r="P304" s="121">
        <f t="shared" si="9"/>
        <v>0.25002571222873604</v>
      </c>
      <c r="Q304" s="121">
        <f>IFERROR(K304/RESUMO_DILIG!$D$5,"")</f>
        <v>8.1494900705252877E-6</v>
      </c>
      <c r="R304" s="114" t="s">
        <v>1293</v>
      </c>
      <c r="S304" s="114" t="s">
        <v>1323</v>
      </c>
      <c r="T304" s="114" t="s">
        <v>1320</v>
      </c>
    </row>
    <row r="305" spans="1:20" ht="38.25" x14ac:dyDescent="0.2">
      <c r="A305" s="108" t="s">
        <v>1712</v>
      </c>
      <c r="B305" s="114" t="s">
        <v>1623</v>
      </c>
      <c r="C305" s="114" t="s">
        <v>56</v>
      </c>
      <c r="D305" s="114"/>
      <c r="E305" s="114"/>
      <c r="F305" s="114" t="s">
        <v>666</v>
      </c>
      <c r="G305" s="114" t="s">
        <v>84</v>
      </c>
      <c r="H305" s="115">
        <v>2</v>
      </c>
      <c r="I305" s="116">
        <v>28.402499999999996</v>
      </c>
      <c r="J305" s="116">
        <v>34.71</v>
      </c>
      <c r="K305" s="116">
        <v>69.42</v>
      </c>
      <c r="L305" s="116">
        <v>37.869999999999997</v>
      </c>
      <c r="M305" s="116">
        <v>46.28</v>
      </c>
      <c r="N305" s="116">
        <v>92.56</v>
      </c>
      <c r="O305" s="121">
        <f t="shared" si="8"/>
        <v>0.25</v>
      </c>
      <c r="P305" s="121">
        <f t="shared" si="9"/>
        <v>0.25</v>
      </c>
      <c r="Q305" s="121">
        <f>IFERROR(K305/RESUMO_DILIG!$D$5,"")</f>
        <v>7.7583324286322739E-6</v>
      </c>
      <c r="R305" s="114" t="s">
        <v>1293</v>
      </c>
      <c r="S305" s="114" t="s">
        <v>1323</v>
      </c>
      <c r="T305" s="114" t="s">
        <v>1320</v>
      </c>
    </row>
    <row r="306" spans="1:20" ht="38.25" x14ac:dyDescent="0.2">
      <c r="A306" s="108" t="s">
        <v>1713</v>
      </c>
      <c r="B306" s="114" t="s">
        <v>1618</v>
      </c>
      <c r="C306" s="114" t="s">
        <v>56</v>
      </c>
      <c r="D306" s="114"/>
      <c r="E306" s="114"/>
      <c r="F306" s="114" t="s">
        <v>597</v>
      </c>
      <c r="G306" s="114" t="s">
        <v>84</v>
      </c>
      <c r="H306" s="115">
        <v>1</v>
      </c>
      <c r="I306" s="116">
        <v>14.805</v>
      </c>
      <c r="J306" s="116">
        <v>18.09</v>
      </c>
      <c r="K306" s="116">
        <v>18.09</v>
      </c>
      <c r="L306" s="116">
        <v>19.739999999999998</v>
      </c>
      <c r="M306" s="116">
        <v>24.12</v>
      </c>
      <c r="N306" s="116">
        <v>24.12</v>
      </c>
      <c r="O306" s="121">
        <f t="shared" si="8"/>
        <v>0.25</v>
      </c>
      <c r="P306" s="121">
        <f t="shared" si="9"/>
        <v>0.25</v>
      </c>
      <c r="Q306" s="121">
        <f>IFERROR(K306/RESUMO_DILIG!$D$5,"")</f>
        <v>2.0217262119556013E-6</v>
      </c>
      <c r="R306" s="114" t="s">
        <v>1293</v>
      </c>
      <c r="S306" s="114" t="s">
        <v>1323</v>
      </c>
      <c r="T306" s="114" t="s">
        <v>1320</v>
      </c>
    </row>
    <row r="307" spans="1:20" ht="38.25" x14ac:dyDescent="0.2">
      <c r="A307" s="108" t="s">
        <v>1714</v>
      </c>
      <c r="B307" s="114" t="s">
        <v>1715</v>
      </c>
      <c r="C307" s="114" t="s">
        <v>56</v>
      </c>
      <c r="D307" s="114"/>
      <c r="E307" s="114"/>
      <c r="F307" s="114" t="s">
        <v>1716</v>
      </c>
      <c r="G307" s="114" t="s">
        <v>84</v>
      </c>
      <c r="H307" s="115">
        <v>2</v>
      </c>
      <c r="I307" s="116">
        <v>461.54999999999995</v>
      </c>
      <c r="J307" s="116">
        <v>564.15000000000009</v>
      </c>
      <c r="K307" s="116">
        <v>1128.3</v>
      </c>
      <c r="L307" s="116">
        <v>615.4</v>
      </c>
      <c r="M307" s="116">
        <v>752.2</v>
      </c>
      <c r="N307" s="116">
        <v>1504.4</v>
      </c>
      <c r="O307" s="121">
        <f t="shared" si="8"/>
        <v>0.24999999999999989</v>
      </c>
      <c r="P307" s="121">
        <f t="shared" si="9"/>
        <v>0.25000000000000011</v>
      </c>
      <c r="Q307" s="121">
        <f>IFERROR(K307/RESUMO_DILIG!$D$5,"")</f>
        <v>1.2609804781368186E-4</v>
      </c>
      <c r="R307" s="114" t="s">
        <v>1293</v>
      </c>
      <c r="S307" s="114" t="s">
        <v>1323</v>
      </c>
      <c r="T307" s="114" t="s">
        <v>1320</v>
      </c>
    </row>
    <row r="308" spans="1:20" ht="51" x14ac:dyDescent="0.2">
      <c r="A308" s="108" t="s">
        <v>671</v>
      </c>
      <c r="B308" s="114" t="s">
        <v>1717</v>
      </c>
      <c r="C308" s="114" t="s">
        <v>56</v>
      </c>
      <c r="D308" s="114" t="s">
        <v>553</v>
      </c>
      <c r="E308" s="114" t="s">
        <v>670</v>
      </c>
      <c r="F308" s="114" t="s">
        <v>672</v>
      </c>
      <c r="G308" s="114" t="s">
        <v>84</v>
      </c>
      <c r="H308" s="115">
        <v>1</v>
      </c>
      <c r="I308" s="116">
        <v>164.42249999999999</v>
      </c>
      <c r="J308" s="116">
        <v>200.96999999999997</v>
      </c>
      <c r="K308" s="116">
        <v>200.97</v>
      </c>
      <c r="L308" s="116">
        <v>219.23</v>
      </c>
      <c r="M308" s="116">
        <v>267.95999999999998</v>
      </c>
      <c r="N308" s="116">
        <v>267.95999999999998</v>
      </c>
      <c r="O308" s="121">
        <f t="shared" si="8"/>
        <v>0.25</v>
      </c>
      <c r="P308" s="121">
        <f t="shared" si="9"/>
        <v>0.25</v>
      </c>
      <c r="Q308" s="121">
        <f>IFERROR(K308/RESUMO_DILIG!$D$5,"")</f>
        <v>2.2460271797496803E-5</v>
      </c>
      <c r="R308" s="114" t="s">
        <v>1293</v>
      </c>
      <c r="S308" s="114" t="s">
        <v>1323</v>
      </c>
      <c r="T308" s="114" t="s">
        <v>1320</v>
      </c>
    </row>
    <row r="309" spans="1:20" ht="63.75" x14ac:dyDescent="0.2">
      <c r="A309" s="108" t="s">
        <v>673</v>
      </c>
      <c r="B309" s="114" t="s">
        <v>1718</v>
      </c>
      <c r="C309" s="114" t="s">
        <v>56</v>
      </c>
      <c r="D309" s="114" t="s">
        <v>553</v>
      </c>
      <c r="E309" s="114" t="s">
        <v>670</v>
      </c>
      <c r="F309" s="114" t="s">
        <v>674</v>
      </c>
      <c r="G309" s="114" t="s">
        <v>84</v>
      </c>
      <c r="H309" s="115">
        <v>9</v>
      </c>
      <c r="I309" s="116">
        <v>444.01499999999999</v>
      </c>
      <c r="J309" s="116">
        <v>542.71500000000003</v>
      </c>
      <c r="K309" s="116">
        <v>4884.43</v>
      </c>
      <c r="L309" s="116">
        <v>592.02</v>
      </c>
      <c r="M309" s="116">
        <v>723.62</v>
      </c>
      <c r="N309" s="116">
        <v>6512.58</v>
      </c>
      <c r="O309" s="121">
        <f t="shared" si="8"/>
        <v>0.25</v>
      </c>
      <c r="P309" s="121">
        <f t="shared" si="9"/>
        <v>0.25000076774488755</v>
      </c>
      <c r="Q309" s="121">
        <f>IFERROR(K309/RESUMO_DILIG!$D$5,"")</f>
        <v>5.4588060594042555E-4</v>
      </c>
      <c r="R309" s="114" t="s">
        <v>1293</v>
      </c>
      <c r="S309" s="114" t="s">
        <v>1323</v>
      </c>
      <c r="T309" s="114" t="s">
        <v>1320</v>
      </c>
    </row>
    <row r="310" spans="1:20" ht="38.25" x14ac:dyDescent="0.2">
      <c r="A310" s="108" t="s">
        <v>675</v>
      </c>
      <c r="B310" s="114" t="s">
        <v>1715</v>
      </c>
      <c r="C310" s="114" t="s">
        <v>56</v>
      </c>
      <c r="D310" s="114" t="s">
        <v>553</v>
      </c>
      <c r="E310" s="114" t="s">
        <v>670</v>
      </c>
      <c r="F310" s="114" t="s">
        <v>1716</v>
      </c>
      <c r="G310" s="114" t="s">
        <v>84</v>
      </c>
      <c r="H310" s="115">
        <v>9</v>
      </c>
      <c r="I310" s="116">
        <v>461.54999999999995</v>
      </c>
      <c r="J310" s="116">
        <v>564.15000000000009</v>
      </c>
      <c r="K310" s="116">
        <v>5077.3500000000004</v>
      </c>
      <c r="L310" s="116">
        <v>615.4</v>
      </c>
      <c r="M310" s="116">
        <v>752.2</v>
      </c>
      <c r="N310" s="116">
        <v>6769.8</v>
      </c>
      <c r="O310" s="121">
        <f t="shared" si="8"/>
        <v>0.24999999999999989</v>
      </c>
      <c r="P310" s="121">
        <f t="shared" si="9"/>
        <v>0.25</v>
      </c>
      <c r="Q310" s="121">
        <f>IFERROR(K310/RESUMO_DILIG!$D$5,"")</f>
        <v>5.6744121516156848E-4</v>
      </c>
      <c r="R310" s="114" t="s">
        <v>1293</v>
      </c>
      <c r="S310" s="114" t="s">
        <v>1323</v>
      </c>
      <c r="T310" s="114" t="s">
        <v>1320</v>
      </c>
    </row>
    <row r="311" spans="1:20" ht="63.75" x14ac:dyDescent="0.2">
      <c r="A311" s="108" t="s">
        <v>676</v>
      </c>
      <c r="B311" s="114" t="s">
        <v>1719</v>
      </c>
      <c r="C311" s="114" t="s">
        <v>56</v>
      </c>
      <c r="D311" s="114" t="s">
        <v>553</v>
      </c>
      <c r="E311" s="114" t="s">
        <v>670</v>
      </c>
      <c r="F311" s="114" t="s">
        <v>677</v>
      </c>
      <c r="G311" s="114" t="s">
        <v>84</v>
      </c>
      <c r="H311" s="115">
        <v>21</v>
      </c>
      <c r="I311" s="116">
        <v>50.625</v>
      </c>
      <c r="J311" s="116">
        <v>61.875</v>
      </c>
      <c r="K311" s="116">
        <v>1299.3699999999999</v>
      </c>
      <c r="L311" s="116">
        <v>67.5</v>
      </c>
      <c r="M311" s="116">
        <v>82.5</v>
      </c>
      <c r="N311" s="116">
        <v>1732.5</v>
      </c>
      <c r="O311" s="121">
        <f t="shared" si="8"/>
        <v>0.25</v>
      </c>
      <c r="P311" s="121">
        <f t="shared" si="9"/>
        <v>0.25000288600288612</v>
      </c>
      <c r="Q311" s="121">
        <f>IFERROR(K311/RESUMO_DILIG!$D$5,"")</f>
        <v>1.4521671575614978E-4</v>
      </c>
      <c r="R311" s="114" t="s">
        <v>1293</v>
      </c>
      <c r="S311" s="114" t="s">
        <v>1323</v>
      </c>
      <c r="T311" s="114" t="s">
        <v>1320</v>
      </c>
    </row>
    <row r="312" spans="1:20" ht="63.75" x14ac:dyDescent="0.2">
      <c r="A312" s="108" t="s">
        <v>678</v>
      </c>
      <c r="B312" s="114" t="s">
        <v>1720</v>
      </c>
      <c r="C312" s="114" t="s">
        <v>56</v>
      </c>
      <c r="D312" s="114" t="s">
        <v>553</v>
      </c>
      <c r="E312" s="114" t="s">
        <v>670</v>
      </c>
      <c r="F312" s="114" t="s">
        <v>679</v>
      </c>
      <c r="G312" s="114" t="s">
        <v>84</v>
      </c>
      <c r="H312" s="115">
        <v>6</v>
      </c>
      <c r="I312" s="116">
        <v>107.1825</v>
      </c>
      <c r="J312" s="116">
        <v>131.0025</v>
      </c>
      <c r="K312" s="116">
        <v>786.01</v>
      </c>
      <c r="L312" s="116">
        <v>142.91</v>
      </c>
      <c r="M312" s="116">
        <v>174.67</v>
      </c>
      <c r="N312" s="116">
        <v>1048.02</v>
      </c>
      <c r="O312" s="121">
        <f t="shared" si="8"/>
        <v>0.25</v>
      </c>
      <c r="P312" s="121">
        <f t="shared" si="9"/>
        <v>0.25000477090131867</v>
      </c>
      <c r="Q312" s="121">
        <f>IFERROR(K312/RESUMO_DILIG!$D$5,"")</f>
        <v>8.7843948029807752E-5</v>
      </c>
      <c r="R312" s="114" t="s">
        <v>1293</v>
      </c>
      <c r="S312" s="114" t="s">
        <v>1323</v>
      </c>
      <c r="T312" s="114" t="s">
        <v>1320</v>
      </c>
    </row>
    <row r="313" spans="1:20" ht="51" x14ac:dyDescent="0.2">
      <c r="A313" s="108" t="s">
        <v>680</v>
      </c>
      <c r="B313" s="114" t="s">
        <v>1721</v>
      </c>
      <c r="C313" s="114" t="s">
        <v>56</v>
      </c>
      <c r="D313" s="114" t="s">
        <v>553</v>
      </c>
      <c r="E313" s="114" t="s">
        <v>670</v>
      </c>
      <c r="F313" s="114" t="s">
        <v>681</v>
      </c>
      <c r="G313" s="114" t="s">
        <v>99</v>
      </c>
      <c r="H313" s="115">
        <v>42.2</v>
      </c>
      <c r="I313" s="116">
        <v>21.337499999999999</v>
      </c>
      <c r="J313" s="116">
        <v>26.077500000000001</v>
      </c>
      <c r="K313" s="116">
        <v>1100.47</v>
      </c>
      <c r="L313" s="116">
        <v>28.45</v>
      </c>
      <c r="M313" s="116">
        <v>34.770000000000003</v>
      </c>
      <c r="N313" s="116">
        <v>1467.29</v>
      </c>
      <c r="O313" s="121">
        <f t="shared" si="8"/>
        <v>0.25</v>
      </c>
      <c r="P313" s="121">
        <f t="shared" si="9"/>
        <v>0.24999829617866953</v>
      </c>
      <c r="Q313" s="121">
        <f>IFERROR(K313/RESUMO_DILIG!$D$5,"")</f>
        <v>1.2298778576400114E-4</v>
      </c>
      <c r="R313" s="114" t="s">
        <v>1293</v>
      </c>
      <c r="S313" s="114" t="s">
        <v>1323</v>
      </c>
      <c r="T313" s="114" t="s">
        <v>1320</v>
      </c>
    </row>
    <row r="314" spans="1:20" ht="51" x14ac:dyDescent="0.2">
      <c r="A314" s="108" t="s">
        <v>682</v>
      </c>
      <c r="B314" s="114" t="s">
        <v>1722</v>
      </c>
      <c r="C314" s="114" t="s">
        <v>56</v>
      </c>
      <c r="D314" s="114" t="s">
        <v>553</v>
      </c>
      <c r="E314" s="114" t="s">
        <v>670</v>
      </c>
      <c r="F314" s="114" t="s">
        <v>683</v>
      </c>
      <c r="G314" s="114" t="s">
        <v>99</v>
      </c>
      <c r="H314" s="115">
        <v>36.299999999999997</v>
      </c>
      <c r="I314" s="116">
        <v>26.362499999999997</v>
      </c>
      <c r="J314" s="116">
        <v>32.22</v>
      </c>
      <c r="K314" s="116">
        <v>1169.58</v>
      </c>
      <c r="L314" s="116">
        <v>35.15</v>
      </c>
      <c r="M314" s="116">
        <v>42.96</v>
      </c>
      <c r="N314" s="116">
        <v>1559.44</v>
      </c>
      <c r="O314" s="121">
        <f t="shared" si="8"/>
        <v>0.25</v>
      </c>
      <c r="P314" s="121">
        <f t="shared" si="9"/>
        <v>0.25000000000000011</v>
      </c>
      <c r="Q314" s="121">
        <f>IFERROR(K314/RESUMO_DILIG!$D$5,"")</f>
        <v>1.3071147280149432E-4</v>
      </c>
      <c r="R314" s="114" t="s">
        <v>1293</v>
      </c>
      <c r="S314" s="114" t="s">
        <v>1323</v>
      </c>
      <c r="T314" s="114" t="s">
        <v>1320</v>
      </c>
    </row>
    <row r="315" spans="1:20" ht="51" x14ac:dyDescent="0.2">
      <c r="A315" s="108" t="s">
        <v>684</v>
      </c>
      <c r="B315" s="114" t="s">
        <v>1723</v>
      </c>
      <c r="C315" s="114" t="s">
        <v>56</v>
      </c>
      <c r="D315" s="114" t="s">
        <v>553</v>
      </c>
      <c r="E315" s="114" t="s">
        <v>670</v>
      </c>
      <c r="F315" s="114" t="s">
        <v>1724</v>
      </c>
      <c r="G315" s="114" t="s">
        <v>99</v>
      </c>
      <c r="H315" s="115">
        <v>5.3</v>
      </c>
      <c r="I315" s="116">
        <v>32.655000000000001</v>
      </c>
      <c r="J315" s="116">
        <v>39.907499999999999</v>
      </c>
      <c r="K315" s="116">
        <v>211.5</v>
      </c>
      <c r="L315" s="116">
        <v>43.54</v>
      </c>
      <c r="M315" s="116">
        <v>53.21</v>
      </c>
      <c r="N315" s="116">
        <v>282.01</v>
      </c>
      <c r="O315" s="121">
        <f t="shared" si="8"/>
        <v>0.25</v>
      </c>
      <c r="P315" s="121">
        <f t="shared" si="9"/>
        <v>0.25002659480160272</v>
      </c>
      <c r="Q315" s="121">
        <f>IFERROR(K315/RESUMO_DILIG!$D$5,"")</f>
        <v>2.3637097502963498E-5</v>
      </c>
      <c r="R315" s="114" t="s">
        <v>1293</v>
      </c>
      <c r="S315" s="114" t="s">
        <v>1323</v>
      </c>
      <c r="T315" s="114" t="s">
        <v>1320</v>
      </c>
    </row>
    <row r="316" spans="1:20" ht="51" x14ac:dyDescent="0.2">
      <c r="A316" s="108" t="s">
        <v>686</v>
      </c>
      <c r="B316" s="114" t="s">
        <v>1725</v>
      </c>
      <c r="C316" s="114" t="s">
        <v>56</v>
      </c>
      <c r="D316" s="114" t="s">
        <v>553</v>
      </c>
      <c r="E316" s="114" t="s">
        <v>670</v>
      </c>
      <c r="F316" s="114" t="s">
        <v>1726</v>
      </c>
      <c r="G316" s="114" t="s">
        <v>99</v>
      </c>
      <c r="H316" s="115">
        <v>227.2</v>
      </c>
      <c r="I316" s="116">
        <v>36.727499999999999</v>
      </c>
      <c r="J316" s="116">
        <v>44.887500000000003</v>
      </c>
      <c r="K316" s="116">
        <v>10198.44</v>
      </c>
      <c r="L316" s="116">
        <v>48.97</v>
      </c>
      <c r="M316" s="116">
        <v>59.85</v>
      </c>
      <c r="N316" s="116">
        <v>13597.92</v>
      </c>
      <c r="O316" s="121">
        <f t="shared" si="8"/>
        <v>0.25</v>
      </c>
      <c r="P316" s="121">
        <f t="shared" si="9"/>
        <v>0.25</v>
      </c>
      <c r="Q316" s="121">
        <f>IFERROR(K316/RESUMO_DILIG!$D$5,"")</f>
        <v>1.1397707832535369E-3</v>
      </c>
      <c r="R316" s="114" t="s">
        <v>1290</v>
      </c>
      <c r="S316" s="114" t="s">
        <v>1323</v>
      </c>
      <c r="T316" s="114" t="s">
        <v>1320</v>
      </c>
    </row>
    <row r="317" spans="1:20" ht="38.25" x14ac:dyDescent="0.2">
      <c r="A317" s="108" t="s">
        <v>1727</v>
      </c>
      <c r="B317" s="114" t="s">
        <v>1728</v>
      </c>
      <c r="C317" s="114" t="s">
        <v>56</v>
      </c>
      <c r="D317" s="114"/>
      <c r="E317" s="114"/>
      <c r="F317" s="114" t="s">
        <v>1729</v>
      </c>
      <c r="G317" s="114" t="s">
        <v>99</v>
      </c>
      <c r="H317" s="115">
        <v>11.5</v>
      </c>
      <c r="I317" s="116">
        <v>82.905000000000001</v>
      </c>
      <c r="J317" s="116">
        <v>101.33250000000001</v>
      </c>
      <c r="K317" s="116">
        <v>1165.32</v>
      </c>
      <c r="L317" s="116">
        <v>110.54</v>
      </c>
      <c r="M317" s="116">
        <v>135.11000000000001</v>
      </c>
      <c r="N317" s="116">
        <v>1553.76</v>
      </c>
      <c r="O317" s="121">
        <f t="shared" si="8"/>
        <v>0.25</v>
      </c>
      <c r="P317" s="121">
        <f t="shared" si="9"/>
        <v>0.25</v>
      </c>
      <c r="Q317" s="121">
        <f>IFERROR(K317/RESUMO_DILIG!$D$5,"")</f>
        <v>1.302353780716474E-4</v>
      </c>
      <c r="R317" s="114" t="s">
        <v>1293</v>
      </c>
      <c r="S317" s="114" t="s">
        <v>1323</v>
      </c>
      <c r="T317" s="114" t="s">
        <v>1320</v>
      </c>
    </row>
    <row r="318" spans="1:20" ht="38.25" x14ac:dyDescent="0.2">
      <c r="A318" s="108" t="s">
        <v>1730</v>
      </c>
      <c r="B318" s="114" t="s">
        <v>1731</v>
      </c>
      <c r="C318" s="114" t="s">
        <v>56</v>
      </c>
      <c r="D318" s="114"/>
      <c r="E318" s="114"/>
      <c r="F318" s="114" t="s">
        <v>689</v>
      </c>
      <c r="G318" s="114" t="s">
        <v>84</v>
      </c>
      <c r="H318" s="115">
        <v>6</v>
      </c>
      <c r="I318" s="116">
        <v>58.342500000000001</v>
      </c>
      <c r="J318" s="116">
        <v>71.31</v>
      </c>
      <c r="K318" s="116">
        <v>427.86</v>
      </c>
      <c r="L318" s="116">
        <v>77.790000000000006</v>
      </c>
      <c r="M318" s="116">
        <v>95.08</v>
      </c>
      <c r="N318" s="116">
        <v>570.48</v>
      </c>
      <c r="O318" s="121">
        <f t="shared" si="8"/>
        <v>0.25</v>
      </c>
      <c r="P318" s="121">
        <f t="shared" si="9"/>
        <v>0.25</v>
      </c>
      <c r="Q318" s="121">
        <f>IFERROR(K318/RESUMO_DILIG!$D$5,"")</f>
        <v>4.7817345331527012E-5</v>
      </c>
      <c r="R318" s="114" t="s">
        <v>1293</v>
      </c>
      <c r="S318" s="114" t="s">
        <v>1323</v>
      </c>
      <c r="T318" s="114" t="s">
        <v>1320</v>
      </c>
    </row>
    <row r="319" spans="1:20" ht="63.75" x14ac:dyDescent="0.2">
      <c r="A319" s="108" t="s">
        <v>1732</v>
      </c>
      <c r="B319" s="114" t="s">
        <v>1733</v>
      </c>
      <c r="C319" s="114" t="s">
        <v>56</v>
      </c>
      <c r="D319" s="114"/>
      <c r="E319" s="114"/>
      <c r="F319" s="114" t="s">
        <v>690</v>
      </c>
      <c r="G319" s="114" t="s">
        <v>84</v>
      </c>
      <c r="H319" s="115">
        <v>14</v>
      </c>
      <c r="I319" s="116">
        <v>24.907499999999999</v>
      </c>
      <c r="J319" s="116">
        <v>30.442500000000003</v>
      </c>
      <c r="K319" s="116">
        <v>426.19</v>
      </c>
      <c r="L319" s="116">
        <v>33.21</v>
      </c>
      <c r="M319" s="116">
        <v>40.590000000000003</v>
      </c>
      <c r="N319" s="116">
        <v>568.26</v>
      </c>
      <c r="O319" s="121">
        <f t="shared" si="8"/>
        <v>0.25</v>
      </c>
      <c r="P319" s="121">
        <f t="shared" si="9"/>
        <v>0.25000879878928661</v>
      </c>
      <c r="Q319" s="121">
        <f>IFERROR(K319/RESUMO_DILIG!$D$5,"")</f>
        <v>4.7630707256680918E-5</v>
      </c>
      <c r="R319" s="114" t="s">
        <v>1293</v>
      </c>
      <c r="S319" s="114" t="s">
        <v>1323</v>
      </c>
      <c r="T319" s="114" t="s">
        <v>1320</v>
      </c>
    </row>
    <row r="320" spans="1:20" ht="63.75" x14ac:dyDescent="0.2">
      <c r="A320" s="108" t="s">
        <v>1734</v>
      </c>
      <c r="B320" s="114" t="s">
        <v>1735</v>
      </c>
      <c r="C320" s="114" t="s">
        <v>56</v>
      </c>
      <c r="D320" s="114"/>
      <c r="E320" s="114"/>
      <c r="F320" s="114" t="s">
        <v>691</v>
      </c>
      <c r="G320" s="114" t="s">
        <v>84</v>
      </c>
      <c r="H320" s="115">
        <v>2</v>
      </c>
      <c r="I320" s="116">
        <v>20.774999999999999</v>
      </c>
      <c r="J320" s="116">
        <v>25.387500000000003</v>
      </c>
      <c r="K320" s="116">
        <v>50.77</v>
      </c>
      <c r="L320" s="116">
        <v>27.7</v>
      </c>
      <c r="M320" s="116">
        <v>33.85</v>
      </c>
      <c r="N320" s="116">
        <v>67.7</v>
      </c>
      <c r="O320" s="121">
        <f t="shared" si="8"/>
        <v>0.25</v>
      </c>
      <c r="P320" s="121">
        <f t="shared" si="9"/>
        <v>0.25007385524372228</v>
      </c>
      <c r="Q320" s="121">
        <f>IFERROR(K320/RESUMO_DILIG!$D$5,"")</f>
        <v>5.674020993973791E-6</v>
      </c>
      <c r="R320" s="114" t="s">
        <v>1293</v>
      </c>
      <c r="S320" s="114" t="s">
        <v>1323</v>
      </c>
      <c r="T320" s="114" t="s">
        <v>1320</v>
      </c>
    </row>
    <row r="321" spans="1:20" ht="63.75" x14ac:dyDescent="0.2">
      <c r="A321" s="108" t="s">
        <v>1736</v>
      </c>
      <c r="B321" s="114" t="s">
        <v>1737</v>
      </c>
      <c r="C321" s="114" t="s">
        <v>56</v>
      </c>
      <c r="D321" s="114"/>
      <c r="E321" s="114"/>
      <c r="F321" s="114" t="s">
        <v>692</v>
      </c>
      <c r="G321" s="114" t="s">
        <v>84</v>
      </c>
      <c r="H321" s="115">
        <v>23</v>
      </c>
      <c r="I321" s="116">
        <v>14.145</v>
      </c>
      <c r="J321" s="116">
        <v>17.287500000000001</v>
      </c>
      <c r="K321" s="116">
        <v>397.61</v>
      </c>
      <c r="L321" s="116">
        <v>18.86</v>
      </c>
      <c r="M321" s="116">
        <v>23.05</v>
      </c>
      <c r="N321" s="116">
        <v>530.15</v>
      </c>
      <c r="O321" s="121">
        <f t="shared" si="8"/>
        <v>0.25</v>
      </c>
      <c r="P321" s="121">
        <f t="shared" si="9"/>
        <v>0.25000471564651505</v>
      </c>
      <c r="Q321" s="121">
        <f>IFERROR(K321/RESUMO_DILIG!$D$5,"")</f>
        <v>4.4436625712308829E-5</v>
      </c>
      <c r="R321" s="114" t="s">
        <v>1293</v>
      </c>
      <c r="S321" s="114" t="s">
        <v>1323</v>
      </c>
      <c r="T321" s="114" t="s">
        <v>1320</v>
      </c>
    </row>
    <row r="322" spans="1:20" ht="63.75" x14ac:dyDescent="0.2">
      <c r="A322" s="108" t="s">
        <v>1738</v>
      </c>
      <c r="B322" s="114" t="s">
        <v>1739</v>
      </c>
      <c r="C322" s="114" t="s">
        <v>56</v>
      </c>
      <c r="D322" s="114"/>
      <c r="E322" s="114"/>
      <c r="F322" s="114" t="s">
        <v>693</v>
      </c>
      <c r="G322" s="114" t="s">
        <v>84</v>
      </c>
      <c r="H322" s="115">
        <v>16</v>
      </c>
      <c r="I322" s="116">
        <v>10.17</v>
      </c>
      <c r="J322" s="116">
        <v>12.4275</v>
      </c>
      <c r="K322" s="116">
        <v>198.84</v>
      </c>
      <c r="L322" s="116">
        <v>13.56</v>
      </c>
      <c r="M322" s="116">
        <v>16.57</v>
      </c>
      <c r="N322" s="116">
        <v>265.12</v>
      </c>
      <c r="O322" s="121">
        <f t="shared" si="8"/>
        <v>0.25</v>
      </c>
      <c r="P322" s="121">
        <f t="shared" si="9"/>
        <v>0.25</v>
      </c>
      <c r="Q322" s="121">
        <f>IFERROR(K322/RESUMO_DILIG!$D$5,"")</f>
        <v>2.2222224432573344E-5</v>
      </c>
      <c r="R322" s="114" t="s">
        <v>1293</v>
      </c>
      <c r="S322" s="114" t="s">
        <v>1323</v>
      </c>
      <c r="T322" s="114" t="s">
        <v>1320</v>
      </c>
    </row>
    <row r="323" spans="1:20" ht="63.75" x14ac:dyDescent="0.2">
      <c r="A323" s="108" t="s">
        <v>1740</v>
      </c>
      <c r="B323" s="114" t="s">
        <v>1741</v>
      </c>
      <c r="C323" s="114" t="s">
        <v>56</v>
      </c>
      <c r="D323" s="114"/>
      <c r="E323" s="114"/>
      <c r="F323" s="114" t="s">
        <v>694</v>
      </c>
      <c r="G323" s="114" t="s">
        <v>84</v>
      </c>
      <c r="H323" s="115">
        <v>28</v>
      </c>
      <c r="I323" s="116">
        <v>24.217500000000001</v>
      </c>
      <c r="J323" s="116">
        <v>29.594999999999999</v>
      </c>
      <c r="K323" s="116">
        <v>828.66</v>
      </c>
      <c r="L323" s="116">
        <v>32.29</v>
      </c>
      <c r="M323" s="116">
        <v>39.46</v>
      </c>
      <c r="N323" s="116">
        <v>1104.8800000000001</v>
      </c>
      <c r="O323" s="121">
        <f t="shared" si="8"/>
        <v>0.25</v>
      </c>
      <c r="P323" s="121">
        <f t="shared" si="9"/>
        <v>0.25000000000000011</v>
      </c>
      <c r="Q323" s="121">
        <f>IFERROR(K323/RESUMO_DILIG!$D$5,"")</f>
        <v>9.2610483294589755E-5</v>
      </c>
      <c r="R323" s="114" t="s">
        <v>1293</v>
      </c>
      <c r="S323" s="114" t="s">
        <v>1323</v>
      </c>
      <c r="T323" s="114" t="s">
        <v>1320</v>
      </c>
    </row>
    <row r="324" spans="1:20" ht="63.75" x14ac:dyDescent="0.2">
      <c r="A324" s="108" t="s">
        <v>1742</v>
      </c>
      <c r="B324" s="114" t="s">
        <v>1743</v>
      </c>
      <c r="C324" s="114" t="s">
        <v>56</v>
      </c>
      <c r="D324" s="114"/>
      <c r="E324" s="114"/>
      <c r="F324" s="114" t="s">
        <v>695</v>
      </c>
      <c r="G324" s="114" t="s">
        <v>84</v>
      </c>
      <c r="H324" s="115">
        <v>3</v>
      </c>
      <c r="I324" s="116">
        <v>13.544999999999998</v>
      </c>
      <c r="J324" s="116">
        <v>16.552500000000002</v>
      </c>
      <c r="K324" s="116">
        <v>49.65</v>
      </c>
      <c r="L324" s="116">
        <v>18.059999999999999</v>
      </c>
      <c r="M324" s="116">
        <v>22.07</v>
      </c>
      <c r="N324" s="116">
        <v>66.209999999999994</v>
      </c>
      <c r="O324" s="121">
        <f t="shared" ref="O324:O387" si="10">IFERROR(1-J324/M324,"")</f>
        <v>0.24999999999999989</v>
      </c>
      <c r="P324" s="121">
        <f t="shared" ref="P324:P387" si="11">IFERROR(1-K324/N324,"")</f>
        <v>0.25011327594019028</v>
      </c>
      <c r="Q324" s="121">
        <f>IFERROR(K324/RESUMO_DILIG!$D$5,"")</f>
        <v>5.5488505485680272E-6</v>
      </c>
      <c r="R324" s="114" t="s">
        <v>1293</v>
      </c>
      <c r="S324" s="114" t="s">
        <v>1323</v>
      </c>
      <c r="T324" s="114" t="s">
        <v>1320</v>
      </c>
    </row>
    <row r="325" spans="1:20" ht="63.75" x14ac:dyDescent="0.2">
      <c r="A325" s="108" t="s">
        <v>1744</v>
      </c>
      <c r="B325" s="114" t="s">
        <v>1745</v>
      </c>
      <c r="C325" s="114" t="s">
        <v>56</v>
      </c>
      <c r="D325" s="114"/>
      <c r="E325" s="114"/>
      <c r="F325" s="114" t="s">
        <v>696</v>
      </c>
      <c r="G325" s="114" t="s">
        <v>84</v>
      </c>
      <c r="H325" s="115">
        <v>36</v>
      </c>
      <c r="I325" s="116">
        <v>9.9824999999999999</v>
      </c>
      <c r="J325" s="116">
        <v>12.195</v>
      </c>
      <c r="K325" s="116">
        <v>439.02</v>
      </c>
      <c r="L325" s="116">
        <v>13.31</v>
      </c>
      <c r="M325" s="116">
        <v>16.260000000000002</v>
      </c>
      <c r="N325" s="116">
        <v>585.36</v>
      </c>
      <c r="O325" s="121">
        <f t="shared" si="10"/>
        <v>0.25</v>
      </c>
      <c r="P325" s="121">
        <f t="shared" si="11"/>
        <v>0.25</v>
      </c>
      <c r="Q325" s="121">
        <f>IFERROR(K325/RESUMO_DILIG!$D$5,"")</f>
        <v>4.9064579412534441E-5</v>
      </c>
      <c r="R325" s="114" t="s">
        <v>1293</v>
      </c>
      <c r="S325" s="114" t="s">
        <v>1323</v>
      </c>
      <c r="T325" s="114" t="s">
        <v>1320</v>
      </c>
    </row>
    <row r="326" spans="1:20" ht="63.75" x14ac:dyDescent="0.2">
      <c r="A326" s="108" t="s">
        <v>1746</v>
      </c>
      <c r="B326" s="114" t="s">
        <v>1747</v>
      </c>
      <c r="C326" s="114" t="s">
        <v>56</v>
      </c>
      <c r="D326" s="114"/>
      <c r="E326" s="114"/>
      <c r="F326" s="114" t="s">
        <v>697</v>
      </c>
      <c r="G326" s="114" t="s">
        <v>84</v>
      </c>
      <c r="H326" s="115">
        <v>18</v>
      </c>
      <c r="I326" s="116">
        <v>36.555</v>
      </c>
      <c r="J326" s="116">
        <v>44.677500000000002</v>
      </c>
      <c r="K326" s="116">
        <v>804.19</v>
      </c>
      <c r="L326" s="116">
        <v>48.74</v>
      </c>
      <c r="M326" s="116">
        <v>59.57</v>
      </c>
      <c r="N326" s="116">
        <v>1072.26</v>
      </c>
      <c r="O326" s="121">
        <f t="shared" si="10"/>
        <v>0.25</v>
      </c>
      <c r="P326" s="121">
        <f t="shared" si="11"/>
        <v>0.25000466304814128</v>
      </c>
      <c r="Q326" s="121">
        <f>IFERROR(K326/RESUMO_DILIG!$D$5,"")</f>
        <v>8.9875732581126325E-5</v>
      </c>
      <c r="R326" s="114" t="s">
        <v>1293</v>
      </c>
      <c r="S326" s="114" t="s">
        <v>1323</v>
      </c>
      <c r="T326" s="114" t="s">
        <v>1320</v>
      </c>
    </row>
    <row r="327" spans="1:20" ht="63.75" x14ac:dyDescent="0.2">
      <c r="A327" s="108" t="s">
        <v>1748</v>
      </c>
      <c r="B327" s="114" t="s">
        <v>1749</v>
      </c>
      <c r="C327" s="114" t="s">
        <v>56</v>
      </c>
      <c r="D327" s="114"/>
      <c r="E327" s="114"/>
      <c r="F327" s="114" t="s">
        <v>698</v>
      </c>
      <c r="G327" s="114" t="s">
        <v>84</v>
      </c>
      <c r="H327" s="115">
        <v>1</v>
      </c>
      <c r="I327" s="116">
        <v>33.974999999999994</v>
      </c>
      <c r="J327" s="116">
        <v>41.527499999999996</v>
      </c>
      <c r="K327" s="116">
        <v>41.52</v>
      </c>
      <c r="L327" s="116">
        <v>45.3</v>
      </c>
      <c r="M327" s="116">
        <v>55.37</v>
      </c>
      <c r="N327" s="116">
        <v>55.37</v>
      </c>
      <c r="O327" s="121">
        <f t="shared" si="10"/>
        <v>0.25</v>
      </c>
      <c r="P327" s="121">
        <f t="shared" si="11"/>
        <v>0.25013545241105284</v>
      </c>
      <c r="Q327" s="121">
        <f>IFERROR(K327/RESUMO_DILIG!$D$5,"")</f>
        <v>4.6402472261136854E-6</v>
      </c>
      <c r="R327" s="114" t="s">
        <v>1293</v>
      </c>
      <c r="S327" s="114" t="s">
        <v>1323</v>
      </c>
      <c r="T327" s="114" t="s">
        <v>1320</v>
      </c>
    </row>
    <row r="328" spans="1:20" ht="63.75" x14ac:dyDescent="0.2">
      <c r="A328" s="108" t="s">
        <v>1750</v>
      </c>
      <c r="B328" s="114" t="s">
        <v>1751</v>
      </c>
      <c r="C328" s="114" t="s">
        <v>56</v>
      </c>
      <c r="D328" s="114"/>
      <c r="E328" s="114"/>
      <c r="F328" s="114" t="s">
        <v>699</v>
      </c>
      <c r="G328" s="114" t="s">
        <v>84</v>
      </c>
      <c r="H328" s="115">
        <v>1</v>
      </c>
      <c r="I328" s="116">
        <v>20.482499999999998</v>
      </c>
      <c r="J328" s="116">
        <v>25.035000000000004</v>
      </c>
      <c r="K328" s="116">
        <v>25.03</v>
      </c>
      <c r="L328" s="116">
        <v>27.31</v>
      </c>
      <c r="M328" s="116">
        <v>33.380000000000003</v>
      </c>
      <c r="N328" s="116">
        <v>33.380000000000003</v>
      </c>
      <c r="O328" s="121">
        <f t="shared" si="10"/>
        <v>0.25</v>
      </c>
      <c r="P328" s="121">
        <f t="shared" si="11"/>
        <v>0.25014979029358897</v>
      </c>
      <c r="Q328" s="121">
        <f>IFERROR(K328/RESUMO_DILIG!$D$5,"")</f>
        <v>2.7973359361663185E-6</v>
      </c>
      <c r="R328" s="114" t="s">
        <v>1293</v>
      </c>
      <c r="S328" s="114" t="s">
        <v>1323</v>
      </c>
      <c r="T328" s="114" t="s">
        <v>1320</v>
      </c>
    </row>
    <row r="329" spans="1:20" ht="63.75" x14ac:dyDescent="0.2">
      <c r="A329" s="108" t="s">
        <v>1752</v>
      </c>
      <c r="B329" s="114" t="s">
        <v>1753</v>
      </c>
      <c r="C329" s="114" t="s">
        <v>56</v>
      </c>
      <c r="D329" s="114"/>
      <c r="E329" s="114"/>
      <c r="F329" s="114" t="s">
        <v>700</v>
      </c>
      <c r="G329" s="114" t="s">
        <v>84</v>
      </c>
      <c r="H329" s="115">
        <v>36</v>
      </c>
      <c r="I329" s="116">
        <v>12.375</v>
      </c>
      <c r="J329" s="116">
        <v>15.120000000000001</v>
      </c>
      <c r="K329" s="116">
        <v>544.32000000000005</v>
      </c>
      <c r="L329" s="116">
        <v>16.5</v>
      </c>
      <c r="M329" s="116">
        <v>20.16</v>
      </c>
      <c r="N329" s="116">
        <v>725.76</v>
      </c>
      <c r="O329" s="121">
        <f t="shared" si="10"/>
        <v>0.25</v>
      </c>
      <c r="P329" s="121">
        <f t="shared" si="11"/>
        <v>0.24999999999999989</v>
      </c>
      <c r="Q329" s="121">
        <f>IFERROR(K329/RESUMO_DILIG!$D$5,"")</f>
        <v>6.0832836467201381E-5</v>
      </c>
      <c r="R329" s="114" t="s">
        <v>1293</v>
      </c>
      <c r="S329" s="114" t="s">
        <v>1323</v>
      </c>
      <c r="T329" s="114" t="s">
        <v>1320</v>
      </c>
    </row>
    <row r="330" spans="1:20" ht="63.75" x14ac:dyDescent="0.2">
      <c r="A330" s="108" t="s">
        <v>1754</v>
      </c>
      <c r="B330" s="114" t="s">
        <v>1755</v>
      </c>
      <c r="C330" s="114" t="s">
        <v>56</v>
      </c>
      <c r="D330" s="114"/>
      <c r="E330" s="114"/>
      <c r="F330" s="114" t="s">
        <v>701</v>
      </c>
      <c r="G330" s="114" t="s">
        <v>84</v>
      </c>
      <c r="H330" s="115">
        <v>21</v>
      </c>
      <c r="I330" s="116">
        <v>44.107500000000002</v>
      </c>
      <c r="J330" s="116">
        <v>53.91</v>
      </c>
      <c r="K330" s="116">
        <v>1132.1099999999999</v>
      </c>
      <c r="L330" s="116">
        <v>58.81</v>
      </c>
      <c r="M330" s="116">
        <v>71.88</v>
      </c>
      <c r="N330" s="116">
        <v>1509.48</v>
      </c>
      <c r="O330" s="121">
        <f t="shared" si="10"/>
        <v>0.25</v>
      </c>
      <c r="P330" s="121">
        <f t="shared" si="11"/>
        <v>0.25000000000000011</v>
      </c>
      <c r="Q330" s="121">
        <f>IFERROR(K330/RESUMO_DILIG!$D$5,"")</f>
        <v>1.2652385084671396E-4</v>
      </c>
      <c r="R330" s="114" t="s">
        <v>1293</v>
      </c>
      <c r="S330" s="114" t="s">
        <v>1323</v>
      </c>
      <c r="T330" s="114" t="s">
        <v>1320</v>
      </c>
    </row>
    <row r="331" spans="1:20" ht="63.75" x14ac:dyDescent="0.2">
      <c r="A331" s="108" t="s">
        <v>1756</v>
      </c>
      <c r="B331" s="114" t="s">
        <v>1757</v>
      </c>
      <c r="C331" s="114" t="s">
        <v>56</v>
      </c>
      <c r="D331" s="114"/>
      <c r="E331" s="114"/>
      <c r="F331" s="114" t="s">
        <v>1758</v>
      </c>
      <c r="G331" s="114" t="s">
        <v>84</v>
      </c>
      <c r="H331" s="115">
        <v>19</v>
      </c>
      <c r="I331" s="116">
        <v>37.027499999999996</v>
      </c>
      <c r="J331" s="116">
        <v>45.255000000000003</v>
      </c>
      <c r="K331" s="116">
        <v>859.84</v>
      </c>
      <c r="L331" s="116">
        <v>49.37</v>
      </c>
      <c r="M331" s="116">
        <v>60.34</v>
      </c>
      <c r="N331" s="116">
        <v>1146.46</v>
      </c>
      <c r="O331" s="121">
        <f t="shared" si="10"/>
        <v>0.25</v>
      </c>
      <c r="P331" s="121">
        <f t="shared" si="11"/>
        <v>0.25000436125115577</v>
      </c>
      <c r="Q331" s="121">
        <f>IFERROR(K331/RESUMO_DILIG!$D$5,"")</f>
        <v>9.6095139087225224E-5</v>
      </c>
      <c r="R331" s="114" t="s">
        <v>1293</v>
      </c>
      <c r="S331" s="114" t="s">
        <v>1323</v>
      </c>
      <c r="T331" s="114" t="s">
        <v>1320</v>
      </c>
    </row>
    <row r="332" spans="1:20" ht="63.75" x14ac:dyDescent="0.2">
      <c r="A332" s="108" t="s">
        <v>1759</v>
      </c>
      <c r="B332" s="114" t="s">
        <v>1760</v>
      </c>
      <c r="C332" s="114" t="s">
        <v>56</v>
      </c>
      <c r="D332" s="114"/>
      <c r="E332" s="114"/>
      <c r="F332" s="114" t="s">
        <v>703</v>
      </c>
      <c r="G332" s="114" t="s">
        <v>84</v>
      </c>
      <c r="H332" s="115">
        <v>1</v>
      </c>
      <c r="I332" s="116">
        <v>35.2575</v>
      </c>
      <c r="J332" s="116">
        <v>43.094999999999999</v>
      </c>
      <c r="K332" s="116">
        <v>43.09</v>
      </c>
      <c r="L332" s="116">
        <v>47.01</v>
      </c>
      <c r="M332" s="116">
        <v>57.46</v>
      </c>
      <c r="N332" s="116">
        <v>57.46</v>
      </c>
      <c r="O332" s="121">
        <f t="shared" si="10"/>
        <v>0.25</v>
      </c>
      <c r="P332" s="121">
        <f t="shared" si="11"/>
        <v>0.25008701705534275</v>
      </c>
      <c r="Q332" s="121">
        <f>IFERROR(K332/RESUMO_DILIG!$D$5,"")</f>
        <v>4.8157093683342659E-6</v>
      </c>
      <c r="R332" s="114" t="s">
        <v>1293</v>
      </c>
      <c r="S332" s="114" t="s">
        <v>1323</v>
      </c>
      <c r="T332" s="114" t="s">
        <v>1320</v>
      </c>
    </row>
    <row r="333" spans="1:20" ht="63.75" x14ac:dyDescent="0.2">
      <c r="A333" s="108" t="s">
        <v>1761</v>
      </c>
      <c r="B333" s="114" t="s">
        <v>1762</v>
      </c>
      <c r="C333" s="114" t="s">
        <v>56</v>
      </c>
      <c r="D333" s="114"/>
      <c r="E333" s="114"/>
      <c r="F333" s="114" t="s">
        <v>704</v>
      </c>
      <c r="G333" s="114" t="s">
        <v>84</v>
      </c>
      <c r="H333" s="115">
        <v>8</v>
      </c>
      <c r="I333" s="116">
        <v>14.362499999999999</v>
      </c>
      <c r="J333" s="116">
        <v>17.549999999999997</v>
      </c>
      <c r="K333" s="116">
        <v>140.4</v>
      </c>
      <c r="L333" s="116">
        <v>19.149999999999999</v>
      </c>
      <c r="M333" s="116">
        <v>23.4</v>
      </c>
      <c r="N333" s="116">
        <v>187.2</v>
      </c>
      <c r="O333" s="121">
        <f t="shared" si="10"/>
        <v>0.25000000000000011</v>
      </c>
      <c r="P333" s="121">
        <f t="shared" si="11"/>
        <v>0.24999999999999989</v>
      </c>
      <c r="Q333" s="121">
        <f>IFERROR(K333/RESUMO_DILIG!$D$5,"")</f>
        <v>1.5691009406222579E-5</v>
      </c>
      <c r="R333" s="114" t="s">
        <v>1293</v>
      </c>
      <c r="S333" s="114" t="s">
        <v>1323</v>
      </c>
      <c r="T333" s="114" t="s">
        <v>1320</v>
      </c>
    </row>
    <row r="334" spans="1:20" ht="63.75" x14ac:dyDescent="0.2">
      <c r="A334" s="108" t="s">
        <v>1763</v>
      </c>
      <c r="B334" s="114" t="s">
        <v>1764</v>
      </c>
      <c r="C334" s="114" t="s">
        <v>56</v>
      </c>
      <c r="D334" s="114"/>
      <c r="E334" s="114"/>
      <c r="F334" s="114" t="s">
        <v>705</v>
      </c>
      <c r="G334" s="114" t="s">
        <v>84</v>
      </c>
      <c r="H334" s="115">
        <v>2</v>
      </c>
      <c r="I334" s="116">
        <v>29.122499999999999</v>
      </c>
      <c r="J334" s="116">
        <v>35.594999999999999</v>
      </c>
      <c r="K334" s="116">
        <v>71.19</v>
      </c>
      <c r="L334" s="116">
        <v>38.83</v>
      </c>
      <c r="M334" s="116">
        <v>47.46</v>
      </c>
      <c r="N334" s="116">
        <v>94.92</v>
      </c>
      <c r="O334" s="121">
        <f t="shared" si="10"/>
        <v>0.25</v>
      </c>
      <c r="P334" s="121">
        <f t="shared" si="11"/>
        <v>0.25</v>
      </c>
      <c r="Q334" s="121">
        <f>IFERROR(K334/RESUMO_DILIG!$D$5,"")</f>
        <v>7.9561464361038838E-6</v>
      </c>
      <c r="R334" s="114" t="s">
        <v>1293</v>
      </c>
      <c r="S334" s="114" t="s">
        <v>1323</v>
      </c>
      <c r="T334" s="114" t="s">
        <v>1320</v>
      </c>
    </row>
    <row r="335" spans="1:20" ht="63.75" x14ac:dyDescent="0.2">
      <c r="A335" s="108" t="s">
        <v>1765</v>
      </c>
      <c r="B335" s="114" t="s">
        <v>1766</v>
      </c>
      <c r="C335" s="114" t="s">
        <v>56</v>
      </c>
      <c r="D335" s="114"/>
      <c r="E335" s="114"/>
      <c r="F335" s="114" t="s">
        <v>706</v>
      </c>
      <c r="G335" s="114" t="s">
        <v>84</v>
      </c>
      <c r="H335" s="115">
        <v>3</v>
      </c>
      <c r="I335" s="116">
        <v>17.82</v>
      </c>
      <c r="J335" s="116">
        <v>21.78</v>
      </c>
      <c r="K335" s="116">
        <v>65.34</v>
      </c>
      <c r="L335" s="116">
        <v>23.76</v>
      </c>
      <c r="M335" s="116">
        <v>29.04</v>
      </c>
      <c r="N335" s="116">
        <v>87.12</v>
      </c>
      <c r="O335" s="121">
        <f t="shared" si="10"/>
        <v>0.24999999999999989</v>
      </c>
      <c r="P335" s="121">
        <f t="shared" si="11"/>
        <v>0.25</v>
      </c>
      <c r="Q335" s="121">
        <f>IFERROR(K335/RESUMO_DILIG!$D$5,"")</f>
        <v>7.3023543775112773E-6</v>
      </c>
      <c r="R335" s="114" t="s">
        <v>1293</v>
      </c>
      <c r="S335" s="114" t="s">
        <v>1323</v>
      </c>
      <c r="T335" s="114" t="s">
        <v>1320</v>
      </c>
    </row>
    <row r="336" spans="1:20" ht="51" x14ac:dyDescent="0.2">
      <c r="A336" s="108" t="s">
        <v>1767</v>
      </c>
      <c r="B336" s="114" t="s">
        <v>1768</v>
      </c>
      <c r="C336" s="114" t="s">
        <v>56</v>
      </c>
      <c r="D336" s="114"/>
      <c r="E336" s="114"/>
      <c r="F336" s="114" t="s">
        <v>1769</v>
      </c>
      <c r="G336" s="114" t="s">
        <v>84</v>
      </c>
      <c r="H336" s="115">
        <v>1</v>
      </c>
      <c r="I336" s="116">
        <v>25.912499999999998</v>
      </c>
      <c r="J336" s="116">
        <v>31.672499999999999</v>
      </c>
      <c r="K336" s="116">
        <v>31.67</v>
      </c>
      <c r="L336" s="116">
        <v>34.549999999999997</v>
      </c>
      <c r="M336" s="116">
        <v>42.23</v>
      </c>
      <c r="N336" s="116">
        <v>42.23</v>
      </c>
      <c r="O336" s="121">
        <f t="shared" si="10"/>
        <v>0.25</v>
      </c>
      <c r="P336" s="121">
        <f t="shared" si="11"/>
        <v>0.25005919962112233</v>
      </c>
      <c r="Q336" s="121">
        <f>IFERROR(K336/RESUMO_DILIG!$D$5,"")</f>
        <v>3.539417862500492E-6</v>
      </c>
      <c r="R336" s="114" t="s">
        <v>1293</v>
      </c>
      <c r="S336" s="114" t="s">
        <v>1323</v>
      </c>
      <c r="T336" s="114" t="s">
        <v>1320</v>
      </c>
    </row>
    <row r="337" spans="1:20" ht="25.5" x14ac:dyDescent="0.2">
      <c r="A337" s="108" t="s">
        <v>1770</v>
      </c>
      <c r="B337" s="114" t="s">
        <v>1771</v>
      </c>
      <c r="C337" s="114" t="s">
        <v>335</v>
      </c>
      <c r="D337" s="114"/>
      <c r="E337" s="114"/>
      <c r="F337" s="114" t="s">
        <v>708</v>
      </c>
      <c r="G337" s="114" t="s">
        <v>84</v>
      </c>
      <c r="H337" s="115">
        <v>4</v>
      </c>
      <c r="I337" s="116">
        <v>28.724999999999998</v>
      </c>
      <c r="J337" s="116">
        <v>35.107500000000002</v>
      </c>
      <c r="K337" s="116">
        <v>140.43</v>
      </c>
      <c r="L337" s="116">
        <v>38.299999999999997</v>
      </c>
      <c r="M337" s="116">
        <v>46.81</v>
      </c>
      <c r="N337" s="116">
        <v>187.24</v>
      </c>
      <c r="O337" s="121">
        <f t="shared" si="10"/>
        <v>0.25</v>
      </c>
      <c r="P337" s="121">
        <f t="shared" si="11"/>
        <v>0.25</v>
      </c>
      <c r="Q337" s="121">
        <f>IFERROR(K337/RESUMO_DILIG!$D$5,"")</f>
        <v>1.5694362186010234E-5</v>
      </c>
      <c r="R337" s="114" t="s">
        <v>1293</v>
      </c>
      <c r="S337" s="114" t="s">
        <v>1323</v>
      </c>
      <c r="T337" s="114" t="s">
        <v>1320</v>
      </c>
    </row>
    <row r="338" spans="1:20" ht="51" x14ac:dyDescent="0.2">
      <c r="A338" s="108" t="s">
        <v>1772</v>
      </c>
      <c r="B338" s="114" t="s">
        <v>1773</v>
      </c>
      <c r="C338" s="114" t="s">
        <v>56</v>
      </c>
      <c r="D338" s="114"/>
      <c r="E338" s="114"/>
      <c r="F338" s="114" t="s">
        <v>737</v>
      </c>
      <c r="G338" s="114" t="s">
        <v>84</v>
      </c>
      <c r="H338" s="115">
        <v>2</v>
      </c>
      <c r="I338" s="116">
        <v>15.51</v>
      </c>
      <c r="J338" s="116">
        <v>18.952500000000001</v>
      </c>
      <c r="K338" s="116">
        <v>37.9</v>
      </c>
      <c r="L338" s="116">
        <v>20.68</v>
      </c>
      <c r="M338" s="116">
        <v>25.27</v>
      </c>
      <c r="N338" s="116">
        <v>50.54</v>
      </c>
      <c r="O338" s="121">
        <f t="shared" si="10"/>
        <v>0.25</v>
      </c>
      <c r="P338" s="121">
        <f t="shared" si="11"/>
        <v>0.25009893153937479</v>
      </c>
      <c r="Q338" s="121">
        <f>IFERROR(K338/RESUMO_DILIG!$D$5,"")</f>
        <v>4.2356784650700548E-6</v>
      </c>
      <c r="R338" s="114" t="s">
        <v>1293</v>
      </c>
      <c r="S338" s="114" t="s">
        <v>1323</v>
      </c>
      <c r="T338" s="114" t="s">
        <v>1320</v>
      </c>
    </row>
    <row r="339" spans="1:20" ht="63.75" x14ac:dyDescent="0.2">
      <c r="A339" s="108" t="s">
        <v>1774</v>
      </c>
      <c r="B339" s="114" t="s">
        <v>1775</v>
      </c>
      <c r="C339" s="114" t="s">
        <v>56</v>
      </c>
      <c r="D339" s="114"/>
      <c r="E339" s="114"/>
      <c r="F339" s="114" t="s">
        <v>710</v>
      </c>
      <c r="G339" s="114" t="s">
        <v>84</v>
      </c>
      <c r="H339" s="115">
        <v>1</v>
      </c>
      <c r="I339" s="116">
        <v>37.515000000000001</v>
      </c>
      <c r="J339" s="116">
        <v>45.847500000000004</v>
      </c>
      <c r="K339" s="116">
        <v>45.84</v>
      </c>
      <c r="L339" s="116">
        <v>50.02</v>
      </c>
      <c r="M339" s="116">
        <v>61.13</v>
      </c>
      <c r="N339" s="116">
        <v>61.13</v>
      </c>
      <c r="O339" s="121">
        <f t="shared" si="10"/>
        <v>0.25</v>
      </c>
      <c r="P339" s="121">
        <f t="shared" si="11"/>
        <v>0.25012268935056436</v>
      </c>
      <c r="Q339" s="121">
        <f>IFERROR(K339/RESUMO_DILIG!$D$5,"")</f>
        <v>5.123047515535919E-6</v>
      </c>
      <c r="R339" s="114" t="s">
        <v>1293</v>
      </c>
      <c r="S339" s="114" t="s">
        <v>1323</v>
      </c>
      <c r="T339" s="114" t="s">
        <v>1320</v>
      </c>
    </row>
    <row r="340" spans="1:20" ht="63.75" x14ac:dyDescent="0.2">
      <c r="A340" s="108" t="s">
        <v>1776</v>
      </c>
      <c r="B340" s="114" t="s">
        <v>1777</v>
      </c>
      <c r="C340" s="114" t="s">
        <v>56</v>
      </c>
      <c r="D340" s="114"/>
      <c r="E340" s="114"/>
      <c r="F340" s="114" t="s">
        <v>711</v>
      </c>
      <c r="G340" s="114" t="s">
        <v>84</v>
      </c>
      <c r="H340" s="115">
        <v>3</v>
      </c>
      <c r="I340" s="116">
        <v>35.325000000000003</v>
      </c>
      <c r="J340" s="116">
        <v>43.177500000000002</v>
      </c>
      <c r="K340" s="116">
        <v>129.53</v>
      </c>
      <c r="L340" s="116">
        <v>47.1</v>
      </c>
      <c r="M340" s="116">
        <v>57.57</v>
      </c>
      <c r="N340" s="116">
        <v>172.71</v>
      </c>
      <c r="O340" s="121">
        <f t="shared" si="10"/>
        <v>0.25</v>
      </c>
      <c r="P340" s="121">
        <f t="shared" si="11"/>
        <v>0.2500144751317237</v>
      </c>
      <c r="Q340" s="121">
        <f>IFERROR(K340/RESUMO_DILIG!$D$5,"")</f>
        <v>1.4476185529829135E-5</v>
      </c>
      <c r="R340" s="114" t="s">
        <v>1293</v>
      </c>
      <c r="S340" s="114" t="s">
        <v>1323</v>
      </c>
      <c r="T340" s="114" t="s">
        <v>1320</v>
      </c>
    </row>
    <row r="341" spans="1:20" ht="63.75" x14ac:dyDescent="0.2">
      <c r="A341" s="108" t="s">
        <v>1778</v>
      </c>
      <c r="B341" s="114" t="s">
        <v>1779</v>
      </c>
      <c r="C341" s="114" t="s">
        <v>56</v>
      </c>
      <c r="D341" s="114"/>
      <c r="E341" s="114"/>
      <c r="F341" s="114" t="s">
        <v>712</v>
      </c>
      <c r="G341" s="114" t="s">
        <v>84</v>
      </c>
      <c r="H341" s="115">
        <v>1</v>
      </c>
      <c r="I341" s="116">
        <v>21.502500000000001</v>
      </c>
      <c r="J341" s="116">
        <v>26.28</v>
      </c>
      <c r="K341" s="116">
        <v>26.28</v>
      </c>
      <c r="L341" s="116">
        <v>28.67</v>
      </c>
      <c r="M341" s="116">
        <v>35.04</v>
      </c>
      <c r="N341" s="116">
        <v>35.04</v>
      </c>
      <c r="O341" s="121">
        <f t="shared" si="10"/>
        <v>0.25</v>
      </c>
      <c r="P341" s="121">
        <f t="shared" si="11"/>
        <v>0.25</v>
      </c>
      <c r="Q341" s="121">
        <f>IFERROR(K341/RESUMO_DILIG!$D$5,"")</f>
        <v>2.9370350939852519E-6</v>
      </c>
      <c r="R341" s="114" t="s">
        <v>1293</v>
      </c>
      <c r="S341" s="114" t="s">
        <v>1323</v>
      </c>
      <c r="T341" s="114" t="s">
        <v>1320</v>
      </c>
    </row>
    <row r="342" spans="1:20" ht="63.75" x14ac:dyDescent="0.2">
      <c r="A342" s="108" t="s">
        <v>1780</v>
      </c>
      <c r="B342" s="114" t="s">
        <v>1781</v>
      </c>
      <c r="C342" s="114" t="s">
        <v>56</v>
      </c>
      <c r="D342" s="114"/>
      <c r="E342" s="114"/>
      <c r="F342" s="114" t="s">
        <v>1782</v>
      </c>
      <c r="G342" s="114" t="s">
        <v>84</v>
      </c>
      <c r="H342" s="115">
        <v>2</v>
      </c>
      <c r="I342" s="116">
        <v>9.81</v>
      </c>
      <c r="J342" s="116">
        <v>11.984999999999999</v>
      </c>
      <c r="K342" s="116">
        <v>23.97</v>
      </c>
      <c r="L342" s="116">
        <v>13.08</v>
      </c>
      <c r="M342" s="116">
        <v>15.98</v>
      </c>
      <c r="N342" s="116">
        <v>31.96</v>
      </c>
      <c r="O342" s="121">
        <f t="shared" si="10"/>
        <v>0.25000000000000011</v>
      </c>
      <c r="P342" s="121">
        <f t="shared" si="11"/>
        <v>0.25000000000000011</v>
      </c>
      <c r="Q342" s="121">
        <f>IFERROR(K342/RESUMO_DILIG!$D$5,"")</f>
        <v>2.6788710503358631E-6</v>
      </c>
      <c r="R342" s="114" t="s">
        <v>1293</v>
      </c>
      <c r="S342" s="114" t="s">
        <v>1323</v>
      </c>
      <c r="T342" s="114" t="s">
        <v>1320</v>
      </c>
    </row>
    <row r="343" spans="1:20" ht="51" x14ac:dyDescent="0.2">
      <c r="A343" s="108" t="s">
        <v>716</v>
      </c>
      <c r="B343" s="114" t="s">
        <v>1783</v>
      </c>
      <c r="C343" s="114" t="s">
        <v>56</v>
      </c>
      <c r="D343" s="114" t="s">
        <v>553</v>
      </c>
      <c r="E343" s="114" t="s">
        <v>715</v>
      </c>
      <c r="F343" s="114" t="s">
        <v>1784</v>
      </c>
      <c r="G343" s="114" t="s">
        <v>99</v>
      </c>
      <c r="H343" s="115">
        <v>6.6</v>
      </c>
      <c r="I343" s="116">
        <v>20.377500000000001</v>
      </c>
      <c r="J343" s="116">
        <v>24.900000000000002</v>
      </c>
      <c r="K343" s="116">
        <v>164.34</v>
      </c>
      <c r="L343" s="116">
        <v>27.17</v>
      </c>
      <c r="M343" s="116">
        <v>33.200000000000003</v>
      </c>
      <c r="N343" s="116">
        <v>219.12</v>
      </c>
      <c r="O343" s="121">
        <f t="shared" si="10"/>
        <v>0.25</v>
      </c>
      <c r="P343" s="121">
        <f t="shared" si="11"/>
        <v>0.25</v>
      </c>
      <c r="Q343" s="121">
        <f>IFERROR(K343/RESUMO_DILIG!$D$5,"")</f>
        <v>1.8366527676770788E-5</v>
      </c>
      <c r="R343" s="114" t="s">
        <v>1293</v>
      </c>
      <c r="S343" s="114" t="s">
        <v>1323</v>
      </c>
      <c r="T343" s="114" t="s">
        <v>1320</v>
      </c>
    </row>
    <row r="344" spans="1:20" ht="51" x14ac:dyDescent="0.2">
      <c r="A344" s="108" t="s">
        <v>718</v>
      </c>
      <c r="B344" s="114" t="s">
        <v>1785</v>
      </c>
      <c r="C344" s="114" t="s">
        <v>56</v>
      </c>
      <c r="D344" s="114" t="s">
        <v>553</v>
      </c>
      <c r="E344" s="114" t="s">
        <v>715</v>
      </c>
      <c r="F344" s="114" t="s">
        <v>1786</v>
      </c>
      <c r="G344" s="114" t="s">
        <v>99</v>
      </c>
      <c r="H344" s="115">
        <v>154.5</v>
      </c>
      <c r="I344" s="116">
        <v>11.557500000000001</v>
      </c>
      <c r="J344" s="116">
        <v>14.122499999999999</v>
      </c>
      <c r="K344" s="116">
        <v>2181.92</v>
      </c>
      <c r="L344" s="116">
        <v>15.41</v>
      </c>
      <c r="M344" s="116">
        <v>18.829999999999998</v>
      </c>
      <c r="N344" s="116">
        <v>2909.23</v>
      </c>
      <c r="O344" s="121">
        <f t="shared" si="10"/>
        <v>0.25</v>
      </c>
      <c r="P344" s="121">
        <f t="shared" si="11"/>
        <v>0.25000085933391303</v>
      </c>
      <c r="Q344" s="121">
        <f>IFERROR(K344/RESUMO_DILIG!$D$5,"")</f>
        <v>2.438499091426294E-4</v>
      </c>
      <c r="R344" s="114" t="s">
        <v>1293</v>
      </c>
      <c r="S344" s="114" t="s">
        <v>1323</v>
      </c>
      <c r="T344" s="114" t="s">
        <v>1320</v>
      </c>
    </row>
    <row r="345" spans="1:20" ht="63.75" x14ac:dyDescent="0.2">
      <c r="A345" s="108" t="s">
        <v>720</v>
      </c>
      <c r="B345" s="114" t="s">
        <v>1787</v>
      </c>
      <c r="C345" s="114" t="s">
        <v>56</v>
      </c>
      <c r="D345" s="114" t="s">
        <v>553</v>
      </c>
      <c r="E345" s="114" t="s">
        <v>715</v>
      </c>
      <c r="F345" s="114" t="s">
        <v>721</v>
      </c>
      <c r="G345" s="114" t="s">
        <v>84</v>
      </c>
      <c r="H345" s="115">
        <v>2</v>
      </c>
      <c r="I345" s="116">
        <v>18.66</v>
      </c>
      <c r="J345" s="116">
        <v>22.807500000000001</v>
      </c>
      <c r="K345" s="116">
        <v>45.61</v>
      </c>
      <c r="L345" s="116">
        <v>24.88</v>
      </c>
      <c r="M345" s="116">
        <v>30.41</v>
      </c>
      <c r="N345" s="116">
        <v>60.82</v>
      </c>
      <c r="O345" s="121">
        <f t="shared" si="10"/>
        <v>0.25</v>
      </c>
      <c r="P345" s="121">
        <f t="shared" si="11"/>
        <v>0.2500822097994081</v>
      </c>
      <c r="Q345" s="121">
        <f>IFERROR(K345/RESUMO_DILIG!$D$5,"")</f>
        <v>5.0973428704972348E-6</v>
      </c>
      <c r="R345" s="114" t="s">
        <v>1293</v>
      </c>
      <c r="S345" s="114" t="s">
        <v>1323</v>
      </c>
      <c r="T345" s="114" t="s">
        <v>1320</v>
      </c>
    </row>
    <row r="346" spans="1:20" ht="63.75" x14ac:dyDescent="0.2">
      <c r="A346" s="108" t="s">
        <v>722</v>
      </c>
      <c r="B346" s="114" t="s">
        <v>1788</v>
      </c>
      <c r="C346" s="114" t="s">
        <v>56</v>
      </c>
      <c r="D346" s="114" t="s">
        <v>553</v>
      </c>
      <c r="E346" s="114" t="s">
        <v>715</v>
      </c>
      <c r="F346" s="114" t="s">
        <v>723</v>
      </c>
      <c r="G346" s="114" t="s">
        <v>84</v>
      </c>
      <c r="H346" s="115">
        <v>41</v>
      </c>
      <c r="I346" s="116">
        <v>8.6025000000000009</v>
      </c>
      <c r="J346" s="116">
        <v>10.5075</v>
      </c>
      <c r="K346" s="116">
        <v>430.8</v>
      </c>
      <c r="L346" s="116">
        <v>11.47</v>
      </c>
      <c r="M346" s="116">
        <v>14.01</v>
      </c>
      <c r="N346" s="116">
        <v>574.41</v>
      </c>
      <c r="O346" s="121">
        <f t="shared" si="10"/>
        <v>0.25</v>
      </c>
      <c r="P346" s="121">
        <f t="shared" si="11"/>
        <v>0.25001305687575071</v>
      </c>
      <c r="Q346" s="121">
        <f>IFERROR(K346/RESUMO_DILIG!$D$5,"")</f>
        <v>4.8145917750717138E-5</v>
      </c>
      <c r="R346" s="114" t="s">
        <v>1293</v>
      </c>
      <c r="S346" s="114" t="s">
        <v>1323</v>
      </c>
      <c r="T346" s="114" t="s">
        <v>1320</v>
      </c>
    </row>
    <row r="347" spans="1:20" ht="63.75" x14ac:dyDescent="0.2">
      <c r="A347" s="108" t="s">
        <v>724</v>
      </c>
      <c r="B347" s="114" t="s">
        <v>1789</v>
      </c>
      <c r="C347" s="114" t="s">
        <v>56</v>
      </c>
      <c r="D347" s="114" t="s">
        <v>553</v>
      </c>
      <c r="E347" s="114" t="s">
        <v>715</v>
      </c>
      <c r="F347" s="114" t="s">
        <v>725</v>
      </c>
      <c r="G347" s="114" t="s">
        <v>84</v>
      </c>
      <c r="H347" s="115">
        <v>45</v>
      </c>
      <c r="I347" s="116">
        <v>8.0024999999999995</v>
      </c>
      <c r="J347" s="116">
        <v>9.7799999999999994</v>
      </c>
      <c r="K347" s="116">
        <v>440.1</v>
      </c>
      <c r="L347" s="116">
        <v>10.67</v>
      </c>
      <c r="M347" s="116">
        <v>13.04</v>
      </c>
      <c r="N347" s="116">
        <v>586.79999999999995</v>
      </c>
      <c r="O347" s="121">
        <f t="shared" si="10"/>
        <v>0.25</v>
      </c>
      <c r="P347" s="121">
        <f t="shared" si="11"/>
        <v>0.24999999999999989</v>
      </c>
      <c r="Q347" s="121">
        <f>IFERROR(K347/RESUMO_DILIG!$D$5,"")</f>
        <v>4.9185279484890008E-5</v>
      </c>
      <c r="R347" s="114" t="s">
        <v>1293</v>
      </c>
      <c r="S347" s="114" t="s">
        <v>1323</v>
      </c>
      <c r="T347" s="114" t="s">
        <v>1320</v>
      </c>
    </row>
    <row r="348" spans="1:20" ht="63.75" x14ac:dyDescent="0.2">
      <c r="A348" s="108" t="s">
        <v>726</v>
      </c>
      <c r="B348" s="114" t="s">
        <v>1790</v>
      </c>
      <c r="C348" s="114" t="s">
        <v>56</v>
      </c>
      <c r="D348" s="114" t="s">
        <v>553</v>
      </c>
      <c r="E348" s="114" t="s">
        <v>715</v>
      </c>
      <c r="F348" s="114" t="s">
        <v>727</v>
      </c>
      <c r="G348" s="114" t="s">
        <v>84</v>
      </c>
      <c r="H348" s="115">
        <v>24</v>
      </c>
      <c r="I348" s="116">
        <v>14.940000000000001</v>
      </c>
      <c r="J348" s="116">
        <v>18.254999999999999</v>
      </c>
      <c r="K348" s="116">
        <v>438.12</v>
      </c>
      <c r="L348" s="116">
        <v>19.920000000000002</v>
      </c>
      <c r="M348" s="116">
        <v>24.34</v>
      </c>
      <c r="N348" s="116">
        <v>584.16</v>
      </c>
      <c r="O348" s="121">
        <f t="shared" si="10"/>
        <v>0.25</v>
      </c>
      <c r="P348" s="121">
        <f t="shared" si="11"/>
        <v>0.25</v>
      </c>
      <c r="Q348" s="121">
        <f>IFERROR(K348/RESUMO_DILIG!$D$5,"")</f>
        <v>4.8963996018904816E-5</v>
      </c>
      <c r="R348" s="114" t="s">
        <v>1293</v>
      </c>
      <c r="S348" s="114" t="s">
        <v>1323</v>
      </c>
      <c r="T348" s="114" t="s">
        <v>1320</v>
      </c>
    </row>
    <row r="349" spans="1:20" ht="63.75" x14ac:dyDescent="0.2">
      <c r="A349" s="108" t="s">
        <v>728</v>
      </c>
      <c r="B349" s="114" t="s">
        <v>1791</v>
      </c>
      <c r="C349" s="114" t="s">
        <v>56</v>
      </c>
      <c r="D349" s="114" t="s">
        <v>553</v>
      </c>
      <c r="E349" s="114" t="s">
        <v>715</v>
      </c>
      <c r="F349" s="114" t="s">
        <v>729</v>
      </c>
      <c r="G349" s="114" t="s">
        <v>84</v>
      </c>
      <c r="H349" s="115">
        <v>3</v>
      </c>
      <c r="I349" s="116">
        <v>31.86</v>
      </c>
      <c r="J349" s="116">
        <v>38.94</v>
      </c>
      <c r="K349" s="116">
        <v>116.82</v>
      </c>
      <c r="L349" s="116">
        <v>42.48</v>
      </c>
      <c r="M349" s="116">
        <v>51.92</v>
      </c>
      <c r="N349" s="116">
        <v>155.76</v>
      </c>
      <c r="O349" s="121">
        <f t="shared" si="10"/>
        <v>0.25000000000000011</v>
      </c>
      <c r="P349" s="121">
        <f t="shared" si="11"/>
        <v>0.25</v>
      </c>
      <c r="Q349" s="121">
        <f>IFERROR(K349/RESUMO_DILIG!$D$5,"")</f>
        <v>1.3055724493126221E-5</v>
      </c>
      <c r="R349" s="114" t="s">
        <v>1293</v>
      </c>
      <c r="S349" s="114" t="s">
        <v>1323</v>
      </c>
      <c r="T349" s="114" t="s">
        <v>1320</v>
      </c>
    </row>
    <row r="350" spans="1:20" ht="63.75" x14ac:dyDescent="0.2">
      <c r="A350" s="108" t="s">
        <v>730</v>
      </c>
      <c r="B350" s="114" t="s">
        <v>1792</v>
      </c>
      <c r="C350" s="114" t="s">
        <v>56</v>
      </c>
      <c r="D350" s="114" t="s">
        <v>553</v>
      </c>
      <c r="E350" s="114" t="s">
        <v>715</v>
      </c>
      <c r="F350" s="114" t="s">
        <v>731</v>
      </c>
      <c r="G350" s="114" t="s">
        <v>84</v>
      </c>
      <c r="H350" s="115">
        <v>3</v>
      </c>
      <c r="I350" s="116">
        <v>16.035</v>
      </c>
      <c r="J350" s="116">
        <v>19.5975</v>
      </c>
      <c r="K350" s="116">
        <v>58.79</v>
      </c>
      <c r="L350" s="116">
        <v>21.38</v>
      </c>
      <c r="M350" s="116">
        <v>26.13</v>
      </c>
      <c r="N350" s="116">
        <v>78.39</v>
      </c>
      <c r="O350" s="121">
        <f t="shared" si="10"/>
        <v>0.25</v>
      </c>
      <c r="P350" s="121">
        <f t="shared" si="11"/>
        <v>0.25003189182293661</v>
      </c>
      <c r="Q350" s="121">
        <f>IFERROR(K350/RESUMO_DILIG!$D$5,"")</f>
        <v>6.5703307905400662E-6</v>
      </c>
      <c r="R350" s="114" t="s">
        <v>1293</v>
      </c>
      <c r="S350" s="114" t="s">
        <v>1323</v>
      </c>
      <c r="T350" s="114" t="s">
        <v>1320</v>
      </c>
    </row>
    <row r="351" spans="1:20" ht="63.75" x14ac:dyDescent="0.2">
      <c r="A351" s="108" t="s">
        <v>732</v>
      </c>
      <c r="B351" s="114" t="s">
        <v>1793</v>
      </c>
      <c r="C351" s="114" t="s">
        <v>56</v>
      </c>
      <c r="D351" s="114" t="s">
        <v>553</v>
      </c>
      <c r="E351" s="114" t="s">
        <v>715</v>
      </c>
      <c r="F351" s="114" t="s">
        <v>733</v>
      </c>
      <c r="G351" s="114" t="s">
        <v>84</v>
      </c>
      <c r="H351" s="115">
        <v>3</v>
      </c>
      <c r="I351" s="116">
        <v>25.244999999999997</v>
      </c>
      <c r="J351" s="116">
        <v>30.855</v>
      </c>
      <c r="K351" s="116">
        <v>92.56</v>
      </c>
      <c r="L351" s="116">
        <v>33.659999999999997</v>
      </c>
      <c r="M351" s="116">
        <v>41.14</v>
      </c>
      <c r="N351" s="116">
        <v>123.42</v>
      </c>
      <c r="O351" s="121">
        <f t="shared" si="10"/>
        <v>0.25</v>
      </c>
      <c r="P351" s="121">
        <f t="shared" si="11"/>
        <v>0.25004051207259759</v>
      </c>
      <c r="Q351" s="121">
        <f>IFERROR(K351/RESUMO_DILIG!$D$5,"")</f>
        <v>1.0344443238176366E-5</v>
      </c>
      <c r="R351" s="114" t="s">
        <v>1293</v>
      </c>
      <c r="S351" s="114" t="s">
        <v>1323</v>
      </c>
      <c r="T351" s="114" t="s">
        <v>1320</v>
      </c>
    </row>
    <row r="352" spans="1:20" ht="63.75" x14ac:dyDescent="0.2">
      <c r="A352" s="108" t="s">
        <v>1794</v>
      </c>
      <c r="B352" s="114" t="s">
        <v>1795</v>
      </c>
      <c r="C352" s="114" t="s">
        <v>56</v>
      </c>
      <c r="D352" s="114"/>
      <c r="E352" s="114"/>
      <c r="F352" s="114" t="s">
        <v>734</v>
      </c>
      <c r="G352" s="114" t="s">
        <v>84</v>
      </c>
      <c r="H352" s="115">
        <v>1</v>
      </c>
      <c r="I352" s="116">
        <v>14.115</v>
      </c>
      <c r="J352" s="116">
        <v>17.25</v>
      </c>
      <c r="K352" s="116">
        <v>17.25</v>
      </c>
      <c r="L352" s="116">
        <v>18.82</v>
      </c>
      <c r="M352" s="116">
        <v>23</v>
      </c>
      <c r="N352" s="116">
        <v>23</v>
      </c>
      <c r="O352" s="121">
        <f t="shared" si="10"/>
        <v>0.25</v>
      </c>
      <c r="P352" s="121">
        <f t="shared" si="11"/>
        <v>0.25</v>
      </c>
      <c r="Q352" s="121">
        <f>IFERROR(K352/RESUMO_DILIG!$D$5,"")</f>
        <v>1.9278483779012782E-6</v>
      </c>
      <c r="R352" s="114" t="s">
        <v>1293</v>
      </c>
      <c r="S352" s="114" t="s">
        <v>1323</v>
      </c>
      <c r="T352" s="114" t="s">
        <v>1320</v>
      </c>
    </row>
    <row r="353" spans="1:20" ht="63.75" x14ac:dyDescent="0.2">
      <c r="A353" s="108" t="s">
        <v>1796</v>
      </c>
      <c r="B353" s="114" t="s">
        <v>1797</v>
      </c>
      <c r="C353" s="114" t="s">
        <v>56</v>
      </c>
      <c r="D353" s="114"/>
      <c r="E353" s="114"/>
      <c r="F353" s="114" t="s">
        <v>1798</v>
      </c>
      <c r="G353" s="114" t="s">
        <v>84</v>
      </c>
      <c r="H353" s="115">
        <v>38</v>
      </c>
      <c r="I353" s="116">
        <v>14.107499999999998</v>
      </c>
      <c r="J353" s="116">
        <v>17.2425</v>
      </c>
      <c r="K353" s="116">
        <v>655.21</v>
      </c>
      <c r="L353" s="116">
        <v>18.809999999999999</v>
      </c>
      <c r="M353" s="116">
        <v>22.99</v>
      </c>
      <c r="N353" s="116">
        <v>873.62</v>
      </c>
      <c r="O353" s="121">
        <f t="shared" si="10"/>
        <v>0.25</v>
      </c>
      <c r="P353" s="121">
        <f t="shared" si="11"/>
        <v>0.25000572331219517</v>
      </c>
      <c r="Q353" s="121">
        <f>IFERROR(K353/RESUMO_DILIG!$D$5,"")</f>
        <v>7.3225828155634582E-5</v>
      </c>
      <c r="R353" s="114" t="s">
        <v>1293</v>
      </c>
      <c r="S353" s="114" t="s">
        <v>1323</v>
      </c>
      <c r="T353" s="114" t="s">
        <v>1320</v>
      </c>
    </row>
    <row r="354" spans="1:20" ht="25.5" x14ac:dyDescent="0.2">
      <c r="A354" s="108" t="s">
        <v>1799</v>
      </c>
      <c r="B354" s="114" t="s">
        <v>1800</v>
      </c>
      <c r="C354" s="114" t="s">
        <v>335</v>
      </c>
      <c r="D354" s="114"/>
      <c r="E354" s="114"/>
      <c r="F354" s="114" t="s">
        <v>736</v>
      </c>
      <c r="G354" s="114" t="s">
        <v>84</v>
      </c>
      <c r="H354" s="115">
        <v>1</v>
      </c>
      <c r="I354" s="116">
        <v>32.917500000000004</v>
      </c>
      <c r="J354" s="116">
        <v>40.230000000000004</v>
      </c>
      <c r="K354" s="116">
        <v>40.229999999999997</v>
      </c>
      <c r="L354" s="116">
        <v>43.89</v>
      </c>
      <c r="M354" s="116">
        <v>53.64</v>
      </c>
      <c r="N354" s="116">
        <v>53.64</v>
      </c>
      <c r="O354" s="121">
        <f t="shared" si="10"/>
        <v>0.24999999999999989</v>
      </c>
      <c r="P354" s="121">
        <f t="shared" si="11"/>
        <v>0.25000000000000011</v>
      </c>
      <c r="Q354" s="121">
        <f>IFERROR(K354/RESUMO_DILIG!$D$5,"")</f>
        <v>4.4960776952445462E-6</v>
      </c>
      <c r="R354" s="114" t="s">
        <v>1293</v>
      </c>
      <c r="S354" s="114" t="s">
        <v>1323</v>
      </c>
      <c r="T354" s="114" t="s">
        <v>1320</v>
      </c>
    </row>
    <row r="355" spans="1:20" ht="51" x14ac:dyDescent="0.2">
      <c r="A355" s="108" t="s">
        <v>1801</v>
      </c>
      <c r="B355" s="114" t="s">
        <v>1773</v>
      </c>
      <c r="C355" s="114" t="s">
        <v>56</v>
      </c>
      <c r="D355" s="114"/>
      <c r="E355" s="114"/>
      <c r="F355" s="114" t="s">
        <v>737</v>
      </c>
      <c r="G355" s="114" t="s">
        <v>84</v>
      </c>
      <c r="H355" s="115">
        <v>3</v>
      </c>
      <c r="I355" s="116">
        <v>15.51</v>
      </c>
      <c r="J355" s="116">
        <v>18.952500000000001</v>
      </c>
      <c r="K355" s="116">
        <v>56.85</v>
      </c>
      <c r="L355" s="116">
        <v>20.68</v>
      </c>
      <c r="M355" s="116">
        <v>25.27</v>
      </c>
      <c r="N355" s="116">
        <v>75.81</v>
      </c>
      <c r="O355" s="121">
        <f t="shared" si="10"/>
        <v>0.25</v>
      </c>
      <c r="P355" s="121">
        <f t="shared" si="11"/>
        <v>0.25009893153937479</v>
      </c>
      <c r="Q355" s="121">
        <f>IFERROR(K355/RESUMO_DILIG!$D$5,"")</f>
        <v>6.3535176976050826E-6</v>
      </c>
      <c r="R355" s="114" t="s">
        <v>1293</v>
      </c>
      <c r="S355" s="114" t="s">
        <v>1323</v>
      </c>
      <c r="T355" s="114" t="s">
        <v>1320</v>
      </c>
    </row>
    <row r="356" spans="1:20" ht="63.75" x14ac:dyDescent="0.2">
      <c r="A356" s="108" t="s">
        <v>1802</v>
      </c>
      <c r="B356" s="114" t="s">
        <v>1803</v>
      </c>
      <c r="C356" s="114" t="s">
        <v>56</v>
      </c>
      <c r="D356" s="114"/>
      <c r="E356" s="114"/>
      <c r="F356" s="114" t="s">
        <v>738</v>
      </c>
      <c r="G356" s="114" t="s">
        <v>84</v>
      </c>
      <c r="H356" s="115">
        <v>3</v>
      </c>
      <c r="I356" s="116">
        <v>19.2075</v>
      </c>
      <c r="J356" s="116">
        <v>23.475000000000001</v>
      </c>
      <c r="K356" s="116">
        <v>70.42</v>
      </c>
      <c r="L356" s="116">
        <v>25.61</v>
      </c>
      <c r="M356" s="116">
        <v>31.3</v>
      </c>
      <c r="N356" s="116">
        <v>93.9</v>
      </c>
      <c r="O356" s="121">
        <f t="shared" si="10"/>
        <v>0.25</v>
      </c>
      <c r="P356" s="121">
        <f t="shared" si="11"/>
        <v>0.25005324813631524</v>
      </c>
      <c r="Q356" s="121">
        <f>IFERROR(K356/RESUMO_DILIG!$D$5,"")</f>
        <v>7.8700917548874209E-6</v>
      </c>
      <c r="R356" s="114" t="s">
        <v>1293</v>
      </c>
      <c r="S356" s="114" t="s">
        <v>1323</v>
      </c>
      <c r="T356" s="114" t="s">
        <v>1320</v>
      </c>
    </row>
    <row r="357" spans="1:20" ht="63.75" x14ac:dyDescent="0.2">
      <c r="A357" s="108" t="s">
        <v>1804</v>
      </c>
      <c r="B357" s="114" t="s">
        <v>1805</v>
      </c>
      <c r="C357" s="114" t="s">
        <v>56</v>
      </c>
      <c r="D357" s="114"/>
      <c r="E357" s="114"/>
      <c r="F357" s="114" t="s">
        <v>739</v>
      </c>
      <c r="G357" s="114" t="s">
        <v>84</v>
      </c>
      <c r="H357" s="115">
        <v>7</v>
      </c>
      <c r="I357" s="116">
        <v>9.18</v>
      </c>
      <c r="J357" s="116">
        <v>11.22</v>
      </c>
      <c r="K357" s="116">
        <v>78.540000000000006</v>
      </c>
      <c r="L357" s="116">
        <v>12.24</v>
      </c>
      <c r="M357" s="116">
        <v>14.96</v>
      </c>
      <c r="N357" s="116">
        <v>104.72</v>
      </c>
      <c r="O357" s="121">
        <f t="shared" si="10"/>
        <v>0.25</v>
      </c>
      <c r="P357" s="121">
        <f t="shared" si="11"/>
        <v>0.24999999999999989</v>
      </c>
      <c r="Q357" s="121">
        <f>IFERROR(K357/RESUMO_DILIG!$D$5,"")</f>
        <v>8.7775774840792117E-6</v>
      </c>
      <c r="R357" s="114" t="s">
        <v>1293</v>
      </c>
      <c r="S357" s="114" t="s">
        <v>1323</v>
      </c>
      <c r="T357" s="114" t="s">
        <v>1320</v>
      </c>
    </row>
    <row r="358" spans="1:20" ht="63.75" x14ac:dyDescent="0.2">
      <c r="A358" s="108" t="s">
        <v>742</v>
      </c>
      <c r="B358" s="114" t="s">
        <v>1806</v>
      </c>
      <c r="C358" s="114" t="s">
        <v>56</v>
      </c>
      <c r="D358" s="114" t="s">
        <v>553</v>
      </c>
      <c r="E358" s="114" t="s">
        <v>741</v>
      </c>
      <c r="F358" s="114" t="s">
        <v>743</v>
      </c>
      <c r="G358" s="114" t="s">
        <v>84</v>
      </c>
      <c r="H358" s="115">
        <v>6</v>
      </c>
      <c r="I358" s="116">
        <v>1477.23</v>
      </c>
      <c r="J358" s="116">
        <v>1805.6174999999998</v>
      </c>
      <c r="K358" s="116">
        <v>10833.7</v>
      </c>
      <c r="L358" s="116">
        <v>1969.64</v>
      </c>
      <c r="M358" s="116">
        <v>2407.4899999999998</v>
      </c>
      <c r="N358" s="116">
        <v>14444.94</v>
      </c>
      <c r="O358" s="121">
        <f t="shared" si="10"/>
        <v>0.25</v>
      </c>
      <c r="P358" s="121">
        <f t="shared" si="11"/>
        <v>0.25000034614197075</v>
      </c>
      <c r="Q358" s="121">
        <f>IFERROR(K358/RESUMO_DILIG!$D$5,"")</f>
        <v>1.2107670128503815E-3</v>
      </c>
      <c r="R358" s="114" t="s">
        <v>1290</v>
      </c>
      <c r="S358" s="114" t="s">
        <v>1323</v>
      </c>
      <c r="T358" s="114" t="s">
        <v>1320</v>
      </c>
    </row>
    <row r="359" spans="1:20" ht="51" x14ac:dyDescent="0.2">
      <c r="A359" s="108" t="s">
        <v>744</v>
      </c>
      <c r="B359" s="114" t="s">
        <v>1807</v>
      </c>
      <c r="C359" s="114" t="s">
        <v>56</v>
      </c>
      <c r="D359" s="114" t="s">
        <v>553</v>
      </c>
      <c r="E359" s="114" t="s">
        <v>741</v>
      </c>
      <c r="F359" s="114" t="s">
        <v>745</v>
      </c>
      <c r="G359" s="114" t="s">
        <v>84</v>
      </c>
      <c r="H359" s="115">
        <v>7</v>
      </c>
      <c r="I359" s="116">
        <v>1173.105</v>
      </c>
      <c r="J359" s="116">
        <v>1433.8799999999999</v>
      </c>
      <c r="K359" s="116">
        <v>10037.16</v>
      </c>
      <c r="L359" s="116">
        <v>1564.14</v>
      </c>
      <c r="M359" s="116">
        <v>1911.84</v>
      </c>
      <c r="N359" s="116">
        <v>13382.88</v>
      </c>
      <c r="O359" s="121">
        <f t="shared" si="10"/>
        <v>0.25</v>
      </c>
      <c r="P359" s="121">
        <f t="shared" si="11"/>
        <v>0.25</v>
      </c>
      <c r="Q359" s="121">
        <f>IFERROR(K359/RESUMO_DILIG!$D$5,"")</f>
        <v>1.1217462391151069E-3</v>
      </c>
      <c r="R359" s="114" t="s">
        <v>1290</v>
      </c>
      <c r="S359" s="114" t="s">
        <v>1323</v>
      </c>
      <c r="T359" s="114" t="s">
        <v>1320</v>
      </c>
    </row>
    <row r="360" spans="1:20" ht="38.25" x14ac:dyDescent="0.2">
      <c r="A360" s="108" t="s">
        <v>746</v>
      </c>
      <c r="B360" s="114" t="s">
        <v>1808</v>
      </c>
      <c r="C360" s="114" t="s">
        <v>56</v>
      </c>
      <c r="D360" s="114" t="s">
        <v>553</v>
      </c>
      <c r="E360" s="114" t="s">
        <v>741</v>
      </c>
      <c r="F360" s="114" t="s">
        <v>747</v>
      </c>
      <c r="G360" s="114" t="s">
        <v>84</v>
      </c>
      <c r="H360" s="115">
        <v>13</v>
      </c>
      <c r="I360" s="116">
        <v>1017.4875000000001</v>
      </c>
      <c r="J360" s="116">
        <v>1243.6725000000001</v>
      </c>
      <c r="K360" s="116">
        <v>16167.74</v>
      </c>
      <c r="L360" s="116">
        <v>1356.65</v>
      </c>
      <c r="M360" s="116">
        <v>1658.23</v>
      </c>
      <c r="N360" s="116">
        <v>21556.99</v>
      </c>
      <c r="O360" s="121">
        <f t="shared" si="10"/>
        <v>0.24999999999999989</v>
      </c>
      <c r="P360" s="121">
        <f t="shared" si="11"/>
        <v>0.25000011597166405</v>
      </c>
      <c r="Q360" s="121">
        <f>IFERROR(K360/RESUMO_DILIG!$D$5,"")</f>
        <v>1.8068957294683833E-3</v>
      </c>
      <c r="R360" s="114" t="s">
        <v>1290</v>
      </c>
      <c r="S360" s="114" t="s">
        <v>1323</v>
      </c>
      <c r="T360" s="114" t="s">
        <v>1320</v>
      </c>
    </row>
    <row r="361" spans="1:20" ht="25.5" x14ac:dyDescent="0.2">
      <c r="A361" s="108" t="s">
        <v>748</v>
      </c>
      <c r="B361" s="114" t="s">
        <v>1809</v>
      </c>
      <c r="C361" s="114" t="s">
        <v>335</v>
      </c>
      <c r="D361" s="114" t="s">
        <v>553</v>
      </c>
      <c r="E361" s="114" t="s">
        <v>741</v>
      </c>
      <c r="F361" s="114" t="s">
        <v>749</v>
      </c>
      <c r="G361" s="114" t="s">
        <v>99</v>
      </c>
      <c r="H361" s="115">
        <v>6</v>
      </c>
      <c r="I361" s="116">
        <v>72.352499999999992</v>
      </c>
      <c r="J361" s="116">
        <v>88.432500000000005</v>
      </c>
      <c r="K361" s="116">
        <v>530.59</v>
      </c>
      <c r="L361" s="116">
        <v>96.47</v>
      </c>
      <c r="M361" s="116">
        <v>117.91</v>
      </c>
      <c r="N361" s="116">
        <v>707.46</v>
      </c>
      <c r="O361" s="121">
        <f t="shared" si="10"/>
        <v>0.24999999999999989</v>
      </c>
      <c r="P361" s="121">
        <f t="shared" si="11"/>
        <v>0.25000706753738722</v>
      </c>
      <c r="Q361" s="121">
        <f>IFERROR(K361/RESUMO_DILIG!$D$5,"")</f>
        <v>5.9298380917718219E-5</v>
      </c>
      <c r="R361" s="114" t="s">
        <v>1293</v>
      </c>
      <c r="S361" s="114" t="s">
        <v>1323</v>
      </c>
      <c r="T361" s="114" t="s">
        <v>1320</v>
      </c>
    </row>
    <row r="362" spans="1:20" ht="38.25" x14ac:dyDescent="0.2">
      <c r="A362" s="108" t="s">
        <v>750</v>
      </c>
      <c r="B362" s="114" t="s">
        <v>1715</v>
      </c>
      <c r="C362" s="114" t="s">
        <v>56</v>
      </c>
      <c r="D362" s="114" t="s">
        <v>553</v>
      </c>
      <c r="E362" s="114" t="s">
        <v>741</v>
      </c>
      <c r="F362" s="114" t="s">
        <v>1716</v>
      </c>
      <c r="G362" s="114" t="s">
        <v>84</v>
      </c>
      <c r="H362" s="115">
        <v>7</v>
      </c>
      <c r="I362" s="116">
        <v>461.54999999999995</v>
      </c>
      <c r="J362" s="116">
        <v>564.15000000000009</v>
      </c>
      <c r="K362" s="116">
        <v>3949.05</v>
      </c>
      <c r="L362" s="116">
        <v>615.4</v>
      </c>
      <c r="M362" s="116">
        <v>752.2</v>
      </c>
      <c r="N362" s="116">
        <v>5265.4</v>
      </c>
      <c r="O362" s="121">
        <f t="shared" si="10"/>
        <v>0.24999999999999989</v>
      </c>
      <c r="P362" s="121">
        <f t="shared" si="11"/>
        <v>0.24999999999999989</v>
      </c>
      <c r="Q362" s="121">
        <f>IFERROR(K362/RESUMO_DILIG!$D$5,"")</f>
        <v>4.4134316734788654E-4</v>
      </c>
      <c r="R362" s="114" t="s">
        <v>1293</v>
      </c>
      <c r="S362" s="114" t="s">
        <v>1323</v>
      </c>
      <c r="T362" s="114" t="s">
        <v>1320</v>
      </c>
    </row>
    <row r="363" spans="1:20" ht="38.25" x14ac:dyDescent="0.2">
      <c r="A363" s="108" t="s">
        <v>751</v>
      </c>
      <c r="B363" s="114" t="s">
        <v>1810</v>
      </c>
      <c r="C363" s="114" t="s">
        <v>56</v>
      </c>
      <c r="D363" s="114" t="s">
        <v>553</v>
      </c>
      <c r="E363" s="114" t="s">
        <v>741</v>
      </c>
      <c r="F363" s="114" t="s">
        <v>752</v>
      </c>
      <c r="G363" s="114" t="s">
        <v>99</v>
      </c>
      <c r="H363" s="115">
        <v>259.8</v>
      </c>
      <c r="I363" s="116">
        <v>45.435000000000002</v>
      </c>
      <c r="J363" s="116">
        <v>55.53</v>
      </c>
      <c r="K363" s="116">
        <v>14426.69</v>
      </c>
      <c r="L363" s="116">
        <v>60.58</v>
      </c>
      <c r="M363" s="116">
        <v>74.040000000000006</v>
      </c>
      <c r="N363" s="116">
        <v>19235.59</v>
      </c>
      <c r="O363" s="121">
        <f t="shared" si="10"/>
        <v>0.25</v>
      </c>
      <c r="P363" s="121">
        <f t="shared" si="11"/>
        <v>0.25000012996741972</v>
      </c>
      <c r="Q363" s="121">
        <f>IFERROR(K363/RESUMO_DILIG!$D$5,"")</f>
        <v>1.6123171544918605E-3</v>
      </c>
      <c r="R363" s="114" t="s">
        <v>1290</v>
      </c>
      <c r="S363" s="114" t="s">
        <v>1323</v>
      </c>
      <c r="T363" s="114" t="s">
        <v>1320</v>
      </c>
    </row>
    <row r="364" spans="1:20" ht="38.25" x14ac:dyDescent="0.2">
      <c r="A364" s="108" t="s">
        <v>753</v>
      </c>
      <c r="B364" s="114" t="s">
        <v>1811</v>
      </c>
      <c r="C364" s="114" t="s">
        <v>56</v>
      </c>
      <c r="D364" s="114" t="s">
        <v>553</v>
      </c>
      <c r="E364" s="114" t="s">
        <v>741</v>
      </c>
      <c r="F364" s="114" t="s">
        <v>754</v>
      </c>
      <c r="G364" s="114" t="s">
        <v>99</v>
      </c>
      <c r="H364" s="115">
        <v>59.4</v>
      </c>
      <c r="I364" s="116">
        <v>63.997500000000002</v>
      </c>
      <c r="J364" s="116">
        <v>78.217500000000001</v>
      </c>
      <c r="K364" s="116">
        <v>4646.1099999999997</v>
      </c>
      <c r="L364" s="116">
        <v>85.33</v>
      </c>
      <c r="M364" s="116">
        <v>104.29</v>
      </c>
      <c r="N364" s="116">
        <v>6194.82</v>
      </c>
      <c r="O364" s="121">
        <f t="shared" si="10"/>
        <v>0.25</v>
      </c>
      <c r="P364" s="121">
        <f t="shared" si="11"/>
        <v>0.25000080712595363</v>
      </c>
      <c r="Q364" s="121">
        <f>IFERROR(K364/RESUMO_DILIG!$D$5,"")</f>
        <v>5.1924612330729895E-4</v>
      </c>
      <c r="R364" s="114" t="s">
        <v>1293</v>
      </c>
      <c r="S364" s="114" t="s">
        <v>1323</v>
      </c>
      <c r="T364" s="114" t="s">
        <v>1320</v>
      </c>
    </row>
    <row r="365" spans="1:20" ht="51" x14ac:dyDescent="0.2">
      <c r="A365" s="108" t="s">
        <v>755</v>
      </c>
      <c r="B365" s="114" t="s">
        <v>1812</v>
      </c>
      <c r="C365" s="114" t="s">
        <v>56</v>
      </c>
      <c r="D365" s="114" t="s">
        <v>553</v>
      </c>
      <c r="E365" s="114" t="s">
        <v>741</v>
      </c>
      <c r="F365" s="114" t="s">
        <v>1813</v>
      </c>
      <c r="G365" s="114" t="s">
        <v>99</v>
      </c>
      <c r="H365" s="115">
        <v>46.6</v>
      </c>
      <c r="I365" s="116">
        <v>121.185</v>
      </c>
      <c r="J365" s="116">
        <v>148.11750000000001</v>
      </c>
      <c r="K365" s="116">
        <v>6902.27</v>
      </c>
      <c r="L365" s="116">
        <v>161.58000000000001</v>
      </c>
      <c r="M365" s="116">
        <v>197.49</v>
      </c>
      <c r="N365" s="116">
        <v>9203.0300000000007</v>
      </c>
      <c r="O365" s="121">
        <f t="shared" si="10"/>
        <v>0.25</v>
      </c>
      <c r="P365" s="121">
        <f t="shared" si="11"/>
        <v>0.25000027164966321</v>
      </c>
      <c r="Q365" s="121">
        <f>IFERROR(K365/RESUMO_DILIG!$D$5,"")</f>
        <v>7.713930448311105E-4</v>
      </c>
      <c r="R365" s="114" t="s">
        <v>1290</v>
      </c>
      <c r="S365" s="114" t="s">
        <v>1323</v>
      </c>
      <c r="T365" s="114" t="s">
        <v>1320</v>
      </c>
    </row>
    <row r="366" spans="1:20" ht="51" x14ac:dyDescent="0.2">
      <c r="A366" s="108" t="s">
        <v>757</v>
      </c>
      <c r="B366" s="114" t="s">
        <v>1814</v>
      </c>
      <c r="C366" s="114" t="s">
        <v>56</v>
      </c>
      <c r="D366" s="114" t="s">
        <v>553</v>
      </c>
      <c r="E366" s="114" t="s">
        <v>741</v>
      </c>
      <c r="F366" s="114" t="s">
        <v>1815</v>
      </c>
      <c r="G366" s="114" t="s">
        <v>99</v>
      </c>
      <c r="H366" s="115">
        <v>48.2</v>
      </c>
      <c r="I366" s="116">
        <v>187.3425</v>
      </c>
      <c r="J366" s="116">
        <v>228.98250000000002</v>
      </c>
      <c r="K366" s="116">
        <v>11036.95</v>
      </c>
      <c r="L366" s="116">
        <v>249.79</v>
      </c>
      <c r="M366" s="116">
        <v>305.31</v>
      </c>
      <c r="N366" s="116">
        <v>14715.94</v>
      </c>
      <c r="O366" s="121">
        <f t="shared" si="10"/>
        <v>0.25</v>
      </c>
      <c r="P366" s="121">
        <f t="shared" si="11"/>
        <v>0.25000033976762615</v>
      </c>
      <c r="Q366" s="121">
        <f>IFERROR(K366/RESUMO_DILIG!$D$5,"")</f>
        <v>1.2334820959117399E-3</v>
      </c>
      <c r="R366" s="114" t="s">
        <v>1290</v>
      </c>
      <c r="S366" s="114" t="s">
        <v>1323</v>
      </c>
      <c r="T366" s="114" t="s">
        <v>1320</v>
      </c>
    </row>
    <row r="367" spans="1:20" ht="51" x14ac:dyDescent="0.2">
      <c r="A367" s="108" t="s">
        <v>1816</v>
      </c>
      <c r="B367" s="114" t="s">
        <v>1817</v>
      </c>
      <c r="C367" s="114" t="s">
        <v>56</v>
      </c>
      <c r="D367" s="114"/>
      <c r="E367" s="114"/>
      <c r="F367" s="114" t="s">
        <v>1818</v>
      </c>
      <c r="G367" s="114" t="s">
        <v>99</v>
      </c>
      <c r="H367" s="115">
        <v>88.7</v>
      </c>
      <c r="I367" s="116">
        <v>285.59250000000003</v>
      </c>
      <c r="J367" s="116">
        <v>349.07249999999999</v>
      </c>
      <c r="K367" s="116">
        <v>30962.73</v>
      </c>
      <c r="L367" s="116">
        <v>380.79</v>
      </c>
      <c r="M367" s="116">
        <v>465.43</v>
      </c>
      <c r="N367" s="116">
        <v>41283.64</v>
      </c>
      <c r="O367" s="121">
        <f t="shared" si="10"/>
        <v>0.25</v>
      </c>
      <c r="P367" s="121">
        <f t="shared" si="11"/>
        <v>0.25</v>
      </c>
      <c r="Q367" s="121">
        <f>IFERROR(K367/RESUMO_DILIG!$D$5,"")</f>
        <v>3.460373843820014E-3</v>
      </c>
      <c r="R367" s="114" t="s">
        <v>1290</v>
      </c>
      <c r="S367" s="114" t="s">
        <v>1323</v>
      </c>
      <c r="T367" s="114" t="s">
        <v>1320</v>
      </c>
    </row>
    <row r="368" spans="1:20" ht="51" x14ac:dyDescent="0.2">
      <c r="A368" s="108" t="s">
        <v>1819</v>
      </c>
      <c r="B368" s="114" t="s">
        <v>1820</v>
      </c>
      <c r="C368" s="114" t="s">
        <v>56</v>
      </c>
      <c r="D368" s="114"/>
      <c r="E368" s="114"/>
      <c r="F368" s="114" t="s">
        <v>1821</v>
      </c>
      <c r="G368" s="114" t="s">
        <v>84</v>
      </c>
      <c r="H368" s="115">
        <v>1</v>
      </c>
      <c r="I368" s="116">
        <v>96.877499999999998</v>
      </c>
      <c r="J368" s="116">
        <v>118.41</v>
      </c>
      <c r="K368" s="116">
        <v>118.41</v>
      </c>
      <c r="L368" s="116">
        <v>129.16999999999999</v>
      </c>
      <c r="M368" s="116">
        <v>157.88</v>
      </c>
      <c r="N368" s="116">
        <v>157.88</v>
      </c>
      <c r="O368" s="121">
        <f t="shared" si="10"/>
        <v>0.25</v>
      </c>
      <c r="P368" s="121">
        <f t="shared" si="11"/>
        <v>0.25</v>
      </c>
      <c r="Q368" s="121">
        <f>IFERROR(K368/RESUMO_DILIG!$D$5,"")</f>
        <v>1.3233421821871905E-5</v>
      </c>
      <c r="R368" s="114" t="s">
        <v>1293</v>
      </c>
      <c r="S368" s="114" t="s">
        <v>1323</v>
      </c>
      <c r="T368" s="114" t="s">
        <v>1320</v>
      </c>
    </row>
    <row r="369" spans="1:20" ht="51" x14ac:dyDescent="0.2">
      <c r="A369" s="108" t="s">
        <v>1822</v>
      </c>
      <c r="B369" s="114" t="s">
        <v>1823</v>
      </c>
      <c r="C369" s="114" t="s">
        <v>56</v>
      </c>
      <c r="D369" s="114"/>
      <c r="E369" s="114"/>
      <c r="F369" s="114" t="s">
        <v>1824</v>
      </c>
      <c r="G369" s="114" t="s">
        <v>84</v>
      </c>
      <c r="H369" s="115">
        <v>14</v>
      </c>
      <c r="I369" s="116">
        <v>30.697499999999998</v>
      </c>
      <c r="J369" s="116">
        <v>37.515000000000001</v>
      </c>
      <c r="K369" s="116">
        <v>525.21</v>
      </c>
      <c r="L369" s="116">
        <v>40.93</v>
      </c>
      <c r="M369" s="116">
        <v>50.02</v>
      </c>
      <c r="N369" s="116">
        <v>700.28</v>
      </c>
      <c r="O369" s="121">
        <f t="shared" si="10"/>
        <v>0.25</v>
      </c>
      <c r="P369" s="121">
        <f t="shared" si="11"/>
        <v>0.24999999999999989</v>
      </c>
      <c r="Q369" s="121">
        <f>IFERROR(K369/RESUMO_DILIG!$D$5,"")</f>
        <v>5.8697115742465529E-5</v>
      </c>
      <c r="R369" s="114" t="s">
        <v>1293</v>
      </c>
      <c r="S369" s="114" t="s">
        <v>1323</v>
      </c>
      <c r="T369" s="114" t="s">
        <v>1320</v>
      </c>
    </row>
    <row r="370" spans="1:20" ht="51" x14ac:dyDescent="0.2">
      <c r="A370" s="108" t="s">
        <v>1825</v>
      </c>
      <c r="B370" s="114" t="s">
        <v>1826</v>
      </c>
      <c r="C370" s="114" t="s">
        <v>56</v>
      </c>
      <c r="D370" s="114"/>
      <c r="E370" s="114"/>
      <c r="F370" s="114" t="s">
        <v>762</v>
      </c>
      <c r="G370" s="114" t="s">
        <v>84</v>
      </c>
      <c r="H370" s="115">
        <v>1</v>
      </c>
      <c r="I370" s="116">
        <v>99.45750000000001</v>
      </c>
      <c r="J370" s="116">
        <v>121.56</v>
      </c>
      <c r="K370" s="116">
        <v>121.56</v>
      </c>
      <c r="L370" s="116">
        <v>132.61000000000001</v>
      </c>
      <c r="M370" s="116">
        <v>162.08000000000001</v>
      </c>
      <c r="N370" s="116">
        <v>162.08000000000001</v>
      </c>
      <c r="O370" s="121">
        <f t="shared" si="10"/>
        <v>0.25</v>
      </c>
      <c r="P370" s="121">
        <f t="shared" si="11"/>
        <v>0.25</v>
      </c>
      <c r="Q370" s="121">
        <f>IFERROR(K370/RESUMO_DILIG!$D$5,"")</f>
        <v>1.3585463699575617E-5</v>
      </c>
      <c r="R370" s="114" t="s">
        <v>1293</v>
      </c>
      <c r="S370" s="114" t="s">
        <v>1323</v>
      </c>
      <c r="T370" s="114" t="s">
        <v>1320</v>
      </c>
    </row>
    <row r="371" spans="1:20" ht="25.5" x14ac:dyDescent="0.2">
      <c r="A371" s="108" t="s">
        <v>1827</v>
      </c>
      <c r="B371" s="114" t="s">
        <v>1828</v>
      </c>
      <c r="C371" s="114" t="s">
        <v>335</v>
      </c>
      <c r="D371" s="114"/>
      <c r="E371" s="114"/>
      <c r="F371" s="114" t="s">
        <v>763</v>
      </c>
      <c r="G371" s="114" t="s">
        <v>84</v>
      </c>
      <c r="H371" s="115">
        <v>1</v>
      </c>
      <c r="I371" s="116">
        <v>189.39000000000001</v>
      </c>
      <c r="J371" s="116">
        <v>231.48749999999998</v>
      </c>
      <c r="K371" s="116">
        <v>231.48</v>
      </c>
      <c r="L371" s="116">
        <v>252.52</v>
      </c>
      <c r="M371" s="116">
        <v>308.64999999999998</v>
      </c>
      <c r="N371" s="116">
        <v>308.64999999999998</v>
      </c>
      <c r="O371" s="121">
        <f t="shared" si="10"/>
        <v>0.25</v>
      </c>
      <c r="P371" s="121">
        <f t="shared" si="11"/>
        <v>0.25002429936821635</v>
      </c>
      <c r="Q371" s="121">
        <f>IFERROR(K371/RESUMO_DILIG!$D$5,"")</f>
        <v>2.5870048841541327E-5</v>
      </c>
      <c r="R371" s="114" t="s">
        <v>1293</v>
      </c>
      <c r="S371" s="114" t="s">
        <v>1323</v>
      </c>
      <c r="T371" s="114" t="s">
        <v>1320</v>
      </c>
    </row>
    <row r="372" spans="1:20" ht="25.5" x14ac:dyDescent="0.2">
      <c r="A372" s="108" t="s">
        <v>1829</v>
      </c>
      <c r="B372" s="114" t="s">
        <v>1830</v>
      </c>
      <c r="C372" s="114" t="s">
        <v>335</v>
      </c>
      <c r="D372" s="114"/>
      <c r="E372" s="114"/>
      <c r="F372" s="114" t="s">
        <v>764</v>
      </c>
      <c r="G372" s="114" t="s">
        <v>84</v>
      </c>
      <c r="H372" s="115">
        <v>14</v>
      </c>
      <c r="I372" s="116">
        <v>69.254999999999995</v>
      </c>
      <c r="J372" s="116">
        <v>84.644999999999996</v>
      </c>
      <c r="K372" s="116">
        <v>1185.03</v>
      </c>
      <c r="L372" s="116">
        <v>92.34</v>
      </c>
      <c r="M372" s="116">
        <v>112.86</v>
      </c>
      <c r="N372" s="116">
        <v>1580.04</v>
      </c>
      <c r="O372" s="121">
        <f t="shared" si="10"/>
        <v>0.25</v>
      </c>
      <c r="P372" s="121">
        <f t="shared" si="11"/>
        <v>0.25</v>
      </c>
      <c r="Q372" s="121">
        <f>IFERROR(K372/RESUMO_DILIG!$D$5,"")</f>
        <v>1.3243815439213633E-4</v>
      </c>
      <c r="R372" s="114" t="s">
        <v>1293</v>
      </c>
      <c r="S372" s="114" t="s">
        <v>1323</v>
      </c>
      <c r="T372" s="114" t="s">
        <v>1320</v>
      </c>
    </row>
    <row r="373" spans="1:20" ht="25.5" x14ac:dyDescent="0.2">
      <c r="A373" s="108" t="s">
        <v>1831</v>
      </c>
      <c r="B373" s="114" t="s">
        <v>1832</v>
      </c>
      <c r="C373" s="114" t="s">
        <v>335</v>
      </c>
      <c r="D373" s="114"/>
      <c r="E373" s="114"/>
      <c r="F373" s="114" t="s">
        <v>765</v>
      </c>
      <c r="G373" s="114" t="s">
        <v>84</v>
      </c>
      <c r="H373" s="115">
        <v>1</v>
      </c>
      <c r="I373" s="116">
        <v>184.45499999999998</v>
      </c>
      <c r="J373" s="116">
        <v>225.45750000000001</v>
      </c>
      <c r="K373" s="116">
        <v>225.45</v>
      </c>
      <c r="L373" s="116">
        <v>245.94</v>
      </c>
      <c r="M373" s="116">
        <v>300.61</v>
      </c>
      <c r="N373" s="116">
        <v>300.61</v>
      </c>
      <c r="O373" s="121">
        <f t="shared" si="10"/>
        <v>0.25</v>
      </c>
      <c r="P373" s="121">
        <f t="shared" si="11"/>
        <v>0.25002494926981811</v>
      </c>
      <c r="Q373" s="121">
        <f>IFERROR(K373/RESUMO_DILIG!$D$5,"")</f>
        <v>2.5196140104222793E-5</v>
      </c>
      <c r="R373" s="114" t="s">
        <v>1293</v>
      </c>
      <c r="S373" s="114" t="s">
        <v>1323</v>
      </c>
      <c r="T373" s="114" t="s">
        <v>1320</v>
      </c>
    </row>
    <row r="374" spans="1:20" ht="51" x14ac:dyDescent="0.2">
      <c r="A374" s="108" t="s">
        <v>1833</v>
      </c>
      <c r="B374" s="114" t="s">
        <v>1834</v>
      </c>
      <c r="C374" s="114" t="s">
        <v>56</v>
      </c>
      <c r="D374" s="114"/>
      <c r="E374" s="114"/>
      <c r="F374" s="114" t="s">
        <v>1835</v>
      </c>
      <c r="G374" s="114" t="s">
        <v>84</v>
      </c>
      <c r="H374" s="115">
        <v>29</v>
      </c>
      <c r="I374" s="116">
        <v>43.897500000000001</v>
      </c>
      <c r="J374" s="116">
        <v>53.655000000000001</v>
      </c>
      <c r="K374" s="116">
        <v>1555.99</v>
      </c>
      <c r="L374" s="116">
        <v>58.53</v>
      </c>
      <c r="M374" s="116">
        <v>71.540000000000006</v>
      </c>
      <c r="N374" s="116">
        <v>2074.66</v>
      </c>
      <c r="O374" s="121">
        <f t="shared" si="10"/>
        <v>0.25</v>
      </c>
      <c r="P374" s="121">
        <f t="shared" si="11"/>
        <v>0.25000241003345125</v>
      </c>
      <c r="Q374" s="121">
        <f>IFERROR(K374/RESUMO_DILIG!$D$5,"")</f>
        <v>1.7389639405974552E-4</v>
      </c>
      <c r="R374" s="114" t="s">
        <v>1293</v>
      </c>
      <c r="S374" s="114" t="s">
        <v>1323</v>
      </c>
      <c r="T374" s="114" t="s">
        <v>1320</v>
      </c>
    </row>
    <row r="375" spans="1:20" ht="25.5" x14ac:dyDescent="0.2">
      <c r="A375" s="108" t="s">
        <v>1836</v>
      </c>
      <c r="B375" s="114" t="s">
        <v>1837</v>
      </c>
      <c r="C375" s="114" t="s">
        <v>335</v>
      </c>
      <c r="D375" s="114"/>
      <c r="E375" s="114"/>
      <c r="F375" s="114" t="s">
        <v>767</v>
      </c>
      <c r="G375" s="114" t="s">
        <v>84</v>
      </c>
      <c r="H375" s="115">
        <v>2</v>
      </c>
      <c r="I375" s="116">
        <v>422.86500000000001</v>
      </c>
      <c r="J375" s="116">
        <v>516.86249999999995</v>
      </c>
      <c r="K375" s="116">
        <v>1033.72</v>
      </c>
      <c r="L375" s="116">
        <v>563.82000000000005</v>
      </c>
      <c r="M375" s="116">
        <v>689.15</v>
      </c>
      <c r="N375" s="116">
        <v>1378.3</v>
      </c>
      <c r="O375" s="121">
        <f t="shared" si="10"/>
        <v>0.25</v>
      </c>
      <c r="P375" s="121">
        <f t="shared" si="11"/>
        <v>0.25000362765725892</v>
      </c>
      <c r="Q375" s="121">
        <f>IFERROR(K375/RESUMO_DILIG!$D$5,"")</f>
        <v>1.1552785073647011E-4</v>
      </c>
      <c r="R375" s="114" t="s">
        <v>1293</v>
      </c>
      <c r="S375" s="114" t="s">
        <v>1323</v>
      </c>
      <c r="T375" s="114" t="s">
        <v>1320</v>
      </c>
    </row>
    <row r="376" spans="1:20" ht="51" x14ac:dyDescent="0.2">
      <c r="A376" s="108" t="s">
        <v>1838</v>
      </c>
      <c r="B376" s="114" t="s">
        <v>1839</v>
      </c>
      <c r="C376" s="114" t="s">
        <v>56</v>
      </c>
      <c r="D376" s="114"/>
      <c r="E376" s="114"/>
      <c r="F376" s="114" t="s">
        <v>1840</v>
      </c>
      <c r="G376" s="114" t="s">
        <v>84</v>
      </c>
      <c r="H376" s="115">
        <v>2</v>
      </c>
      <c r="I376" s="116">
        <v>153.02250000000001</v>
      </c>
      <c r="J376" s="116">
        <v>187.035</v>
      </c>
      <c r="K376" s="116">
        <v>374.07</v>
      </c>
      <c r="L376" s="116">
        <v>204.03</v>
      </c>
      <c r="M376" s="116">
        <v>249.38</v>
      </c>
      <c r="N376" s="116">
        <v>498.76</v>
      </c>
      <c r="O376" s="121">
        <f t="shared" si="10"/>
        <v>0.25</v>
      </c>
      <c r="P376" s="121">
        <f t="shared" si="11"/>
        <v>0.25</v>
      </c>
      <c r="Q376" s="121">
        <f>IFERROR(K376/RESUMO_DILIG!$D$5,"")</f>
        <v>4.1805811172262672E-5</v>
      </c>
      <c r="R376" s="114" t="s">
        <v>1293</v>
      </c>
      <c r="S376" s="114" t="s">
        <v>1323</v>
      </c>
      <c r="T376" s="114" t="s">
        <v>1320</v>
      </c>
    </row>
    <row r="377" spans="1:20" ht="51" x14ac:dyDescent="0.2">
      <c r="A377" s="108" t="s">
        <v>1841</v>
      </c>
      <c r="B377" s="114" t="s">
        <v>1842</v>
      </c>
      <c r="C377" s="114" t="s">
        <v>56</v>
      </c>
      <c r="D377" s="114"/>
      <c r="E377" s="114"/>
      <c r="F377" s="114" t="s">
        <v>1843</v>
      </c>
      <c r="G377" s="114" t="s">
        <v>84</v>
      </c>
      <c r="H377" s="115">
        <v>16</v>
      </c>
      <c r="I377" s="116">
        <v>32.594999999999999</v>
      </c>
      <c r="J377" s="116">
        <v>39.839999999999996</v>
      </c>
      <c r="K377" s="116">
        <v>637.44000000000005</v>
      </c>
      <c r="L377" s="116">
        <v>43.46</v>
      </c>
      <c r="M377" s="116">
        <v>53.12</v>
      </c>
      <c r="N377" s="116">
        <v>849.92</v>
      </c>
      <c r="O377" s="121">
        <f t="shared" si="10"/>
        <v>0.25</v>
      </c>
      <c r="P377" s="121">
        <f t="shared" si="11"/>
        <v>0.24999999999999989</v>
      </c>
      <c r="Q377" s="121">
        <f>IFERROR(K377/RESUMO_DILIG!$D$5,"")</f>
        <v>7.1239864928080628E-5</v>
      </c>
      <c r="R377" s="114" t="s">
        <v>1293</v>
      </c>
      <c r="S377" s="114" t="s">
        <v>1323</v>
      </c>
      <c r="T377" s="114" t="s">
        <v>1320</v>
      </c>
    </row>
    <row r="378" spans="1:20" ht="51" x14ac:dyDescent="0.2">
      <c r="A378" s="108" t="s">
        <v>1844</v>
      </c>
      <c r="B378" s="114" t="s">
        <v>1845</v>
      </c>
      <c r="C378" s="114" t="s">
        <v>56</v>
      </c>
      <c r="D378" s="114"/>
      <c r="E378" s="114"/>
      <c r="F378" s="114" t="s">
        <v>1846</v>
      </c>
      <c r="G378" s="114" t="s">
        <v>84</v>
      </c>
      <c r="H378" s="115">
        <v>3</v>
      </c>
      <c r="I378" s="116">
        <v>68.557500000000005</v>
      </c>
      <c r="J378" s="116">
        <v>83.797499999999999</v>
      </c>
      <c r="K378" s="116">
        <v>251.39</v>
      </c>
      <c r="L378" s="116">
        <v>91.41</v>
      </c>
      <c r="M378" s="116">
        <v>111.73</v>
      </c>
      <c r="N378" s="116">
        <v>335.19</v>
      </c>
      <c r="O378" s="121">
        <f t="shared" si="10"/>
        <v>0.25</v>
      </c>
      <c r="P378" s="121">
        <f t="shared" si="11"/>
        <v>0.25000745845639794</v>
      </c>
      <c r="Q378" s="121">
        <f>IFERROR(K378/RESUMO_DILIG!$D$5,"")</f>
        <v>2.8095177027281293E-5</v>
      </c>
      <c r="R378" s="114" t="s">
        <v>1293</v>
      </c>
      <c r="S378" s="114" t="s">
        <v>1323</v>
      </c>
      <c r="T378" s="114" t="s">
        <v>1320</v>
      </c>
    </row>
    <row r="379" spans="1:20" ht="51" x14ac:dyDescent="0.2">
      <c r="A379" s="108" t="s">
        <v>1847</v>
      </c>
      <c r="B379" s="114" t="s">
        <v>1848</v>
      </c>
      <c r="C379" s="114" t="s">
        <v>24</v>
      </c>
      <c r="D379" s="114"/>
      <c r="E379" s="114"/>
      <c r="F379" s="114" t="s">
        <v>772</v>
      </c>
      <c r="G379" s="114" t="s">
        <v>84</v>
      </c>
      <c r="H379" s="115">
        <v>14</v>
      </c>
      <c r="I379" s="116">
        <v>32.647500000000001</v>
      </c>
      <c r="J379" s="116">
        <v>39.900000000000006</v>
      </c>
      <c r="K379" s="116">
        <v>558.6</v>
      </c>
      <c r="L379" s="116">
        <v>43.53</v>
      </c>
      <c r="M379" s="116">
        <v>53.2</v>
      </c>
      <c r="N379" s="116">
        <v>744.8</v>
      </c>
      <c r="O379" s="121">
        <f t="shared" si="10"/>
        <v>0.24999999999999989</v>
      </c>
      <c r="P379" s="121">
        <f t="shared" si="11"/>
        <v>0.24999999999999989</v>
      </c>
      <c r="Q379" s="121">
        <f>IFERROR(K379/RESUMO_DILIG!$D$5,"")</f>
        <v>6.2428759646124873E-5</v>
      </c>
      <c r="R379" s="114" t="s">
        <v>1293</v>
      </c>
      <c r="S379" s="114" t="s">
        <v>1323</v>
      </c>
      <c r="T379" s="114" t="s">
        <v>1320</v>
      </c>
    </row>
    <row r="380" spans="1:20" ht="114.75" x14ac:dyDescent="0.2">
      <c r="A380" s="108" t="s">
        <v>1849</v>
      </c>
      <c r="B380" s="114" t="s">
        <v>773</v>
      </c>
      <c r="C380" s="114" t="s">
        <v>774</v>
      </c>
      <c r="D380" s="114"/>
      <c r="E380" s="114"/>
      <c r="F380" s="114" t="s">
        <v>775</v>
      </c>
      <c r="G380" s="114" t="s">
        <v>776</v>
      </c>
      <c r="H380" s="115">
        <v>1</v>
      </c>
      <c r="I380" s="116">
        <v>14017.5</v>
      </c>
      <c r="J380" s="116">
        <v>17133.584999999999</v>
      </c>
      <c r="K380" s="116">
        <v>17133.580000000002</v>
      </c>
      <c r="L380" s="116">
        <v>18690</v>
      </c>
      <c r="M380" s="116">
        <v>22844.78</v>
      </c>
      <c r="N380" s="116">
        <v>22844.78</v>
      </c>
      <c r="O380" s="121">
        <f t="shared" si="10"/>
        <v>0.25</v>
      </c>
      <c r="P380" s="121">
        <f t="shared" si="11"/>
        <v>0.25000021886838031</v>
      </c>
      <c r="Q380" s="121">
        <f>IFERROR(K380/RESUMO_DILIG!$D$5,"")</f>
        <v>1.9148373571386543E-3</v>
      </c>
      <c r="R380" s="114" t="s">
        <v>1290</v>
      </c>
      <c r="S380" s="114" t="s">
        <v>1323</v>
      </c>
      <c r="T380" s="114" t="s">
        <v>1320</v>
      </c>
    </row>
    <row r="381" spans="1:20" ht="38.25" x14ac:dyDescent="0.2">
      <c r="A381" s="108" t="s">
        <v>1850</v>
      </c>
      <c r="B381" s="114" t="s">
        <v>777</v>
      </c>
      <c r="C381" s="114" t="s">
        <v>774</v>
      </c>
      <c r="D381" s="114"/>
      <c r="E381" s="114"/>
      <c r="F381" s="114" t="s">
        <v>778</v>
      </c>
      <c r="G381" s="114" t="s">
        <v>776</v>
      </c>
      <c r="H381" s="115">
        <v>1</v>
      </c>
      <c r="I381" s="116">
        <v>933.75</v>
      </c>
      <c r="J381" s="116">
        <v>1141.32</v>
      </c>
      <c r="K381" s="116">
        <v>1141.32</v>
      </c>
      <c r="L381" s="116">
        <v>1245</v>
      </c>
      <c r="M381" s="116">
        <v>1521.76</v>
      </c>
      <c r="N381" s="116">
        <v>1521.76</v>
      </c>
      <c r="O381" s="121">
        <f t="shared" si="10"/>
        <v>0.25</v>
      </c>
      <c r="P381" s="121">
        <f t="shared" si="11"/>
        <v>0.25</v>
      </c>
      <c r="Q381" s="121">
        <f>IFERROR(K381/RESUMO_DILIG!$D$5,"")</f>
        <v>1.2755315424152388E-4</v>
      </c>
      <c r="R381" s="114" t="s">
        <v>1293</v>
      </c>
      <c r="S381" s="114" t="s">
        <v>1323</v>
      </c>
      <c r="T381" s="114" t="s">
        <v>1320</v>
      </c>
    </row>
    <row r="382" spans="1:20" ht="63.75" x14ac:dyDescent="0.2">
      <c r="A382" s="108" t="s">
        <v>1851</v>
      </c>
      <c r="B382" s="114" t="s">
        <v>779</v>
      </c>
      <c r="C382" s="114" t="s">
        <v>774</v>
      </c>
      <c r="D382" s="114"/>
      <c r="E382" s="114"/>
      <c r="F382" s="114" t="s">
        <v>780</v>
      </c>
      <c r="G382" s="114" t="s">
        <v>776</v>
      </c>
      <c r="H382" s="115">
        <v>1</v>
      </c>
      <c r="I382" s="116">
        <v>1612.5</v>
      </c>
      <c r="J382" s="116">
        <v>1970.9549999999999</v>
      </c>
      <c r="K382" s="116">
        <v>1970.95</v>
      </c>
      <c r="L382" s="116">
        <v>2150</v>
      </c>
      <c r="M382" s="116">
        <v>2627.94</v>
      </c>
      <c r="N382" s="116">
        <v>2627.94</v>
      </c>
      <c r="O382" s="121">
        <f t="shared" si="10"/>
        <v>0.25</v>
      </c>
      <c r="P382" s="121">
        <f t="shared" si="11"/>
        <v>0.25000190263095812</v>
      </c>
      <c r="Q382" s="121">
        <f>IFERROR(K382/RESUMO_DILIG!$D$5,"")</f>
        <v>2.2027204408258113E-4</v>
      </c>
      <c r="R382" s="114" t="s">
        <v>1293</v>
      </c>
      <c r="S382" s="114" t="s">
        <v>1323</v>
      </c>
      <c r="T382" s="114" t="s">
        <v>1320</v>
      </c>
    </row>
    <row r="383" spans="1:20" ht="51" x14ac:dyDescent="0.2">
      <c r="A383" s="108" t="s">
        <v>783</v>
      </c>
      <c r="B383" s="114" t="s">
        <v>1852</v>
      </c>
      <c r="C383" s="114" t="s">
        <v>56</v>
      </c>
      <c r="D383" s="114" t="s">
        <v>553</v>
      </c>
      <c r="E383" s="114" t="s">
        <v>782</v>
      </c>
      <c r="F383" s="114" t="s">
        <v>784</v>
      </c>
      <c r="G383" s="114" t="s">
        <v>99</v>
      </c>
      <c r="H383" s="115">
        <v>216.2</v>
      </c>
      <c r="I383" s="116">
        <v>21.997499999999999</v>
      </c>
      <c r="J383" s="116">
        <v>26.887500000000003</v>
      </c>
      <c r="K383" s="116">
        <v>5813.07</v>
      </c>
      <c r="L383" s="116">
        <v>29.33</v>
      </c>
      <c r="M383" s="116">
        <v>35.85</v>
      </c>
      <c r="N383" s="116">
        <v>7750.77</v>
      </c>
      <c r="O383" s="121">
        <f t="shared" si="10"/>
        <v>0.25</v>
      </c>
      <c r="P383" s="121">
        <f t="shared" si="11"/>
        <v>0.25000096764579527</v>
      </c>
      <c r="Q383" s="121">
        <f>IFERROR(K383/RESUMO_DILIG!$D$5,"")</f>
        <v>6.4966478667400479E-4</v>
      </c>
      <c r="R383" s="114" t="s">
        <v>1290</v>
      </c>
      <c r="S383" s="114" t="s">
        <v>1323</v>
      </c>
      <c r="T383" s="114" t="s">
        <v>1320</v>
      </c>
    </row>
    <row r="384" spans="1:20" ht="51" x14ac:dyDescent="0.2">
      <c r="A384" s="108" t="s">
        <v>785</v>
      </c>
      <c r="B384" s="114" t="s">
        <v>1853</v>
      </c>
      <c r="C384" s="114" t="s">
        <v>56</v>
      </c>
      <c r="D384" s="114" t="s">
        <v>553</v>
      </c>
      <c r="E384" s="114" t="s">
        <v>782</v>
      </c>
      <c r="F384" s="114" t="s">
        <v>786</v>
      </c>
      <c r="G384" s="114" t="s">
        <v>99</v>
      </c>
      <c r="H384" s="115">
        <v>78.400000000000006</v>
      </c>
      <c r="I384" s="116">
        <v>15.877500000000001</v>
      </c>
      <c r="J384" s="116">
        <v>19.4025</v>
      </c>
      <c r="K384" s="116">
        <v>1521.15</v>
      </c>
      <c r="L384" s="116">
        <v>21.17</v>
      </c>
      <c r="M384" s="116">
        <v>25.87</v>
      </c>
      <c r="N384" s="116">
        <v>2028.2</v>
      </c>
      <c r="O384" s="121">
        <f t="shared" si="10"/>
        <v>0.25</v>
      </c>
      <c r="P384" s="121">
        <f t="shared" si="11"/>
        <v>0.25</v>
      </c>
      <c r="Q384" s="121">
        <f>IFERROR(K384/RESUMO_DILIG!$D$5,"")</f>
        <v>1.700026991330162E-4</v>
      </c>
      <c r="R384" s="114" t="s">
        <v>1293</v>
      </c>
      <c r="S384" s="114" t="s">
        <v>1323</v>
      </c>
      <c r="T384" s="114" t="s">
        <v>1320</v>
      </c>
    </row>
    <row r="385" spans="1:20" ht="51" x14ac:dyDescent="0.2">
      <c r="A385" s="108" t="s">
        <v>787</v>
      </c>
      <c r="B385" s="114" t="s">
        <v>1854</v>
      </c>
      <c r="C385" s="114" t="s">
        <v>56</v>
      </c>
      <c r="D385" s="114" t="s">
        <v>553</v>
      </c>
      <c r="E385" s="114" t="s">
        <v>782</v>
      </c>
      <c r="F385" s="114" t="s">
        <v>788</v>
      </c>
      <c r="G385" s="114" t="s">
        <v>84</v>
      </c>
      <c r="H385" s="115">
        <v>83</v>
      </c>
      <c r="I385" s="116">
        <v>10.754999999999999</v>
      </c>
      <c r="J385" s="116">
        <v>13.14</v>
      </c>
      <c r="K385" s="116">
        <v>1090.6199999999999</v>
      </c>
      <c r="L385" s="116">
        <v>14.34</v>
      </c>
      <c r="M385" s="116">
        <v>17.52</v>
      </c>
      <c r="N385" s="116">
        <v>1454.16</v>
      </c>
      <c r="O385" s="121">
        <f t="shared" si="10"/>
        <v>0.25</v>
      </c>
      <c r="P385" s="121">
        <f t="shared" si="11"/>
        <v>0.25000000000000011</v>
      </c>
      <c r="Q385" s="121">
        <f>IFERROR(K385/RESUMO_DILIG!$D$5,"")</f>
        <v>1.2188695640038794E-4</v>
      </c>
      <c r="R385" s="114" t="s">
        <v>1293</v>
      </c>
      <c r="S385" s="114" t="s">
        <v>1323</v>
      </c>
      <c r="T385" s="114" t="s">
        <v>1320</v>
      </c>
    </row>
    <row r="386" spans="1:20" ht="51" x14ac:dyDescent="0.2">
      <c r="A386" s="108" t="s">
        <v>789</v>
      </c>
      <c r="B386" s="114" t="s">
        <v>1855</v>
      </c>
      <c r="C386" s="114" t="s">
        <v>56</v>
      </c>
      <c r="D386" s="114" t="s">
        <v>553</v>
      </c>
      <c r="E386" s="114" t="s">
        <v>782</v>
      </c>
      <c r="F386" s="114" t="s">
        <v>790</v>
      </c>
      <c r="G386" s="114" t="s">
        <v>84</v>
      </c>
      <c r="H386" s="115">
        <v>157</v>
      </c>
      <c r="I386" s="116">
        <v>9.4125000000000014</v>
      </c>
      <c r="J386" s="116">
        <v>11.4975</v>
      </c>
      <c r="K386" s="116">
        <v>1805.1</v>
      </c>
      <c r="L386" s="116">
        <v>12.55</v>
      </c>
      <c r="M386" s="116">
        <v>15.33</v>
      </c>
      <c r="N386" s="116">
        <v>2406.81</v>
      </c>
      <c r="O386" s="121">
        <f t="shared" si="10"/>
        <v>0.25</v>
      </c>
      <c r="P386" s="121">
        <f t="shared" si="11"/>
        <v>0.25000311615790194</v>
      </c>
      <c r="Q386" s="121">
        <f>IFERROR(K386/RESUMO_DILIG!$D$5,"")</f>
        <v>2.0173675982316505E-4</v>
      </c>
      <c r="R386" s="114" t="s">
        <v>1293</v>
      </c>
      <c r="S386" s="114" t="s">
        <v>1323</v>
      </c>
      <c r="T386" s="114" t="s">
        <v>1320</v>
      </c>
    </row>
    <row r="387" spans="1:20" ht="51" x14ac:dyDescent="0.2">
      <c r="A387" s="108" t="s">
        <v>791</v>
      </c>
      <c r="B387" s="114" t="s">
        <v>1856</v>
      </c>
      <c r="C387" s="114" t="s">
        <v>56</v>
      </c>
      <c r="D387" s="114" t="s">
        <v>553</v>
      </c>
      <c r="E387" s="114" t="s">
        <v>782</v>
      </c>
      <c r="F387" s="114" t="s">
        <v>792</v>
      </c>
      <c r="G387" s="114" t="s">
        <v>84</v>
      </c>
      <c r="H387" s="115">
        <v>8</v>
      </c>
      <c r="I387" s="116">
        <v>11.5425</v>
      </c>
      <c r="J387" s="116">
        <v>14.107499999999998</v>
      </c>
      <c r="K387" s="116">
        <v>112.86</v>
      </c>
      <c r="L387" s="116">
        <v>15.39</v>
      </c>
      <c r="M387" s="116">
        <v>18.809999999999999</v>
      </c>
      <c r="N387" s="116">
        <v>150.47999999999999</v>
      </c>
      <c r="O387" s="121">
        <f t="shared" si="10"/>
        <v>0.25</v>
      </c>
      <c r="P387" s="121">
        <f t="shared" si="11"/>
        <v>0.25</v>
      </c>
      <c r="Q387" s="121">
        <f>IFERROR(K387/RESUMO_DILIG!$D$5,"")</f>
        <v>1.2613157561155842E-5</v>
      </c>
      <c r="R387" s="114" t="s">
        <v>1293</v>
      </c>
      <c r="S387" s="114" t="s">
        <v>1323</v>
      </c>
      <c r="T387" s="114" t="s">
        <v>1320</v>
      </c>
    </row>
    <row r="388" spans="1:20" ht="51" x14ac:dyDescent="0.2">
      <c r="A388" s="108" t="s">
        <v>793</v>
      </c>
      <c r="B388" s="114" t="s">
        <v>1652</v>
      </c>
      <c r="C388" s="114" t="s">
        <v>56</v>
      </c>
      <c r="D388" s="114" t="s">
        <v>553</v>
      </c>
      <c r="E388" s="114" t="s">
        <v>782</v>
      </c>
      <c r="F388" s="114" t="s">
        <v>626</v>
      </c>
      <c r="G388" s="114" t="s">
        <v>84</v>
      </c>
      <c r="H388" s="115">
        <v>1</v>
      </c>
      <c r="I388" s="116">
        <v>30.547499999999999</v>
      </c>
      <c r="J388" s="116">
        <v>37.335000000000001</v>
      </c>
      <c r="K388" s="116">
        <v>37.33</v>
      </c>
      <c r="L388" s="116">
        <v>40.729999999999997</v>
      </c>
      <c r="M388" s="116">
        <v>49.78</v>
      </c>
      <c r="N388" s="116">
        <v>49.78</v>
      </c>
      <c r="O388" s="121">
        <f t="shared" ref="O388:O451" si="12">IFERROR(1-J388/M388,"")</f>
        <v>0.25</v>
      </c>
      <c r="P388" s="121">
        <f t="shared" ref="P388:P451" si="13">IFERROR(1-K388/N388,"")</f>
        <v>0.25010044194455605</v>
      </c>
      <c r="Q388" s="121">
        <f>IFERROR(K388/RESUMO_DILIG!$D$5,"")</f>
        <v>4.1719756491046214E-6</v>
      </c>
      <c r="R388" s="114" t="s">
        <v>1293</v>
      </c>
      <c r="S388" s="114" t="s">
        <v>1323</v>
      </c>
      <c r="T388" s="114" t="s">
        <v>1320</v>
      </c>
    </row>
    <row r="389" spans="1:20" ht="51" x14ac:dyDescent="0.2">
      <c r="A389" s="108" t="s">
        <v>794</v>
      </c>
      <c r="B389" s="114" t="s">
        <v>1857</v>
      </c>
      <c r="C389" s="114" t="s">
        <v>56</v>
      </c>
      <c r="D389" s="114" t="s">
        <v>553</v>
      </c>
      <c r="E389" s="114" t="s">
        <v>782</v>
      </c>
      <c r="F389" s="114" t="s">
        <v>795</v>
      </c>
      <c r="G389" s="114" t="s">
        <v>84</v>
      </c>
      <c r="H389" s="115">
        <v>9</v>
      </c>
      <c r="I389" s="116">
        <v>8.6174999999999997</v>
      </c>
      <c r="J389" s="116">
        <v>10.53</v>
      </c>
      <c r="K389" s="116">
        <v>94.77</v>
      </c>
      <c r="L389" s="116">
        <v>11.49</v>
      </c>
      <c r="M389" s="116">
        <v>14.04</v>
      </c>
      <c r="N389" s="116">
        <v>126.36</v>
      </c>
      <c r="O389" s="121">
        <f t="shared" si="12"/>
        <v>0.25</v>
      </c>
      <c r="P389" s="121">
        <f t="shared" si="13"/>
        <v>0.25</v>
      </c>
      <c r="Q389" s="121">
        <f>IFERROR(K389/RESUMO_DILIG!$D$5,"")</f>
        <v>1.059143134920024E-5</v>
      </c>
      <c r="R389" s="114" t="s">
        <v>1293</v>
      </c>
      <c r="S389" s="114" t="s">
        <v>1323</v>
      </c>
      <c r="T389" s="114" t="s">
        <v>1320</v>
      </c>
    </row>
    <row r="390" spans="1:20" ht="51" x14ac:dyDescent="0.2">
      <c r="A390" s="108" t="s">
        <v>796</v>
      </c>
      <c r="B390" s="114" t="s">
        <v>1858</v>
      </c>
      <c r="C390" s="114" t="s">
        <v>56</v>
      </c>
      <c r="D390" s="114" t="s">
        <v>553</v>
      </c>
      <c r="E390" s="114" t="s">
        <v>782</v>
      </c>
      <c r="F390" s="114" t="s">
        <v>797</v>
      </c>
      <c r="G390" s="114" t="s">
        <v>84</v>
      </c>
      <c r="H390" s="115">
        <v>36</v>
      </c>
      <c r="I390" s="116">
        <v>6.9674999999999994</v>
      </c>
      <c r="J390" s="116">
        <v>8.5124999999999993</v>
      </c>
      <c r="K390" s="116">
        <v>306.45</v>
      </c>
      <c r="L390" s="116">
        <v>9.2899999999999991</v>
      </c>
      <c r="M390" s="116">
        <v>11.35</v>
      </c>
      <c r="N390" s="116">
        <v>408.6</v>
      </c>
      <c r="O390" s="121">
        <f t="shared" si="12"/>
        <v>0.25</v>
      </c>
      <c r="P390" s="121">
        <f t="shared" si="13"/>
        <v>0.25000000000000011</v>
      </c>
      <c r="Q390" s="121">
        <f>IFERROR(K390/RESUMO_DILIG!$D$5,"")</f>
        <v>3.4248645530889662E-5</v>
      </c>
      <c r="R390" s="114" t="s">
        <v>1293</v>
      </c>
      <c r="S390" s="114" t="s">
        <v>1323</v>
      </c>
      <c r="T390" s="114" t="s">
        <v>1320</v>
      </c>
    </row>
    <row r="391" spans="1:20" ht="38.25" x14ac:dyDescent="0.2">
      <c r="A391" s="108" t="s">
        <v>798</v>
      </c>
      <c r="B391" s="114" t="s">
        <v>1859</v>
      </c>
      <c r="C391" s="114" t="s">
        <v>56</v>
      </c>
      <c r="D391" s="114" t="s">
        <v>553</v>
      </c>
      <c r="E391" s="114" t="s">
        <v>782</v>
      </c>
      <c r="F391" s="114" t="s">
        <v>799</v>
      </c>
      <c r="G391" s="114" t="s">
        <v>84</v>
      </c>
      <c r="H391" s="115">
        <v>24</v>
      </c>
      <c r="I391" s="116">
        <v>13.162500000000001</v>
      </c>
      <c r="J391" s="116">
        <v>16.087499999999999</v>
      </c>
      <c r="K391" s="116">
        <v>386.1</v>
      </c>
      <c r="L391" s="116">
        <v>17.55</v>
      </c>
      <c r="M391" s="116">
        <v>21.45</v>
      </c>
      <c r="N391" s="116">
        <v>514.79999999999995</v>
      </c>
      <c r="O391" s="121">
        <f t="shared" si="12"/>
        <v>0.25</v>
      </c>
      <c r="P391" s="121">
        <f t="shared" si="13"/>
        <v>0.24999999999999989</v>
      </c>
      <c r="Q391" s="121">
        <f>IFERROR(K391/RESUMO_DILIG!$D$5,"")</f>
        <v>4.3150275867112091E-5</v>
      </c>
      <c r="R391" s="114" t="s">
        <v>1293</v>
      </c>
      <c r="S391" s="114" t="s">
        <v>1323</v>
      </c>
      <c r="T391" s="114" t="s">
        <v>1320</v>
      </c>
    </row>
    <row r="392" spans="1:20" ht="38.25" x14ac:dyDescent="0.2">
      <c r="A392" s="108" t="s">
        <v>1860</v>
      </c>
      <c r="B392" s="114" t="s">
        <v>1659</v>
      </c>
      <c r="C392" s="114" t="s">
        <v>56</v>
      </c>
      <c r="D392" s="114"/>
      <c r="E392" s="114"/>
      <c r="F392" s="114" t="s">
        <v>629</v>
      </c>
      <c r="G392" s="114" t="s">
        <v>84</v>
      </c>
      <c r="H392" s="115">
        <v>5</v>
      </c>
      <c r="I392" s="116">
        <v>16.634999999999998</v>
      </c>
      <c r="J392" s="116">
        <v>20.3325</v>
      </c>
      <c r="K392" s="116">
        <v>101.66</v>
      </c>
      <c r="L392" s="116">
        <v>22.18</v>
      </c>
      <c r="M392" s="116">
        <v>27.11</v>
      </c>
      <c r="N392" s="116">
        <v>135.55000000000001</v>
      </c>
      <c r="O392" s="121">
        <f t="shared" si="12"/>
        <v>0.25</v>
      </c>
      <c r="P392" s="121">
        <f t="shared" si="13"/>
        <v>0.25001844337882706</v>
      </c>
      <c r="Q392" s="121">
        <f>IFERROR(K392/RESUMO_DILIG!$D$5,"")</f>
        <v>1.13614531070982E-5</v>
      </c>
      <c r="R392" s="114" t="s">
        <v>1293</v>
      </c>
      <c r="S392" s="114" t="s">
        <v>1323</v>
      </c>
      <c r="T392" s="114" t="s">
        <v>1320</v>
      </c>
    </row>
    <row r="393" spans="1:20" ht="63.75" x14ac:dyDescent="0.2">
      <c r="A393" s="108" t="s">
        <v>1861</v>
      </c>
      <c r="B393" s="114" t="s">
        <v>1862</v>
      </c>
      <c r="C393" s="114" t="s">
        <v>56</v>
      </c>
      <c r="D393" s="114"/>
      <c r="E393" s="114"/>
      <c r="F393" s="114" t="s">
        <v>1863</v>
      </c>
      <c r="G393" s="114" t="s">
        <v>99</v>
      </c>
      <c r="H393" s="115">
        <v>216.2</v>
      </c>
      <c r="I393" s="116">
        <v>3.7874999999999996</v>
      </c>
      <c r="J393" s="116">
        <v>4.6274999999999995</v>
      </c>
      <c r="K393" s="116">
        <v>1000.46</v>
      </c>
      <c r="L393" s="116">
        <v>5.05</v>
      </c>
      <c r="M393" s="116">
        <v>6.17</v>
      </c>
      <c r="N393" s="116">
        <v>1333.95</v>
      </c>
      <c r="O393" s="121">
        <f t="shared" si="12"/>
        <v>0.25000000000000011</v>
      </c>
      <c r="P393" s="121">
        <f t="shared" si="13"/>
        <v>0.2500018741332134</v>
      </c>
      <c r="Q393" s="121">
        <f>IFERROR(K393/RESUMO_DILIG!$D$5,"")</f>
        <v>1.1181073554522393E-4</v>
      </c>
      <c r="R393" s="114" t="s">
        <v>1293</v>
      </c>
      <c r="S393" s="114" t="s">
        <v>1323</v>
      </c>
      <c r="T393" s="114" t="s">
        <v>1320</v>
      </c>
    </row>
    <row r="394" spans="1:20" ht="63.75" x14ac:dyDescent="0.2">
      <c r="A394" s="108" t="s">
        <v>803</v>
      </c>
      <c r="B394" s="114" t="s">
        <v>1864</v>
      </c>
      <c r="C394" s="114" t="s">
        <v>56</v>
      </c>
      <c r="D394" s="114" t="s">
        <v>553</v>
      </c>
      <c r="E394" s="114" t="s">
        <v>802</v>
      </c>
      <c r="F394" s="114" t="s">
        <v>804</v>
      </c>
      <c r="G394" s="114" t="s">
        <v>84</v>
      </c>
      <c r="H394" s="115">
        <v>1</v>
      </c>
      <c r="I394" s="116">
        <v>5704.7550000000001</v>
      </c>
      <c r="J394" s="116">
        <v>6972.9149999999991</v>
      </c>
      <c r="K394" s="116">
        <v>6972.91</v>
      </c>
      <c r="L394" s="116">
        <v>7606.34</v>
      </c>
      <c r="M394" s="116">
        <v>9297.2199999999993</v>
      </c>
      <c r="N394" s="116">
        <v>9297.2199999999993</v>
      </c>
      <c r="O394" s="121">
        <f t="shared" si="12"/>
        <v>0.25</v>
      </c>
      <c r="P394" s="121">
        <f t="shared" si="13"/>
        <v>0.25000053779516884</v>
      </c>
      <c r="Q394" s="121">
        <f>IFERROR(K394/RESUMO_DILIG!$D$5,"")</f>
        <v>7.7928772363777398E-4</v>
      </c>
      <c r="R394" s="114" t="s">
        <v>1290</v>
      </c>
      <c r="S394" s="114" t="s">
        <v>1323</v>
      </c>
      <c r="T394" s="114" t="s">
        <v>1320</v>
      </c>
    </row>
    <row r="395" spans="1:20" ht="63.75" x14ac:dyDescent="0.2">
      <c r="A395" s="108" t="s">
        <v>805</v>
      </c>
      <c r="B395" s="114" t="s">
        <v>1865</v>
      </c>
      <c r="C395" s="114" t="s">
        <v>56</v>
      </c>
      <c r="D395" s="114" t="s">
        <v>553</v>
      </c>
      <c r="E395" s="114" t="s">
        <v>802</v>
      </c>
      <c r="F395" s="114" t="s">
        <v>806</v>
      </c>
      <c r="G395" s="114" t="s">
        <v>84</v>
      </c>
      <c r="H395" s="115">
        <v>1</v>
      </c>
      <c r="I395" s="116">
        <v>6581.5949999999993</v>
      </c>
      <c r="J395" s="116">
        <v>8044.68</v>
      </c>
      <c r="K395" s="116">
        <v>8044.68</v>
      </c>
      <c r="L395" s="116">
        <v>8775.4599999999991</v>
      </c>
      <c r="M395" s="116">
        <v>10726.24</v>
      </c>
      <c r="N395" s="116">
        <v>10726.24</v>
      </c>
      <c r="O395" s="121">
        <f t="shared" si="12"/>
        <v>0.25</v>
      </c>
      <c r="P395" s="121">
        <f t="shared" si="13"/>
        <v>0.25</v>
      </c>
      <c r="Q395" s="121">
        <f>IFERROR(K395/RESUMO_DILIG!$D$5,"")</f>
        <v>8.9906801673825254E-4</v>
      </c>
      <c r="R395" s="114" t="s">
        <v>1290</v>
      </c>
      <c r="S395" s="114" t="s">
        <v>1323</v>
      </c>
      <c r="T395" s="114" t="s">
        <v>1320</v>
      </c>
    </row>
    <row r="396" spans="1:20" ht="63.75" x14ac:dyDescent="0.2">
      <c r="A396" s="108" t="s">
        <v>807</v>
      </c>
      <c r="B396" s="114" t="s">
        <v>1866</v>
      </c>
      <c r="C396" s="114" t="s">
        <v>24</v>
      </c>
      <c r="D396" s="114" t="s">
        <v>553</v>
      </c>
      <c r="E396" s="114" t="s">
        <v>802</v>
      </c>
      <c r="F396" s="114" t="s">
        <v>809</v>
      </c>
      <c r="G396" s="114" t="s">
        <v>84</v>
      </c>
      <c r="H396" s="115">
        <v>2</v>
      </c>
      <c r="I396" s="116">
        <v>7293.1350000000002</v>
      </c>
      <c r="J396" s="116">
        <v>8914.3950000000004</v>
      </c>
      <c r="K396" s="116">
        <v>17828.79</v>
      </c>
      <c r="L396" s="116">
        <v>9724.18</v>
      </c>
      <c r="M396" s="116">
        <v>11885.86</v>
      </c>
      <c r="N396" s="116">
        <v>23771.72</v>
      </c>
      <c r="O396" s="121">
        <f t="shared" si="12"/>
        <v>0.25</v>
      </c>
      <c r="P396" s="121">
        <f t="shared" si="13"/>
        <v>0.25</v>
      </c>
      <c r="Q396" s="121">
        <f>IFERROR(K396/RESUMO_DILIG!$D$5,"")</f>
        <v>1.9925335583444947E-3</v>
      </c>
      <c r="R396" s="114" t="s">
        <v>1290</v>
      </c>
      <c r="S396" s="114" t="s">
        <v>1323</v>
      </c>
      <c r="T396" s="114" t="s">
        <v>1320</v>
      </c>
    </row>
    <row r="397" spans="1:20" ht="38.25" x14ac:dyDescent="0.2">
      <c r="A397" s="108" t="s">
        <v>810</v>
      </c>
      <c r="B397" s="114" t="s">
        <v>1715</v>
      </c>
      <c r="C397" s="114" t="s">
        <v>56</v>
      </c>
      <c r="D397" s="114" t="s">
        <v>553</v>
      </c>
      <c r="E397" s="114" t="s">
        <v>802</v>
      </c>
      <c r="F397" s="114" t="s">
        <v>1716</v>
      </c>
      <c r="G397" s="114" t="s">
        <v>84</v>
      </c>
      <c r="H397" s="115">
        <v>4</v>
      </c>
      <c r="I397" s="116">
        <v>461.54999999999995</v>
      </c>
      <c r="J397" s="116">
        <v>564.15000000000009</v>
      </c>
      <c r="K397" s="116">
        <v>2256.6</v>
      </c>
      <c r="L397" s="116">
        <v>615.4</v>
      </c>
      <c r="M397" s="116">
        <v>752.2</v>
      </c>
      <c r="N397" s="116">
        <v>3008.8</v>
      </c>
      <c r="O397" s="121">
        <f t="shared" si="12"/>
        <v>0.24999999999999989</v>
      </c>
      <c r="P397" s="121">
        <f t="shared" si="13"/>
        <v>0.25000000000000011</v>
      </c>
      <c r="Q397" s="121">
        <f>IFERROR(K397/RESUMO_DILIG!$D$5,"")</f>
        <v>2.5219609562736372E-4</v>
      </c>
      <c r="R397" s="114" t="s">
        <v>1293</v>
      </c>
      <c r="S397" s="114" t="s">
        <v>1323</v>
      </c>
      <c r="T397" s="114" t="s">
        <v>1320</v>
      </c>
    </row>
    <row r="398" spans="1:20" ht="63.75" x14ac:dyDescent="0.2">
      <c r="A398" s="108" t="s">
        <v>813</v>
      </c>
      <c r="B398" s="114" t="s">
        <v>1867</v>
      </c>
      <c r="C398" s="114" t="s">
        <v>56</v>
      </c>
      <c r="D398" s="114" t="s">
        <v>553</v>
      </c>
      <c r="E398" s="114" t="s">
        <v>812</v>
      </c>
      <c r="F398" s="114" t="s">
        <v>814</v>
      </c>
      <c r="G398" s="114" t="s">
        <v>84</v>
      </c>
      <c r="H398" s="115">
        <v>25</v>
      </c>
      <c r="I398" s="116">
        <v>465.27750000000003</v>
      </c>
      <c r="J398" s="116">
        <v>568.70249999999999</v>
      </c>
      <c r="K398" s="116">
        <v>14217.56</v>
      </c>
      <c r="L398" s="116">
        <v>620.37</v>
      </c>
      <c r="M398" s="116">
        <v>758.27</v>
      </c>
      <c r="N398" s="116">
        <v>18956.75</v>
      </c>
      <c r="O398" s="121">
        <f t="shared" si="12"/>
        <v>0.25</v>
      </c>
      <c r="P398" s="121">
        <f t="shared" si="13"/>
        <v>0.25000013187914594</v>
      </c>
      <c r="Q398" s="121">
        <f>IFERROR(K398/RESUMO_DILIG!$D$5,"")</f>
        <v>1.5889449265921215E-3</v>
      </c>
      <c r="R398" s="114" t="s">
        <v>1290</v>
      </c>
      <c r="S398" s="114" t="s">
        <v>1323</v>
      </c>
      <c r="T398" s="114" t="s">
        <v>1320</v>
      </c>
    </row>
    <row r="399" spans="1:20" ht="76.5" x14ac:dyDescent="0.2">
      <c r="A399" s="108" t="s">
        <v>815</v>
      </c>
      <c r="B399" s="114" t="s">
        <v>816</v>
      </c>
      <c r="C399" s="114" t="s">
        <v>209</v>
      </c>
      <c r="D399" s="114" t="s">
        <v>553</v>
      </c>
      <c r="E399" s="114" t="s">
        <v>812</v>
      </c>
      <c r="F399" s="114" t="s">
        <v>1868</v>
      </c>
      <c r="G399" s="114" t="s">
        <v>84</v>
      </c>
      <c r="H399" s="115">
        <v>2</v>
      </c>
      <c r="I399" s="116">
        <v>752.95500000000004</v>
      </c>
      <c r="J399" s="116">
        <v>920.33249999999998</v>
      </c>
      <c r="K399" s="116">
        <v>1840.66</v>
      </c>
      <c r="L399" s="116">
        <v>1003.94</v>
      </c>
      <c r="M399" s="116">
        <v>1227.1099999999999</v>
      </c>
      <c r="N399" s="116">
        <v>2454.2199999999998</v>
      </c>
      <c r="O399" s="121">
        <f t="shared" si="12"/>
        <v>0.25</v>
      </c>
      <c r="P399" s="121">
        <f t="shared" si="13"/>
        <v>0.25000203730716875</v>
      </c>
      <c r="Q399" s="121">
        <f>IFERROR(K399/RESUMO_DILIG!$D$5,"")</f>
        <v>2.0571092146479808E-4</v>
      </c>
      <c r="R399" s="114" t="s">
        <v>1293</v>
      </c>
      <c r="S399" s="114" t="s">
        <v>1319</v>
      </c>
      <c r="T399" s="114" t="s">
        <v>1320</v>
      </c>
    </row>
    <row r="400" spans="1:20" ht="38.25" x14ac:dyDescent="0.2">
      <c r="A400" s="108" t="s">
        <v>818</v>
      </c>
      <c r="B400" s="114" t="s">
        <v>1869</v>
      </c>
      <c r="C400" s="114" t="s">
        <v>56</v>
      </c>
      <c r="D400" s="114" t="s">
        <v>553</v>
      </c>
      <c r="E400" s="114" t="s">
        <v>812</v>
      </c>
      <c r="F400" s="114" t="s">
        <v>819</v>
      </c>
      <c r="G400" s="114" t="s">
        <v>84</v>
      </c>
      <c r="H400" s="115">
        <v>27</v>
      </c>
      <c r="I400" s="116">
        <v>34.14</v>
      </c>
      <c r="J400" s="116">
        <v>41.722500000000004</v>
      </c>
      <c r="K400" s="116">
        <v>1126.5</v>
      </c>
      <c r="L400" s="116">
        <v>45.52</v>
      </c>
      <c r="M400" s="116">
        <v>55.63</v>
      </c>
      <c r="N400" s="116">
        <v>1502.01</v>
      </c>
      <c r="O400" s="121">
        <f t="shared" si="12"/>
        <v>0.25</v>
      </c>
      <c r="P400" s="121">
        <f t="shared" si="13"/>
        <v>0.25000499330896597</v>
      </c>
      <c r="Q400" s="121">
        <f>IFERROR(K400/RESUMO_DILIG!$D$5,"")</f>
        <v>1.258968810264226E-4</v>
      </c>
      <c r="R400" s="114" t="s">
        <v>1293</v>
      </c>
      <c r="S400" s="114" t="s">
        <v>1323</v>
      </c>
      <c r="T400" s="114" t="s">
        <v>1320</v>
      </c>
    </row>
    <row r="401" spans="1:20" ht="165.75" x14ac:dyDescent="0.2">
      <c r="A401" s="108" t="s">
        <v>820</v>
      </c>
      <c r="B401" s="114" t="s">
        <v>821</v>
      </c>
      <c r="C401" s="114" t="s">
        <v>209</v>
      </c>
      <c r="D401" s="114" t="s">
        <v>553</v>
      </c>
      <c r="E401" s="114" t="s">
        <v>812</v>
      </c>
      <c r="F401" s="114" t="s">
        <v>822</v>
      </c>
      <c r="G401" s="114" t="s">
        <v>84</v>
      </c>
      <c r="H401" s="115">
        <v>2</v>
      </c>
      <c r="I401" s="116">
        <v>545.65499999999997</v>
      </c>
      <c r="J401" s="116">
        <v>666.95249999999999</v>
      </c>
      <c r="K401" s="116">
        <v>1333.9</v>
      </c>
      <c r="L401" s="116">
        <v>727.54</v>
      </c>
      <c r="M401" s="116">
        <v>889.27</v>
      </c>
      <c r="N401" s="116">
        <v>1778.54</v>
      </c>
      <c r="O401" s="121">
        <f t="shared" si="12"/>
        <v>0.25</v>
      </c>
      <c r="P401" s="121">
        <f t="shared" si="13"/>
        <v>0.2500028112946574</v>
      </c>
      <c r="Q401" s="121">
        <f>IFERROR(K401/RESUMO_DILIG!$D$5,"")</f>
        <v>1.4907576529174E-4</v>
      </c>
      <c r="R401" s="114" t="s">
        <v>1293</v>
      </c>
      <c r="S401" s="114" t="s">
        <v>1319</v>
      </c>
      <c r="T401" s="114" t="s">
        <v>1320</v>
      </c>
    </row>
    <row r="402" spans="1:20" ht="114.75" x14ac:dyDescent="0.2">
      <c r="A402" s="108" t="s">
        <v>823</v>
      </c>
      <c r="B402" s="114" t="s">
        <v>824</v>
      </c>
      <c r="C402" s="114" t="s">
        <v>209</v>
      </c>
      <c r="D402" s="114" t="s">
        <v>553</v>
      </c>
      <c r="E402" s="114" t="s">
        <v>812</v>
      </c>
      <c r="F402" s="114" t="s">
        <v>825</v>
      </c>
      <c r="G402" s="114" t="s">
        <v>84</v>
      </c>
      <c r="H402" s="115">
        <v>27</v>
      </c>
      <c r="I402" s="116">
        <v>745.43999999999994</v>
      </c>
      <c r="J402" s="116">
        <v>911.14499999999998</v>
      </c>
      <c r="K402" s="116">
        <v>24600.91</v>
      </c>
      <c r="L402" s="116">
        <v>993.92</v>
      </c>
      <c r="M402" s="116">
        <v>1214.8599999999999</v>
      </c>
      <c r="N402" s="116">
        <v>32801.22</v>
      </c>
      <c r="O402" s="121">
        <f t="shared" si="12"/>
        <v>0.25</v>
      </c>
      <c r="P402" s="121">
        <f t="shared" si="13"/>
        <v>0.25000015243335461</v>
      </c>
      <c r="Q402" s="121">
        <f>IFERROR(K402/RESUMO_DILIG!$D$5,"")</f>
        <v>2.7493811268634975E-3</v>
      </c>
      <c r="R402" s="114" t="s">
        <v>1287</v>
      </c>
      <c r="S402" s="114" t="s">
        <v>1319</v>
      </c>
      <c r="T402" s="114" t="s">
        <v>1320</v>
      </c>
    </row>
    <row r="403" spans="1:20" ht="76.5" x14ac:dyDescent="0.2">
      <c r="A403" s="108" t="s">
        <v>826</v>
      </c>
      <c r="B403" s="114" t="s">
        <v>1870</v>
      </c>
      <c r="C403" s="114" t="s">
        <v>56</v>
      </c>
      <c r="D403" s="114" t="s">
        <v>553</v>
      </c>
      <c r="E403" s="114" t="s">
        <v>812</v>
      </c>
      <c r="F403" s="114" t="s">
        <v>827</v>
      </c>
      <c r="G403" s="114" t="s">
        <v>84</v>
      </c>
      <c r="H403" s="115">
        <v>2</v>
      </c>
      <c r="I403" s="116">
        <v>744.59999999999991</v>
      </c>
      <c r="J403" s="116">
        <v>910.11750000000006</v>
      </c>
      <c r="K403" s="116">
        <v>1820.23</v>
      </c>
      <c r="L403" s="116">
        <v>992.8</v>
      </c>
      <c r="M403" s="116">
        <v>1213.49</v>
      </c>
      <c r="N403" s="116">
        <v>2426.98</v>
      </c>
      <c r="O403" s="121">
        <f t="shared" si="12"/>
        <v>0.25</v>
      </c>
      <c r="P403" s="121">
        <f t="shared" si="13"/>
        <v>0.25000206017354898</v>
      </c>
      <c r="Q403" s="121">
        <f>IFERROR(K403/RESUMO_DILIG!$D$5,"")</f>
        <v>2.0342767842940543E-4</v>
      </c>
      <c r="R403" s="114" t="s">
        <v>1293</v>
      </c>
      <c r="S403" s="114" t="s">
        <v>1323</v>
      </c>
      <c r="T403" s="114" t="s">
        <v>1320</v>
      </c>
    </row>
    <row r="404" spans="1:20" ht="38.25" x14ac:dyDescent="0.2">
      <c r="A404" s="108" t="s">
        <v>828</v>
      </c>
      <c r="B404" s="114" t="s">
        <v>1871</v>
      </c>
      <c r="C404" s="114" t="s">
        <v>56</v>
      </c>
      <c r="D404" s="114" t="s">
        <v>553</v>
      </c>
      <c r="E404" s="114" t="s">
        <v>812</v>
      </c>
      <c r="F404" s="114" t="s">
        <v>1872</v>
      </c>
      <c r="G404" s="114" t="s">
        <v>84</v>
      </c>
      <c r="H404" s="115">
        <v>4</v>
      </c>
      <c r="I404" s="116">
        <v>556.74</v>
      </c>
      <c r="J404" s="116">
        <v>680.49750000000006</v>
      </c>
      <c r="K404" s="116">
        <v>2721.99</v>
      </c>
      <c r="L404" s="116">
        <v>742.32</v>
      </c>
      <c r="M404" s="116">
        <v>907.33</v>
      </c>
      <c r="N404" s="116">
        <v>3629.32</v>
      </c>
      <c r="O404" s="121">
        <f t="shared" si="12"/>
        <v>0.25</v>
      </c>
      <c r="P404" s="121">
        <f t="shared" si="13"/>
        <v>0.25000000000000011</v>
      </c>
      <c r="Q404" s="121">
        <f>IFERROR(K404/RESUMO_DILIG!$D$5,"")</f>
        <v>3.0420776847324638E-4</v>
      </c>
      <c r="R404" s="114" t="s">
        <v>1293</v>
      </c>
      <c r="S404" s="114" t="s">
        <v>1323</v>
      </c>
      <c r="T404" s="114" t="s">
        <v>1320</v>
      </c>
    </row>
    <row r="405" spans="1:20" ht="63.75" x14ac:dyDescent="0.2">
      <c r="A405" s="108" t="s">
        <v>830</v>
      </c>
      <c r="B405" s="114" t="s">
        <v>1873</v>
      </c>
      <c r="C405" s="114" t="s">
        <v>56</v>
      </c>
      <c r="D405" s="114" t="s">
        <v>553</v>
      </c>
      <c r="E405" s="114" t="s">
        <v>812</v>
      </c>
      <c r="F405" s="114" t="s">
        <v>1874</v>
      </c>
      <c r="G405" s="114" t="s">
        <v>84</v>
      </c>
      <c r="H405" s="115">
        <v>1</v>
      </c>
      <c r="I405" s="116">
        <v>410.61750000000001</v>
      </c>
      <c r="J405" s="116">
        <v>501.89250000000004</v>
      </c>
      <c r="K405" s="116">
        <v>501.89</v>
      </c>
      <c r="L405" s="116">
        <v>547.49</v>
      </c>
      <c r="M405" s="116">
        <v>669.19</v>
      </c>
      <c r="N405" s="116">
        <v>669.19</v>
      </c>
      <c r="O405" s="121">
        <f t="shared" si="12"/>
        <v>0.25</v>
      </c>
      <c r="P405" s="121">
        <f t="shared" si="13"/>
        <v>0.25000373585977087</v>
      </c>
      <c r="Q405" s="121">
        <f>IFERROR(K405/RESUMO_DILIG!$D$5,"")</f>
        <v>5.6090888254195505E-5</v>
      </c>
      <c r="R405" s="114" t="s">
        <v>1293</v>
      </c>
      <c r="S405" s="114" t="s">
        <v>1323</v>
      </c>
      <c r="T405" s="114" t="s">
        <v>1320</v>
      </c>
    </row>
    <row r="406" spans="1:20" ht="51" x14ac:dyDescent="0.2">
      <c r="A406" s="108" t="s">
        <v>832</v>
      </c>
      <c r="B406" s="114" t="s">
        <v>1875</v>
      </c>
      <c r="C406" s="114" t="s">
        <v>56</v>
      </c>
      <c r="D406" s="114" t="s">
        <v>553</v>
      </c>
      <c r="E406" s="114" t="s">
        <v>812</v>
      </c>
      <c r="F406" s="114" t="s">
        <v>1876</v>
      </c>
      <c r="G406" s="114" t="s">
        <v>84</v>
      </c>
      <c r="H406" s="115">
        <v>1</v>
      </c>
      <c r="I406" s="116">
        <v>104.21249999999999</v>
      </c>
      <c r="J406" s="116">
        <v>127.3725</v>
      </c>
      <c r="K406" s="116">
        <v>127.37</v>
      </c>
      <c r="L406" s="116">
        <v>138.94999999999999</v>
      </c>
      <c r="M406" s="116">
        <v>169.83</v>
      </c>
      <c r="N406" s="116">
        <v>169.83</v>
      </c>
      <c r="O406" s="121">
        <f t="shared" si="12"/>
        <v>0.25</v>
      </c>
      <c r="P406" s="121">
        <f t="shared" si="13"/>
        <v>0.25001472060295593</v>
      </c>
      <c r="Q406" s="121">
        <f>IFERROR(K406/RESUMO_DILIG!$D$5,"")</f>
        <v>1.4234785385118019E-5</v>
      </c>
      <c r="R406" s="114" t="s">
        <v>1293</v>
      </c>
      <c r="S406" s="114" t="s">
        <v>1323</v>
      </c>
      <c r="T406" s="114" t="s">
        <v>1320</v>
      </c>
    </row>
    <row r="407" spans="1:20" ht="25.5" x14ac:dyDescent="0.2">
      <c r="A407" s="108" t="s">
        <v>1877</v>
      </c>
      <c r="B407" s="114" t="s">
        <v>1878</v>
      </c>
      <c r="C407" s="114" t="s">
        <v>335</v>
      </c>
      <c r="D407" s="114"/>
      <c r="E407" s="114"/>
      <c r="F407" s="114" t="s">
        <v>834</v>
      </c>
      <c r="G407" s="114" t="s">
        <v>84</v>
      </c>
      <c r="H407" s="115">
        <v>17</v>
      </c>
      <c r="I407" s="116">
        <v>375.75749999999999</v>
      </c>
      <c r="J407" s="116">
        <v>459.28499999999997</v>
      </c>
      <c r="K407" s="116">
        <v>7807.84</v>
      </c>
      <c r="L407" s="116">
        <v>501.01</v>
      </c>
      <c r="M407" s="116">
        <v>612.38</v>
      </c>
      <c r="N407" s="116">
        <v>10410.459999999999</v>
      </c>
      <c r="O407" s="121">
        <f t="shared" si="12"/>
        <v>0.25</v>
      </c>
      <c r="P407" s="121">
        <f t="shared" si="13"/>
        <v>0.25000048028617361</v>
      </c>
      <c r="Q407" s="121">
        <f>IFERROR(K407/RESUMO_DILIG!$D$5,"")</f>
        <v>8.7259893790798352E-4</v>
      </c>
      <c r="R407" s="114" t="s">
        <v>1290</v>
      </c>
      <c r="S407" s="114" t="s">
        <v>1323</v>
      </c>
      <c r="T407" s="114" t="s">
        <v>1320</v>
      </c>
    </row>
    <row r="408" spans="1:20" ht="38.25" x14ac:dyDescent="0.2">
      <c r="A408" s="108" t="s">
        <v>1879</v>
      </c>
      <c r="B408" s="114" t="s">
        <v>1880</v>
      </c>
      <c r="C408" s="114" t="s">
        <v>56</v>
      </c>
      <c r="D408" s="114"/>
      <c r="E408" s="114"/>
      <c r="F408" s="114" t="s">
        <v>835</v>
      </c>
      <c r="G408" s="114" t="s">
        <v>84</v>
      </c>
      <c r="H408" s="115">
        <v>4</v>
      </c>
      <c r="I408" s="116">
        <v>84.082499999999996</v>
      </c>
      <c r="J408" s="116">
        <v>102.77250000000001</v>
      </c>
      <c r="K408" s="116">
        <v>411.09</v>
      </c>
      <c r="L408" s="116">
        <v>112.11</v>
      </c>
      <c r="M408" s="116">
        <v>137.03</v>
      </c>
      <c r="N408" s="116">
        <v>548.12</v>
      </c>
      <c r="O408" s="121">
        <f t="shared" si="12"/>
        <v>0.25</v>
      </c>
      <c r="P408" s="121">
        <f t="shared" si="13"/>
        <v>0.25</v>
      </c>
      <c r="Q408" s="121">
        <f>IFERROR(K408/RESUMO_DILIG!$D$5,"")</f>
        <v>4.5943141430228196E-5</v>
      </c>
      <c r="R408" s="114" t="s">
        <v>1293</v>
      </c>
      <c r="S408" s="114" t="s">
        <v>1323</v>
      </c>
      <c r="T408" s="114" t="s">
        <v>1320</v>
      </c>
    </row>
    <row r="409" spans="1:20" ht="76.5" x14ac:dyDescent="0.2">
      <c r="A409" s="108" t="s">
        <v>1881</v>
      </c>
      <c r="B409" s="114" t="s">
        <v>1882</v>
      </c>
      <c r="C409" s="114" t="s">
        <v>24</v>
      </c>
      <c r="D409" s="114"/>
      <c r="E409" s="114"/>
      <c r="F409" s="114" t="s">
        <v>837</v>
      </c>
      <c r="G409" s="114" t="s">
        <v>84</v>
      </c>
      <c r="H409" s="115">
        <v>1</v>
      </c>
      <c r="I409" s="116">
        <v>667.67250000000001</v>
      </c>
      <c r="J409" s="116">
        <v>816.08999999999992</v>
      </c>
      <c r="K409" s="116">
        <v>816.09</v>
      </c>
      <c r="L409" s="116">
        <v>890.23</v>
      </c>
      <c r="M409" s="116">
        <v>1088.1199999999999</v>
      </c>
      <c r="N409" s="116">
        <v>1088.1199999999999</v>
      </c>
      <c r="O409" s="121">
        <f t="shared" si="12"/>
        <v>0.25</v>
      </c>
      <c r="P409" s="121">
        <f t="shared" si="13"/>
        <v>0.24999999999999989</v>
      </c>
      <c r="Q409" s="121">
        <f>IFERROR(K409/RESUMO_DILIG!$D$5,"")</f>
        <v>9.1205668563562562E-5</v>
      </c>
      <c r="R409" s="114" t="s">
        <v>1293</v>
      </c>
      <c r="S409" s="114" t="s">
        <v>1323</v>
      </c>
      <c r="T409" s="114" t="s">
        <v>1320</v>
      </c>
    </row>
    <row r="410" spans="1:20" ht="38.25" x14ac:dyDescent="0.2">
      <c r="A410" s="108" t="s">
        <v>1883</v>
      </c>
      <c r="B410" s="114" t="s">
        <v>838</v>
      </c>
      <c r="C410" s="114" t="s">
        <v>24</v>
      </c>
      <c r="D410" s="114"/>
      <c r="E410" s="114"/>
      <c r="F410" s="114" t="s">
        <v>1884</v>
      </c>
      <c r="G410" s="114" t="s">
        <v>84</v>
      </c>
      <c r="H410" s="115">
        <v>5</v>
      </c>
      <c r="I410" s="116">
        <v>21.9375</v>
      </c>
      <c r="J410" s="116">
        <v>26.8125</v>
      </c>
      <c r="K410" s="116">
        <v>134.06</v>
      </c>
      <c r="L410" s="116">
        <v>29.25</v>
      </c>
      <c r="M410" s="116">
        <v>35.75</v>
      </c>
      <c r="N410" s="116">
        <v>178.75</v>
      </c>
      <c r="O410" s="121">
        <f t="shared" si="12"/>
        <v>0.25</v>
      </c>
      <c r="P410" s="121">
        <f t="shared" si="13"/>
        <v>0.25001398601398606</v>
      </c>
      <c r="Q410" s="121">
        <f>IFERROR(K410/RESUMO_DILIG!$D$5,"")</f>
        <v>1.4982455277764949E-5</v>
      </c>
      <c r="R410" s="114" t="s">
        <v>1293</v>
      </c>
      <c r="S410" s="114" t="s">
        <v>1323</v>
      </c>
      <c r="T410" s="114" t="s">
        <v>1320</v>
      </c>
    </row>
    <row r="411" spans="1:20" ht="51" x14ac:dyDescent="0.2">
      <c r="A411" s="108" t="s">
        <v>1885</v>
      </c>
      <c r="B411" s="114" t="s">
        <v>1886</v>
      </c>
      <c r="C411" s="114" t="s">
        <v>56</v>
      </c>
      <c r="D411" s="114"/>
      <c r="E411" s="114"/>
      <c r="F411" s="114" t="s">
        <v>840</v>
      </c>
      <c r="G411" s="114" t="s">
        <v>84</v>
      </c>
      <c r="H411" s="115">
        <v>6</v>
      </c>
      <c r="I411" s="116">
        <v>226.70249999999999</v>
      </c>
      <c r="J411" s="116">
        <v>277.09499999999997</v>
      </c>
      <c r="K411" s="116">
        <v>1662.57</v>
      </c>
      <c r="L411" s="116">
        <v>302.27</v>
      </c>
      <c r="M411" s="116">
        <v>369.46</v>
      </c>
      <c r="N411" s="116">
        <v>2216.7600000000002</v>
      </c>
      <c r="O411" s="121">
        <f t="shared" si="12"/>
        <v>0.25</v>
      </c>
      <c r="P411" s="121">
        <f t="shared" si="13"/>
        <v>0.25000000000000011</v>
      </c>
      <c r="Q411" s="121">
        <f>IFERROR(K411/RESUMO_DILIG!$D$5,"")</f>
        <v>1.8580770305201902E-4</v>
      </c>
      <c r="R411" s="114" t="s">
        <v>1293</v>
      </c>
      <c r="S411" s="114" t="s">
        <v>1323</v>
      </c>
      <c r="T411" s="114" t="s">
        <v>1320</v>
      </c>
    </row>
    <row r="412" spans="1:20" ht="51" x14ac:dyDescent="0.2">
      <c r="A412" s="108" t="s">
        <v>1887</v>
      </c>
      <c r="B412" s="114" t="s">
        <v>1888</v>
      </c>
      <c r="C412" s="114" t="s">
        <v>56</v>
      </c>
      <c r="D412" s="114"/>
      <c r="E412" s="114"/>
      <c r="F412" s="114" t="s">
        <v>841</v>
      </c>
      <c r="G412" s="114" t="s">
        <v>84</v>
      </c>
      <c r="H412" s="115">
        <v>4</v>
      </c>
      <c r="I412" s="116">
        <v>319.63499999999999</v>
      </c>
      <c r="J412" s="116">
        <v>390.6825</v>
      </c>
      <c r="K412" s="116">
        <v>1562.73</v>
      </c>
      <c r="L412" s="116">
        <v>426.18</v>
      </c>
      <c r="M412" s="116">
        <v>520.91</v>
      </c>
      <c r="N412" s="116">
        <v>2083.64</v>
      </c>
      <c r="O412" s="121">
        <f t="shared" si="12"/>
        <v>0.25</v>
      </c>
      <c r="P412" s="121">
        <f t="shared" si="13"/>
        <v>0.25</v>
      </c>
      <c r="Q412" s="121">
        <f>IFERROR(K412/RESUMO_DILIG!$D$5,"")</f>
        <v>1.7464965191870519E-4</v>
      </c>
      <c r="R412" s="114" t="s">
        <v>1293</v>
      </c>
      <c r="S412" s="114" t="s">
        <v>1323</v>
      </c>
      <c r="T412" s="114" t="s">
        <v>1320</v>
      </c>
    </row>
    <row r="413" spans="1:20" ht="25.5" x14ac:dyDescent="0.2">
      <c r="A413" s="108" t="s">
        <v>1889</v>
      </c>
      <c r="B413" s="114" t="s">
        <v>1890</v>
      </c>
      <c r="C413" s="114" t="s">
        <v>56</v>
      </c>
      <c r="D413" s="114"/>
      <c r="E413" s="114"/>
      <c r="F413" s="114" t="s">
        <v>842</v>
      </c>
      <c r="G413" s="114" t="s">
        <v>84</v>
      </c>
      <c r="H413" s="115">
        <v>4</v>
      </c>
      <c r="I413" s="116">
        <v>211.41749999999999</v>
      </c>
      <c r="J413" s="116">
        <v>258.41250000000002</v>
      </c>
      <c r="K413" s="116">
        <v>1033.6500000000001</v>
      </c>
      <c r="L413" s="116">
        <v>281.89</v>
      </c>
      <c r="M413" s="116">
        <v>344.55</v>
      </c>
      <c r="N413" s="116">
        <v>1378.2</v>
      </c>
      <c r="O413" s="121">
        <f t="shared" si="12"/>
        <v>0.25</v>
      </c>
      <c r="P413" s="121">
        <f t="shared" si="13"/>
        <v>0.25</v>
      </c>
      <c r="Q413" s="121">
        <f>IFERROR(K413/RESUMO_DILIG!$D$5,"")</f>
        <v>1.1552002758363226E-4</v>
      </c>
      <c r="R413" s="114" t="s">
        <v>1293</v>
      </c>
      <c r="S413" s="114" t="s">
        <v>1323</v>
      </c>
      <c r="T413" s="114" t="s">
        <v>1320</v>
      </c>
    </row>
    <row r="414" spans="1:20" ht="25.5" x14ac:dyDescent="0.2">
      <c r="A414" s="108" t="s">
        <v>1891</v>
      </c>
      <c r="B414" s="114" t="s">
        <v>1892</v>
      </c>
      <c r="C414" s="114" t="s">
        <v>56</v>
      </c>
      <c r="D414" s="114"/>
      <c r="E414" s="114"/>
      <c r="F414" s="114" t="s">
        <v>843</v>
      </c>
      <c r="G414" s="114" t="s">
        <v>26</v>
      </c>
      <c r="H414" s="115">
        <v>24.318999999999999</v>
      </c>
      <c r="I414" s="116">
        <v>322.5</v>
      </c>
      <c r="J414" s="116">
        <v>394.18500000000006</v>
      </c>
      <c r="K414" s="116">
        <v>9586.18</v>
      </c>
      <c r="L414" s="116">
        <v>430</v>
      </c>
      <c r="M414" s="116">
        <v>525.58000000000004</v>
      </c>
      <c r="N414" s="116">
        <v>12781.58</v>
      </c>
      <c r="O414" s="121">
        <f t="shared" si="12"/>
        <v>0.25</v>
      </c>
      <c r="P414" s="121">
        <f t="shared" si="13"/>
        <v>0.25000039118794393</v>
      </c>
      <c r="Q414" s="121">
        <f>IFERROR(K414/RESUMO_DILIG!$D$5,"")</f>
        <v>1.071345018160561E-3</v>
      </c>
      <c r="R414" s="114" t="s">
        <v>1290</v>
      </c>
      <c r="S414" s="114" t="s">
        <v>1323</v>
      </c>
      <c r="T414" s="114" t="s">
        <v>1320</v>
      </c>
    </row>
    <row r="415" spans="1:20" ht="51" x14ac:dyDescent="0.2">
      <c r="A415" s="108" t="s">
        <v>1893</v>
      </c>
      <c r="B415" s="114" t="s">
        <v>1894</v>
      </c>
      <c r="C415" s="114" t="s">
        <v>56</v>
      </c>
      <c r="D415" s="114"/>
      <c r="E415" s="114"/>
      <c r="F415" s="114" t="s">
        <v>847</v>
      </c>
      <c r="G415" s="114" t="s">
        <v>99</v>
      </c>
      <c r="H415" s="115">
        <v>80</v>
      </c>
      <c r="I415" s="116">
        <v>21.315000000000001</v>
      </c>
      <c r="J415" s="116">
        <v>26.047499999999999</v>
      </c>
      <c r="K415" s="116">
        <v>2083.8000000000002</v>
      </c>
      <c r="L415" s="116">
        <v>28.42</v>
      </c>
      <c r="M415" s="116">
        <v>34.729999999999997</v>
      </c>
      <c r="N415" s="116">
        <v>2778.4</v>
      </c>
      <c r="O415" s="121">
        <f t="shared" si="12"/>
        <v>0.25</v>
      </c>
      <c r="P415" s="121">
        <f t="shared" si="13"/>
        <v>0.25</v>
      </c>
      <c r="Q415" s="121">
        <f>IFERROR(K415/RESUMO_DILIG!$D$5,"")</f>
        <v>2.3288408405047444E-4</v>
      </c>
      <c r="R415" s="114" t="s">
        <v>1293</v>
      </c>
      <c r="S415" s="114" t="s">
        <v>1323</v>
      </c>
      <c r="T415" s="114" t="s">
        <v>1320</v>
      </c>
    </row>
    <row r="416" spans="1:20" ht="51" x14ac:dyDescent="0.2">
      <c r="A416" s="108" t="s">
        <v>1895</v>
      </c>
      <c r="B416" s="114" t="s">
        <v>1896</v>
      </c>
      <c r="C416" s="114" t="s">
        <v>56</v>
      </c>
      <c r="D416" s="114"/>
      <c r="E416" s="114"/>
      <c r="F416" s="114" t="s">
        <v>1897</v>
      </c>
      <c r="G416" s="114" t="s">
        <v>99</v>
      </c>
      <c r="H416" s="115">
        <v>80</v>
      </c>
      <c r="I416" s="116">
        <v>35.144999999999996</v>
      </c>
      <c r="J416" s="116">
        <v>42.952500000000001</v>
      </c>
      <c r="K416" s="116">
        <v>3436.2</v>
      </c>
      <c r="L416" s="116">
        <v>46.86</v>
      </c>
      <c r="M416" s="116">
        <v>57.27</v>
      </c>
      <c r="N416" s="116">
        <v>4581.6000000000004</v>
      </c>
      <c r="O416" s="121">
        <f t="shared" si="12"/>
        <v>0.25</v>
      </c>
      <c r="P416" s="121">
        <f t="shared" si="13"/>
        <v>0.25000000000000011</v>
      </c>
      <c r="Q416" s="121">
        <f>IFERROR(K416/RESUMO_DILIG!$D$5,"")</f>
        <v>3.840273968779346E-4</v>
      </c>
      <c r="R416" s="114" t="s">
        <v>1293</v>
      </c>
      <c r="S416" s="114" t="s">
        <v>1323</v>
      </c>
      <c r="T416" s="114" t="s">
        <v>1320</v>
      </c>
    </row>
    <row r="417" spans="1:20" ht="51" x14ac:dyDescent="0.2">
      <c r="A417" s="108" t="s">
        <v>1898</v>
      </c>
      <c r="B417" s="114" t="s">
        <v>1899</v>
      </c>
      <c r="C417" s="114" t="s">
        <v>56</v>
      </c>
      <c r="D417" s="114"/>
      <c r="E417" s="114"/>
      <c r="F417" s="114" t="s">
        <v>1900</v>
      </c>
      <c r="G417" s="114" t="s">
        <v>99</v>
      </c>
      <c r="H417" s="115">
        <v>190</v>
      </c>
      <c r="I417" s="116">
        <v>45.082499999999996</v>
      </c>
      <c r="J417" s="116">
        <v>55.102499999999999</v>
      </c>
      <c r="K417" s="116">
        <v>10469.469999999999</v>
      </c>
      <c r="L417" s="116">
        <v>60.11</v>
      </c>
      <c r="M417" s="116">
        <v>73.47</v>
      </c>
      <c r="N417" s="116">
        <v>13959.3</v>
      </c>
      <c r="O417" s="121">
        <f t="shared" si="12"/>
        <v>0.25</v>
      </c>
      <c r="P417" s="121">
        <f t="shared" si="13"/>
        <v>0.25000035818414967</v>
      </c>
      <c r="Q417" s="121">
        <f>IFERROR(K417/RESUMO_DILIG!$D$5,"")</f>
        <v>1.1700609134484693E-3</v>
      </c>
      <c r="R417" s="114" t="s">
        <v>1290</v>
      </c>
      <c r="S417" s="114" t="s">
        <v>1323</v>
      </c>
      <c r="T417" s="114" t="s">
        <v>1320</v>
      </c>
    </row>
    <row r="418" spans="1:20" ht="63.75" x14ac:dyDescent="0.2">
      <c r="A418" s="108" t="s">
        <v>1901</v>
      </c>
      <c r="B418" s="114" t="s">
        <v>1902</v>
      </c>
      <c r="C418" s="114" t="s">
        <v>56</v>
      </c>
      <c r="D418" s="114"/>
      <c r="E418" s="114"/>
      <c r="F418" s="114" t="s">
        <v>1903</v>
      </c>
      <c r="G418" s="114" t="s">
        <v>99</v>
      </c>
      <c r="H418" s="115">
        <v>90</v>
      </c>
      <c r="I418" s="116">
        <v>58.994999999999997</v>
      </c>
      <c r="J418" s="116">
        <v>72.105000000000004</v>
      </c>
      <c r="K418" s="116">
        <v>6489.45</v>
      </c>
      <c r="L418" s="116">
        <v>78.66</v>
      </c>
      <c r="M418" s="116">
        <v>96.14</v>
      </c>
      <c r="N418" s="116">
        <v>8652.6</v>
      </c>
      <c r="O418" s="121">
        <f t="shared" si="12"/>
        <v>0.25</v>
      </c>
      <c r="P418" s="121">
        <f t="shared" si="13"/>
        <v>0.25</v>
      </c>
      <c r="Q418" s="121">
        <f>IFERROR(K418/RESUMO_DILIG!$D$5,"")</f>
        <v>7.2525655976646091E-4</v>
      </c>
      <c r="R418" s="114" t="s">
        <v>1290</v>
      </c>
      <c r="S418" s="114" t="s">
        <v>1323</v>
      </c>
      <c r="T418" s="114" t="s">
        <v>1320</v>
      </c>
    </row>
    <row r="419" spans="1:20" ht="51" x14ac:dyDescent="0.2">
      <c r="A419" s="108" t="s">
        <v>1904</v>
      </c>
      <c r="B419" s="114" t="s">
        <v>1905</v>
      </c>
      <c r="C419" s="114" t="s">
        <v>56</v>
      </c>
      <c r="D419" s="114"/>
      <c r="E419" s="114"/>
      <c r="F419" s="114" t="s">
        <v>1906</v>
      </c>
      <c r="G419" s="114" t="s">
        <v>99</v>
      </c>
      <c r="H419" s="115">
        <v>100</v>
      </c>
      <c r="I419" s="116">
        <v>97.41749999999999</v>
      </c>
      <c r="J419" s="116">
        <v>119.07</v>
      </c>
      <c r="K419" s="116">
        <v>11907</v>
      </c>
      <c r="L419" s="116">
        <v>129.88999999999999</v>
      </c>
      <c r="M419" s="116">
        <v>158.76</v>
      </c>
      <c r="N419" s="116">
        <v>15876</v>
      </c>
      <c r="O419" s="121">
        <f t="shared" si="12"/>
        <v>0.25</v>
      </c>
      <c r="P419" s="121">
        <f t="shared" si="13"/>
        <v>0.25</v>
      </c>
      <c r="Q419" s="121">
        <f>IFERROR(K419/RESUMO_DILIG!$D$5,"")</f>
        <v>1.3307182977200301E-3</v>
      </c>
      <c r="R419" s="114" t="s">
        <v>1290</v>
      </c>
      <c r="S419" s="114" t="s">
        <v>1323</v>
      </c>
      <c r="T419" s="114" t="s">
        <v>1320</v>
      </c>
    </row>
    <row r="420" spans="1:20" ht="51" x14ac:dyDescent="0.2">
      <c r="A420" s="108" t="s">
        <v>1907</v>
      </c>
      <c r="B420" s="114" t="s">
        <v>852</v>
      </c>
      <c r="C420" s="114" t="s">
        <v>209</v>
      </c>
      <c r="D420" s="114"/>
      <c r="E420" s="114"/>
      <c r="F420" s="114" t="s">
        <v>1908</v>
      </c>
      <c r="G420" s="114" t="s">
        <v>99</v>
      </c>
      <c r="H420" s="115">
        <v>70</v>
      </c>
      <c r="I420" s="116">
        <v>84.292500000000004</v>
      </c>
      <c r="J420" s="116">
        <v>103.0275</v>
      </c>
      <c r="K420" s="116">
        <v>7211.92</v>
      </c>
      <c r="L420" s="116">
        <v>112.39</v>
      </c>
      <c r="M420" s="116">
        <v>137.37</v>
      </c>
      <c r="N420" s="116">
        <v>9615.9</v>
      </c>
      <c r="O420" s="121">
        <f t="shared" si="12"/>
        <v>0.25</v>
      </c>
      <c r="P420" s="121">
        <f t="shared" si="13"/>
        <v>0.25000051997212946</v>
      </c>
      <c r="Q420" s="121">
        <f>IFERROR(K420/RESUMO_DILIG!$D$5,"")</f>
        <v>8.059993202060166E-4</v>
      </c>
      <c r="R420" s="114" t="s">
        <v>1290</v>
      </c>
      <c r="S420" s="114" t="s">
        <v>1319</v>
      </c>
      <c r="T420" s="114" t="s">
        <v>1320</v>
      </c>
    </row>
    <row r="421" spans="1:20" ht="63.75" x14ac:dyDescent="0.2">
      <c r="A421" s="108" t="s">
        <v>1909</v>
      </c>
      <c r="B421" s="114" t="s">
        <v>854</v>
      </c>
      <c r="C421" s="114" t="s">
        <v>209</v>
      </c>
      <c r="D421" s="114"/>
      <c r="E421" s="114"/>
      <c r="F421" s="114" t="s">
        <v>855</v>
      </c>
      <c r="G421" s="114" t="s">
        <v>99</v>
      </c>
      <c r="H421" s="115">
        <v>30</v>
      </c>
      <c r="I421" s="116">
        <v>115.77000000000001</v>
      </c>
      <c r="J421" s="116">
        <v>141.5025</v>
      </c>
      <c r="K421" s="116">
        <v>4245.07</v>
      </c>
      <c r="L421" s="116">
        <v>154.36000000000001</v>
      </c>
      <c r="M421" s="116">
        <v>188.67</v>
      </c>
      <c r="N421" s="116">
        <v>5660.1</v>
      </c>
      <c r="O421" s="121">
        <f t="shared" si="12"/>
        <v>0.25</v>
      </c>
      <c r="P421" s="121">
        <f t="shared" si="13"/>
        <v>0.25000088337661885</v>
      </c>
      <c r="Q421" s="121">
        <f>IFERROR(K421/RESUMO_DILIG!$D$5,"")</f>
        <v>4.7442616310593502E-4</v>
      </c>
      <c r="R421" s="114" t="s">
        <v>1293</v>
      </c>
      <c r="S421" s="114" t="s">
        <v>1319</v>
      </c>
      <c r="T421" s="114" t="s">
        <v>1320</v>
      </c>
    </row>
    <row r="422" spans="1:20" ht="63.75" x14ac:dyDescent="0.2">
      <c r="A422" s="108" t="s">
        <v>1910</v>
      </c>
      <c r="B422" s="114" t="s">
        <v>856</v>
      </c>
      <c r="C422" s="114" t="s">
        <v>209</v>
      </c>
      <c r="D422" s="114"/>
      <c r="E422" s="114"/>
      <c r="F422" s="114" t="s">
        <v>857</v>
      </c>
      <c r="G422" s="114" t="s">
        <v>99</v>
      </c>
      <c r="H422" s="115">
        <v>50</v>
      </c>
      <c r="I422" s="116">
        <v>160.22999999999999</v>
      </c>
      <c r="J422" s="116">
        <v>195.8475</v>
      </c>
      <c r="K422" s="116">
        <v>9792.3700000000008</v>
      </c>
      <c r="L422" s="116">
        <v>213.64</v>
      </c>
      <c r="M422" s="116">
        <v>261.13</v>
      </c>
      <c r="N422" s="116">
        <v>13056.5</v>
      </c>
      <c r="O422" s="121">
        <f t="shared" si="12"/>
        <v>0.25</v>
      </c>
      <c r="P422" s="121">
        <f t="shared" si="13"/>
        <v>0.25000038295102045</v>
      </c>
      <c r="Q422" s="121">
        <f>IFERROR(K422/RESUMO_DILIG!$D$5,"")</f>
        <v>1.0943886736411096E-3</v>
      </c>
      <c r="R422" s="114" t="s">
        <v>1290</v>
      </c>
      <c r="S422" s="114" t="s">
        <v>1319</v>
      </c>
      <c r="T422" s="114" t="s">
        <v>1320</v>
      </c>
    </row>
    <row r="423" spans="1:20" ht="63.75" x14ac:dyDescent="0.2">
      <c r="A423" s="108" t="s">
        <v>1911</v>
      </c>
      <c r="B423" s="114" t="s">
        <v>858</v>
      </c>
      <c r="C423" s="114" t="s">
        <v>209</v>
      </c>
      <c r="D423" s="114"/>
      <c r="E423" s="114"/>
      <c r="F423" s="114" t="s">
        <v>859</v>
      </c>
      <c r="G423" s="114" t="s">
        <v>99</v>
      </c>
      <c r="H423" s="115">
        <v>40</v>
      </c>
      <c r="I423" s="116">
        <v>200.01</v>
      </c>
      <c r="J423" s="116">
        <v>244.46999999999997</v>
      </c>
      <c r="K423" s="116">
        <v>9778.7999999999993</v>
      </c>
      <c r="L423" s="116">
        <v>266.68</v>
      </c>
      <c r="M423" s="116">
        <v>325.95999999999998</v>
      </c>
      <c r="N423" s="116">
        <v>13038.4</v>
      </c>
      <c r="O423" s="121">
        <f t="shared" si="12"/>
        <v>0.25</v>
      </c>
      <c r="P423" s="121">
        <f t="shared" si="13"/>
        <v>0.25</v>
      </c>
      <c r="Q423" s="121">
        <f>IFERROR(K423/RESUMO_DILIG!$D$5,"")</f>
        <v>1.0928720995838272E-3</v>
      </c>
      <c r="R423" s="114" t="s">
        <v>1290</v>
      </c>
      <c r="S423" s="114" t="s">
        <v>1319</v>
      </c>
      <c r="T423" s="114" t="s">
        <v>1320</v>
      </c>
    </row>
    <row r="424" spans="1:20" ht="63.75" x14ac:dyDescent="0.2">
      <c r="A424" s="108" t="s">
        <v>1912</v>
      </c>
      <c r="B424" s="114" t="s">
        <v>860</v>
      </c>
      <c r="C424" s="114" t="s">
        <v>209</v>
      </c>
      <c r="D424" s="114"/>
      <c r="E424" s="114"/>
      <c r="F424" s="114" t="s">
        <v>861</v>
      </c>
      <c r="G424" s="114" t="s">
        <v>99</v>
      </c>
      <c r="H424" s="115">
        <v>10</v>
      </c>
      <c r="I424" s="116">
        <v>259.38750000000005</v>
      </c>
      <c r="J424" s="116">
        <v>317.04750000000001</v>
      </c>
      <c r="K424" s="116">
        <v>3170.47</v>
      </c>
      <c r="L424" s="116">
        <v>345.85</v>
      </c>
      <c r="M424" s="116">
        <v>422.73</v>
      </c>
      <c r="N424" s="116">
        <v>4227.3</v>
      </c>
      <c r="O424" s="121">
        <f t="shared" si="12"/>
        <v>0.25</v>
      </c>
      <c r="P424" s="121">
        <f t="shared" si="13"/>
        <v>0.25000118278806815</v>
      </c>
      <c r="Q424" s="121">
        <f>IFERROR(K424/RESUMO_DILIG!$D$5,"")</f>
        <v>3.5432959111215452E-4</v>
      </c>
      <c r="R424" s="114" t="s">
        <v>1293</v>
      </c>
      <c r="S424" s="114" t="s">
        <v>1323</v>
      </c>
      <c r="T424" s="114" t="s">
        <v>1320</v>
      </c>
    </row>
    <row r="425" spans="1:20" ht="63.75" x14ac:dyDescent="0.2">
      <c r="A425" s="108" t="s">
        <v>1913</v>
      </c>
      <c r="B425" s="114" t="s">
        <v>862</v>
      </c>
      <c r="C425" s="114" t="s">
        <v>209</v>
      </c>
      <c r="D425" s="114"/>
      <c r="E425" s="114"/>
      <c r="F425" s="114" t="s">
        <v>863</v>
      </c>
      <c r="G425" s="114" t="s">
        <v>99</v>
      </c>
      <c r="H425" s="115">
        <v>20</v>
      </c>
      <c r="I425" s="116">
        <v>340.85250000000002</v>
      </c>
      <c r="J425" s="116">
        <v>416.61750000000001</v>
      </c>
      <c r="K425" s="116">
        <v>8332.35</v>
      </c>
      <c r="L425" s="116">
        <v>454.47</v>
      </c>
      <c r="M425" s="116">
        <v>555.49</v>
      </c>
      <c r="N425" s="116">
        <v>11109.8</v>
      </c>
      <c r="O425" s="121">
        <f t="shared" si="12"/>
        <v>0.25</v>
      </c>
      <c r="P425" s="121">
        <f t="shared" si="13"/>
        <v>0.24999999999999989</v>
      </c>
      <c r="Q425" s="121">
        <f>IFERROR(K425/RESUMO_DILIG!$D$5,"")</f>
        <v>9.3121782212207053E-4</v>
      </c>
      <c r="R425" s="114" t="s">
        <v>1290</v>
      </c>
      <c r="S425" s="114" t="s">
        <v>1319</v>
      </c>
      <c r="T425" s="114" t="s">
        <v>1320</v>
      </c>
    </row>
    <row r="426" spans="1:20" ht="89.25" x14ac:dyDescent="0.2">
      <c r="A426" s="108" t="s">
        <v>1914</v>
      </c>
      <c r="B426" s="114" t="s">
        <v>1915</v>
      </c>
      <c r="C426" s="114" t="s">
        <v>24</v>
      </c>
      <c r="D426" s="114"/>
      <c r="E426" s="114"/>
      <c r="F426" s="114" t="s">
        <v>865</v>
      </c>
      <c r="G426" s="114" t="s">
        <v>84</v>
      </c>
      <c r="H426" s="115">
        <v>3</v>
      </c>
      <c r="I426" s="116">
        <v>1006.2825</v>
      </c>
      <c r="J426" s="116">
        <v>1229.9775</v>
      </c>
      <c r="K426" s="116">
        <v>3689.93</v>
      </c>
      <c r="L426" s="116">
        <v>1341.71</v>
      </c>
      <c r="M426" s="116">
        <v>1639.97</v>
      </c>
      <c r="N426" s="116">
        <v>4919.91</v>
      </c>
      <c r="O426" s="121">
        <f t="shared" si="12"/>
        <v>0.25</v>
      </c>
      <c r="P426" s="121">
        <f t="shared" si="13"/>
        <v>0.25000050813937658</v>
      </c>
      <c r="Q426" s="121">
        <f>IFERROR(K426/RESUMO_DILIG!$D$5,"")</f>
        <v>4.1238409072865296E-4</v>
      </c>
      <c r="R426" s="114" t="s">
        <v>1293</v>
      </c>
      <c r="S426" s="114" t="s">
        <v>1323</v>
      </c>
      <c r="T426" s="114" t="s">
        <v>1320</v>
      </c>
    </row>
    <row r="427" spans="1:20" ht="89.25" x14ac:dyDescent="0.2">
      <c r="A427" s="108" t="s">
        <v>1916</v>
      </c>
      <c r="B427" s="114" t="s">
        <v>1917</v>
      </c>
      <c r="C427" s="114" t="s">
        <v>24</v>
      </c>
      <c r="D427" s="114"/>
      <c r="E427" s="114"/>
      <c r="F427" s="114" t="s">
        <v>1918</v>
      </c>
      <c r="G427" s="114" t="s">
        <v>84</v>
      </c>
      <c r="H427" s="115">
        <v>4</v>
      </c>
      <c r="I427" s="116">
        <v>931.52250000000004</v>
      </c>
      <c r="J427" s="116">
        <v>1138.5975000000001</v>
      </c>
      <c r="K427" s="116">
        <v>4554.3900000000003</v>
      </c>
      <c r="L427" s="116">
        <v>1242.03</v>
      </c>
      <c r="M427" s="116">
        <v>1518.13</v>
      </c>
      <c r="N427" s="116">
        <v>6072.52</v>
      </c>
      <c r="O427" s="121">
        <f t="shared" si="12"/>
        <v>0.25</v>
      </c>
      <c r="P427" s="121">
        <f t="shared" si="13"/>
        <v>0.25</v>
      </c>
      <c r="Q427" s="121">
        <f>IFERROR(K427/RESUMO_DILIG!$D$5,"")</f>
        <v>5.0899555790317704E-4</v>
      </c>
      <c r="R427" s="114" t="s">
        <v>1293</v>
      </c>
      <c r="S427" s="114" t="s">
        <v>1323</v>
      </c>
      <c r="T427" s="114" t="s">
        <v>1320</v>
      </c>
    </row>
    <row r="428" spans="1:20" ht="89.25" x14ac:dyDescent="0.2">
      <c r="A428" s="108" t="s">
        <v>1919</v>
      </c>
      <c r="B428" s="114" t="s">
        <v>1920</v>
      </c>
      <c r="C428" s="114" t="s">
        <v>24</v>
      </c>
      <c r="D428" s="114"/>
      <c r="E428" s="114"/>
      <c r="F428" s="114" t="s">
        <v>1921</v>
      </c>
      <c r="G428" s="114" t="s">
        <v>84</v>
      </c>
      <c r="H428" s="115">
        <v>21</v>
      </c>
      <c r="I428" s="116">
        <v>294.11249999999995</v>
      </c>
      <c r="J428" s="116">
        <v>359.49</v>
      </c>
      <c r="K428" s="116">
        <v>7549.29</v>
      </c>
      <c r="L428" s="116">
        <v>392.15</v>
      </c>
      <c r="M428" s="116">
        <v>479.32</v>
      </c>
      <c r="N428" s="116">
        <v>10065.719999999999</v>
      </c>
      <c r="O428" s="121">
        <f t="shared" si="12"/>
        <v>0.25</v>
      </c>
      <c r="P428" s="121">
        <f t="shared" si="13"/>
        <v>0.25</v>
      </c>
      <c r="Q428" s="121">
        <f>IFERROR(K428/RESUMO_DILIG!$D$5,"")</f>
        <v>8.4370356410471542E-4</v>
      </c>
      <c r="R428" s="114" t="s">
        <v>1290</v>
      </c>
      <c r="S428" s="114" t="s">
        <v>1323</v>
      </c>
      <c r="T428" s="114" t="s">
        <v>1320</v>
      </c>
    </row>
    <row r="429" spans="1:20" ht="89.25" x14ac:dyDescent="0.2">
      <c r="A429" s="108" t="s">
        <v>1922</v>
      </c>
      <c r="B429" s="114" t="s">
        <v>1923</v>
      </c>
      <c r="C429" s="114" t="s">
        <v>24</v>
      </c>
      <c r="D429" s="114"/>
      <c r="E429" s="114"/>
      <c r="F429" s="114" t="s">
        <v>1924</v>
      </c>
      <c r="G429" s="114" t="s">
        <v>84</v>
      </c>
      <c r="H429" s="115">
        <v>7</v>
      </c>
      <c r="I429" s="116">
        <v>652.755</v>
      </c>
      <c r="J429" s="116">
        <v>797.85749999999996</v>
      </c>
      <c r="K429" s="116">
        <v>5585</v>
      </c>
      <c r="L429" s="116">
        <v>870.34</v>
      </c>
      <c r="M429" s="116">
        <v>1063.81</v>
      </c>
      <c r="N429" s="116">
        <v>7446.67</v>
      </c>
      <c r="O429" s="121">
        <f t="shared" si="12"/>
        <v>0.25</v>
      </c>
      <c r="P429" s="121">
        <f t="shared" si="13"/>
        <v>0.25000033572053015</v>
      </c>
      <c r="Q429" s="121">
        <f>IFERROR(K429/RESUMO_DILIG!$D$5,"")</f>
        <v>6.2417583713499352E-4</v>
      </c>
      <c r="R429" s="114" t="s">
        <v>1293</v>
      </c>
      <c r="S429" s="114" t="s">
        <v>1323</v>
      </c>
      <c r="T429" s="114" t="s">
        <v>1320</v>
      </c>
    </row>
    <row r="430" spans="1:20" ht="25.5" x14ac:dyDescent="0.2">
      <c r="A430" s="108" t="s">
        <v>1925</v>
      </c>
      <c r="B430" s="114" t="s">
        <v>872</v>
      </c>
      <c r="C430" s="114" t="s">
        <v>209</v>
      </c>
      <c r="D430" s="114"/>
      <c r="E430" s="114"/>
      <c r="F430" s="114" t="s">
        <v>873</v>
      </c>
      <c r="G430" s="114" t="s">
        <v>84</v>
      </c>
      <c r="H430" s="115">
        <v>16</v>
      </c>
      <c r="I430" s="116">
        <v>167.08500000000001</v>
      </c>
      <c r="J430" s="116">
        <v>204.22500000000002</v>
      </c>
      <c r="K430" s="116">
        <v>3267.6</v>
      </c>
      <c r="L430" s="116">
        <v>222.78</v>
      </c>
      <c r="M430" s="116">
        <v>272.3</v>
      </c>
      <c r="N430" s="116">
        <v>4356.8</v>
      </c>
      <c r="O430" s="121">
        <f t="shared" si="12"/>
        <v>0.25</v>
      </c>
      <c r="P430" s="121">
        <f t="shared" si="13"/>
        <v>0.25</v>
      </c>
      <c r="Q430" s="121">
        <f>IFERROR(K430/RESUMO_DILIG!$D$5,"")</f>
        <v>3.6518477447131689E-4</v>
      </c>
      <c r="R430" s="114" t="s">
        <v>1293</v>
      </c>
      <c r="S430" s="114" t="s">
        <v>1319</v>
      </c>
      <c r="T430" s="114" t="s">
        <v>1320</v>
      </c>
    </row>
    <row r="431" spans="1:20" ht="25.5" x14ac:dyDescent="0.2">
      <c r="A431" s="108" t="s">
        <v>1926</v>
      </c>
      <c r="B431" s="114" t="s">
        <v>874</v>
      </c>
      <c r="C431" s="114" t="s">
        <v>209</v>
      </c>
      <c r="D431" s="114"/>
      <c r="E431" s="114"/>
      <c r="F431" s="114" t="s">
        <v>875</v>
      </c>
      <c r="G431" s="114" t="s">
        <v>84</v>
      </c>
      <c r="H431" s="115">
        <v>17</v>
      </c>
      <c r="I431" s="116">
        <v>168.20250000000001</v>
      </c>
      <c r="J431" s="116">
        <v>205.59</v>
      </c>
      <c r="K431" s="116">
        <v>3495.03</v>
      </c>
      <c r="L431" s="116">
        <v>224.27</v>
      </c>
      <c r="M431" s="116">
        <v>274.12</v>
      </c>
      <c r="N431" s="116">
        <v>4660.04</v>
      </c>
      <c r="O431" s="121">
        <f t="shared" si="12"/>
        <v>0.25</v>
      </c>
      <c r="P431" s="121">
        <f t="shared" si="13"/>
        <v>0.25</v>
      </c>
      <c r="Q431" s="121">
        <f>IFERROR(K431/RESUMO_DILIG!$D$5,"")</f>
        <v>3.906021980415249E-4</v>
      </c>
      <c r="R431" s="114" t="s">
        <v>1293</v>
      </c>
      <c r="S431" s="114" t="s">
        <v>1319</v>
      </c>
      <c r="T431" s="114" t="s">
        <v>1320</v>
      </c>
    </row>
    <row r="432" spans="1:20" ht="25.5" x14ac:dyDescent="0.2">
      <c r="A432" s="108" t="s">
        <v>1927</v>
      </c>
      <c r="B432" s="114" t="s">
        <v>876</v>
      </c>
      <c r="C432" s="114" t="s">
        <v>209</v>
      </c>
      <c r="D432" s="114"/>
      <c r="E432" s="114"/>
      <c r="F432" s="114" t="s">
        <v>877</v>
      </c>
      <c r="G432" s="114" t="s">
        <v>84</v>
      </c>
      <c r="H432" s="115">
        <v>18</v>
      </c>
      <c r="I432" s="116">
        <v>170.26500000000001</v>
      </c>
      <c r="J432" s="116">
        <v>208.11</v>
      </c>
      <c r="K432" s="116">
        <v>3745.98</v>
      </c>
      <c r="L432" s="116">
        <v>227.02</v>
      </c>
      <c r="M432" s="116">
        <v>277.48</v>
      </c>
      <c r="N432" s="116">
        <v>4994.6400000000003</v>
      </c>
      <c r="O432" s="121">
        <f t="shared" si="12"/>
        <v>0.25</v>
      </c>
      <c r="P432" s="121">
        <f t="shared" si="13"/>
        <v>0.25</v>
      </c>
      <c r="Q432" s="121">
        <f>IFERROR(K432/RESUMO_DILIG!$D$5,"")</f>
        <v>4.1864820096525391E-4</v>
      </c>
      <c r="R432" s="114" t="s">
        <v>1293</v>
      </c>
      <c r="S432" s="114" t="s">
        <v>1319</v>
      </c>
      <c r="T432" s="114" t="s">
        <v>1320</v>
      </c>
    </row>
    <row r="433" spans="1:20" ht="25.5" x14ac:dyDescent="0.2">
      <c r="A433" s="108" t="s">
        <v>1928</v>
      </c>
      <c r="B433" s="114" t="s">
        <v>1929</v>
      </c>
      <c r="C433" s="114" t="s">
        <v>209</v>
      </c>
      <c r="D433" s="114"/>
      <c r="E433" s="114"/>
      <c r="F433" s="114" t="s">
        <v>1930</v>
      </c>
      <c r="G433" s="114" t="s">
        <v>84</v>
      </c>
      <c r="H433" s="115">
        <v>17</v>
      </c>
      <c r="I433" s="116">
        <v>174.91499999999999</v>
      </c>
      <c r="J433" s="116">
        <v>213.79500000000002</v>
      </c>
      <c r="K433" s="116">
        <v>3634.51</v>
      </c>
      <c r="L433" s="116">
        <v>233.22</v>
      </c>
      <c r="M433" s="116">
        <v>285.06</v>
      </c>
      <c r="N433" s="116">
        <v>4846.0200000000004</v>
      </c>
      <c r="O433" s="121">
        <f t="shared" si="12"/>
        <v>0.25</v>
      </c>
      <c r="P433" s="121">
        <f t="shared" si="13"/>
        <v>0.25000103177452837</v>
      </c>
      <c r="Q433" s="121">
        <f>IFERROR(K433/RESUMO_DILIG!$D$5,"")</f>
        <v>4.0619038886759276E-4</v>
      </c>
      <c r="R433" s="114" t="s">
        <v>1293</v>
      </c>
      <c r="S433" s="114" t="s">
        <v>1319</v>
      </c>
      <c r="T433" s="114" t="s">
        <v>1320</v>
      </c>
    </row>
    <row r="434" spans="1:20" ht="25.5" x14ac:dyDescent="0.2">
      <c r="A434" s="108" t="s">
        <v>1931</v>
      </c>
      <c r="B434" s="114" t="s">
        <v>1932</v>
      </c>
      <c r="C434" s="114" t="s">
        <v>209</v>
      </c>
      <c r="D434" s="114"/>
      <c r="E434" s="114"/>
      <c r="F434" s="114" t="s">
        <v>1933</v>
      </c>
      <c r="G434" s="114" t="s">
        <v>84</v>
      </c>
      <c r="H434" s="115">
        <v>2</v>
      </c>
      <c r="I434" s="116">
        <v>233.38499999999999</v>
      </c>
      <c r="J434" s="116">
        <v>285.26250000000005</v>
      </c>
      <c r="K434" s="116">
        <v>570.52</v>
      </c>
      <c r="L434" s="116">
        <v>311.18</v>
      </c>
      <c r="M434" s="116">
        <v>380.35</v>
      </c>
      <c r="N434" s="116">
        <v>760.7</v>
      </c>
      <c r="O434" s="121">
        <f t="shared" si="12"/>
        <v>0.24999999999999989</v>
      </c>
      <c r="P434" s="121">
        <f t="shared" si="13"/>
        <v>0.25000657289338779</v>
      </c>
      <c r="Q434" s="121">
        <f>IFERROR(K434/RESUMO_DILIG!$D$5,"")</f>
        <v>6.3760930815086222E-5</v>
      </c>
      <c r="R434" s="114" t="s">
        <v>1293</v>
      </c>
      <c r="S434" s="114" t="s">
        <v>1319</v>
      </c>
      <c r="T434" s="114" t="s">
        <v>1320</v>
      </c>
    </row>
    <row r="435" spans="1:20" ht="25.5" x14ac:dyDescent="0.2">
      <c r="A435" s="108" t="s">
        <v>1934</v>
      </c>
      <c r="B435" s="114" t="s">
        <v>1935</v>
      </c>
      <c r="C435" s="114" t="s">
        <v>335</v>
      </c>
      <c r="D435" s="114"/>
      <c r="E435" s="114"/>
      <c r="F435" s="114" t="s">
        <v>882</v>
      </c>
      <c r="G435" s="114" t="s">
        <v>99</v>
      </c>
      <c r="H435" s="115">
        <v>490</v>
      </c>
      <c r="I435" s="116">
        <v>12.285</v>
      </c>
      <c r="J435" s="116">
        <v>15.015000000000001</v>
      </c>
      <c r="K435" s="116">
        <v>7357.35</v>
      </c>
      <c r="L435" s="116">
        <v>16.38</v>
      </c>
      <c r="M435" s="116">
        <v>20.02</v>
      </c>
      <c r="N435" s="116">
        <v>9809.7999999999993</v>
      </c>
      <c r="O435" s="121">
        <f t="shared" si="12"/>
        <v>0.25</v>
      </c>
      <c r="P435" s="121">
        <f t="shared" si="13"/>
        <v>0.24999999999999989</v>
      </c>
      <c r="Q435" s="121">
        <f>IFERROR(K435/RESUMO_DILIG!$D$5,"")</f>
        <v>8.2225247902330267E-4</v>
      </c>
      <c r="R435" s="114" t="s">
        <v>1290</v>
      </c>
      <c r="S435" s="114" t="s">
        <v>1323</v>
      </c>
      <c r="T435" s="114" t="s">
        <v>1320</v>
      </c>
    </row>
    <row r="436" spans="1:20" ht="51" x14ac:dyDescent="0.2">
      <c r="A436" s="108" t="s">
        <v>1936</v>
      </c>
      <c r="B436" s="114" t="s">
        <v>1937</v>
      </c>
      <c r="C436" s="114" t="s">
        <v>56</v>
      </c>
      <c r="D436" s="114"/>
      <c r="E436" s="114"/>
      <c r="F436" s="114" t="s">
        <v>885</v>
      </c>
      <c r="G436" s="114" t="s">
        <v>84</v>
      </c>
      <c r="H436" s="115">
        <v>17</v>
      </c>
      <c r="I436" s="116">
        <v>5068.1025</v>
      </c>
      <c r="J436" s="116">
        <v>5842.4025000000001</v>
      </c>
      <c r="K436" s="116">
        <v>99320.84</v>
      </c>
      <c r="L436" s="116">
        <v>6757.47</v>
      </c>
      <c r="M436" s="116">
        <v>7789.87</v>
      </c>
      <c r="N436" s="116">
        <v>132427.79</v>
      </c>
      <c r="O436" s="121">
        <f t="shared" si="12"/>
        <v>0.25</v>
      </c>
      <c r="P436" s="121">
        <f t="shared" si="13"/>
        <v>0.25000001887821288</v>
      </c>
      <c r="Q436" s="121">
        <f>IFERROR(K436/RESUMO_DILIG!$D$5,"")</f>
        <v>1.1100030161495212E-2</v>
      </c>
      <c r="R436" s="114" t="s">
        <v>1287</v>
      </c>
      <c r="S436" s="114" t="s">
        <v>1319</v>
      </c>
      <c r="T436" s="114" t="s">
        <v>1320</v>
      </c>
    </row>
    <row r="437" spans="1:20" ht="51" x14ac:dyDescent="0.2">
      <c r="A437" s="108" t="s">
        <v>1938</v>
      </c>
      <c r="B437" s="114" t="s">
        <v>1939</v>
      </c>
      <c r="C437" s="114" t="s">
        <v>56</v>
      </c>
      <c r="D437" s="114"/>
      <c r="E437" s="114"/>
      <c r="F437" s="114" t="s">
        <v>887</v>
      </c>
      <c r="G437" s="114" t="s">
        <v>84</v>
      </c>
      <c r="H437" s="115">
        <v>14</v>
      </c>
      <c r="I437" s="116">
        <v>6224.7150000000001</v>
      </c>
      <c r="J437" s="116">
        <v>7175.73</v>
      </c>
      <c r="K437" s="116">
        <v>100460.22</v>
      </c>
      <c r="L437" s="116">
        <v>8299.6200000000008</v>
      </c>
      <c r="M437" s="116">
        <v>9567.64</v>
      </c>
      <c r="N437" s="116">
        <v>133946.96</v>
      </c>
      <c r="O437" s="121">
        <f t="shared" si="12"/>
        <v>0.25</v>
      </c>
      <c r="P437" s="121">
        <f t="shared" si="13"/>
        <v>0.25</v>
      </c>
      <c r="Q437" s="121">
        <f>IFERROR(K437/RESUMO_DILIG!$D$5,"")</f>
        <v>1.1227366502643801E-2</v>
      </c>
      <c r="R437" s="114" t="s">
        <v>1287</v>
      </c>
      <c r="S437" s="114" t="s">
        <v>1319</v>
      </c>
      <c r="T437" s="114" t="s">
        <v>1320</v>
      </c>
    </row>
    <row r="438" spans="1:20" ht="51" x14ac:dyDescent="0.2">
      <c r="A438" s="108" t="s">
        <v>1940</v>
      </c>
      <c r="B438" s="114" t="s">
        <v>1941</v>
      </c>
      <c r="C438" s="114" t="s">
        <v>56</v>
      </c>
      <c r="D438" s="114"/>
      <c r="E438" s="114"/>
      <c r="F438" s="114" t="s">
        <v>889</v>
      </c>
      <c r="G438" s="114" t="s">
        <v>84</v>
      </c>
      <c r="H438" s="115">
        <v>2</v>
      </c>
      <c r="I438" s="116">
        <v>9147.067500000001</v>
      </c>
      <c r="J438" s="116">
        <v>10544.557499999999</v>
      </c>
      <c r="K438" s="116">
        <v>21089.11</v>
      </c>
      <c r="L438" s="116">
        <v>12196.09</v>
      </c>
      <c r="M438" s="116">
        <v>14059.41</v>
      </c>
      <c r="N438" s="116">
        <v>28118.82</v>
      </c>
      <c r="O438" s="121">
        <f t="shared" si="12"/>
        <v>0.25000000000000011</v>
      </c>
      <c r="P438" s="121">
        <f t="shared" si="13"/>
        <v>0.25000017781685002</v>
      </c>
      <c r="Q438" s="121">
        <f>IFERROR(K438/RESUMO_DILIG!$D$5,"")</f>
        <v>2.3569047249206742E-3</v>
      </c>
      <c r="R438" s="114" t="s">
        <v>1287</v>
      </c>
      <c r="S438" s="114" t="s">
        <v>1319</v>
      </c>
      <c r="T438" s="114" t="s">
        <v>1320</v>
      </c>
    </row>
    <row r="439" spans="1:20" ht="51" x14ac:dyDescent="0.2">
      <c r="A439" s="108" t="s">
        <v>1942</v>
      </c>
      <c r="B439" s="114" t="s">
        <v>1943</v>
      </c>
      <c r="C439" s="114" t="s">
        <v>56</v>
      </c>
      <c r="D439" s="114"/>
      <c r="E439" s="114"/>
      <c r="F439" s="114" t="s">
        <v>891</v>
      </c>
      <c r="G439" s="114" t="s">
        <v>84</v>
      </c>
      <c r="H439" s="115">
        <v>2</v>
      </c>
      <c r="I439" s="116">
        <v>9726.2024999999994</v>
      </c>
      <c r="J439" s="116">
        <v>11212.17</v>
      </c>
      <c r="K439" s="116">
        <v>22424.34</v>
      </c>
      <c r="L439" s="116">
        <v>12968.27</v>
      </c>
      <c r="M439" s="116">
        <v>14949.56</v>
      </c>
      <c r="N439" s="116">
        <v>29899.119999999999</v>
      </c>
      <c r="O439" s="121">
        <f t="shared" si="12"/>
        <v>0.25</v>
      </c>
      <c r="P439" s="121">
        <f t="shared" si="13"/>
        <v>0.25</v>
      </c>
      <c r="Q439" s="121">
        <f>IFERROR(K439/RESUMO_DILIG!$D$5,"")</f>
        <v>2.5061291301163332E-3</v>
      </c>
      <c r="R439" s="114" t="s">
        <v>1287</v>
      </c>
      <c r="S439" s="114" t="s">
        <v>1319</v>
      </c>
      <c r="T439" s="114" t="s">
        <v>1320</v>
      </c>
    </row>
    <row r="440" spans="1:20" ht="51" x14ac:dyDescent="0.2">
      <c r="A440" s="108" t="s">
        <v>1944</v>
      </c>
      <c r="B440" s="114" t="s">
        <v>1945</v>
      </c>
      <c r="C440" s="114" t="s">
        <v>24</v>
      </c>
      <c r="D440" s="114"/>
      <c r="E440" s="114"/>
      <c r="F440" s="114" t="s">
        <v>894</v>
      </c>
      <c r="G440" s="114" t="s">
        <v>84</v>
      </c>
      <c r="H440" s="115">
        <v>1</v>
      </c>
      <c r="I440" s="116">
        <v>44898.21</v>
      </c>
      <c r="J440" s="116">
        <v>51757.777499999997</v>
      </c>
      <c r="K440" s="116">
        <v>51757.77</v>
      </c>
      <c r="L440" s="116">
        <v>59864.28</v>
      </c>
      <c r="M440" s="116">
        <v>69010.37</v>
      </c>
      <c r="N440" s="116">
        <v>69010.37</v>
      </c>
      <c r="O440" s="121">
        <f t="shared" si="12"/>
        <v>0.25</v>
      </c>
      <c r="P440" s="121">
        <f t="shared" si="13"/>
        <v>0.25000010867931877</v>
      </c>
      <c r="Q440" s="121">
        <f>IFERROR(K440/RESUMO_DILIG!$D$5,"")</f>
        <v>5.7844135036688371E-3</v>
      </c>
      <c r="R440" s="114" t="s">
        <v>1287</v>
      </c>
      <c r="S440" s="114" t="s">
        <v>1319</v>
      </c>
      <c r="T440" s="114" t="s">
        <v>1320</v>
      </c>
    </row>
    <row r="441" spans="1:20" ht="51" x14ac:dyDescent="0.2">
      <c r="A441" s="108" t="s">
        <v>1946</v>
      </c>
      <c r="B441" s="114" t="s">
        <v>1947</v>
      </c>
      <c r="C441" s="114" t="s">
        <v>24</v>
      </c>
      <c r="D441" s="114"/>
      <c r="E441" s="114"/>
      <c r="F441" s="114" t="s">
        <v>897</v>
      </c>
      <c r="G441" s="114" t="s">
        <v>84</v>
      </c>
      <c r="H441" s="115">
        <v>2</v>
      </c>
      <c r="I441" s="116">
        <v>60936.967499999999</v>
      </c>
      <c r="J441" s="116">
        <v>70246.942500000005</v>
      </c>
      <c r="K441" s="116">
        <v>140493.88</v>
      </c>
      <c r="L441" s="116">
        <v>81249.289999999994</v>
      </c>
      <c r="M441" s="116">
        <v>93662.59</v>
      </c>
      <c r="N441" s="116">
        <v>187325.18</v>
      </c>
      <c r="O441" s="121">
        <f t="shared" si="12"/>
        <v>0.24999999999999989</v>
      </c>
      <c r="P441" s="121">
        <f t="shared" si="13"/>
        <v>0.25000002669155308</v>
      </c>
      <c r="Q441" s="121">
        <f>IFERROR(K441/RESUMO_DILIG!$D$5,"")</f>
        <v>1.5701501371771412E-2</v>
      </c>
      <c r="R441" s="114" t="s">
        <v>1287</v>
      </c>
      <c r="S441" s="114" t="s">
        <v>1319</v>
      </c>
      <c r="T441" s="114" t="s">
        <v>1320</v>
      </c>
    </row>
    <row r="442" spans="1:20" ht="127.5" x14ac:dyDescent="0.2">
      <c r="A442" s="108" t="s">
        <v>1948</v>
      </c>
      <c r="B442" s="114" t="s">
        <v>1949</v>
      </c>
      <c r="C442" s="114" t="s">
        <v>24</v>
      </c>
      <c r="D442" s="114"/>
      <c r="E442" s="114"/>
      <c r="F442" s="114" t="s">
        <v>900</v>
      </c>
      <c r="G442" s="114" t="s">
        <v>84</v>
      </c>
      <c r="H442" s="115">
        <v>1</v>
      </c>
      <c r="I442" s="116">
        <v>541.08750000000009</v>
      </c>
      <c r="J442" s="116">
        <v>661.36500000000001</v>
      </c>
      <c r="K442" s="116">
        <v>661.36</v>
      </c>
      <c r="L442" s="116">
        <v>721.45</v>
      </c>
      <c r="M442" s="116">
        <v>881.82</v>
      </c>
      <c r="N442" s="116">
        <v>881.82</v>
      </c>
      <c r="O442" s="121">
        <f t="shared" si="12"/>
        <v>0.25</v>
      </c>
      <c r="P442" s="121">
        <f t="shared" si="13"/>
        <v>0.25000567009140195</v>
      </c>
      <c r="Q442" s="121">
        <f>IFERROR(K442/RESUMO_DILIG!$D$5,"")</f>
        <v>7.3913148012103735E-5</v>
      </c>
      <c r="R442" s="114" t="s">
        <v>1293</v>
      </c>
      <c r="S442" s="114" t="s">
        <v>1323</v>
      </c>
      <c r="T442" s="114" t="s">
        <v>1320</v>
      </c>
    </row>
    <row r="443" spans="1:20" ht="127.5" x14ac:dyDescent="0.2">
      <c r="A443" s="108" t="s">
        <v>1950</v>
      </c>
      <c r="B443" s="114" t="s">
        <v>1951</v>
      </c>
      <c r="C443" s="114" t="s">
        <v>24</v>
      </c>
      <c r="D443" s="114"/>
      <c r="E443" s="114"/>
      <c r="F443" s="114" t="s">
        <v>902</v>
      </c>
      <c r="G443" s="114" t="s">
        <v>84</v>
      </c>
      <c r="H443" s="115">
        <v>2</v>
      </c>
      <c r="I443" s="116">
        <v>613.26</v>
      </c>
      <c r="J443" s="116">
        <v>749.58750000000009</v>
      </c>
      <c r="K443" s="116">
        <v>1499.17</v>
      </c>
      <c r="L443" s="116">
        <v>817.68</v>
      </c>
      <c r="M443" s="116">
        <v>999.45</v>
      </c>
      <c r="N443" s="116">
        <v>1998.9</v>
      </c>
      <c r="O443" s="121">
        <f t="shared" si="12"/>
        <v>0.24999999999999989</v>
      </c>
      <c r="P443" s="121">
        <f t="shared" si="13"/>
        <v>0.25000250137575664</v>
      </c>
      <c r="Q443" s="121">
        <f>IFERROR(K443/RESUMO_DILIG!$D$5,"")</f>
        <v>1.6754622914192809E-4</v>
      </c>
      <c r="R443" s="114" t="s">
        <v>1293</v>
      </c>
      <c r="S443" s="114" t="s">
        <v>1323</v>
      </c>
      <c r="T443" s="114" t="s">
        <v>1320</v>
      </c>
    </row>
    <row r="444" spans="1:20" ht="38.25" x14ac:dyDescent="0.2">
      <c r="A444" s="108" t="s">
        <v>1952</v>
      </c>
      <c r="B444" s="114" t="s">
        <v>1953</v>
      </c>
      <c r="C444" s="114" t="s">
        <v>209</v>
      </c>
      <c r="D444" s="114"/>
      <c r="E444" s="114"/>
      <c r="F444" s="114" t="s">
        <v>1954</v>
      </c>
      <c r="G444" s="114" t="s">
        <v>84</v>
      </c>
      <c r="H444" s="115">
        <v>7</v>
      </c>
      <c r="I444" s="116">
        <v>1497.5025000000001</v>
      </c>
      <c r="J444" s="116">
        <v>1830.3899999999999</v>
      </c>
      <c r="K444" s="116">
        <v>12812.73</v>
      </c>
      <c r="L444" s="116">
        <v>1996.67</v>
      </c>
      <c r="M444" s="116">
        <v>2440.52</v>
      </c>
      <c r="N444" s="116">
        <v>17083.64</v>
      </c>
      <c r="O444" s="121">
        <f t="shared" si="12"/>
        <v>0.25</v>
      </c>
      <c r="P444" s="121">
        <f t="shared" si="13"/>
        <v>0.25</v>
      </c>
      <c r="Q444" s="121">
        <f>IFERROR(K444/RESUMO_DILIG!$D$5,"")</f>
        <v>1.431942072289104E-3</v>
      </c>
      <c r="R444" s="114" t="s">
        <v>1290</v>
      </c>
      <c r="S444" s="114" t="s">
        <v>1319</v>
      </c>
      <c r="T444" s="114" t="s">
        <v>1320</v>
      </c>
    </row>
    <row r="445" spans="1:20" ht="51" x14ac:dyDescent="0.2">
      <c r="A445" s="108" t="s">
        <v>1955</v>
      </c>
      <c r="B445" s="114" t="s">
        <v>907</v>
      </c>
      <c r="C445" s="114" t="s">
        <v>209</v>
      </c>
      <c r="D445" s="114"/>
      <c r="E445" s="114"/>
      <c r="F445" s="114" t="s">
        <v>908</v>
      </c>
      <c r="G445" s="114" t="s">
        <v>84</v>
      </c>
      <c r="H445" s="115">
        <v>3</v>
      </c>
      <c r="I445" s="116">
        <v>2238.12</v>
      </c>
      <c r="J445" s="116">
        <v>2735.6475</v>
      </c>
      <c r="K445" s="116">
        <v>8206.94</v>
      </c>
      <c r="L445" s="116">
        <v>2984.16</v>
      </c>
      <c r="M445" s="116">
        <v>3647.53</v>
      </c>
      <c r="N445" s="116">
        <v>10942.59</v>
      </c>
      <c r="O445" s="121">
        <f t="shared" si="12"/>
        <v>0.25</v>
      </c>
      <c r="P445" s="121">
        <f t="shared" si="13"/>
        <v>0.25000022846510739</v>
      </c>
      <c r="Q445" s="121">
        <f>IFERROR(K445/RESUMO_DILIG!$D$5,"")</f>
        <v>9.1720208501641263E-4</v>
      </c>
      <c r="R445" s="114" t="s">
        <v>1290</v>
      </c>
      <c r="S445" s="114" t="s">
        <v>1319</v>
      </c>
      <c r="T445" s="114" t="s">
        <v>1320</v>
      </c>
    </row>
    <row r="446" spans="1:20" ht="25.5" x14ac:dyDescent="0.2">
      <c r="A446" s="108" t="s">
        <v>1956</v>
      </c>
      <c r="B446" s="114" t="s">
        <v>1957</v>
      </c>
      <c r="C446" s="114" t="s">
        <v>335</v>
      </c>
      <c r="D446" s="114"/>
      <c r="E446" s="114"/>
      <c r="F446" s="114" t="s">
        <v>909</v>
      </c>
      <c r="G446" s="114" t="s">
        <v>84</v>
      </c>
      <c r="H446" s="115">
        <v>29</v>
      </c>
      <c r="I446" s="116">
        <v>309.27750000000003</v>
      </c>
      <c r="J446" s="116">
        <v>378.02249999999998</v>
      </c>
      <c r="K446" s="116">
        <v>10962.65</v>
      </c>
      <c r="L446" s="116">
        <v>412.37</v>
      </c>
      <c r="M446" s="116">
        <v>504.03</v>
      </c>
      <c r="N446" s="116">
        <v>14616.87</v>
      </c>
      <c r="O446" s="121">
        <f t="shared" si="12"/>
        <v>0.25</v>
      </c>
      <c r="P446" s="121">
        <f t="shared" si="13"/>
        <v>0.25000017103524907</v>
      </c>
      <c r="Q446" s="121">
        <f>IFERROR(K446/RESUMO_DILIG!$D$5,"")</f>
        <v>1.2251783779709824E-3</v>
      </c>
      <c r="R446" s="114" t="s">
        <v>1290</v>
      </c>
      <c r="S446" s="114" t="s">
        <v>1323</v>
      </c>
      <c r="T446" s="114" t="s">
        <v>1320</v>
      </c>
    </row>
    <row r="447" spans="1:20" ht="25.5" x14ac:dyDescent="0.2">
      <c r="A447" s="108" t="s">
        <v>1958</v>
      </c>
      <c r="B447" s="114" t="s">
        <v>1959</v>
      </c>
      <c r="C447" s="114" t="s">
        <v>335</v>
      </c>
      <c r="D447" s="114"/>
      <c r="E447" s="114"/>
      <c r="F447" s="114" t="s">
        <v>910</v>
      </c>
      <c r="G447" s="114" t="s">
        <v>99</v>
      </c>
      <c r="H447" s="115">
        <v>109.81</v>
      </c>
      <c r="I447" s="116">
        <v>16.905000000000001</v>
      </c>
      <c r="J447" s="116">
        <v>20.662500000000001</v>
      </c>
      <c r="K447" s="116">
        <v>2268.94</v>
      </c>
      <c r="L447" s="116">
        <v>22.54</v>
      </c>
      <c r="M447" s="116">
        <v>27.55</v>
      </c>
      <c r="N447" s="116">
        <v>3025.26</v>
      </c>
      <c r="O447" s="121">
        <f t="shared" si="12"/>
        <v>0.25</v>
      </c>
      <c r="P447" s="121">
        <f t="shared" si="13"/>
        <v>0.25000165275050745</v>
      </c>
      <c r="Q447" s="121">
        <f>IFERROR(K447/RESUMO_DILIG!$D$5,"")</f>
        <v>2.5357520571335225E-4</v>
      </c>
      <c r="R447" s="114" t="s">
        <v>1293</v>
      </c>
      <c r="S447" s="114" t="s">
        <v>1323</v>
      </c>
      <c r="T447" s="114" t="s">
        <v>1320</v>
      </c>
    </row>
    <row r="448" spans="1:20" ht="25.5" x14ac:dyDescent="0.2">
      <c r="A448" s="108" t="s">
        <v>1960</v>
      </c>
      <c r="B448" s="114" t="s">
        <v>1961</v>
      </c>
      <c r="C448" s="114" t="s">
        <v>335</v>
      </c>
      <c r="D448" s="114"/>
      <c r="E448" s="114"/>
      <c r="F448" s="114" t="s">
        <v>911</v>
      </c>
      <c r="G448" s="114" t="s">
        <v>99</v>
      </c>
      <c r="H448" s="115">
        <v>145.71</v>
      </c>
      <c r="I448" s="116">
        <v>30.93</v>
      </c>
      <c r="J448" s="116">
        <v>37.799999999999997</v>
      </c>
      <c r="K448" s="116">
        <v>5507.83</v>
      </c>
      <c r="L448" s="116">
        <v>41.24</v>
      </c>
      <c r="M448" s="116">
        <v>50.4</v>
      </c>
      <c r="N448" s="116">
        <v>7343.78</v>
      </c>
      <c r="O448" s="121">
        <f t="shared" si="12"/>
        <v>0.25</v>
      </c>
      <c r="P448" s="121">
        <f t="shared" si="13"/>
        <v>0.25000068084828253</v>
      </c>
      <c r="Q448" s="121">
        <f>IFERROR(K448/RESUMO_DILIG!$D$5,"")</f>
        <v>6.1555136992788389E-4</v>
      </c>
      <c r="R448" s="114" t="s">
        <v>1293</v>
      </c>
      <c r="S448" s="114" t="s">
        <v>1323</v>
      </c>
      <c r="T448" s="114" t="s">
        <v>1320</v>
      </c>
    </row>
    <row r="449" spans="1:20" ht="25.5" x14ac:dyDescent="0.2">
      <c r="A449" s="108" t="s">
        <v>1962</v>
      </c>
      <c r="B449" s="114" t="s">
        <v>1963</v>
      </c>
      <c r="C449" s="114" t="s">
        <v>335</v>
      </c>
      <c r="D449" s="114"/>
      <c r="E449" s="114"/>
      <c r="F449" s="114" t="s">
        <v>912</v>
      </c>
      <c r="G449" s="114" t="s">
        <v>84</v>
      </c>
      <c r="H449" s="115">
        <v>10</v>
      </c>
      <c r="I449" s="116">
        <v>30.375</v>
      </c>
      <c r="J449" s="116">
        <v>37.125</v>
      </c>
      <c r="K449" s="116">
        <v>371.25</v>
      </c>
      <c r="L449" s="116">
        <v>40.5</v>
      </c>
      <c r="M449" s="116">
        <v>49.5</v>
      </c>
      <c r="N449" s="116">
        <v>495</v>
      </c>
      <c r="O449" s="121">
        <f t="shared" si="12"/>
        <v>0.25</v>
      </c>
      <c r="P449" s="121">
        <f t="shared" si="13"/>
        <v>0.25</v>
      </c>
      <c r="Q449" s="121">
        <f>IFERROR(K449/RESUMO_DILIG!$D$5,"")</f>
        <v>4.1490649872223165E-5</v>
      </c>
      <c r="R449" s="114" t="s">
        <v>1293</v>
      </c>
      <c r="S449" s="114" t="s">
        <v>1323</v>
      </c>
      <c r="T449" s="114" t="s">
        <v>1320</v>
      </c>
    </row>
    <row r="450" spans="1:20" ht="25.5" x14ac:dyDescent="0.2">
      <c r="A450" s="108" t="s">
        <v>1964</v>
      </c>
      <c r="B450" s="114" t="s">
        <v>1965</v>
      </c>
      <c r="C450" s="114" t="s">
        <v>335</v>
      </c>
      <c r="D450" s="114"/>
      <c r="E450" s="114"/>
      <c r="F450" s="114" t="s">
        <v>1966</v>
      </c>
      <c r="G450" s="114" t="s">
        <v>84</v>
      </c>
      <c r="H450" s="115">
        <v>4</v>
      </c>
      <c r="I450" s="116">
        <v>13.5</v>
      </c>
      <c r="J450" s="116">
        <v>16.5</v>
      </c>
      <c r="K450" s="116">
        <v>66</v>
      </c>
      <c r="L450" s="116">
        <v>18</v>
      </c>
      <c r="M450" s="116">
        <v>22</v>
      </c>
      <c r="N450" s="116">
        <v>88</v>
      </c>
      <c r="O450" s="121">
        <f t="shared" si="12"/>
        <v>0.25</v>
      </c>
      <c r="P450" s="121">
        <f t="shared" si="13"/>
        <v>0.25</v>
      </c>
      <c r="Q450" s="121">
        <f>IFERROR(K450/RESUMO_DILIG!$D$5,"")</f>
        <v>7.3761155328396735E-6</v>
      </c>
      <c r="R450" s="114" t="s">
        <v>1293</v>
      </c>
      <c r="S450" s="114" t="s">
        <v>1323</v>
      </c>
      <c r="T450" s="114" t="s">
        <v>1320</v>
      </c>
    </row>
    <row r="451" spans="1:20" ht="25.5" x14ac:dyDescent="0.2">
      <c r="A451" s="108" t="s">
        <v>1967</v>
      </c>
      <c r="B451" s="114" t="s">
        <v>1968</v>
      </c>
      <c r="C451" s="114" t="s">
        <v>335</v>
      </c>
      <c r="D451" s="114"/>
      <c r="E451" s="114"/>
      <c r="F451" s="114" t="s">
        <v>914</v>
      </c>
      <c r="G451" s="114" t="s">
        <v>84</v>
      </c>
      <c r="H451" s="115">
        <v>34</v>
      </c>
      <c r="I451" s="116">
        <v>263.1825</v>
      </c>
      <c r="J451" s="116">
        <v>321.6825</v>
      </c>
      <c r="K451" s="116">
        <v>10937.2</v>
      </c>
      <c r="L451" s="116">
        <v>350.91</v>
      </c>
      <c r="M451" s="116">
        <v>428.91</v>
      </c>
      <c r="N451" s="116">
        <v>14582.94</v>
      </c>
      <c r="O451" s="121">
        <f t="shared" si="12"/>
        <v>0.25</v>
      </c>
      <c r="P451" s="121">
        <f t="shared" si="13"/>
        <v>0.25000034286639039</v>
      </c>
      <c r="Q451" s="121">
        <f>IFERROR(K451/RESUMO_DILIG!$D$5,"")</f>
        <v>1.2223341031177891E-3</v>
      </c>
      <c r="R451" s="114" t="s">
        <v>1290</v>
      </c>
      <c r="S451" s="114" t="s">
        <v>1323</v>
      </c>
      <c r="T451" s="114" t="s">
        <v>1320</v>
      </c>
    </row>
    <row r="452" spans="1:20" ht="63.75" x14ac:dyDescent="0.2">
      <c r="A452" s="108" t="s">
        <v>1969</v>
      </c>
      <c r="B452" s="114" t="s">
        <v>1970</v>
      </c>
      <c r="C452" s="114" t="s">
        <v>24</v>
      </c>
      <c r="D452" s="114"/>
      <c r="E452" s="114"/>
      <c r="F452" s="114" t="s">
        <v>918</v>
      </c>
      <c r="G452" s="114" t="s">
        <v>84</v>
      </c>
      <c r="H452" s="115">
        <v>1</v>
      </c>
      <c r="I452" s="116">
        <v>63435.345000000001</v>
      </c>
      <c r="J452" s="116">
        <v>77537.017500000002</v>
      </c>
      <c r="K452" s="116">
        <v>77537.009999999995</v>
      </c>
      <c r="L452" s="116">
        <v>84580.46</v>
      </c>
      <c r="M452" s="116">
        <v>103382.69</v>
      </c>
      <c r="N452" s="116">
        <v>103382.69</v>
      </c>
      <c r="O452" s="121">
        <f t="shared" ref="O452:O515" si="14">IFERROR(1-J452/M452,"")</f>
        <v>0.25</v>
      </c>
      <c r="P452" s="121">
        <f t="shared" ref="P452:P515" si="15">IFERROR(1-K452/N452,"")</f>
        <v>0.25000007254599399</v>
      </c>
      <c r="Q452" s="121">
        <f>IFERROR(K452/RESUMO_DILIG!$D$5,"")</f>
        <v>8.6654839974385604E-3</v>
      </c>
      <c r="R452" s="114" t="s">
        <v>1287</v>
      </c>
      <c r="S452" s="114" t="s">
        <v>1319</v>
      </c>
      <c r="T452" s="114" t="s">
        <v>1320</v>
      </c>
    </row>
    <row r="453" spans="1:20" ht="38.25" x14ac:dyDescent="0.2">
      <c r="A453" s="108" t="s">
        <v>1387</v>
      </c>
      <c r="B453" s="114" t="s">
        <v>1971</v>
      </c>
      <c r="C453" s="114" t="s">
        <v>56</v>
      </c>
      <c r="D453" s="114"/>
      <c r="E453" s="114"/>
      <c r="F453" s="114" t="s">
        <v>921</v>
      </c>
      <c r="G453" s="114" t="s">
        <v>84</v>
      </c>
      <c r="H453" s="115">
        <v>242</v>
      </c>
      <c r="I453" s="116">
        <v>18.945</v>
      </c>
      <c r="J453" s="116">
        <v>23.1525</v>
      </c>
      <c r="K453" s="116">
        <v>5602.9</v>
      </c>
      <c r="L453" s="116">
        <v>25.26</v>
      </c>
      <c r="M453" s="116">
        <v>30.87</v>
      </c>
      <c r="N453" s="116">
        <v>7470.54</v>
      </c>
      <c r="O453" s="121">
        <f t="shared" si="14"/>
        <v>0.25</v>
      </c>
      <c r="P453" s="121">
        <f t="shared" si="15"/>
        <v>0.25000066929566012</v>
      </c>
      <c r="Q453" s="121">
        <f>IFERROR(K453/RESUMO_DILIG!$D$5,"")</f>
        <v>6.2617632907496063E-4</v>
      </c>
      <c r="R453" s="114" t="s">
        <v>1293</v>
      </c>
      <c r="S453" s="114" t="s">
        <v>1323</v>
      </c>
      <c r="T453" s="114" t="s">
        <v>1320</v>
      </c>
    </row>
    <row r="454" spans="1:20" ht="51" x14ac:dyDescent="0.2">
      <c r="A454" s="108" t="s">
        <v>1972</v>
      </c>
      <c r="B454" s="114" t="s">
        <v>1973</v>
      </c>
      <c r="C454" s="114" t="s">
        <v>56</v>
      </c>
      <c r="D454" s="114"/>
      <c r="E454" s="114"/>
      <c r="F454" s="114" t="s">
        <v>922</v>
      </c>
      <c r="G454" s="114" t="s">
        <v>84</v>
      </c>
      <c r="H454" s="115">
        <v>104</v>
      </c>
      <c r="I454" s="116">
        <v>19.47</v>
      </c>
      <c r="J454" s="116">
        <v>23.797499999999999</v>
      </c>
      <c r="K454" s="116">
        <v>2474.94</v>
      </c>
      <c r="L454" s="116">
        <v>25.96</v>
      </c>
      <c r="M454" s="116">
        <v>31.73</v>
      </c>
      <c r="N454" s="116">
        <v>3299.92</v>
      </c>
      <c r="O454" s="121">
        <f t="shared" si="14"/>
        <v>0.25</v>
      </c>
      <c r="P454" s="121">
        <f t="shared" si="15"/>
        <v>0.25</v>
      </c>
      <c r="Q454" s="121">
        <f>IFERROR(K454/RESUMO_DILIG!$D$5,"")</f>
        <v>2.7659762692191245E-4</v>
      </c>
      <c r="R454" s="114" t="s">
        <v>1293</v>
      </c>
      <c r="S454" s="114" t="s">
        <v>1323</v>
      </c>
      <c r="T454" s="114" t="s">
        <v>1320</v>
      </c>
    </row>
    <row r="455" spans="1:20" ht="38.25" x14ac:dyDescent="0.2">
      <c r="A455" s="108" t="s">
        <v>1406</v>
      </c>
      <c r="B455" s="114" t="s">
        <v>1974</v>
      </c>
      <c r="C455" s="114" t="s">
        <v>56</v>
      </c>
      <c r="D455" s="114"/>
      <c r="E455" s="114"/>
      <c r="F455" s="114" t="s">
        <v>923</v>
      </c>
      <c r="G455" s="114" t="s">
        <v>84</v>
      </c>
      <c r="H455" s="115">
        <v>387</v>
      </c>
      <c r="I455" s="116">
        <v>18.225000000000001</v>
      </c>
      <c r="J455" s="116">
        <v>22.274999999999999</v>
      </c>
      <c r="K455" s="116">
        <v>8620.42</v>
      </c>
      <c r="L455" s="116">
        <v>24.3</v>
      </c>
      <c r="M455" s="116">
        <v>29.7</v>
      </c>
      <c r="N455" s="116">
        <v>11493.9</v>
      </c>
      <c r="O455" s="121">
        <f t="shared" si="14"/>
        <v>0.25</v>
      </c>
      <c r="P455" s="121">
        <f t="shared" si="15"/>
        <v>0.25000043501335489</v>
      </c>
      <c r="Q455" s="121">
        <f>IFERROR(K455/RESUMO_DILIG!$D$5,"")</f>
        <v>9.6341233123639061E-4</v>
      </c>
      <c r="R455" s="114" t="s">
        <v>1290</v>
      </c>
      <c r="S455" s="114" t="s">
        <v>1323</v>
      </c>
      <c r="T455" s="114" t="s">
        <v>1320</v>
      </c>
    </row>
    <row r="456" spans="1:20" ht="51" x14ac:dyDescent="0.2">
      <c r="A456" s="108" t="s">
        <v>1975</v>
      </c>
      <c r="B456" s="114" t="s">
        <v>1976</v>
      </c>
      <c r="C456" s="114" t="s">
        <v>56</v>
      </c>
      <c r="D456" s="114"/>
      <c r="E456" s="114"/>
      <c r="F456" s="114" t="s">
        <v>924</v>
      </c>
      <c r="G456" s="114" t="s">
        <v>84</v>
      </c>
      <c r="H456" s="115">
        <v>2</v>
      </c>
      <c r="I456" s="116">
        <v>127.88249999999999</v>
      </c>
      <c r="J456" s="116">
        <v>156.3075</v>
      </c>
      <c r="K456" s="116">
        <v>312.61</v>
      </c>
      <c r="L456" s="116">
        <v>170.51</v>
      </c>
      <c r="M456" s="116">
        <v>208.41</v>
      </c>
      <c r="N456" s="116">
        <v>416.82</v>
      </c>
      <c r="O456" s="121">
        <f t="shared" si="14"/>
        <v>0.25</v>
      </c>
      <c r="P456" s="121">
        <f t="shared" si="15"/>
        <v>0.25001199558562448</v>
      </c>
      <c r="Q456" s="121">
        <f>IFERROR(K456/RESUMO_DILIG!$D$5,"")</f>
        <v>3.4937082980621372E-5</v>
      </c>
      <c r="R456" s="114" t="s">
        <v>1293</v>
      </c>
      <c r="S456" s="114" t="s">
        <v>1323</v>
      </c>
      <c r="T456" s="114" t="s">
        <v>1320</v>
      </c>
    </row>
    <row r="457" spans="1:20" ht="51" x14ac:dyDescent="0.2">
      <c r="A457" s="108" t="s">
        <v>1430</v>
      </c>
      <c r="B457" s="114" t="s">
        <v>1977</v>
      </c>
      <c r="C457" s="114" t="s">
        <v>56</v>
      </c>
      <c r="D457" s="114"/>
      <c r="E457" s="114"/>
      <c r="F457" s="114" t="s">
        <v>925</v>
      </c>
      <c r="G457" s="114" t="s">
        <v>84</v>
      </c>
      <c r="H457" s="115">
        <v>16</v>
      </c>
      <c r="I457" s="116">
        <v>190.07249999999999</v>
      </c>
      <c r="J457" s="116">
        <v>232.32</v>
      </c>
      <c r="K457" s="116">
        <v>3717.12</v>
      </c>
      <c r="L457" s="116">
        <v>253.43</v>
      </c>
      <c r="M457" s="116">
        <v>309.76</v>
      </c>
      <c r="N457" s="116">
        <v>4956.16</v>
      </c>
      <c r="O457" s="121">
        <f t="shared" si="14"/>
        <v>0.25</v>
      </c>
      <c r="P457" s="121">
        <f t="shared" si="15"/>
        <v>0.25</v>
      </c>
      <c r="Q457" s="121">
        <f>IFERROR(K457/RESUMO_DILIG!$D$5,"")</f>
        <v>4.1542282680953038E-4</v>
      </c>
      <c r="R457" s="114" t="s">
        <v>1293</v>
      </c>
      <c r="S457" s="114" t="s">
        <v>1323</v>
      </c>
      <c r="T457" s="114" t="s">
        <v>1320</v>
      </c>
    </row>
    <row r="458" spans="1:20" ht="51" x14ac:dyDescent="0.2">
      <c r="A458" s="108" t="s">
        <v>1439</v>
      </c>
      <c r="B458" s="114" t="s">
        <v>1978</v>
      </c>
      <c r="C458" s="114" t="s">
        <v>24</v>
      </c>
      <c r="D458" s="114"/>
      <c r="E458" s="114"/>
      <c r="F458" s="114" t="s">
        <v>927</v>
      </c>
      <c r="G458" s="114" t="s">
        <v>84</v>
      </c>
      <c r="H458" s="115">
        <v>2</v>
      </c>
      <c r="I458" s="116">
        <v>42.547499999999999</v>
      </c>
      <c r="J458" s="116">
        <v>52.005000000000003</v>
      </c>
      <c r="K458" s="116">
        <v>104.01</v>
      </c>
      <c r="L458" s="116">
        <v>56.73</v>
      </c>
      <c r="M458" s="116">
        <v>69.34</v>
      </c>
      <c r="N458" s="116">
        <v>138.68</v>
      </c>
      <c r="O458" s="121">
        <f t="shared" si="14"/>
        <v>0.25</v>
      </c>
      <c r="P458" s="121">
        <f t="shared" si="15"/>
        <v>0.25</v>
      </c>
      <c r="Q458" s="121">
        <f>IFERROR(K458/RESUMO_DILIG!$D$5,"")</f>
        <v>1.1624087523797794E-5</v>
      </c>
      <c r="R458" s="114" t="s">
        <v>1293</v>
      </c>
      <c r="S458" s="114" t="s">
        <v>1323</v>
      </c>
      <c r="T458" s="114" t="s">
        <v>1320</v>
      </c>
    </row>
    <row r="459" spans="1:20" ht="51" x14ac:dyDescent="0.2">
      <c r="A459" s="108" t="s">
        <v>1979</v>
      </c>
      <c r="B459" s="114" t="s">
        <v>1980</v>
      </c>
      <c r="C459" s="114" t="s">
        <v>24</v>
      </c>
      <c r="D459" s="114"/>
      <c r="E459" s="114"/>
      <c r="F459" s="114" t="s">
        <v>929</v>
      </c>
      <c r="G459" s="114" t="s">
        <v>84</v>
      </c>
      <c r="H459" s="115">
        <v>2</v>
      </c>
      <c r="I459" s="116">
        <v>57.5625</v>
      </c>
      <c r="J459" s="116">
        <v>70.357500000000002</v>
      </c>
      <c r="K459" s="116">
        <v>140.71</v>
      </c>
      <c r="L459" s="116">
        <v>76.75</v>
      </c>
      <c r="M459" s="116">
        <v>93.81</v>
      </c>
      <c r="N459" s="116">
        <v>187.62</v>
      </c>
      <c r="O459" s="121">
        <f t="shared" si="14"/>
        <v>0.25</v>
      </c>
      <c r="P459" s="121">
        <f t="shared" si="15"/>
        <v>0.2500266496109157</v>
      </c>
      <c r="Q459" s="121">
        <f>IFERROR(K459/RESUMO_DILIG!$D$5,"")</f>
        <v>1.5725654797361673E-5</v>
      </c>
      <c r="R459" s="114" t="s">
        <v>1293</v>
      </c>
      <c r="S459" s="114" t="s">
        <v>1323</v>
      </c>
      <c r="T459" s="114" t="s">
        <v>1320</v>
      </c>
    </row>
    <row r="460" spans="1:20" ht="51" x14ac:dyDescent="0.2">
      <c r="A460" s="108" t="s">
        <v>1981</v>
      </c>
      <c r="B460" s="114" t="s">
        <v>1982</v>
      </c>
      <c r="C460" s="114" t="s">
        <v>24</v>
      </c>
      <c r="D460" s="114"/>
      <c r="E460" s="114"/>
      <c r="F460" s="114" t="s">
        <v>931</v>
      </c>
      <c r="G460" s="114" t="s">
        <v>84</v>
      </c>
      <c r="H460" s="115">
        <v>1</v>
      </c>
      <c r="I460" s="116">
        <v>87.045000000000002</v>
      </c>
      <c r="J460" s="116">
        <v>106.39500000000001</v>
      </c>
      <c r="K460" s="116">
        <v>106.39</v>
      </c>
      <c r="L460" s="116">
        <v>116.06</v>
      </c>
      <c r="M460" s="116">
        <v>141.86000000000001</v>
      </c>
      <c r="N460" s="116">
        <v>141.86000000000001</v>
      </c>
      <c r="O460" s="121">
        <f t="shared" si="14"/>
        <v>0.25</v>
      </c>
      <c r="P460" s="121">
        <f t="shared" si="15"/>
        <v>0.25003524601720017</v>
      </c>
      <c r="Q460" s="121">
        <f>IFERROR(K460/RESUMO_DILIG!$D$5,"")</f>
        <v>1.1890074720285043E-5</v>
      </c>
      <c r="R460" s="114" t="s">
        <v>1293</v>
      </c>
      <c r="S460" s="114" t="s">
        <v>1323</v>
      </c>
      <c r="T460" s="114" t="s">
        <v>1320</v>
      </c>
    </row>
    <row r="461" spans="1:20" ht="51" x14ac:dyDescent="0.2">
      <c r="A461" s="108" t="s">
        <v>1983</v>
      </c>
      <c r="B461" s="114" t="s">
        <v>1984</v>
      </c>
      <c r="C461" s="114" t="s">
        <v>24</v>
      </c>
      <c r="D461" s="114"/>
      <c r="E461" s="114"/>
      <c r="F461" s="114" t="s">
        <v>933</v>
      </c>
      <c r="G461" s="114" t="s">
        <v>84</v>
      </c>
      <c r="H461" s="115">
        <v>1</v>
      </c>
      <c r="I461" s="116">
        <v>36.517499999999998</v>
      </c>
      <c r="J461" s="116">
        <v>44.6325</v>
      </c>
      <c r="K461" s="116">
        <v>44.63</v>
      </c>
      <c r="L461" s="116">
        <v>48.69</v>
      </c>
      <c r="M461" s="116">
        <v>59.51</v>
      </c>
      <c r="N461" s="116">
        <v>59.51</v>
      </c>
      <c r="O461" s="121">
        <f t="shared" si="14"/>
        <v>0.25</v>
      </c>
      <c r="P461" s="121">
        <f t="shared" si="15"/>
        <v>0.25004200974626112</v>
      </c>
      <c r="Q461" s="121">
        <f>IFERROR(K461/RESUMO_DILIG!$D$5,"")</f>
        <v>4.9878187307671915E-6</v>
      </c>
      <c r="R461" s="114" t="s">
        <v>1293</v>
      </c>
      <c r="S461" s="114" t="s">
        <v>1323</v>
      </c>
      <c r="T461" s="114" t="s">
        <v>1320</v>
      </c>
    </row>
    <row r="462" spans="1:20" ht="51" x14ac:dyDescent="0.2">
      <c r="A462" s="108" t="s">
        <v>1985</v>
      </c>
      <c r="B462" s="114" t="s">
        <v>1986</v>
      </c>
      <c r="C462" s="114" t="s">
        <v>24</v>
      </c>
      <c r="D462" s="114"/>
      <c r="E462" s="114"/>
      <c r="F462" s="114" t="s">
        <v>1987</v>
      </c>
      <c r="G462" s="114" t="s">
        <v>84</v>
      </c>
      <c r="H462" s="115">
        <v>1</v>
      </c>
      <c r="I462" s="116">
        <v>81.435000000000002</v>
      </c>
      <c r="J462" s="116">
        <v>99.532499999999999</v>
      </c>
      <c r="K462" s="116">
        <v>99.53</v>
      </c>
      <c r="L462" s="116">
        <v>108.58</v>
      </c>
      <c r="M462" s="116">
        <v>132.71</v>
      </c>
      <c r="N462" s="116">
        <v>132.71</v>
      </c>
      <c r="O462" s="121">
        <f t="shared" si="14"/>
        <v>0.25</v>
      </c>
      <c r="P462" s="121">
        <f t="shared" si="15"/>
        <v>0.25001883806796776</v>
      </c>
      <c r="Q462" s="121">
        <f>IFERROR(K462/RESUMO_DILIG!$D$5,"")</f>
        <v>1.1123405742174737E-5</v>
      </c>
      <c r="R462" s="114" t="s">
        <v>1293</v>
      </c>
      <c r="S462" s="114" t="s">
        <v>1323</v>
      </c>
      <c r="T462" s="114" t="s">
        <v>1320</v>
      </c>
    </row>
    <row r="463" spans="1:20" ht="51" x14ac:dyDescent="0.2">
      <c r="A463" s="108" t="s">
        <v>1988</v>
      </c>
      <c r="B463" s="114" t="s">
        <v>1989</v>
      </c>
      <c r="C463" s="114" t="s">
        <v>56</v>
      </c>
      <c r="D463" s="114"/>
      <c r="E463" s="114"/>
      <c r="F463" s="114" t="s">
        <v>936</v>
      </c>
      <c r="G463" s="114" t="s">
        <v>99</v>
      </c>
      <c r="H463" s="115">
        <v>19.3</v>
      </c>
      <c r="I463" s="116">
        <v>7.5525000000000002</v>
      </c>
      <c r="J463" s="116">
        <v>9.2250000000000014</v>
      </c>
      <c r="K463" s="116">
        <v>178.04</v>
      </c>
      <c r="L463" s="116">
        <v>10.07</v>
      </c>
      <c r="M463" s="116">
        <v>12.3</v>
      </c>
      <c r="N463" s="116">
        <v>237.39</v>
      </c>
      <c r="O463" s="121">
        <f t="shared" si="14"/>
        <v>0.24999999999999989</v>
      </c>
      <c r="P463" s="121">
        <f t="shared" si="15"/>
        <v>0.25001053119339478</v>
      </c>
      <c r="Q463" s="121">
        <f>IFERROR(K463/RESUMO_DILIG!$D$5,"")</f>
        <v>1.9897630446466292E-5</v>
      </c>
      <c r="R463" s="114" t="s">
        <v>1293</v>
      </c>
      <c r="S463" s="114" t="s">
        <v>1323</v>
      </c>
      <c r="T463" s="114" t="s">
        <v>1320</v>
      </c>
    </row>
    <row r="464" spans="1:20" ht="51" x14ac:dyDescent="0.2">
      <c r="A464" s="108" t="s">
        <v>1990</v>
      </c>
      <c r="B464" s="114" t="s">
        <v>1991</v>
      </c>
      <c r="C464" s="114" t="s">
        <v>56</v>
      </c>
      <c r="D464" s="114"/>
      <c r="E464" s="114"/>
      <c r="F464" s="114" t="s">
        <v>937</v>
      </c>
      <c r="G464" s="114" t="s">
        <v>99</v>
      </c>
      <c r="H464" s="115">
        <v>23.1</v>
      </c>
      <c r="I464" s="116">
        <v>10.74</v>
      </c>
      <c r="J464" s="116">
        <v>13.125</v>
      </c>
      <c r="K464" s="116">
        <v>303.18</v>
      </c>
      <c r="L464" s="116">
        <v>14.32</v>
      </c>
      <c r="M464" s="116">
        <v>17.5</v>
      </c>
      <c r="N464" s="116">
        <v>404.25</v>
      </c>
      <c r="O464" s="121">
        <f t="shared" si="14"/>
        <v>0.25</v>
      </c>
      <c r="P464" s="121">
        <f t="shared" si="15"/>
        <v>0.25001855287569574</v>
      </c>
      <c r="Q464" s="121">
        <f>IFERROR(K464/RESUMO_DILIG!$D$5,"")</f>
        <v>3.388319253403534E-5</v>
      </c>
      <c r="R464" s="114" t="s">
        <v>1293</v>
      </c>
      <c r="S464" s="114" t="s">
        <v>1323</v>
      </c>
      <c r="T464" s="114" t="s">
        <v>1320</v>
      </c>
    </row>
    <row r="465" spans="1:20" ht="51" x14ac:dyDescent="0.2">
      <c r="A465" s="108" t="s">
        <v>1992</v>
      </c>
      <c r="B465" s="114" t="s">
        <v>938</v>
      </c>
      <c r="C465" s="114" t="s">
        <v>209</v>
      </c>
      <c r="D465" s="114"/>
      <c r="E465" s="114"/>
      <c r="F465" s="114" t="s">
        <v>939</v>
      </c>
      <c r="G465" s="114" t="s">
        <v>99</v>
      </c>
      <c r="H465" s="115">
        <v>21.7</v>
      </c>
      <c r="I465" s="116">
        <v>54.352499999999999</v>
      </c>
      <c r="J465" s="116">
        <v>66.435000000000002</v>
      </c>
      <c r="K465" s="116">
        <v>1441.63</v>
      </c>
      <c r="L465" s="116">
        <v>72.47</v>
      </c>
      <c r="M465" s="116">
        <v>88.58</v>
      </c>
      <c r="N465" s="116">
        <v>1922.18</v>
      </c>
      <c r="O465" s="121">
        <f t="shared" si="14"/>
        <v>0.25</v>
      </c>
      <c r="P465" s="121">
        <f t="shared" si="15"/>
        <v>0.25000260121320583</v>
      </c>
      <c r="Q465" s="121">
        <f>IFERROR(K465/RESUMO_DILIG!$D$5,"")</f>
        <v>1.6111559750920697E-4</v>
      </c>
      <c r="R465" s="114" t="s">
        <v>1293</v>
      </c>
      <c r="S465" s="114" t="s">
        <v>1319</v>
      </c>
      <c r="T465" s="114" t="s">
        <v>1320</v>
      </c>
    </row>
    <row r="466" spans="1:20" ht="51" x14ac:dyDescent="0.2">
      <c r="A466" s="108" t="s">
        <v>1993</v>
      </c>
      <c r="B466" s="114" t="s">
        <v>940</v>
      </c>
      <c r="C466" s="114" t="s">
        <v>209</v>
      </c>
      <c r="D466" s="114"/>
      <c r="E466" s="114"/>
      <c r="F466" s="114" t="s">
        <v>941</v>
      </c>
      <c r="G466" s="114" t="s">
        <v>99</v>
      </c>
      <c r="H466" s="115">
        <v>78.900000000000006</v>
      </c>
      <c r="I466" s="116">
        <v>80.894999999999996</v>
      </c>
      <c r="J466" s="116">
        <v>98.872500000000002</v>
      </c>
      <c r="K466" s="116">
        <v>7801.04</v>
      </c>
      <c r="L466" s="116">
        <v>107.86</v>
      </c>
      <c r="M466" s="116">
        <v>131.83000000000001</v>
      </c>
      <c r="N466" s="116">
        <v>10401.379999999999</v>
      </c>
      <c r="O466" s="121">
        <f t="shared" si="14"/>
        <v>0.25</v>
      </c>
      <c r="P466" s="121">
        <f t="shared" si="15"/>
        <v>0.24999951929455511</v>
      </c>
      <c r="Q466" s="121">
        <f>IFERROR(K466/RESUMO_DILIG!$D$5,"")</f>
        <v>8.7183897448944855E-4</v>
      </c>
      <c r="R466" s="114" t="s">
        <v>1290</v>
      </c>
      <c r="S466" s="114" t="s">
        <v>1319</v>
      </c>
      <c r="T466" s="114" t="s">
        <v>1320</v>
      </c>
    </row>
    <row r="467" spans="1:20" ht="38.25" x14ac:dyDescent="0.2">
      <c r="A467" s="108" t="s">
        <v>1994</v>
      </c>
      <c r="B467" s="114" t="s">
        <v>1634</v>
      </c>
      <c r="C467" s="114" t="s">
        <v>56</v>
      </c>
      <c r="D467" s="114"/>
      <c r="E467" s="114"/>
      <c r="F467" s="114" t="s">
        <v>942</v>
      </c>
      <c r="G467" s="114" t="s">
        <v>84</v>
      </c>
      <c r="H467" s="115">
        <v>4</v>
      </c>
      <c r="I467" s="116">
        <v>118.38</v>
      </c>
      <c r="J467" s="116">
        <v>144.69</v>
      </c>
      <c r="K467" s="116">
        <v>578.76</v>
      </c>
      <c r="L467" s="116">
        <v>157.84</v>
      </c>
      <c r="M467" s="116">
        <v>192.92</v>
      </c>
      <c r="N467" s="116">
        <v>771.68</v>
      </c>
      <c r="O467" s="121">
        <f t="shared" si="14"/>
        <v>0.25</v>
      </c>
      <c r="P467" s="121">
        <f t="shared" si="15"/>
        <v>0.25</v>
      </c>
      <c r="Q467" s="121">
        <f>IFERROR(K467/RESUMO_DILIG!$D$5,"")</f>
        <v>6.4681827663428624E-5</v>
      </c>
      <c r="R467" s="114" t="s">
        <v>1293</v>
      </c>
      <c r="S467" s="114" t="s">
        <v>1323</v>
      </c>
      <c r="T467" s="114" t="s">
        <v>1320</v>
      </c>
    </row>
    <row r="468" spans="1:20" ht="38.25" x14ac:dyDescent="0.2">
      <c r="A468" s="108" t="s">
        <v>1995</v>
      </c>
      <c r="B468" s="114" t="s">
        <v>1996</v>
      </c>
      <c r="C468" s="114" t="s">
        <v>56</v>
      </c>
      <c r="D468" s="114"/>
      <c r="E468" s="114"/>
      <c r="F468" s="114" t="s">
        <v>943</v>
      </c>
      <c r="G468" s="114" t="s">
        <v>99</v>
      </c>
      <c r="H468" s="115">
        <v>219</v>
      </c>
      <c r="I468" s="116">
        <v>8.8349999999999991</v>
      </c>
      <c r="J468" s="116">
        <v>10.7925</v>
      </c>
      <c r="K468" s="116">
        <v>2363.5500000000002</v>
      </c>
      <c r="L468" s="116">
        <v>11.78</v>
      </c>
      <c r="M468" s="116">
        <v>14.39</v>
      </c>
      <c r="N468" s="116">
        <v>3151.41</v>
      </c>
      <c r="O468" s="121">
        <f t="shared" si="14"/>
        <v>0.25</v>
      </c>
      <c r="P468" s="121">
        <f t="shared" si="15"/>
        <v>0.25000237988709806</v>
      </c>
      <c r="Q468" s="121">
        <f>IFERROR(K468/RESUMO_DILIG!$D$5,"")</f>
        <v>2.6414875557035169E-4</v>
      </c>
      <c r="R468" s="114" t="s">
        <v>1293</v>
      </c>
      <c r="S468" s="114" t="s">
        <v>1323</v>
      </c>
      <c r="T468" s="114" t="s">
        <v>1320</v>
      </c>
    </row>
    <row r="469" spans="1:20" ht="63.75" x14ac:dyDescent="0.2">
      <c r="A469" s="108" t="s">
        <v>1997</v>
      </c>
      <c r="B469" s="114" t="s">
        <v>1688</v>
      </c>
      <c r="C469" s="114" t="s">
        <v>56</v>
      </c>
      <c r="D469" s="114"/>
      <c r="E469" s="114"/>
      <c r="F469" s="114" t="s">
        <v>1689</v>
      </c>
      <c r="G469" s="114" t="s">
        <v>99</v>
      </c>
      <c r="H469" s="115">
        <v>219</v>
      </c>
      <c r="I469" s="116">
        <v>15.375</v>
      </c>
      <c r="J469" s="116">
        <v>18.787500000000001</v>
      </c>
      <c r="K469" s="116">
        <v>4114.46</v>
      </c>
      <c r="L469" s="116">
        <v>20.5</v>
      </c>
      <c r="M469" s="116">
        <v>25.05</v>
      </c>
      <c r="N469" s="116">
        <v>5485.95</v>
      </c>
      <c r="O469" s="121">
        <f t="shared" si="14"/>
        <v>0.25</v>
      </c>
      <c r="P469" s="121">
        <f t="shared" si="15"/>
        <v>0.2500004557095854</v>
      </c>
      <c r="Q469" s="121">
        <f>IFERROR(K469/RESUMO_DILIG!$D$5,"")</f>
        <v>4.5982927750375032E-4</v>
      </c>
      <c r="R469" s="114" t="s">
        <v>1293</v>
      </c>
      <c r="S469" s="114" t="s">
        <v>1323</v>
      </c>
      <c r="T469" s="114" t="s">
        <v>1320</v>
      </c>
    </row>
    <row r="470" spans="1:20" ht="51" x14ac:dyDescent="0.2">
      <c r="A470" s="108" t="s">
        <v>1998</v>
      </c>
      <c r="B470" s="114" t="s">
        <v>1999</v>
      </c>
      <c r="C470" s="114" t="s">
        <v>56</v>
      </c>
      <c r="D470" s="114"/>
      <c r="E470" s="114"/>
      <c r="F470" s="114" t="s">
        <v>2000</v>
      </c>
      <c r="G470" s="114" t="s">
        <v>99</v>
      </c>
      <c r="H470" s="115">
        <v>1.5</v>
      </c>
      <c r="I470" s="116">
        <v>8.8049999999999997</v>
      </c>
      <c r="J470" s="116">
        <v>10.754999999999999</v>
      </c>
      <c r="K470" s="116">
        <v>16.13</v>
      </c>
      <c r="L470" s="116">
        <v>11.74</v>
      </c>
      <c r="M470" s="116">
        <v>14.34</v>
      </c>
      <c r="N470" s="116">
        <v>21.51</v>
      </c>
      <c r="O470" s="121">
        <f t="shared" si="14"/>
        <v>0.25000000000000011</v>
      </c>
      <c r="P470" s="121">
        <f t="shared" si="15"/>
        <v>0.25011622501162256</v>
      </c>
      <c r="Q470" s="121">
        <f>IFERROR(K470/RESUMO_DILIG!$D$5,"")</f>
        <v>1.802677932495514E-6</v>
      </c>
      <c r="R470" s="114" t="s">
        <v>1293</v>
      </c>
      <c r="S470" s="114" t="s">
        <v>1323</v>
      </c>
      <c r="T470" s="114" t="s">
        <v>1320</v>
      </c>
    </row>
    <row r="471" spans="1:20" ht="51" x14ac:dyDescent="0.2">
      <c r="A471" s="108" t="s">
        <v>2001</v>
      </c>
      <c r="B471" s="114" t="s">
        <v>2002</v>
      </c>
      <c r="C471" s="114" t="s">
        <v>56</v>
      </c>
      <c r="D471" s="114"/>
      <c r="E471" s="114"/>
      <c r="F471" s="114" t="s">
        <v>2003</v>
      </c>
      <c r="G471" s="114" t="s">
        <v>99</v>
      </c>
      <c r="H471" s="115">
        <v>1098.7</v>
      </c>
      <c r="I471" s="116">
        <v>10.32</v>
      </c>
      <c r="J471" s="116">
        <v>12.607499999999998</v>
      </c>
      <c r="K471" s="116">
        <v>13851.86</v>
      </c>
      <c r="L471" s="116">
        <v>13.76</v>
      </c>
      <c r="M471" s="116">
        <v>16.809999999999999</v>
      </c>
      <c r="N471" s="116">
        <v>18469.14</v>
      </c>
      <c r="O471" s="121">
        <f t="shared" si="14"/>
        <v>0.25</v>
      </c>
      <c r="P471" s="121">
        <f t="shared" si="15"/>
        <v>0.2499997292781363</v>
      </c>
      <c r="Q471" s="121">
        <f>IFERROR(K471/RESUMO_DILIG!$D$5,"")</f>
        <v>1.5480745409806147E-3</v>
      </c>
      <c r="R471" s="114" t="s">
        <v>1290</v>
      </c>
      <c r="S471" s="114" t="s">
        <v>1323</v>
      </c>
      <c r="T471" s="114" t="s">
        <v>1320</v>
      </c>
    </row>
    <row r="472" spans="1:20" ht="51" x14ac:dyDescent="0.2">
      <c r="A472" s="108" t="s">
        <v>2004</v>
      </c>
      <c r="B472" s="114" t="s">
        <v>2005</v>
      </c>
      <c r="C472" s="114" t="s">
        <v>56</v>
      </c>
      <c r="D472" s="114"/>
      <c r="E472" s="114"/>
      <c r="F472" s="114" t="s">
        <v>946</v>
      </c>
      <c r="G472" s="114" t="s">
        <v>99</v>
      </c>
      <c r="H472" s="115">
        <v>366.7</v>
      </c>
      <c r="I472" s="116">
        <v>13.5075</v>
      </c>
      <c r="J472" s="116">
        <v>16.5075</v>
      </c>
      <c r="K472" s="116">
        <v>6053.3</v>
      </c>
      <c r="L472" s="116">
        <v>18.010000000000002</v>
      </c>
      <c r="M472" s="116">
        <v>22.01</v>
      </c>
      <c r="N472" s="116">
        <v>8071.06</v>
      </c>
      <c r="O472" s="121">
        <f t="shared" si="14"/>
        <v>0.25</v>
      </c>
      <c r="P472" s="121">
        <f t="shared" si="15"/>
        <v>0.24999938050268489</v>
      </c>
      <c r="Q472" s="121">
        <f>IFERROR(K472/RESUMO_DILIG!$D$5,"")</f>
        <v>6.7651272962027868E-4</v>
      </c>
      <c r="R472" s="114" t="s">
        <v>1290</v>
      </c>
      <c r="S472" s="114" t="s">
        <v>1323</v>
      </c>
      <c r="T472" s="114" t="s">
        <v>1320</v>
      </c>
    </row>
    <row r="473" spans="1:20" ht="51" x14ac:dyDescent="0.2">
      <c r="A473" s="108" t="s">
        <v>2006</v>
      </c>
      <c r="B473" s="114" t="s">
        <v>2007</v>
      </c>
      <c r="C473" s="114" t="s">
        <v>56</v>
      </c>
      <c r="D473" s="114"/>
      <c r="E473" s="114"/>
      <c r="F473" s="114" t="s">
        <v>947</v>
      </c>
      <c r="G473" s="114" t="s">
        <v>99</v>
      </c>
      <c r="H473" s="115">
        <v>26.7</v>
      </c>
      <c r="I473" s="116">
        <v>16.71</v>
      </c>
      <c r="J473" s="116">
        <v>20.422499999999999</v>
      </c>
      <c r="K473" s="116">
        <v>545.28</v>
      </c>
      <c r="L473" s="116">
        <v>22.28</v>
      </c>
      <c r="M473" s="116">
        <v>27.23</v>
      </c>
      <c r="N473" s="116">
        <v>727.04</v>
      </c>
      <c r="O473" s="121">
        <f t="shared" si="14"/>
        <v>0.25</v>
      </c>
      <c r="P473" s="121">
        <f t="shared" si="15"/>
        <v>0.25</v>
      </c>
      <c r="Q473" s="121">
        <f>IFERROR(K473/RESUMO_DILIG!$D$5,"")</f>
        <v>6.0940125420406316E-5</v>
      </c>
      <c r="R473" s="114" t="s">
        <v>1293</v>
      </c>
      <c r="S473" s="114" t="s">
        <v>1323</v>
      </c>
      <c r="T473" s="114" t="s">
        <v>1320</v>
      </c>
    </row>
    <row r="474" spans="1:20" ht="51" x14ac:dyDescent="0.2">
      <c r="A474" s="108" t="s">
        <v>2008</v>
      </c>
      <c r="B474" s="114" t="s">
        <v>2009</v>
      </c>
      <c r="C474" s="114" t="s">
        <v>56</v>
      </c>
      <c r="D474" s="114"/>
      <c r="E474" s="114"/>
      <c r="F474" s="114" t="s">
        <v>948</v>
      </c>
      <c r="G474" s="114" t="s">
        <v>99</v>
      </c>
      <c r="H474" s="115">
        <v>15.1</v>
      </c>
      <c r="I474" s="116">
        <v>15.375</v>
      </c>
      <c r="J474" s="116">
        <v>18.787500000000001</v>
      </c>
      <c r="K474" s="116">
        <v>283.69</v>
      </c>
      <c r="L474" s="116">
        <v>20.5</v>
      </c>
      <c r="M474" s="116">
        <v>25.05</v>
      </c>
      <c r="N474" s="116">
        <v>378.25</v>
      </c>
      <c r="O474" s="121">
        <f t="shared" si="14"/>
        <v>0.25</v>
      </c>
      <c r="P474" s="121">
        <f t="shared" si="15"/>
        <v>0.24999339061467285</v>
      </c>
      <c r="Q474" s="121">
        <f>IFERROR(K474/RESUMO_DILIG!$D$5,"")</f>
        <v>3.1705003265322531E-5</v>
      </c>
      <c r="R474" s="114" t="s">
        <v>1293</v>
      </c>
      <c r="S474" s="114" t="s">
        <v>1323</v>
      </c>
      <c r="T474" s="114" t="s">
        <v>1320</v>
      </c>
    </row>
    <row r="475" spans="1:20" ht="51" x14ac:dyDescent="0.2">
      <c r="A475" s="108" t="s">
        <v>2010</v>
      </c>
      <c r="B475" s="114" t="s">
        <v>2011</v>
      </c>
      <c r="C475" s="114" t="s">
        <v>56</v>
      </c>
      <c r="D475" s="114"/>
      <c r="E475" s="114"/>
      <c r="F475" s="114" t="s">
        <v>2012</v>
      </c>
      <c r="G475" s="114" t="s">
        <v>99</v>
      </c>
      <c r="H475" s="115">
        <v>3.6</v>
      </c>
      <c r="I475" s="116">
        <v>22.11</v>
      </c>
      <c r="J475" s="116">
        <v>27.022500000000001</v>
      </c>
      <c r="K475" s="116">
        <v>97.28</v>
      </c>
      <c r="L475" s="116">
        <v>29.48</v>
      </c>
      <c r="M475" s="116">
        <v>36.03</v>
      </c>
      <c r="N475" s="116">
        <v>129.69999999999999</v>
      </c>
      <c r="O475" s="121">
        <f t="shared" si="14"/>
        <v>0.25</v>
      </c>
      <c r="P475" s="121">
        <f t="shared" si="15"/>
        <v>0.24996144949884336</v>
      </c>
      <c r="Q475" s="121">
        <f>IFERROR(K475/RESUMO_DILIG!$D$5,"")</f>
        <v>1.0871947258100658E-5</v>
      </c>
      <c r="R475" s="114" t="s">
        <v>1293</v>
      </c>
      <c r="S475" s="114" t="s">
        <v>1323</v>
      </c>
      <c r="T475" s="114" t="s">
        <v>1320</v>
      </c>
    </row>
    <row r="476" spans="1:20" ht="51" x14ac:dyDescent="0.2">
      <c r="A476" s="108" t="s">
        <v>2013</v>
      </c>
      <c r="B476" s="114" t="s">
        <v>2014</v>
      </c>
      <c r="C476" s="114" t="s">
        <v>56</v>
      </c>
      <c r="D476" s="114"/>
      <c r="E476" s="114"/>
      <c r="F476" s="114" t="s">
        <v>950</v>
      </c>
      <c r="G476" s="114" t="s">
        <v>99</v>
      </c>
      <c r="H476" s="115">
        <v>3.3</v>
      </c>
      <c r="I476" s="116">
        <v>30.375</v>
      </c>
      <c r="J476" s="116">
        <v>37.125</v>
      </c>
      <c r="K476" s="116">
        <v>122.51</v>
      </c>
      <c r="L476" s="116">
        <v>40.5</v>
      </c>
      <c r="M476" s="116">
        <v>49.5</v>
      </c>
      <c r="N476" s="116">
        <v>163.35</v>
      </c>
      <c r="O476" s="121">
        <f t="shared" si="14"/>
        <v>0.25</v>
      </c>
      <c r="P476" s="121">
        <f t="shared" si="15"/>
        <v>0.25001530456075904</v>
      </c>
      <c r="Q476" s="121">
        <f>IFERROR(K476/RESUMO_DILIG!$D$5,"")</f>
        <v>1.3691635059518007E-5</v>
      </c>
      <c r="R476" s="114" t="s">
        <v>1293</v>
      </c>
      <c r="S476" s="114" t="s">
        <v>1323</v>
      </c>
      <c r="T476" s="114" t="s">
        <v>1320</v>
      </c>
    </row>
    <row r="477" spans="1:20" ht="51" x14ac:dyDescent="0.2">
      <c r="A477" s="108" t="s">
        <v>2015</v>
      </c>
      <c r="B477" s="114" t="s">
        <v>2016</v>
      </c>
      <c r="C477" s="114" t="s">
        <v>56</v>
      </c>
      <c r="D477" s="114"/>
      <c r="E477" s="114"/>
      <c r="F477" s="114" t="s">
        <v>951</v>
      </c>
      <c r="G477" s="114" t="s">
        <v>99</v>
      </c>
      <c r="H477" s="115">
        <v>12.9</v>
      </c>
      <c r="I477" s="116">
        <v>36.839999999999996</v>
      </c>
      <c r="J477" s="116">
        <v>45.022500000000001</v>
      </c>
      <c r="K477" s="116">
        <v>580.79</v>
      </c>
      <c r="L477" s="116">
        <v>49.12</v>
      </c>
      <c r="M477" s="116">
        <v>60.03</v>
      </c>
      <c r="N477" s="116">
        <v>774.38</v>
      </c>
      <c r="O477" s="121">
        <f t="shared" si="14"/>
        <v>0.25</v>
      </c>
      <c r="P477" s="121">
        <f t="shared" si="15"/>
        <v>0.24999354322167411</v>
      </c>
      <c r="Q477" s="121">
        <f>IFERROR(K477/RESUMO_DILIG!$D$5,"")</f>
        <v>6.4908699095726576E-5</v>
      </c>
      <c r="R477" s="114" t="s">
        <v>1293</v>
      </c>
      <c r="S477" s="114" t="s">
        <v>1323</v>
      </c>
      <c r="T477" s="114" t="s">
        <v>1320</v>
      </c>
    </row>
    <row r="478" spans="1:20" ht="25.5" x14ac:dyDescent="0.2">
      <c r="A478" s="108" t="s">
        <v>2017</v>
      </c>
      <c r="B478" s="114" t="s">
        <v>2018</v>
      </c>
      <c r="C478" s="114" t="s">
        <v>335</v>
      </c>
      <c r="D478" s="114"/>
      <c r="E478" s="114"/>
      <c r="F478" s="114" t="s">
        <v>952</v>
      </c>
      <c r="G478" s="114" t="s">
        <v>99</v>
      </c>
      <c r="H478" s="115">
        <v>1</v>
      </c>
      <c r="I478" s="116">
        <v>219.375</v>
      </c>
      <c r="J478" s="116">
        <v>268.14</v>
      </c>
      <c r="K478" s="116">
        <v>268.14</v>
      </c>
      <c r="L478" s="116">
        <v>292.5</v>
      </c>
      <c r="M478" s="116">
        <v>357.52</v>
      </c>
      <c r="N478" s="116">
        <v>357.52</v>
      </c>
      <c r="O478" s="121">
        <f t="shared" si="14"/>
        <v>0.25</v>
      </c>
      <c r="P478" s="121">
        <f t="shared" si="15"/>
        <v>0.25</v>
      </c>
      <c r="Q478" s="121">
        <f>IFERROR(K478/RESUMO_DILIG!$D$5,"")</f>
        <v>2.9967145742054997E-5</v>
      </c>
      <c r="R478" s="114" t="s">
        <v>1293</v>
      </c>
      <c r="S478" s="114" t="s">
        <v>1323</v>
      </c>
      <c r="T478" s="114" t="s">
        <v>1320</v>
      </c>
    </row>
    <row r="479" spans="1:20" ht="89.25" x14ac:dyDescent="0.2">
      <c r="A479" s="108" t="s">
        <v>2019</v>
      </c>
      <c r="B479" s="114" t="s">
        <v>2020</v>
      </c>
      <c r="C479" s="114" t="s">
        <v>24</v>
      </c>
      <c r="D479" s="114"/>
      <c r="E479" s="114"/>
      <c r="F479" s="114" t="s">
        <v>954</v>
      </c>
      <c r="G479" s="114" t="s">
        <v>99</v>
      </c>
      <c r="H479" s="115">
        <v>372.5</v>
      </c>
      <c r="I479" s="116">
        <v>83.699999999999989</v>
      </c>
      <c r="J479" s="116">
        <v>102.30000000000001</v>
      </c>
      <c r="K479" s="116">
        <v>38106.75</v>
      </c>
      <c r="L479" s="116">
        <v>111.6</v>
      </c>
      <c r="M479" s="116">
        <v>136.4</v>
      </c>
      <c r="N479" s="116">
        <v>50809</v>
      </c>
      <c r="O479" s="121">
        <f t="shared" si="14"/>
        <v>0.25</v>
      </c>
      <c r="P479" s="121">
        <f t="shared" si="15"/>
        <v>0.25</v>
      </c>
      <c r="Q479" s="121">
        <f>IFERROR(K479/RESUMO_DILIG!$D$5,"")</f>
        <v>4.258784705773306E-3</v>
      </c>
      <c r="R479" s="114" t="s">
        <v>1287</v>
      </c>
      <c r="S479" s="114" t="s">
        <v>1319</v>
      </c>
      <c r="T479" s="114" t="s">
        <v>1320</v>
      </c>
    </row>
    <row r="480" spans="1:20" ht="89.25" x14ac:dyDescent="0.2">
      <c r="A480" s="108" t="s">
        <v>2021</v>
      </c>
      <c r="B480" s="114" t="s">
        <v>2022</v>
      </c>
      <c r="C480" s="114" t="s">
        <v>24</v>
      </c>
      <c r="D480" s="114"/>
      <c r="E480" s="114"/>
      <c r="F480" s="114" t="s">
        <v>956</v>
      </c>
      <c r="G480" s="114" t="s">
        <v>99</v>
      </c>
      <c r="H480" s="115">
        <v>99.5</v>
      </c>
      <c r="I480" s="116">
        <v>169.5</v>
      </c>
      <c r="J480" s="116">
        <v>207.17250000000001</v>
      </c>
      <c r="K480" s="116">
        <v>20613.66</v>
      </c>
      <c r="L480" s="116">
        <v>226</v>
      </c>
      <c r="M480" s="116">
        <v>276.23</v>
      </c>
      <c r="N480" s="116">
        <v>27484.880000000001</v>
      </c>
      <c r="O480" s="121">
        <f t="shared" si="14"/>
        <v>0.25</v>
      </c>
      <c r="P480" s="121">
        <f t="shared" si="15"/>
        <v>0.25</v>
      </c>
      <c r="Q480" s="121">
        <f>IFERROR(K480/RESUMO_DILIG!$D$5,"")</f>
        <v>2.3037687532526645E-3</v>
      </c>
      <c r="R480" s="114" t="s">
        <v>1287</v>
      </c>
      <c r="S480" s="114" t="s">
        <v>1319</v>
      </c>
      <c r="T480" s="114" t="s">
        <v>1320</v>
      </c>
    </row>
    <row r="481" spans="1:20" ht="25.5" x14ac:dyDescent="0.2">
      <c r="A481" s="108" t="s">
        <v>2023</v>
      </c>
      <c r="B481" s="114" t="s">
        <v>2024</v>
      </c>
      <c r="C481" s="114" t="s">
        <v>335</v>
      </c>
      <c r="D481" s="114"/>
      <c r="E481" s="114"/>
      <c r="F481" s="114" t="s">
        <v>957</v>
      </c>
      <c r="G481" s="114" t="s">
        <v>84</v>
      </c>
      <c r="H481" s="115">
        <v>1</v>
      </c>
      <c r="I481" s="116">
        <v>35.594999999999999</v>
      </c>
      <c r="J481" s="116">
        <v>43.5075</v>
      </c>
      <c r="K481" s="116">
        <v>43.5</v>
      </c>
      <c r="L481" s="116">
        <v>47.46</v>
      </c>
      <c r="M481" s="116">
        <v>58.01</v>
      </c>
      <c r="N481" s="116">
        <v>58.01</v>
      </c>
      <c r="O481" s="121">
        <f t="shared" si="14"/>
        <v>0.25</v>
      </c>
      <c r="P481" s="121">
        <f t="shared" si="15"/>
        <v>0.25012928805378376</v>
      </c>
      <c r="Q481" s="121">
        <f>IFERROR(K481/RESUMO_DILIG!$D$5,"")</f>
        <v>4.8615306920988758E-6</v>
      </c>
      <c r="R481" s="114" t="s">
        <v>1293</v>
      </c>
      <c r="S481" s="114" t="s">
        <v>1323</v>
      </c>
      <c r="T481" s="114" t="s">
        <v>1320</v>
      </c>
    </row>
    <row r="482" spans="1:20" ht="25.5" x14ac:dyDescent="0.2">
      <c r="A482" s="108" t="s">
        <v>2025</v>
      </c>
      <c r="B482" s="114" t="s">
        <v>2026</v>
      </c>
      <c r="C482" s="114" t="s">
        <v>335</v>
      </c>
      <c r="D482" s="114"/>
      <c r="E482" s="114"/>
      <c r="F482" s="114" t="s">
        <v>958</v>
      </c>
      <c r="G482" s="114" t="s">
        <v>84</v>
      </c>
      <c r="H482" s="115">
        <v>1</v>
      </c>
      <c r="I482" s="116">
        <v>101.89500000000001</v>
      </c>
      <c r="J482" s="116">
        <v>124.545</v>
      </c>
      <c r="K482" s="116">
        <v>124.54</v>
      </c>
      <c r="L482" s="116">
        <v>135.86000000000001</v>
      </c>
      <c r="M482" s="116">
        <v>166.06</v>
      </c>
      <c r="N482" s="116">
        <v>166.06</v>
      </c>
      <c r="O482" s="121">
        <f t="shared" si="14"/>
        <v>0.25</v>
      </c>
      <c r="P482" s="121">
        <f t="shared" si="15"/>
        <v>0.25003010959894012</v>
      </c>
      <c r="Q482" s="121">
        <f>IFERROR(K482/RESUMO_DILIG!$D$5,"")</f>
        <v>1.3918506491815954E-5</v>
      </c>
      <c r="R482" s="114" t="s">
        <v>1293</v>
      </c>
      <c r="S482" s="114" t="s">
        <v>1323</v>
      </c>
      <c r="T482" s="114" t="s">
        <v>1320</v>
      </c>
    </row>
    <row r="483" spans="1:20" ht="51" x14ac:dyDescent="0.2">
      <c r="A483" s="108" t="s">
        <v>2027</v>
      </c>
      <c r="B483" s="114" t="s">
        <v>2028</v>
      </c>
      <c r="C483" s="114" t="s">
        <v>56</v>
      </c>
      <c r="D483" s="114"/>
      <c r="E483" s="114"/>
      <c r="F483" s="114" t="s">
        <v>959</v>
      </c>
      <c r="G483" s="114" t="s">
        <v>84</v>
      </c>
      <c r="H483" s="115">
        <v>1</v>
      </c>
      <c r="I483" s="116">
        <v>10.5</v>
      </c>
      <c r="J483" s="116">
        <v>12.8325</v>
      </c>
      <c r="K483" s="116">
        <v>12.83</v>
      </c>
      <c r="L483" s="116">
        <v>14</v>
      </c>
      <c r="M483" s="116">
        <v>17.11</v>
      </c>
      <c r="N483" s="116">
        <v>17.11</v>
      </c>
      <c r="O483" s="121">
        <f t="shared" si="14"/>
        <v>0.25</v>
      </c>
      <c r="P483" s="121">
        <f t="shared" si="15"/>
        <v>0.25014611338398596</v>
      </c>
      <c r="Q483" s="121">
        <f>IFERROR(K483/RESUMO_DILIG!$D$5,"")</f>
        <v>1.4338721558535304E-6</v>
      </c>
      <c r="R483" s="114" t="s">
        <v>1293</v>
      </c>
      <c r="S483" s="114" t="s">
        <v>1323</v>
      </c>
      <c r="T483" s="114" t="s">
        <v>1320</v>
      </c>
    </row>
    <row r="484" spans="1:20" ht="51" x14ac:dyDescent="0.2">
      <c r="A484" s="108" t="s">
        <v>2029</v>
      </c>
      <c r="B484" s="114" t="s">
        <v>2030</v>
      </c>
      <c r="C484" s="114" t="s">
        <v>56</v>
      </c>
      <c r="D484" s="114"/>
      <c r="E484" s="114"/>
      <c r="F484" s="114" t="s">
        <v>960</v>
      </c>
      <c r="G484" s="114" t="s">
        <v>84</v>
      </c>
      <c r="H484" s="115">
        <v>5</v>
      </c>
      <c r="I484" s="116">
        <v>15.892500000000002</v>
      </c>
      <c r="J484" s="116">
        <v>19.424999999999997</v>
      </c>
      <c r="K484" s="116">
        <v>97.12</v>
      </c>
      <c r="L484" s="116">
        <v>21.19</v>
      </c>
      <c r="M484" s="116">
        <v>25.9</v>
      </c>
      <c r="N484" s="116">
        <v>129.5</v>
      </c>
      <c r="O484" s="121">
        <f t="shared" si="14"/>
        <v>0.25000000000000011</v>
      </c>
      <c r="P484" s="121">
        <f t="shared" si="15"/>
        <v>0.25003861003861005</v>
      </c>
      <c r="Q484" s="121">
        <f>IFERROR(K484/RESUMO_DILIG!$D$5,"")</f>
        <v>1.0854065765899835E-5</v>
      </c>
      <c r="R484" s="114" t="s">
        <v>1293</v>
      </c>
      <c r="S484" s="114" t="s">
        <v>1323</v>
      </c>
      <c r="T484" s="114" t="s">
        <v>1320</v>
      </c>
    </row>
    <row r="485" spans="1:20" ht="51" x14ac:dyDescent="0.2">
      <c r="A485" s="108" t="s">
        <v>2031</v>
      </c>
      <c r="B485" s="114" t="s">
        <v>2032</v>
      </c>
      <c r="C485" s="114" t="s">
        <v>56</v>
      </c>
      <c r="D485" s="114"/>
      <c r="E485" s="114"/>
      <c r="F485" s="114" t="s">
        <v>2033</v>
      </c>
      <c r="G485" s="114" t="s">
        <v>84</v>
      </c>
      <c r="H485" s="115">
        <v>4</v>
      </c>
      <c r="I485" s="116">
        <v>7.5075000000000003</v>
      </c>
      <c r="J485" s="116">
        <v>9.1724999999999994</v>
      </c>
      <c r="K485" s="116">
        <v>36.69</v>
      </c>
      <c r="L485" s="116">
        <v>10.01</v>
      </c>
      <c r="M485" s="116">
        <v>12.23</v>
      </c>
      <c r="N485" s="116">
        <v>48.92</v>
      </c>
      <c r="O485" s="121">
        <f t="shared" si="14"/>
        <v>0.25000000000000011</v>
      </c>
      <c r="P485" s="121">
        <f t="shared" si="15"/>
        <v>0.25000000000000011</v>
      </c>
      <c r="Q485" s="121">
        <f>IFERROR(K485/RESUMO_DILIG!$D$5,"")</f>
        <v>4.1004496803013273E-6</v>
      </c>
      <c r="R485" s="114" t="s">
        <v>1293</v>
      </c>
      <c r="S485" s="114" t="s">
        <v>1323</v>
      </c>
      <c r="T485" s="114" t="s">
        <v>1320</v>
      </c>
    </row>
    <row r="486" spans="1:20" ht="25.5" x14ac:dyDescent="0.2">
      <c r="A486" s="108" t="s">
        <v>2034</v>
      </c>
      <c r="B486" s="114" t="s">
        <v>2035</v>
      </c>
      <c r="C486" s="114" t="s">
        <v>335</v>
      </c>
      <c r="D486" s="114"/>
      <c r="E486" s="114"/>
      <c r="F486" s="114" t="s">
        <v>962</v>
      </c>
      <c r="G486" s="114" t="s">
        <v>84</v>
      </c>
      <c r="H486" s="115">
        <v>2</v>
      </c>
      <c r="I486" s="116">
        <v>38.535000000000004</v>
      </c>
      <c r="J486" s="116">
        <v>47.099999999999994</v>
      </c>
      <c r="K486" s="116">
        <v>94.2</v>
      </c>
      <c r="L486" s="116">
        <v>51.38</v>
      </c>
      <c r="M486" s="116">
        <v>62.8</v>
      </c>
      <c r="N486" s="116">
        <v>125.6</v>
      </c>
      <c r="O486" s="121">
        <f t="shared" si="14"/>
        <v>0.25000000000000011</v>
      </c>
      <c r="P486" s="121">
        <f t="shared" si="15"/>
        <v>0.24999999999999989</v>
      </c>
      <c r="Q486" s="121">
        <f>IFERROR(K486/RESUMO_DILIG!$D$5,"")</f>
        <v>1.0527728533234807E-5</v>
      </c>
      <c r="R486" s="114" t="s">
        <v>1293</v>
      </c>
      <c r="S486" s="114" t="s">
        <v>1323</v>
      </c>
      <c r="T486" s="114" t="s">
        <v>1320</v>
      </c>
    </row>
    <row r="487" spans="1:20" ht="51" x14ac:dyDescent="0.2">
      <c r="A487" s="108" t="s">
        <v>2036</v>
      </c>
      <c r="B487" s="114" t="s">
        <v>2037</v>
      </c>
      <c r="C487" s="114" t="s">
        <v>56</v>
      </c>
      <c r="D487" s="114"/>
      <c r="E487" s="114"/>
      <c r="F487" s="114" t="s">
        <v>963</v>
      </c>
      <c r="G487" s="114" t="s">
        <v>84</v>
      </c>
      <c r="H487" s="115">
        <v>592</v>
      </c>
      <c r="I487" s="116">
        <v>8.7675000000000001</v>
      </c>
      <c r="J487" s="116">
        <v>10.709999999999999</v>
      </c>
      <c r="K487" s="116">
        <v>6340.32</v>
      </c>
      <c r="L487" s="116">
        <v>11.69</v>
      </c>
      <c r="M487" s="116">
        <v>14.28</v>
      </c>
      <c r="N487" s="116">
        <v>8453.76</v>
      </c>
      <c r="O487" s="121">
        <f t="shared" si="14"/>
        <v>0.25</v>
      </c>
      <c r="P487" s="121">
        <f t="shared" si="15"/>
        <v>0.25</v>
      </c>
      <c r="Q487" s="121">
        <f>IFERROR(K487/RESUMO_DILIG!$D$5,"")</f>
        <v>7.0858989144203079E-4</v>
      </c>
      <c r="R487" s="114" t="s">
        <v>1290</v>
      </c>
      <c r="S487" s="114" t="s">
        <v>1323</v>
      </c>
      <c r="T487" s="114" t="s">
        <v>1320</v>
      </c>
    </row>
    <row r="488" spans="1:20" ht="51" x14ac:dyDescent="0.2">
      <c r="A488" s="108" t="s">
        <v>2038</v>
      </c>
      <c r="B488" s="114" t="s">
        <v>2039</v>
      </c>
      <c r="C488" s="114" t="s">
        <v>56</v>
      </c>
      <c r="D488" s="114"/>
      <c r="E488" s="114"/>
      <c r="F488" s="114" t="s">
        <v>966</v>
      </c>
      <c r="G488" s="114" t="s">
        <v>99</v>
      </c>
      <c r="H488" s="115">
        <v>9877.1</v>
      </c>
      <c r="I488" s="116">
        <v>5.76</v>
      </c>
      <c r="J488" s="116">
        <v>7.0350000000000001</v>
      </c>
      <c r="K488" s="116">
        <v>69485.39</v>
      </c>
      <c r="L488" s="116">
        <v>7.68</v>
      </c>
      <c r="M488" s="116">
        <v>9.3800000000000008</v>
      </c>
      <c r="N488" s="116">
        <v>92647.19</v>
      </c>
      <c r="O488" s="121">
        <f t="shared" si="14"/>
        <v>0.25</v>
      </c>
      <c r="P488" s="121">
        <f t="shared" si="15"/>
        <v>0.25000002698408885</v>
      </c>
      <c r="Q488" s="121">
        <f>IFERROR(K488/RESUMO_DILIG!$D$5,"")</f>
        <v>7.7656403709760987E-3</v>
      </c>
      <c r="R488" s="114" t="s">
        <v>1287</v>
      </c>
      <c r="S488" s="114" t="s">
        <v>1319</v>
      </c>
      <c r="T488" s="114" t="s">
        <v>1320</v>
      </c>
    </row>
    <row r="489" spans="1:20" ht="51" x14ac:dyDescent="0.2">
      <c r="A489" s="108" t="s">
        <v>2040</v>
      </c>
      <c r="B489" s="114" t="s">
        <v>2041</v>
      </c>
      <c r="C489" s="114" t="s">
        <v>56</v>
      </c>
      <c r="D489" s="114"/>
      <c r="E489" s="114"/>
      <c r="F489" s="114" t="s">
        <v>967</v>
      </c>
      <c r="G489" s="114" t="s">
        <v>99</v>
      </c>
      <c r="H489" s="115">
        <v>266.3</v>
      </c>
      <c r="I489" s="116">
        <v>6.1050000000000004</v>
      </c>
      <c r="J489" s="116">
        <v>7.4550000000000001</v>
      </c>
      <c r="K489" s="116">
        <v>1985.26</v>
      </c>
      <c r="L489" s="116">
        <v>8.14</v>
      </c>
      <c r="M489" s="116">
        <v>9.94</v>
      </c>
      <c r="N489" s="116">
        <v>2647.02</v>
      </c>
      <c r="O489" s="121">
        <f t="shared" si="14"/>
        <v>0.25</v>
      </c>
      <c r="P489" s="121">
        <f t="shared" si="15"/>
        <v>0.25000188891659303</v>
      </c>
      <c r="Q489" s="121">
        <f>IFERROR(K489/RESUMO_DILIG!$D$5,"")</f>
        <v>2.2187132004129227E-4</v>
      </c>
      <c r="R489" s="114" t="s">
        <v>1293</v>
      </c>
      <c r="S489" s="114" t="s">
        <v>1323</v>
      </c>
      <c r="T489" s="114" t="s">
        <v>1320</v>
      </c>
    </row>
    <row r="490" spans="1:20" ht="51" x14ac:dyDescent="0.2">
      <c r="A490" s="108" t="s">
        <v>2042</v>
      </c>
      <c r="B490" s="114" t="s">
        <v>2043</v>
      </c>
      <c r="C490" s="114" t="s">
        <v>56</v>
      </c>
      <c r="D490" s="114"/>
      <c r="E490" s="114"/>
      <c r="F490" s="114" t="s">
        <v>968</v>
      </c>
      <c r="G490" s="114" t="s">
        <v>99</v>
      </c>
      <c r="H490" s="115">
        <v>515.20000000000005</v>
      </c>
      <c r="I490" s="116">
        <v>7.98</v>
      </c>
      <c r="J490" s="116">
        <v>9.75</v>
      </c>
      <c r="K490" s="116">
        <v>5023.2</v>
      </c>
      <c r="L490" s="116">
        <v>10.64</v>
      </c>
      <c r="M490" s="116">
        <v>13</v>
      </c>
      <c r="N490" s="116">
        <v>6697.6</v>
      </c>
      <c r="O490" s="121">
        <f t="shared" si="14"/>
        <v>0.25</v>
      </c>
      <c r="P490" s="121">
        <f t="shared" si="15"/>
        <v>0.25000000000000011</v>
      </c>
      <c r="Q490" s="121">
        <f>IFERROR(K490/RESUMO_DILIG!$D$5,"")</f>
        <v>5.613894476448522E-4</v>
      </c>
      <c r="R490" s="114" t="s">
        <v>1293</v>
      </c>
      <c r="S490" s="114" t="s">
        <v>1323</v>
      </c>
      <c r="T490" s="114" t="s">
        <v>1320</v>
      </c>
    </row>
    <row r="491" spans="1:20" ht="51" x14ac:dyDescent="0.2">
      <c r="A491" s="108" t="s">
        <v>2044</v>
      </c>
      <c r="B491" s="114" t="s">
        <v>2045</v>
      </c>
      <c r="C491" s="114" t="s">
        <v>56</v>
      </c>
      <c r="D491" s="114"/>
      <c r="E491" s="114"/>
      <c r="F491" s="114" t="s">
        <v>2046</v>
      </c>
      <c r="G491" s="114" t="s">
        <v>99</v>
      </c>
      <c r="H491" s="115">
        <v>2322.1999999999998</v>
      </c>
      <c r="I491" s="116">
        <v>13.995000000000001</v>
      </c>
      <c r="J491" s="116">
        <v>17.100000000000001</v>
      </c>
      <c r="K491" s="116">
        <v>39709.620000000003</v>
      </c>
      <c r="L491" s="116">
        <v>18.66</v>
      </c>
      <c r="M491" s="116">
        <v>22.8</v>
      </c>
      <c r="N491" s="116">
        <v>52946.16</v>
      </c>
      <c r="O491" s="121">
        <f t="shared" si="14"/>
        <v>0.25</v>
      </c>
      <c r="P491" s="121">
        <f t="shared" si="15"/>
        <v>0.25</v>
      </c>
      <c r="Q491" s="121">
        <f>IFERROR(K491/RESUMO_DILIG!$D$5,"")</f>
        <v>4.4379203770478935E-3</v>
      </c>
      <c r="R491" s="114" t="s">
        <v>1287</v>
      </c>
      <c r="S491" s="114" t="s">
        <v>1319</v>
      </c>
      <c r="T491" s="114" t="s">
        <v>1320</v>
      </c>
    </row>
    <row r="492" spans="1:20" ht="51" x14ac:dyDescent="0.2">
      <c r="A492" s="108" t="s">
        <v>2047</v>
      </c>
      <c r="B492" s="114" t="s">
        <v>2048</v>
      </c>
      <c r="C492" s="114" t="s">
        <v>56</v>
      </c>
      <c r="D492" s="114"/>
      <c r="E492" s="114"/>
      <c r="F492" s="114" t="s">
        <v>2049</v>
      </c>
      <c r="G492" s="114" t="s">
        <v>99</v>
      </c>
      <c r="H492" s="115">
        <v>604.4</v>
      </c>
      <c r="I492" s="116">
        <v>13.544999999999998</v>
      </c>
      <c r="J492" s="116">
        <v>16.552500000000002</v>
      </c>
      <c r="K492" s="116">
        <v>10004.33</v>
      </c>
      <c r="L492" s="116">
        <v>18.059999999999999</v>
      </c>
      <c r="M492" s="116">
        <v>22.07</v>
      </c>
      <c r="N492" s="116">
        <v>13339.1</v>
      </c>
      <c r="O492" s="121">
        <f t="shared" si="14"/>
        <v>0.24999999999999989</v>
      </c>
      <c r="P492" s="121">
        <f t="shared" si="15"/>
        <v>0.24999962516211738</v>
      </c>
      <c r="Q492" s="121">
        <f>IFERROR(K492/RESUMO_DILIG!$D$5,"")</f>
        <v>1.1180771804341503E-3</v>
      </c>
      <c r="R492" s="114" t="s">
        <v>1290</v>
      </c>
      <c r="S492" s="114" t="s">
        <v>1323</v>
      </c>
      <c r="T492" s="114" t="s">
        <v>1320</v>
      </c>
    </row>
    <row r="493" spans="1:20" ht="51" x14ac:dyDescent="0.2">
      <c r="A493" s="108" t="s">
        <v>1480</v>
      </c>
      <c r="B493" s="114" t="s">
        <v>2050</v>
      </c>
      <c r="C493" s="114" t="s">
        <v>56</v>
      </c>
      <c r="D493" s="114"/>
      <c r="E493" s="114"/>
      <c r="F493" s="114" t="s">
        <v>2051</v>
      </c>
      <c r="G493" s="114" t="s">
        <v>99</v>
      </c>
      <c r="H493" s="115">
        <v>564</v>
      </c>
      <c r="I493" s="116">
        <v>20.287500000000001</v>
      </c>
      <c r="J493" s="116">
        <v>24.795000000000002</v>
      </c>
      <c r="K493" s="116">
        <v>13984.38</v>
      </c>
      <c r="L493" s="116">
        <v>27.05</v>
      </c>
      <c r="M493" s="116">
        <v>33.06</v>
      </c>
      <c r="N493" s="116">
        <v>18645.84</v>
      </c>
      <c r="O493" s="121">
        <f t="shared" si="14"/>
        <v>0.25</v>
      </c>
      <c r="P493" s="121">
        <f t="shared" si="15"/>
        <v>0.25</v>
      </c>
      <c r="Q493" s="121">
        <f>IFERROR(K493/RESUMO_DILIG!$D$5,"")</f>
        <v>1.5628848868959465E-3</v>
      </c>
      <c r="R493" s="114" t="s">
        <v>1290</v>
      </c>
      <c r="S493" s="114" t="s">
        <v>1323</v>
      </c>
      <c r="T493" s="114" t="s">
        <v>1320</v>
      </c>
    </row>
    <row r="494" spans="1:20" ht="51" x14ac:dyDescent="0.2">
      <c r="A494" s="108" t="s">
        <v>2052</v>
      </c>
      <c r="B494" s="114" t="s">
        <v>2053</v>
      </c>
      <c r="C494" s="114" t="s">
        <v>56</v>
      </c>
      <c r="D494" s="114"/>
      <c r="E494" s="114"/>
      <c r="F494" s="114" t="s">
        <v>2054</v>
      </c>
      <c r="G494" s="114" t="s">
        <v>99</v>
      </c>
      <c r="H494" s="115">
        <v>222.5</v>
      </c>
      <c r="I494" s="116">
        <v>21.15</v>
      </c>
      <c r="J494" s="116">
        <v>25.844999999999999</v>
      </c>
      <c r="K494" s="116">
        <v>5750.51</v>
      </c>
      <c r="L494" s="116">
        <v>28.2</v>
      </c>
      <c r="M494" s="116">
        <v>34.46</v>
      </c>
      <c r="N494" s="116">
        <v>7667.35</v>
      </c>
      <c r="O494" s="121">
        <f t="shared" si="14"/>
        <v>0.25</v>
      </c>
      <c r="P494" s="121">
        <f t="shared" si="15"/>
        <v>0.2500003260578948</v>
      </c>
      <c r="Q494" s="121">
        <f>IFERROR(K494/RESUMO_DILIG!$D$5,"")</f>
        <v>6.4267312322348292E-4</v>
      </c>
      <c r="R494" s="114" t="s">
        <v>1290</v>
      </c>
      <c r="S494" s="114" t="s">
        <v>1323</v>
      </c>
      <c r="T494" s="114" t="s">
        <v>1320</v>
      </c>
    </row>
    <row r="495" spans="1:20" ht="63.75" x14ac:dyDescent="0.2">
      <c r="A495" s="108" t="s">
        <v>2055</v>
      </c>
      <c r="B495" s="114" t="s">
        <v>2056</v>
      </c>
      <c r="C495" s="114" t="s">
        <v>56</v>
      </c>
      <c r="D495" s="114"/>
      <c r="E495" s="114"/>
      <c r="F495" s="114" t="s">
        <v>973</v>
      </c>
      <c r="G495" s="114" t="s">
        <v>99</v>
      </c>
      <c r="H495" s="115">
        <v>16.2</v>
      </c>
      <c r="I495" s="116">
        <v>27.105</v>
      </c>
      <c r="J495" s="116">
        <v>33.127499999999998</v>
      </c>
      <c r="K495" s="116">
        <v>536.66</v>
      </c>
      <c r="L495" s="116">
        <v>36.14</v>
      </c>
      <c r="M495" s="116">
        <v>44.17</v>
      </c>
      <c r="N495" s="116">
        <v>715.55</v>
      </c>
      <c r="O495" s="121">
        <f t="shared" si="14"/>
        <v>0.25000000000000011</v>
      </c>
      <c r="P495" s="121">
        <f t="shared" si="15"/>
        <v>0.25000349381594578</v>
      </c>
      <c r="Q495" s="121">
        <f>IFERROR(K495/RESUMO_DILIG!$D$5,"")</f>
        <v>5.9976760028086951E-5</v>
      </c>
      <c r="R495" s="114" t="s">
        <v>1293</v>
      </c>
      <c r="S495" s="114" t="s">
        <v>1323</v>
      </c>
      <c r="T495" s="114" t="s">
        <v>1320</v>
      </c>
    </row>
    <row r="496" spans="1:20" ht="63.75" x14ac:dyDescent="0.2">
      <c r="A496" s="108" t="s">
        <v>2057</v>
      </c>
      <c r="B496" s="114" t="s">
        <v>2058</v>
      </c>
      <c r="C496" s="114" t="s">
        <v>56</v>
      </c>
      <c r="D496" s="114"/>
      <c r="E496" s="114"/>
      <c r="F496" s="114" t="s">
        <v>974</v>
      </c>
      <c r="G496" s="114" t="s">
        <v>99</v>
      </c>
      <c r="H496" s="115">
        <v>155</v>
      </c>
      <c r="I496" s="116">
        <v>55.987500000000004</v>
      </c>
      <c r="J496" s="116">
        <v>68.429999999999993</v>
      </c>
      <c r="K496" s="116">
        <v>10606.65</v>
      </c>
      <c r="L496" s="116">
        <v>74.650000000000006</v>
      </c>
      <c r="M496" s="116">
        <v>91.24</v>
      </c>
      <c r="N496" s="116">
        <v>14142.2</v>
      </c>
      <c r="O496" s="121">
        <f t="shared" si="14"/>
        <v>0.25</v>
      </c>
      <c r="P496" s="121">
        <f t="shared" si="15"/>
        <v>0.25000000000000011</v>
      </c>
      <c r="Q496" s="121">
        <f>IFERROR(K496/RESUMO_DILIG!$D$5,"")</f>
        <v>1.1853920578241504E-3</v>
      </c>
      <c r="R496" s="114" t="s">
        <v>1290</v>
      </c>
      <c r="S496" s="114" t="s">
        <v>1323</v>
      </c>
      <c r="T496" s="114" t="s">
        <v>1320</v>
      </c>
    </row>
    <row r="497" spans="1:20" ht="63.75" x14ac:dyDescent="0.2">
      <c r="A497" s="108" t="s">
        <v>2059</v>
      </c>
      <c r="B497" s="114" t="s">
        <v>2060</v>
      </c>
      <c r="C497" s="114" t="s">
        <v>56</v>
      </c>
      <c r="D497" s="114"/>
      <c r="E497" s="114"/>
      <c r="F497" s="114" t="s">
        <v>975</v>
      </c>
      <c r="G497" s="114" t="s">
        <v>99</v>
      </c>
      <c r="H497" s="115">
        <v>21.7</v>
      </c>
      <c r="I497" s="116">
        <v>72.667500000000004</v>
      </c>
      <c r="J497" s="116">
        <v>88.814999999999998</v>
      </c>
      <c r="K497" s="116">
        <v>1927.28</v>
      </c>
      <c r="L497" s="116">
        <v>96.89</v>
      </c>
      <c r="M497" s="116">
        <v>118.42</v>
      </c>
      <c r="N497" s="116">
        <v>2569.71</v>
      </c>
      <c r="O497" s="121">
        <f t="shared" si="14"/>
        <v>0.25</v>
      </c>
      <c r="P497" s="121">
        <f t="shared" si="15"/>
        <v>0.25000097287242529</v>
      </c>
      <c r="Q497" s="121">
        <f>IFERROR(K497/RESUMO_DILIG!$D$5,"")</f>
        <v>2.1539151430501887E-4</v>
      </c>
      <c r="R497" s="114" t="s">
        <v>1293</v>
      </c>
      <c r="S497" s="114" t="s">
        <v>1323</v>
      </c>
      <c r="T497" s="114" t="s">
        <v>1320</v>
      </c>
    </row>
    <row r="498" spans="1:20" ht="63.75" x14ac:dyDescent="0.2">
      <c r="A498" s="108" t="s">
        <v>2061</v>
      </c>
      <c r="B498" s="114" t="s">
        <v>2062</v>
      </c>
      <c r="C498" s="114" t="s">
        <v>56</v>
      </c>
      <c r="D498" s="114"/>
      <c r="E498" s="114"/>
      <c r="F498" s="114" t="s">
        <v>976</v>
      </c>
      <c r="G498" s="114" t="s">
        <v>99</v>
      </c>
      <c r="H498" s="115">
        <v>143.80000000000001</v>
      </c>
      <c r="I498" s="116">
        <v>95.01</v>
      </c>
      <c r="J498" s="116">
        <v>116.13</v>
      </c>
      <c r="K498" s="116">
        <v>16699.490000000002</v>
      </c>
      <c r="L498" s="116">
        <v>126.68</v>
      </c>
      <c r="M498" s="116">
        <v>154.84</v>
      </c>
      <c r="N498" s="116">
        <v>22265.99</v>
      </c>
      <c r="O498" s="121">
        <f t="shared" si="14"/>
        <v>0.25</v>
      </c>
      <c r="P498" s="121">
        <f t="shared" si="15"/>
        <v>0.2500001122788611</v>
      </c>
      <c r="Q498" s="121">
        <f>IFERROR(K498/RESUMO_DILIG!$D$5,"")</f>
        <v>1.8663237512045578E-3</v>
      </c>
      <c r="R498" s="114" t="s">
        <v>1290</v>
      </c>
      <c r="S498" s="114" t="s">
        <v>1323</v>
      </c>
      <c r="T498" s="114" t="s">
        <v>1320</v>
      </c>
    </row>
    <row r="499" spans="1:20" ht="63.75" x14ac:dyDescent="0.2">
      <c r="A499" s="108" t="s">
        <v>2063</v>
      </c>
      <c r="B499" s="114" t="s">
        <v>2064</v>
      </c>
      <c r="C499" s="114" t="s">
        <v>56</v>
      </c>
      <c r="D499" s="114"/>
      <c r="E499" s="114"/>
      <c r="F499" s="114" t="s">
        <v>977</v>
      </c>
      <c r="G499" s="114" t="s">
        <v>99</v>
      </c>
      <c r="H499" s="115">
        <v>243.8</v>
      </c>
      <c r="I499" s="116">
        <v>149.16749999999999</v>
      </c>
      <c r="J499" s="116">
        <v>182.32499999999999</v>
      </c>
      <c r="K499" s="116">
        <v>44450.83</v>
      </c>
      <c r="L499" s="116">
        <v>198.89</v>
      </c>
      <c r="M499" s="116">
        <v>243.1</v>
      </c>
      <c r="N499" s="116">
        <v>59267.78</v>
      </c>
      <c r="O499" s="121">
        <f t="shared" si="14"/>
        <v>0.25</v>
      </c>
      <c r="P499" s="121">
        <f t="shared" si="15"/>
        <v>0.25000008436286958</v>
      </c>
      <c r="Q499" s="121">
        <f>IFERROR(K499/RESUMO_DILIG!$D$5,"")</f>
        <v>4.9677948122820569E-3</v>
      </c>
      <c r="R499" s="114" t="s">
        <v>1287</v>
      </c>
      <c r="S499" s="114" t="s">
        <v>1319</v>
      </c>
      <c r="T499" s="114" t="s">
        <v>1320</v>
      </c>
    </row>
    <row r="500" spans="1:20" ht="63.75" x14ac:dyDescent="0.2">
      <c r="A500" s="108" t="s">
        <v>2065</v>
      </c>
      <c r="B500" s="114" t="s">
        <v>2066</v>
      </c>
      <c r="C500" s="114" t="s">
        <v>56</v>
      </c>
      <c r="D500" s="114"/>
      <c r="E500" s="114"/>
      <c r="F500" s="114" t="s">
        <v>978</v>
      </c>
      <c r="G500" s="114" t="s">
        <v>99</v>
      </c>
      <c r="H500" s="115">
        <v>178.4</v>
      </c>
      <c r="I500" s="116">
        <v>197.21249999999998</v>
      </c>
      <c r="J500" s="116">
        <v>241.04999999999998</v>
      </c>
      <c r="K500" s="116">
        <v>43003.32</v>
      </c>
      <c r="L500" s="116">
        <v>262.95</v>
      </c>
      <c r="M500" s="116">
        <v>321.39999999999998</v>
      </c>
      <c r="N500" s="116">
        <v>57337.760000000002</v>
      </c>
      <c r="O500" s="121">
        <f t="shared" si="14"/>
        <v>0.25</v>
      </c>
      <c r="P500" s="121">
        <f t="shared" si="15"/>
        <v>0.25</v>
      </c>
      <c r="Q500" s="121">
        <f>IFERROR(K500/RESUMO_DILIG!$D$5,"")</f>
        <v>4.8060220699344697E-3</v>
      </c>
      <c r="R500" s="114" t="s">
        <v>1287</v>
      </c>
      <c r="S500" s="114" t="s">
        <v>1319</v>
      </c>
      <c r="T500" s="114" t="s">
        <v>1320</v>
      </c>
    </row>
    <row r="501" spans="1:20" ht="51" x14ac:dyDescent="0.2">
      <c r="A501" s="108" t="s">
        <v>2067</v>
      </c>
      <c r="B501" s="114" t="s">
        <v>979</v>
      </c>
      <c r="C501" s="114" t="s">
        <v>209</v>
      </c>
      <c r="D501" s="114"/>
      <c r="E501" s="114"/>
      <c r="F501" s="114" t="s">
        <v>2068</v>
      </c>
      <c r="G501" s="114" t="s">
        <v>99</v>
      </c>
      <c r="H501" s="115">
        <v>631.20000000000005</v>
      </c>
      <c r="I501" s="116">
        <v>339.13499999999999</v>
      </c>
      <c r="J501" s="116">
        <v>414.51750000000004</v>
      </c>
      <c r="K501" s="116">
        <v>261643.44</v>
      </c>
      <c r="L501" s="116">
        <v>452.18</v>
      </c>
      <c r="M501" s="116">
        <v>552.69000000000005</v>
      </c>
      <c r="N501" s="116">
        <v>348857.92</v>
      </c>
      <c r="O501" s="121">
        <f t="shared" si="14"/>
        <v>0.25</v>
      </c>
      <c r="P501" s="121">
        <f t="shared" si="15"/>
        <v>0.25</v>
      </c>
      <c r="Q501" s="121">
        <f>IFERROR(K501/RESUMO_DILIG!$D$5,"")</f>
        <v>2.9241094573478864E-2</v>
      </c>
      <c r="R501" s="114" t="s">
        <v>1287</v>
      </c>
      <c r="S501" s="114" t="s">
        <v>1319</v>
      </c>
      <c r="T501" s="114" t="s">
        <v>1320</v>
      </c>
    </row>
    <row r="502" spans="1:20" ht="63.75" x14ac:dyDescent="0.2">
      <c r="A502" s="108" t="s">
        <v>2069</v>
      </c>
      <c r="B502" s="114" t="s">
        <v>2070</v>
      </c>
      <c r="C502" s="114" t="s">
        <v>56</v>
      </c>
      <c r="D502" s="114"/>
      <c r="E502" s="114"/>
      <c r="F502" s="114" t="s">
        <v>983</v>
      </c>
      <c r="G502" s="114" t="s">
        <v>84</v>
      </c>
      <c r="H502" s="115">
        <v>2</v>
      </c>
      <c r="I502" s="116">
        <v>502.07249999999999</v>
      </c>
      <c r="J502" s="116">
        <v>613.68000000000006</v>
      </c>
      <c r="K502" s="116">
        <v>1227.3599999999999</v>
      </c>
      <c r="L502" s="116">
        <v>669.43</v>
      </c>
      <c r="M502" s="116">
        <v>818.24</v>
      </c>
      <c r="N502" s="116">
        <v>1636.48</v>
      </c>
      <c r="O502" s="121">
        <f t="shared" si="14"/>
        <v>0.24999999999999989</v>
      </c>
      <c r="P502" s="121">
        <f t="shared" si="15"/>
        <v>0.25000000000000011</v>
      </c>
      <c r="Q502" s="121">
        <f>IFERROR(K502/RESUMO_DILIG!$D$5,"")</f>
        <v>1.3716892667251667E-4</v>
      </c>
      <c r="R502" s="114" t="s">
        <v>1293</v>
      </c>
      <c r="S502" s="114" t="s">
        <v>1323</v>
      </c>
      <c r="T502" s="114" t="s">
        <v>1320</v>
      </c>
    </row>
    <row r="503" spans="1:20" ht="63.75" x14ac:dyDescent="0.2">
      <c r="A503" s="108" t="s">
        <v>2071</v>
      </c>
      <c r="B503" s="114" t="s">
        <v>984</v>
      </c>
      <c r="C503" s="114" t="s">
        <v>209</v>
      </c>
      <c r="D503" s="114"/>
      <c r="E503" s="114"/>
      <c r="F503" s="114" t="s">
        <v>985</v>
      </c>
      <c r="G503" s="114" t="s">
        <v>84</v>
      </c>
      <c r="H503" s="115">
        <v>2</v>
      </c>
      <c r="I503" s="116">
        <v>1013.3925</v>
      </c>
      <c r="J503" s="116">
        <v>1238.6624999999999</v>
      </c>
      <c r="K503" s="116">
        <v>2477.3200000000002</v>
      </c>
      <c r="L503" s="116">
        <v>1351.19</v>
      </c>
      <c r="M503" s="116">
        <v>1651.55</v>
      </c>
      <c r="N503" s="116">
        <v>3303.1</v>
      </c>
      <c r="O503" s="121">
        <f t="shared" si="14"/>
        <v>0.25</v>
      </c>
      <c r="P503" s="121">
        <f t="shared" si="15"/>
        <v>0.25000151372952673</v>
      </c>
      <c r="Q503" s="121">
        <f>IFERROR(K503/RESUMO_DILIG!$D$5,"")</f>
        <v>2.7686361411839971E-4</v>
      </c>
      <c r="R503" s="114" t="s">
        <v>1293</v>
      </c>
      <c r="S503" s="114" t="s">
        <v>1319</v>
      </c>
      <c r="T503" s="114" t="s">
        <v>1320</v>
      </c>
    </row>
    <row r="504" spans="1:20" ht="25.5" x14ac:dyDescent="0.2">
      <c r="A504" s="108" t="s">
        <v>2072</v>
      </c>
      <c r="B504" s="114" t="s">
        <v>2073</v>
      </c>
      <c r="C504" s="114" t="s">
        <v>335</v>
      </c>
      <c r="D504" s="114"/>
      <c r="E504" s="114"/>
      <c r="F504" s="114" t="s">
        <v>986</v>
      </c>
      <c r="G504" s="114" t="s">
        <v>84</v>
      </c>
      <c r="H504" s="115">
        <v>2</v>
      </c>
      <c r="I504" s="116">
        <v>2186.34</v>
      </c>
      <c r="J504" s="116">
        <v>2672.3625000000002</v>
      </c>
      <c r="K504" s="116">
        <v>5344.72</v>
      </c>
      <c r="L504" s="116">
        <v>2915.12</v>
      </c>
      <c r="M504" s="116">
        <v>3563.15</v>
      </c>
      <c r="N504" s="116">
        <v>7126.3</v>
      </c>
      <c r="O504" s="121">
        <f t="shared" si="14"/>
        <v>0.25</v>
      </c>
      <c r="P504" s="121">
        <f t="shared" si="15"/>
        <v>0.25000070162636989</v>
      </c>
      <c r="Q504" s="121">
        <f>IFERROR(K504/RESUMO_DILIG!$D$5,"")</f>
        <v>5.9732230622240698E-4</v>
      </c>
      <c r="R504" s="114" t="s">
        <v>1293</v>
      </c>
      <c r="S504" s="114" t="s">
        <v>1323</v>
      </c>
      <c r="T504" s="114" t="s">
        <v>1320</v>
      </c>
    </row>
    <row r="505" spans="1:20" ht="51" x14ac:dyDescent="0.2">
      <c r="A505" s="108" t="s">
        <v>2074</v>
      </c>
      <c r="B505" s="114" t="s">
        <v>987</v>
      </c>
      <c r="C505" s="114" t="s">
        <v>209</v>
      </c>
      <c r="D505" s="114"/>
      <c r="E505" s="114"/>
      <c r="F505" s="114" t="s">
        <v>2075</v>
      </c>
      <c r="G505" s="114" t="s">
        <v>84</v>
      </c>
      <c r="H505" s="115">
        <v>1</v>
      </c>
      <c r="I505" s="116">
        <v>4900.83</v>
      </c>
      <c r="J505" s="116">
        <v>5990.28</v>
      </c>
      <c r="K505" s="116">
        <v>5990.28</v>
      </c>
      <c r="L505" s="116">
        <v>6534.44</v>
      </c>
      <c r="M505" s="116">
        <v>7987.04</v>
      </c>
      <c r="N505" s="116">
        <v>7987.04</v>
      </c>
      <c r="O505" s="121">
        <f t="shared" si="14"/>
        <v>0.25</v>
      </c>
      <c r="P505" s="121">
        <f t="shared" si="15"/>
        <v>0.25</v>
      </c>
      <c r="Q505" s="121">
        <f>IFERROR(K505/RESUMO_DILIG!$D$5,"")</f>
        <v>6.6946965687967935E-4</v>
      </c>
      <c r="R505" s="114" t="s">
        <v>1290</v>
      </c>
      <c r="S505" s="114" t="s">
        <v>1319</v>
      </c>
      <c r="T505" s="114" t="s">
        <v>1320</v>
      </c>
    </row>
    <row r="506" spans="1:20" ht="63.75" x14ac:dyDescent="0.2">
      <c r="A506" s="108" t="s">
        <v>2076</v>
      </c>
      <c r="B506" s="114" t="s">
        <v>989</v>
      </c>
      <c r="C506" s="114" t="s">
        <v>209</v>
      </c>
      <c r="D506" s="114"/>
      <c r="E506" s="114"/>
      <c r="F506" s="114" t="s">
        <v>990</v>
      </c>
      <c r="G506" s="114" t="s">
        <v>84</v>
      </c>
      <c r="H506" s="115">
        <v>2</v>
      </c>
      <c r="I506" s="116">
        <v>2546.3175000000001</v>
      </c>
      <c r="J506" s="116">
        <v>3112.3575000000001</v>
      </c>
      <c r="K506" s="116">
        <v>6224.71</v>
      </c>
      <c r="L506" s="116">
        <v>3395.09</v>
      </c>
      <c r="M506" s="116">
        <v>4149.8100000000004</v>
      </c>
      <c r="N506" s="116">
        <v>8299.6200000000008</v>
      </c>
      <c r="O506" s="121">
        <f t="shared" si="14"/>
        <v>0.25</v>
      </c>
      <c r="P506" s="121">
        <f t="shared" si="15"/>
        <v>0.25000060243722011</v>
      </c>
      <c r="Q506" s="121">
        <f>IFERROR(K506/RESUMO_DILIG!$D$5,"")</f>
        <v>6.9566939573367337E-4</v>
      </c>
      <c r="R506" s="114" t="s">
        <v>1290</v>
      </c>
      <c r="S506" s="114" t="s">
        <v>1319</v>
      </c>
      <c r="T506" s="114" t="s">
        <v>1320</v>
      </c>
    </row>
    <row r="507" spans="1:20" ht="38.25" x14ac:dyDescent="0.2">
      <c r="A507" s="108" t="s">
        <v>2077</v>
      </c>
      <c r="B507" s="114" t="s">
        <v>2078</v>
      </c>
      <c r="C507" s="114" t="s">
        <v>56</v>
      </c>
      <c r="D507" s="114"/>
      <c r="E507" s="114"/>
      <c r="F507" s="114" t="s">
        <v>991</v>
      </c>
      <c r="G507" s="114" t="s">
        <v>84</v>
      </c>
      <c r="H507" s="115">
        <v>85</v>
      </c>
      <c r="I507" s="116">
        <v>8.5274999999999999</v>
      </c>
      <c r="J507" s="116">
        <v>10.4175</v>
      </c>
      <c r="K507" s="116">
        <v>885.48</v>
      </c>
      <c r="L507" s="116">
        <v>11.37</v>
      </c>
      <c r="M507" s="116">
        <v>13.89</v>
      </c>
      <c r="N507" s="116">
        <v>1180.6500000000001</v>
      </c>
      <c r="O507" s="121">
        <f t="shared" si="14"/>
        <v>0.25</v>
      </c>
      <c r="P507" s="121">
        <f t="shared" si="15"/>
        <v>0.25000635243298186</v>
      </c>
      <c r="Q507" s="121">
        <f>IFERROR(K507/RESUMO_DILIG!$D$5,"")</f>
        <v>9.8960648212407186E-5</v>
      </c>
      <c r="R507" s="114" t="s">
        <v>1293</v>
      </c>
      <c r="S507" s="114" t="s">
        <v>1323</v>
      </c>
      <c r="T507" s="114" t="s">
        <v>1320</v>
      </c>
    </row>
    <row r="508" spans="1:20" ht="38.25" x14ac:dyDescent="0.2">
      <c r="A508" s="108" t="s">
        <v>2079</v>
      </c>
      <c r="B508" s="114" t="s">
        <v>2080</v>
      </c>
      <c r="C508" s="114" t="s">
        <v>56</v>
      </c>
      <c r="D508" s="114"/>
      <c r="E508" s="114"/>
      <c r="F508" s="114" t="s">
        <v>992</v>
      </c>
      <c r="G508" s="114" t="s">
        <v>84</v>
      </c>
      <c r="H508" s="115">
        <v>21</v>
      </c>
      <c r="I508" s="116">
        <v>8.5274999999999999</v>
      </c>
      <c r="J508" s="116">
        <v>10.4175</v>
      </c>
      <c r="K508" s="116">
        <v>218.76</v>
      </c>
      <c r="L508" s="116">
        <v>11.37</v>
      </c>
      <c r="M508" s="116">
        <v>13.89</v>
      </c>
      <c r="N508" s="116">
        <v>291.69</v>
      </c>
      <c r="O508" s="121">
        <f t="shared" si="14"/>
        <v>0.25</v>
      </c>
      <c r="P508" s="121">
        <f t="shared" si="15"/>
        <v>0.25002571222873604</v>
      </c>
      <c r="Q508" s="121">
        <f>IFERROR(K508/RESUMO_DILIG!$D$5,"")</f>
        <v>2.444847021157586E-5</v>
      </c>
      <c r="R508" s="114" t="s">
        <v>1293</v>
      </c>
      <c r="S508" s="114" t="s">
        <v>1323</v>
      </c>
      <c r="T508" s="114" t="s">
        <v>1320</v>
      </c>
    </row>
    <row r="509" spans="1:20" ht="38.25" x14ac:dyDescent="0.2">
      <c r="A509" s="108" t="s">
        <v>2081</v>
      </c>
      <c r="B509" s="114" t="s">
        <v>2082</v>
      </c>
      <c r="C509" s="114" t="s">
        <v>56</v>
      </c>
      <c r="D509" s="114"/>
      <c r="E509" s="114"/>
      <c r="F509" s="114" t="s">
        <v>2083</v>
      </c>
      <c r="G509" s="114" t="s">
        <v>84</v>
      </c>
      <c r="H509" s="115">
        <v>2</v>
      </c>
      <c r="I509" s="116">
        <v>10.3725</v>
      </c>
      <c r="J509" s="116">
        <v>12.674999999999999</v>
      </c>
      <c r="K509" s="116">
        <v>25.35</v>
      </c>
      <c r="L509" s="116">
        <v>13.83</v>
      </c>
      <c r="M509" s="116">
        <v>16.899999999999999</v>
      </c>
      <c r="N509" s="116">
        <v>33.799999999999997</v>
      </c>
      <c r="O509" s="121">
        <f t="shared" si="14"/>
        <v>0.25</v>
      </c>
      <c r="P509" s="121">
        <f t="shared" si="15"/>
        <v>0.24999999999999989</v>
      </c>
      <c r="Q509" s="121">
        <f>IFERROR(K509/RESUMO_DILIG!$D$5,"")</f>
        <v>2.8330989205679656E-6</v>
      </c>
      <c r="R509" s="114" t="s">
        <v>1293</v>
      </c>
      <c r="S509" s="114" t="s">
        <v>1323</v>
      </c>
      <c r="T509" s="114" t="s">
        <v>1320</v>
      </c>
    </row>
    <row r="510" spans="1:20" ht="38.25" x14ac:dyDescent="0.2">
      <c r="A510" s="108" t="s">
        <v>2084</v>
      </c>
      <c r="B510" s="114" t="s">
        <v>2085</v>
      </c>
      <c r="C510" s="114" t="s">
        <v>56</v>
      </c>
      <c r="D510" s="114"/>
      <c r="E510" s="114"/>
      <c r="F510" s="114" t="s">
        <v>2086</v>
      </c>
      <c r="G510" s="114" t="s">
        <v>84</v>
      </c>
      <c r="H510" s="115">
        <v>1</v>
      </c>
      <c r="I510" s="116">
        <v>38.46</v>
      </c>
      <c r="J510" s="116">
        <v>47.002499999999998</v>
      </c>
      <c r="K510" s="116">
        <v>47</v>
      </c>
      <c r="L510" s="116">
        <v>51.28</v>
      </c>
      <c r="M510" s="116">
        <v>62.67</v>
      </c>
      <c r="N510" s="116">
        <v>62.67</v>
      </c>
      <c r="O510" s="121">
        <f t="shared" si="14"/>
        <v>0.25000000000000011</v>
      </c>
      <c r="P510" s="121">
        <f t="shared" si="15"/>
        <v>0.25003989149513328</v>
      </c>
      <c r="Q510" s="121">
        <f>IFERROR(K510/RESUMO_DILIG!$D$5,"")</f>
        <v>5.2526883339918888E-6</v>
      </c>
      <c r="R510" s="114" t="s">
        <v>1293</v>
      </c>
      <c r="S510" s="114" t="s">
        <v>1323</v>
      </c>
      <c r="T510" s="114" t="s">
        <v>1320</v>
      </c>
    </row>
    <row r="511" spans="1:20" ht="38.25" x14ac:dyDescent="0.2">
      <c r="A511" s="108" t="s">
        <v>2087</v>
      </c>
      <c r="B511" s="114" t="s">
        <v>2088</v>
      </c>
      <c r="C511" s="114" t="s">
        <v>56</v>
      </c>
      <c r="D511" s="114"/>
      <c r="E511" s="114"/>
      <c r="F511" s="114" t="s">
        <v>995</v>
      </c>
      <c r="G511" s="114" t="s">
        <v>84</v>
      </c>
      <c r="H511" s="115">
        <v>4</v>
      </c>
      <c r="I511" s="116">
        <v>42.150000000000006</v>
      </c>
      <c r="J511" s="116">
        <v>51.517499999999998</v>
      </c>
      <c r="K511" s="116">
        <v>206.07</v>
      </c>
      <c r="L511" s="116">
        <v>56.2</v>
      </c>
      <c r="M511" s="116">
        <v>68.69</v>
      </c>
      <c r="N511" s="116">
        <v>274.76</v>
      </c>
      <c r="O511" s="121">
        <f t="shared" si="14"/>
        <v>0.25</v>
      </c>
      <c r="P511" s="121">
        <f t="shared" si="15"/>
        <v>0.25</v>
      </c>
      <c r="Q511" s="121">
        <f>IFERROR(K511/RESUMO_DILIG!$D$5,"")</f>
        <v>2.3030244361398051E-5</v>
      </c>
      <c r="R511" s="114" t="s">
        <v>1293</v>
      </c>
      <c r="S511" s="114" t="s">
        <v>1323</v>
      </c>
      <c r="T511" s="114" t="s">
        <v>1320</v>
      </c>
    </row>
    <row r="512" spans="1:20" ht="38.25" x14ac:dyDescent="0.2">
      <c r="A512" s="108" t="s">
        <v>2089</v>
      </c>
      <c r="B512" s="114" t="s">
        <v>2090</v>
      </c>
      <c r="C512" s="114" t="s">
        <v>56</v>
      </c>
      <c r="D512" s="114"/>
      <c r="E512" s="114"/>
      <c r="F512" s="114" t="s">
        <v>2091</v>
      </c>
      <c r="G512" s="114" t="s">
        <v>84</v>
      </c>
      <c r="H512" s="115">
        <v>8</v>
      </c>
      <c r="I512" s="116">
        <v>48.675000000000004</v>
      </c>
      <c r="J512" s="116">
        <v>59.489999999999995</v>
      </c>
      <c r="K512" s="116">
        <v>475.92</v>
      </c>
      <c r="L512" s="116">
        <v>64.900000000000006</v>
      </c>
      <c r="M512" s="116">
        <v>79.319999999999993</v>
      </c>
      <c r="N512" s="116">
        <v>634.55999999999995</v>
      </c>
      <c r="O512" s="121">
        <f t="shared" si="14"/>
        <v>0.25</v>
      </c>
      <c r="P512" s="121">
        <f t="shared" si="15"/>
        <v>0.24999999999999989</v>
      </c>
      <c r="Q512" s="121">
        <f>IFERROR(K512/RESUMO_DILIG!$D$5,"")</f>
        <v>5.3188498551349353E-5</v>
      </c>
      <c r="R512" s="114" t="s">
        <v>1293</v>
      </c>
      <c r="S512" s="114" t="s">
        <v>1323</v>
      </c>
      <c r="T512" s="114" t="s">
        <v>1320</v>
      </c>
    </row>
    <row r="513" spans="1:20" ht="38.25" x14ac:dyDescent="0.2">
      <c r="A513" s="108" t="s">
        <v>2092</v>
      </c>
      <c r="B513" s="114" t="s">
        <v>2093</v>
      </c>
      <c r="C513" s="114" t="s">
        <v>56</v>
      </c>
      <c r="D513" s="114"/>
      <c r="E513" s="114"/>
      <c r="F513" s="114" t="s">
        <v>2094</v>
      </c>
      <c r="G513" s="114" t="s">
        <v>84</v>
      </c>
      <c r="H513" s="115">
        <v>1</v>
      </c>
      <c r="I513" s="116">
        <v>48.675000000000004</v>
      </c>
      <c r="J513" s="116">
        <v>59.489999999999995</v>
      </c>
      <c r="K513" s="116">
        <v>59.49</v>
      </c>
      <c r="L513" s="116">
        <v>64.900000000000006</v>
      </c>
      <c r="M513" s="116">
        <v>79.319999999999993</v>
      </c>
      <c r="N513" s="116">
        <v>79.319999999999993</v>
      </c>
      <c r="O513" s="121">
        <f t="shared" si="14"/>
        <v>0.25</v>
      </c>
      <c r="P513" s="121">
        <f t="shared" si="15"/>
        <v>0.24999999999999989</v>
      </c>
      <c r="Q513" s="121">
        <f>IFERROR(K513/RESUMO_DILIG!$D$5,"")</f>
        <v>6.6485623189186691E-6</v>
      </c>
      <c r="R513" s="114" t="s">
        <v>1293</v>
      </c>
      <c r="S513" s="114" t="s">
        <v>1323</v>
      </c>
      <c r="T513" s="114" t="s">
        <v>1320</v>
      </c>
    </row>
    <row r="514" spans="1:20" ht="63.75" x14ac:dyDescent="0.2">
      <c r="A514" s="108" t="s">
        <v>2095</v>
      </c>
      <c r="B514" s="114" t="s">
        <v>2096</v>
      </c>
      <c r="C514" s="114" t="s">
        <v>24</v>
      </c>
      <c r="D514" s="114"/>
      <c r="E514" s="114"/>
      <c r="F514" s="114" t="s">
        <v>2097</v>
      </c>
      <c r="G514" s="114" t="s">
        <v>84</v>
      </c>
      <c r="H514" s="115">
        <v>1</v>
      </c>
      <c r="I514" s="116">
        <v>34.522500000000001</v>
      </c>
      <c r="J514" s="116">
        <v>42.195</v>
      </c>
      <c r="K514" s="116">
        <v>42.19</v>
      </c>
      <c r="L514" s="116">
        <v>46.03</v>
      </c>
      <c r="M514" s="116">
        <v>56.26</v>
      </c>
      <c r="N514" s="116">
        <v>56.26</v>
      </c>
      <c r="O514" s="121">
        <f t="shared" si="14"/>
        <v>0.25</v>
      </c>
      <c r="P514" s="121">
        <f t="shared" si="15"/>
        <v>0.25008887308922856</v>
      </c>
      <c r="Q514" s="121">
        <f>IFERROR(K514/RESUMO_DILIG!$D$5,"")</f>
        <v>4.7151259747046335E-6</v>
      </c>
      <c r="R514" s="114" t="s">
        <v>1293</v>
      </c>
      <c r="S514" s="114" t="s">
        <v>1323</v>
      </c>
      <c r="T514" s="114" t="s">
        <v>1320</v>
      </c>
    </row>
    <row r="515" spans="1:20" ht="38.25" x14ac:dyDescent="0.2">
      <c r="A515" s="108" t="s">
        <v>2098</v>
      </c>
      <c r="B515" s="114" t="s">
        <v>2099</v>
      </c>
      <c r="C515" s="114" t="s">
        <v>56</v>
      </c>
      <c r="D515" s="114"/>
      <c r="E515" s="114"/>
      <c r="F515" s="114" t="s">
        <v>2100</v>
      </c>
      <c r="G515" s="114" t="s">
        <v>84</v>
      </c>
      <c r="H515" s="115">
        <v>4</v>
      </c>
      <c r="I515" s="116">
        <v>301.1925</v>
      </c>
      <c r="J515" s="116">
        <v>368.14499999999998</v>
      </c>
      <c r="K515" s="116">
        <v>1472.58</v>
      </c>
      <c r="L515" s="116">
        <v>401.59</v>
      </c>
      <c r="M515" s="116">
        <v>490.86</v>
      </c>
      <c r="N515" s="116">
        <v>1963.44</v>
      </c>
      <c r="O515" s="121">
        <f t="shared" si="14"/>
        <v>0.25000000000000011</v>
      </c>
      <c r="P515" s="121">
        <f t="shared" si="15"/>
        <v>0.25000000000000011</v>
      </c>
      <c r="Q515" s="121">
        <f>IFERROR(K515/RESUMO_DILIG!$D$5,"")</f>
        <v>1.6457454865680373E-4</v>
      </c>
      <c r="R515" s="114" t="s">
        <v>1293</v>
      </c>
      <c r="S515" s="114" t="s">
        <v>1323</v>
      </c>
      <c r="T515" s="114" t="s">
        <v>1320</v>
      </c>
    </row>
    <row r="516" spans="1:20" ht="63.75" x14ac:dyDescent="0.2">
      <c r="A516" s="108" t="s">
        <v>2101</v>
      </c>
      <c r="B516" s="114" t="s">
        <v>2102</v>
      </c>
      <c r="C516" s="114" t="s">
        <v>24</v>
      </c>
      <c r="D516" s="114"/>
      <c r="E516" s="114"/>
      <c r="F516" s="114" t="s">
        <v>1002</v>
      </c>
      <c r="G516" s="114" t="s">
        <v>84</v>
      </c>
      <c r="H516" s="115">
        <v>1</v>
      </c>
      <c r="I516" s="116">
        <v>293.22750000000002</v>
      </c>
      <c r="J516" s="116">
        <v>358.40999999999997</v>
      </c>
      <c r="K516" s="116">
        <v>358.41</v>
      </c>
      <c r="L516" s="116">
        <v>390.97</v>
      </c>
      <c r="M516" s="116">
        <v>477.88</v>
      </c>
      <c r="N516" s="116">
        <v>477.88</v>
      </c>
      <c r="O516" s="121">
        <f t="shared" ref="O516:O579" si="16">IFERROR(1-J516/M516,"")</f>
        <v>0.25000000000000011</v>
      </c>
      <c r="P516" s="121">
        <f t="shared" ref="P516:P579" si="17">IFERROR(1-K516/N516,"")</f>
        <v>0.24999999999999989</v>
      </c>
      <c r="Q516" s="121">
        <f>IFERROR(K516/RESUMO_DILIG!$D$5,"")</f>
        <v>4.0055660123107085E-5</v>
      </c>
      <c r="R516" s="114" t="s">
        <v>1293</v>
      </c>
      <c r="S516" s="114" t="s">
        <v>1323</v>
      </c>
      <c r="T516" s="114" t="s">
        <v>1320</v>
      </c>
    </row>
    <row r="517" spans="1:20" ht="38.25" x14ac:dyDescent="0.2">
      <c r="A517" s="108" t="s">
        <v>2103</v>
      </c>
      <c r="B517" s="114" t="s">
        <v>2104</v>
      </c>
      <c r="C517" s="114" t="s">
        <v>56</v>
      </c>
      <c r="D517" s="114"/>
      <c r="E517" s="114"/>
      <c r="F517" s="114" t="s">
        <v>1003</v>
      </c>
      <c r="G517" s="114" t="s">
        <v>84</v>
      </c>
      <c r="H517" s="115">
        <v>1</v>
      </c>
      <c r="I517" s="116">
        <v>901.52250000000004</v>
      </c>
      <c r="J517" s="116">
        <v>1101.93</v>
      </c>
      <c r="K517" s="116">
        <v>1101.93</v>
      </c>
      <c r="L517" s="116">
        <v>1202.03</v>
      </c>
      <c r="M517" s="116">
        <v>1469.24</v>
      </c>
      <c r="N517" s="116">
        <v>1469.24</v>
      </c>
      <c r="O517" s="121">
        <f t="shared" si="16"/>
        <v>0.25</v>
      </c>
      <c r="P517" s="121">
        <f t="shared" si="17"/>
        <v>0.25</v>
      </c>
      <c r="Q517" s="121">
        <f>IFERROR(K517/RESUMO_DILIG!$D$5,"")</f>
        <v>1.2315095438033367E-4</v>
      </c>
      <c r="R517" s="114" t="s">
        <v>1293</v>
      </c>
      <c r="S517" s="114" t="s">
        <v>1323</v>
      </c>
      <c r="T517" s="114" t="s">
        <v>1320</v>
      </c>
    </row>
    <row r="518" spans="1:20" ht="38.25" x14ac:dyDescent="0.2">
      <c r="A518" s="108" t="s">
        <v>2105</v>
      </c>
      <c r="B518" s="114" t="s">
        <v>2106</v>
      </c>
      <c r="C518" s="114" t="s">
        <v>56</v>
      </c>
      <c r="D518" s="114"/>
      <c r="E518" s="114"/>
      <c r="F518" s="114" t="s">
        <v>2107</v>
      </c>
      <c r="G518" s="114" t="s">
        <v>84</v>
      </c>
      <c r="H518" s="115">
        <v>1</v>
      </c>
      <c r="I518" s="116">
        <v>1421.91</v>
      </c>
      <c r="J518" s="116">
        <v>1737.9974999999999</v>
      </c>
      <c r="K518" s="116">
        <v>1737.99</v>
      </c>
      <c r="L518" s="116">
        <v>1895.88</v>
      </c>
      <c r="M518" s="116">
        <v>2317.33</v>
      </c>
      <c r="N518" s="116">
        <v>2317.33</v>
      </c>
      <c r="O518" s="121">
        <f t="shared" si="16"/>
        <v>0.25</v>
      </c>
      <c r="P518" s="121">
        <f t="shared" si="17"/>
        <v>0.25000323648336664</v>
      </c>
      <c r="Q518" s="121">
        <f>IFERROR(K518/RESUMO_DILIG!$D$5,"")</f>
        <v>1.9423659143818218E-4</v>
      </c>
      <c r="R518" s="114" t="s">
        <v>1293</v>
      </c>
      <c r="S518" s="114" t="s">
        <v>1323</v>
      </c>
      <c r="T518" s="114" t="s">
        <v>1320</v>
      </c>
    </row>
    <row r="519" spans="1:20" ht="25.5" x14ac:dyDescent="0.2">
      <c r="A519" s="108" t="s">
        <v>2108</v>
      </c>
      <c r="B519" s="114" t="s">
        <v>2109</v>
      </c>
      <c r="C519" s="114" t="s">
        <v>56</v>
      </c>
      <c r="D519" s="114"/>
      <c r="E519" s="114"/>
      <c r="F519" s="114" t="s">
        <v>2110</v>
      </c>
      <c r="G519" s="114" t="s">
        <v>84</v>
      </c>
      <c r="H519" s="115">
        <v>7</v>
      </c>
      <c r="I519" s="116">
        <v>88.275000000000006</v>
      </c>
      <c r="J519" s="116">
        <v>107.89500000000001</v>
      </c>
      <c r="K519" s="116">
        <v>755.26</v>
      </c>
      <c r="L519" s="116">
        <v>117.7</v>
      </c>
      <c r="M519" s="116">
        <v>143.86000000000001</v>
      </c>
      <c r="N519" s="116">
        <v>1007.02</v>
      </c>
      <c r="O519" s="121">
        <f t="shared" si="16"/>
        <v>0.25</v>
      </c>
      <c r="P519" s="121">
        <f t="shared" si="17"/>
        <v>0.25000496514468429</v>
      </c>
      <c r="Q519" s="121">
        <f>IFERROR(K519/RESUMO_DILIG!$D$5,"")</f>
        <v>8.4407348747462E-5</v>
      </c>
      <c r="R519" s="114" t="s">
        <v>1293</v>
      </c>
      <c r="S519" s="114" t="s">
        <v>1323</v>
      </c>
      <c r="T519" s="114" t="s">
        <v>1320</v>
      </c>
    </row>
    <row r="520" spans="1:20" ht="38.25" x14ac:dyDescent="0.2">
      <c r="A520" s="108" t="s">
        <v>2111</v>
      </c>
      <c r="B520" s="114" t="s">
        <v>2112</v>
      </c>
      <c r="C520" s="114" t="s">
        <v>56</v>
      </c>
      <c r="D520" s="114"/>
      <c r="E520" s="114"/>
      <c r="F520" s="114" t="s">
        <v>1006</v>
      </c>
      <c r="G520" s="114" t="s">
        <v>84</v>
      </c>
      <c r="H520" s="115">
        <v>27</v>
      </c>
      <c r="I520" s="116">
        <v>42.900000000000006</v>
      </c>
      <c r="J520" s="116">
        <v>52.432499999999997</v>
      </c>
      <c r="K520" s="116">
        <v>1415.67</v>
      </c>
      <c r="L520" s="116">
        <v>57.2</v>
      </c>
      <c r="M520" s="116">
        <v>69.91</v>
      </c>
      <c r="N520" s="116">
        <v>1887.57</v>
      </c>
      <c r="O520" s="121">
        <f t="shared" si="16"/>
        <v>0.25</v>
      </c>
      <c r="P520" s="121">
        <f t="shared" si="17"/>
        <v>0.25000397336257718</v>
      </c>
      <c r="Q520" s="121">
        <f>IFERROR(K520/RESUMO_DILIG!$D$5,"")</f>
        <v>1.5821432539962334E-4</v>
      </c>
      <c r="R520" s="114" t="s">
        <v>1293</v>
      </c>
      <c r="S520" s="114" t="s">
        <v>1323</v>
      </c>
      <c r="T520" s="114" t="s">
        <v>1320</v>
      </c>
    </row>
    <row r="521" spans="1:20" ht="38.25" x14ac:dyDescent="0.2">
      <c r="A521" s="108" t="s">
        <v>1523</v>
      </c>
      <c r="B521" s="114" t="s">
        <v>2113</v>
      </c>
      <c r="C521" s="114" t="s">
        <v>56</v>
      </c>
      <c r="D521" s="114"/>
      <c r="E521" s="114"/>
      <c r="F521" s="114" t="s">
        <v>1009</v>
      </c>
      <c r="G521" s="114" t="s">
        <v>84</v>
      </c>
      <c r="H521" s="115">
        <v>54</v>
      </c>
      <c r="I521" s="116">
        <v>27.022500000000001</v>
      </c>
      <c r="J521" s="116">
        <v>33.022500000000001</v>
      </c>
      <c r="K521" s="116">
        <v>1783.21</v>
      </c>
      <c r="L521" s="116">
        <v>36.03</v>
      </c>
      <c r="M521" s="116">
        <v>44.03</v>
      </c>
      <c r="N521" s="116">
        <v>2377.62</v>
      </c>
      <c r="O521" s="121">
        <f t="shared" si="16"/>
        <v>0.25</v>
      </c>
      <c r="P521" s="121">
        <f t="shared" si="17"/>
        <v>0.2500021029432794</v>
      </c>
      <c r="Q521" s="121">
        <f>IFERROR(K521/RESUMO_DILIG!$D$5,"")</f>
        <v>1.9929034817143992E-4</v>
      </c>
      <c r="R521" s="114" t="s">
        <v>1293</v>
      </c>
      <c r="S521" s="114" t="s">
        <v>1323</v>
      </c>
      <c r="T521" s="114" t="s">
        <v>1320</v>
      </c>
    </row>
    <row r="522" spans="1:20" ht="38.25" x14ac:dyDescent="0.2">
      <c r="A522" s="108" t="s">
        <v>1540</v>
      </c>
      <c r="B522" s="114" t="s">
        <v>2114</v>
      </c>
      <c r="C522" s="114" t="s">
        <v>56</v>
      </c>
      <c r="D522" s="114"/>
      <c r="E522" s="114"/>
      <c r="F522" s="114" t="s">
        <v>1010</v>
      </c>
      <c r="G522" s="114" t="s">
        <v>84</v>
      </c>
      <c r="H522" s="115">
        <v>1</v>
      </c>
      <c r="I522" s="116">
        <v>40.747500000000002</v>
      </c>
      <c r="J522" s="116">
        <v>49.800000000000004</v>
      </c>
      <c r="K522" s="116">
        <v>49.8</v>
      </c>
      <c r="L522" s="116">
        <v>54.33</v>
      </c>
      <c r="M522" s="116">
        <v>66.400000000000006</v>
      </c>
      <c r="N522" s="116">
        <v>66.400000000000006</v>
      </c>
      <c r="O522" s="121">
        <f t="shared" si="16"/>
        <v>0.25</v>
      </c>
      <c r="P522" s="121">
        <f t="shared" si="17"/>
        <v>0.25000000000000011</v>
      </c>
      <c r="Q522" s="121">
        <f>IFERROR(K522/RESUMO_DILIG!$D$5,"")</f>
        <v>5.5656144475062988E-6</v>
      </c>
      <c r="R522" s="114" t="s">
        <v>1293</v>
      </c>
      <c r="S522" s="114" t="s">
        <v>1323</v>
      </c>
      <c r="T522" s="114" t="s">
        <v>1320</v>
      </c>
    </row>
    <row r="523" spans="1:20" ht="38.25" x14ac:dyDescent="0.2">
      <c r="A523" s="108" t="s">
        <v>1550</v>
      </c>
      <c r="B523" s="114" t="s">
        <v>2115</v>
      </c>
      <c r="C523" s="114" t="s">
        <v>56</v>
      </c>
      <c r="D523" s="114"/>
      <c r="E523" s="114"/>
      <c r="F523" s="114" t="s">
        <v>1011</v>
      </c>
      <c r="G523" s="114" t="s">
        <v>84</v>
      </c>
      <c r="H523" s="115">
        <v>1</v>
      </c>
      <c r="I523" s="116">
        <v>54.472499999999997</v>
      </c>
      <c r="J523" s="116">
        <v>66.577500000000001</v>
      </c>
      <c r="K523" s="116">
        <v>66.569999999999993</v>
      </c>
      <c r="L523" s="116">
        <v>72.63</v>
      </c>
      <c r="M523" s="116">
        <v>88.77</v>
      </c>
      <c r="N523" s="116">
        <v>88.77</v>
      </c>
      <c r="O523" s="121">
        <f t="shared" si="16"/>
        <v>0.25</v>
      </c>
      <c r="P523" s="121">
        <f t="shared" si="17"/>
        <v>0.25008448800270366</v>
      </c>
      <c r="Q523" s="121">
        <f>IFERROR(K523/RESUMO_DILIG!$D$5,"")</f>
        <v>7.4398183488051061E-6</v>
      </c>
      <c r="R523" s="114" t="s">
        <v>1293</v>
      </c>
      <c r="S523" s="114" t="s">
        <v>1323</v>
      </c>
      <c r="T523" s="114" t="s">
        <v>1320</v>
      </c>
    </row>
    <row r="524" spans="1:20" ht="51" x14ac:dyDescent="0.2">
      <c r="A524" s="108" t="s">
        <v>2116</v>
      </c>
      <c r="B524" s="114" t="s">
        <v>2117</v>
      </c>
      <c r="C524" s="114" t="s">
        <v>56</v>
      </c>
      <c r="D524" s="114"/>
      <c r="E524" s="114"/>
      <c r="F524" s="114" t="s">
        <v>1012</v>
      </c>
      <c r="G524" s="114" t="s">
        <v>84</v>
      </c>
      <c r="H524" s="115">
        <v>1</v>
      </c>
      <c r="I524" s="116">
        <v>46.012500000000003</v>
      </c>
      <c r="J524" s="116">
        <v>56.234999999999999</v>
      </c>
      <c r="K524" s="116">
        <v>56.23</v>
      </c>
      <c r="L524" s="116">
        <v>61.35</v>
      </c>
      <c r="M524" s="116">
        <v>74.98</v>
      </c>
      <c r="N524" s="116">
        <v>74.98</v>
      </c>
      <c r="O524" s="121">
        <f t="shared" si="16"/>
        <v>0.25</v>
      </c>
      <c r="P524" s="121">
        <f t="shared" si="17"/>
        <v>0.25006668444918656</v>
      </c>
      <c r="Q524" s="121">
        <f>IFERROR(K524/RESUMO_DILIG!$D$5,"")</f>
        <v>6.2842269153268906E-6</v>
      </c>
      <c r="R524" s="114" t="s">
        <v>1293</v>
      </c>
      <c r="S524" s="114" t="s">
        <v>1323</v>
      </c>
      <c r="T524" s="114" t="s">
        <v>1320</v>
      </c>
    </row>
    <row r="525" spans="1:20" ht="38.25" x14ac:dyDescent="0.2">
      <c r="A525" s="108" t="s">
        <v>2118</v>
      </c>
      <c r="B525" s="114" t="s">
        <v>2119</v>
      </c>
      <c r="C525" s="114" t="s">
        <v>56</v>
      </c>
      <c r="D525" s="114"/>
      <c r="E525" s="114"/>
      <c r="F525" s="114" t="s">
        <v>1013</v>
      </c>
      <c r="G525" s="114" t="s">
        <v>84</v>
      </c>
      <c r="H525" s="115">
        <v>63</v>
      </c>
      <c r="I525" s="116">
        <v>32.347500000000004</v>
      </c>
      <c r="J525" s="116">
        <v>39.532499999999999</v>
      </c>
      <c r="K525" s="116">
        <v>2490.54</v>
      </c>
      <c r="L525" s="116">
        <v>43.13</v>
      </c>
      <c r="M525" s="116">
        <v>52.71</v>
      </c>
      <c r="N525" s="116">
        <v>3320.73</v>
      </c>
      <c r="O525" s="121">
        <f t="shared" si="16"/>
        <v>0.25</v>
      </c>
      <c r="P525" s="121">
        <f t="shared" si="17"/>
        <v>0.25000225853953806</v>
      </c>
      <c r="Q525" s="121">
        <f>IFERROR(K525/RESUMO_DILIG!$D$5,"")</f>
        <v>2.7834107241149275E-4</v>
      </c>
      <c r="R525" s="114" t="s">
        <v>1293</v>
      </c>
      <c r="S525" s="114" t="s">
        <v>1323</v>
      </c>
      <c r="T525" s="114" t="s">
        <v>1320</v>
      </c>
    </row>
    <row r="526" spans="1:20" ht="38.25" x14ac:dyDescent="0.2">
      <c r="A526" s="108" t="s">
        <v>2120</v>
      </c>
      <c r="B526" s="114" t="s">
        <v>2121</v>
      </c>
      <c r="C526" s="114" t="s">
        <v>56</v>
      </c>
      <c r="D526" s="114"/>
      <c r="E526" s="114"/>
      <c r="F526" s="114" t="s">
        <v>1014</v>
      </c>
      <c r="G526" s="114" t="s">
        <v>84</v>
      </c>
      <c r="H526" s="115">
        <v>34</v>
      </c>
      <c r="I526" s="116">
        <v>51.39</v>
      </c>
      <c r="J526" s="116">
        <v>62.8125</v>
      </c>
      <c r="K526" s="116">
        <v>2135.62</v>
      </c>
      <c r="L526" s="116">
        <v>68.52</v>
      </c>
      <c r="M526" s="116">
        <v>83.75</v>
      </c>
      <c r="N526" s="116">
        <v>2847.5</v>
      </c>
      <c r="O526" s="121">
        <f t="shared" si="16"/>
        <v>0.25</v>
      </c>
      <c r="P526" s="121">
        <f t="shared" si="17"/>
        <v>0.25000175592625118</v>
      </c>
      <c r="Q526" s="121">
        <f>IFERROR(K526/RESUMO_DILIG!$D$5,"")</f>
        <v>2.3867545233701608E-4</v>
      </c>
      <c r="R526" s="114" t="s">
        <v>1293</v>
      </c>
      <c r="S526" s="114" t="s">
        <v>1323</v>
      </c>
      <c r="T526" s="114" t="s">
        <v>1320</v>
      </c>
    </row>
    <row r="527" spans="1:20" ht="38.25" x14ac:dyDescent="0.2">
      <c r="A527" s="108" t="s">
        <v>2122</v>
      </c>
      <c r="B527" s="114" t="s">
        <v>2123</v>
      </c>
      <c r="C527" s="114" t="s">
        <v>56</v>
      </c>
      <c r="D527" s="114"/>
      <c r="E527" s="114"/>
      <c r="F527" s="114" t="s">
        <v>1015</v>
      </c>
      <c r="G527" s="114" t="s">
        <v>84</v>
      </c>
      <c r="H527" s="115">
        <v>104</v>
      </c>
      <c r="I527" s="116">
        <v>76.897500000000008</v>
      </c>
      <c r="J527" s="116">
        <v>93.99</v>
      </c>
      <c r="K527" s="116">
        <v>9774.9599999999991</v>
      </c>
      <c r="L527" s="116">
        <v>102.53</v>
      </c>
      <c r="M527" s="116">
        <v>125.32</v>
      </c>
      <c r="N527" s="116">
        <v>13033.28</v>
      </c>
      <c r="O527" s="121">
        <f t="shared" si="16"/>
        <v>0.25</v>
      </c>
      <c r="P527" s="121">
        <f t="shared" si="17"/>
        <v>0.25000000000000011</v>
      </c>
      <c r="Q527" s="121">
        <f>IFERROR(K527/RESUMO_DILIG!$D$5,"")</f>
        <v>1.0924429437710074E-3</v>
      </c>
      <c r="R527" s="114" t="s">
        <v>1290</v>
      </c>
      <c r="S527" s="114" t="s">
        <v>1323</v>
      </c>
      <c r="T527" s="114" t="s">
        <v>1320</v>
      </c>
    </row>
    <row r="528" spans="1:20" ht="38.25" x14ac:dyDescent="0.2">
      <c r="A528" s="108" t="s">
        <v>2124</v>
      </c>
      <c r="B528" s="114" t="s">
        <v>2125</v>
      </c>
      <c r="C528" s="114" t="s">
        <v>56</v>
      </c>
      <c r="D528" s="114"/>
      <c r="E528" s="114"/>
      <c r="F528" s="114" t="s">
        <v>1016</v>
      </c>
      <c r="G528" s="114" t="s">
        <v>84</v>
      </c>
      <c r="H528" s="115">
        <v>6</v>
      </c>
      <c r="I528" s="116">
        <v>33.697499999999998</v>
      </c>
      <c r="J528" s="116">
        <v>41.182499999999997</v>
      </c>
      <c r="K528" s="116">
        <v>247.09</v>
      </c>
      <c r="L528" s="116">
        <v>44.93</v>
      </c>
      <c r="M528" s="116">
        <v>54.91</v>
      </c>
      <c r="N528" s="116">
        <v>329.46</v>
      </c>
      <c r="O528" s="121">
        <f t="shared" si="16"/>
        <v>0.25</v>
      </c>
      <c r="P528" s="121">
        <f t="shared" si="17"/>
        <v>0.25001517634917736</v>
      </c>
      <c r="Q528" s="121">
        <f>IFERROR(K528/RESUMO_DILIG!$D$5,"")</f>
        <v>2.7614611924384164E-5</v>
      </c>
      <c r="R528" s="114" t="s">
        <v>1293</v>
      </c>
      <c r="S528" s="114" t="s">
        <v>1323</v>
      </c>
      <c r="T528" s="114" t="s">
        <v>1320</v>
      </c>
    </row>
    <row r="529" spans="1:20" ht="102" x14ac:dyDescent="0.2">
      <c r="A529" s="108" t="s">
        <v>2126</v>
      </c>
      <c r="B529" s="114" t="s">
        <v>2127</v>
      </c>
      <c r="C529" s="114" t="s">
        <v>24</v>
      </c>
      <c r="D529" s="114"/>
      <c r="E529" s="114"/>
      <c r="F529" s="114" t="s">
        <v>2128</v>
      </c>
      <c r="G529" s="114" t="s">
        <v>84</v>
      </c>
      <c r="H529" s="115">
        <v>377</v>
      </c>
      <c r="I529" s="116">
        <v>225.36750000000001</v>
      </c>
      <c r="J529" s="116">
        <v>275.45999999999998</v>
      </c>
      <c r="K529" s="116">
        <v>103848.42</v>
      </c>
      <c r="L529" s="116">
        <v>300.49</v>
      </c>
      <c r="M529" s="116">
        <v>367.28</v>
      </c>
      <c r="N529" s="116">
        <v>138464.56</v>
      </c>
      <c r="O529" s="121">
        <f t="shared" si="16"/>
        <v>0.25</v>
      </c>
      <c r="P529" s="121">
        <f t="shared" si="17"/>
        <v>0.25</v>
      </c>
      <c r="Q529" s="121">
        <f>IFERROR(K529/RESUMO_DILIG!$D$5,"")</f>
        <v>1.1606029451861488E-2</v>
      </c>
      <c r="R529" s="114" t="s">
        <v>1287</v>
      </c>
      <c r="S529" s="114" t="s">
        <v>1319</v>
      </c>
      <c r="T529" s="114" t="s">
        <v>1320</v>
      </c>
    </row>
    <row r="530" spans="1:20" ht="51" x14ac:dyDescent="0.2">
      <c r="A530" s="108" t="s">
        <v>2129</v>
      </c>
      <c r="B530" s="114" t="s">
        <v>2130</v>
      </c>
      <c r="C530" s="114" t="s">
        <v>56</v>
      </c>
      <c r="D530" s="114"/>
      <c r="E530" s="114"/>
      <c r="F530" s="114" t="s">
        <v>1019</v>
      </c>
      <c r="G530" s="114" t="s">
        <v>84</v>
      </c>
      <c r="H530" s="115">
        <v>54</v>
      </c>
      <c r="I530" s="116">
        <v>48.1875</v>
      </c>
      <c r="J530" s="116">
        <v>58.897500000000001</v>
      </c>
      <c r="K530" s="116">
        <v>3180.46</v>
      </c>
      <c r="L530" s="116">
        <v>64.25</v>
      </c>
      <c r="M530" s="116">
        <v>78.53</v>
      </c>
      <c r="N530" s="116">
        <v>4240.62</v>
      </c>
      <c r="O530" s="121">
        <f t="shared" si="16"/>
        <v>0.25</v>
      </c>
      <c r="P530" s="121">
        <f t="shared" si="17"/>
        <v>0.25000117907287134</v>
      </c>
      <c r="Q530" s="121">
        <f>IFERROR(K530/RESUMO_DILIG!$D$5,"")</f>
        <v>3.5544606678144342E-4</v>
      </c>
      <c r="R530" s="114" t="s">
        <v>1293</v>
      </c>
      <c r="S530" s="114" t="s">
        <v>1323</v>
      </c>
      <c r="T530" s="114" t="s">
        <v>1320</v>
      </c>
    </row>
    <row r="531" spans="1:20" ht="38.25" x14ac:dyDescent="0.2">
      <c r="A531" s="108" t="s">
        <v>2131</v>
      </c>
      <c r="B531" s="114" t="s">
        <v>2132</v>
      </c>
      <c r="C531" s="114" t="s">
        <v>56</v>
      </c>
      <c r="D531" s="114"/>
      <c r="E531" s="114"/>
      <c r="F531" s="114" t="s">
        <v>1020</v>
      </c>
      <c r="G531" s="114" t="s">
        <v>84</v>
      </c>
      <c r="H531" s="115">
        <v>5</v>
      </c>
      <c r="I531" s="116">
        <v>17.767500000000002</v>
      </c>
      <c r="J531" s="116">
        <v>21.712499999999999</v>
      </c>
      <c r="K531" s="116">
        <v>108.56</v>
      </c>
      <c r="L531" s="116">
        <v>23.69</v>
      </c>
      <c r="M531" s="116">
        <v>28.95</v>
      </c>
      <c r="N531" s="116">
        <v>144.75</v>
      </c>
      <c r="O531" s="121">
        <f t="shared" si="16"/>
        <v>0.25</v>
      </c>
      <c r="P531" s="121">
        <f t="shared" si="17"/>
        <v>0.25001727115716754</v>
      </c>
      <c r="Q531" s="121">
        <f>IFERROR(K531/RESUMO_DILIG!$D$5,"")</f>
        <v>1.2132592458258712E-5</v>
      </c>
      <c r="R531" s="114" t="s">
        <v>1293</v>
      </c>
      <c r="S531" s="114" t="s">
        <v>1323</v>
      </c>
      <c r="T531" s="114" t="s">
        <v>1320</v>
      </c>
    </row>
    <row r="532" spans="1:20" ht="25.5" x14ac:dyDescent="0.2">
      <c r="A532" s="108" t="s">
        <v>2133</v>
      </c>
      <c r="B532" s="114" t="s">
        <v>2134</v>
      </c>
      <c r="C532" s="114" t="s">
        <v>335</v>
      </c>
      <c r="D532" s="114"/>
      <c r="E532" s="114"/>
      <c r="F532" s="114" t="s">
        <v>1021</v>
      </c>
      <c r="G532" s="114" t="s">
        <v>84</v>
      </c>
      <c r="H532" s="115">
        <v>10</v>
      </c>
      <c r="I532" s="116">
        <v>128.4975</v>
      </c>
      <c r="J532" s="116">
        <v>157.0575</v>
      </c>
      <c r="K532" s="116">
        <v>1570.57</v>
      </c>
      <c r="L532" s="116">
        <v>171.33</v>
      </c>
      <c r="M532" s="116">
        <v>209.41</v>
      </c>
      <c r="N532" s="116">
        <v>2094.1</v>
      </c>
      <c r="O532" s="121">
        <f t="shared" si="16"/>
        <v>0.25</v>
      </c>
      <c r="P532" s="121">
        <f t="shared" si="17"/>
        <v>0.25000238766057015</v>
      </c>
      <c r="Q532" s="121">
        <f>IFERROR(K532/RESUMO_DILIG!$D$5,"")</f>
        <v>1.7552584503654554E-4</v>
      </c>
      <c r="R532" s="114" t="s">
        <v>1293</v>
      </c>
      <c r="S532" s="114" t="s">
        <v>1323</v>
      </c>
      <c r="T532" s="114" t="s">
        <v>1320</v>
      </c>
    </row>
    <row r="533" spans="1:20" ht="25.5" x14ac:dyDescent="0.2">
      <c r="A533" s="108" t="s">
        <v>2135</v>
      </c>
      <c r="B533" s="114" t="s">
        <v>2136</v>
      </c>
      <c r="C533" s="114" t="s">
        <v>335</v>
      </c>
      <c r="D533" s="114"/>
      <c r="E533" s="114"/>
      <c r="F533" s="114" t="s">
        <v>1022</v>
      </c>
      <c r="G533" s="114" t="s">
        <v>84</v>
      </c>
      <c r="H533" s="115">
        <v>6</v>
      </c>
      <c r="I533" s="116">
        <v>103.88249999999999</v>
      </c>
      <c r="J533" s="116">
        <v>126.97500000000001</v>
      </c>
      <c r="K533" s="116">
        <v>761.85</v>
      </c>
      <c r="L533" s="116">
        <v>138.51</v>
      </c>
      <c r="M533" s="116">
        <v>169.3</v>
      </c>
      <c r="N533" s="116">
        <v>1015.8</v>
      </c>
      <c r="O533" s="121">
        <f t="shared" si="16"/>
        <v>0.25</v>
      </c>
      <c r="P533" s="121">
        <f t="shared" si="17"/>
        <v>0.24999999999999989</v>
      </c>
      <c r="Q533" s="121">
        <f>IFERROR(K533/RESUMO_DILIG!$D$5,"")</f>
        <v>8.5143842707483406E-5</v>
      </c>
      <c r="R533" s="114" t="s">
        <v>1293</v>
      </c>
      <c r="S533" s="114" t="s">
        <v>1323</v>
      </c>
      <c r="T533" s="114" t="s">
        <v>1320</v>
      </c>
    </row>
    <row r="534" spans="1:20" ht="63.75" x14ac:dyDescent="0.2">
      <c r="A534" s="108" t="s">
        <v>1570</v>
      </c>
      <c r="B534" s="114" t="s">
        <v>2137</v>
      </c>
      <c r="C534" s="114" t="s">
        <v>56</v>
      </c>
      <c r="D534" s="114"/>
      <c r="E534" s="114"/>
      <c r="F534" s="114" t="s">
        <v>1025</v>
      </c>
      <c r="G534" s="114" t="s">
        <v>84</v>
      </c>
      <c r="H534" s="115">
        <v>4</v>
      </c>
      <c r="I534" s="116">
        <v>512.17499999999995</v>
      </c>
      <c r="J534" s="116">
        <v>626.02500000000009</v>
      </c>
      <c r="K534" s="116">
        <v>2504.1</v>
      </c>
      <c r="L534" s="116">
        <v>682.9</v>
      </c>
      <c r="M534" s="116">
        <v>834.7</v>
      </c>
      <c r="N534" s="116">
        <v>3338.8</v>
      </c>
      <c r="O534" s="121">
        <f t="shared" si="16"/>
        <v>0.24999999999999989</v>
      </c>
      <c r="P534" s="121">
        <f t="shared" si="17"/>
        <v>0.25000000000000011</v>
      </c>
      <c r="Q534" s="121">
        <f>IFERROR(K534/RESUMO_DILIG!$D$5,"")</f>
        <v>2.7985652887551249E-4</v>
      </c>
      <c r="R534" s="114" t="s">
        <v>1293</v>
      </c>
      <c r="S534" s="114" t="s">
        <v>1323</v>
      </c>
      <c r="T534" s="114" t="s">
        <v>1320</v>
      </c>
    </row>
    <row r="535" spans="1:20" ht="51" x14ac:dyDescent="0.2">
      <c r="A535" s="108" t="s">
        <v>1641</v>
      </c>
      <c r="B535" s="114" t="s">
        <v>2138</v>
      </c>
      <c r="C535" s="114" t="s">
        <v>56</v>
      </c>
      <c r="D535" s="114"/>
      <c r="E535" s="114"/>
      <c r="F535" s="114" t="s">
        <v>1026</v>
      </c>
      <c r="G535" s="114" t="s">
        <v>84</v>
      </c>
      <c r="H535" s="115">
        <v>4</v>
      </c>
      <c r="I535" s="116">
        <v>253.60499999999999</v>
      </c>
      <c r="J535" s="116">
        <v>309.97500000000002</v>
      </c>
      <c r="K535" s="116">
        <v>1239.9000000000001</v>
      </c>
      <c r="L535" s="116">
        <v>338.14</v>
      </c>
      <c r="M535" s="116">
        <v>413.3</v>
      </c>
      <c r="N535" s="116">
        <v>1653.2</v>
      </c>
      <c r="O535" s="121">
        <f t="shared" si="16"/>
        <v>0.25</v>
      </c>
      <c r="P535" s="121">
        <f t="shared" si="17"/>
        <v>0.25</v>
      </c>
      <c r="Q535" s="121">
        <f>IFERROR(K535/RESUMO_DILIG!$D$5,"")</f>
        <v>1.3857038862375625E-4</v>
      </c>
      <c r="R535" s="114" t="s">
        <v>1293</v>
      </c>
      <c r="S535" s="114" t="s">
        <v>1323</v>
      </c>
      <c r="T535" s="114" t="s">
        <v>1320</v>
      </c>
    </row>
    <row r="536" spans="1:20" ht="38.25" x14ac:dyDescent="0.2">
      <c r="A536" s="108" t="s">
        <v>1692</v>
      </c>
      <c r="B536" s="114" t="s">
        <v>1971</v>
      </c>
      <c r="C536" s="114" t="s">
        <v>56</v>
      </c>
      <c r="D536" s="114"/>
      <c r="E536" s="114"/>
      <c r="F536" s="114" t="s">
        <v>921</v>
      </c>
      <c r="G536" s="114" t="s">
        <v>84</v>
      </c>
      <c r="H536" s="115">
        <v>119</v>
      </c>
      <c r="I536" s="116">
        <v>18.945</v>
      </c>
      <c r="J536" s="116">
        <v>23.1525</v>
      </c>
      <c r="K536" s="116">
        <v>2755.14</v>
      </c>
      <c r="L536" s="116">
        <v>25.26</v>
      </c>
      <c r="M536" s="116">
        <v>30.87</v>
      </c>
      <c r="N536" s="116">
        <v>3673.53</v>
      </c>
      <c r="O536" s="121">
        <f t="shared" si="16"/>
        <v>0.25</v>
      </c>
      <c r="P536" s="121">
        <f t="shared" si="17"/>
        <v>0.25000204163297979</v>
      </c>
      <c r="Q536" s="121">
        <f>IFERROR(K536/RESUMO_DILIG!$D$5,"")</f>
        <v>3.0791259013860452E-4</v>
      </c>
      <c r="R536" s="114" t="s">
        <v>1293</v>
      </c>
      <c r="S536" s="114" t="s">
        <v>1323</v>
      </c>
      <c r="T536" s="114" t="s">
        <v>1320</v>
      </c>
    </row>
    <row r="537" spans="1:20" ht="38.25" x14ac:dyDescent="0.2">
      <c r="A537" s="108" t="s">
        <v>1727</v>
      </c>
      <c r="B537" s="114" t="s">
        <v>2139</v>
      </c>
      <c r="C537" s="114" t="s">
        <v>56</v>
      </c>
      <c r="D537" s="114"/>
      <c r="E537" s="114"/>
      <c r="F537" s="114" t="s">
        <v>2140</v>
      </c>
      <c r="G537" s="114" t="s">
        <v>84</v>
      </c>
      <c r="H537" s="115">
        <v>1</v>
      </c>
      <c r="I537" s="116">
        <v>24.93</v>
      </c>
      <c r="J537" s="116">
        <v>30.464999999999996</v>
      </c>
      <c r="K537" s="116">
        <v>30.46</v>
      </c>
      <c r="L537" s="116">
        <v>33.24</v>
      </c>
      <c r="M537" s="116">
        <v>40.619999999999997</v>
      </c>
      <c r="N537" s="116">
        <v>40.619999999999997</v>
      </c>
      <c r="O537" s="121">
        <f t="shared" si="16"/>
        <v>0.25</v>
      </c>
      <c r="P537" s="121">
        <f t="shared" si="17"/>
        <v>0.25012309207287042</v>
      </c>
      <c r="Q537" s="121">
        <f>IFERROR(K537/RESUMO_DILIG!$D$5,"")</f>
        <v>3.4041890777317645E-6</v>
      </c>
      <c r="R537" s="114" t="s">
        <v>1293</v>
      </c>
      <c r="S537" s="114" t="s">
        <v>1323</v>
      </c>
      <c r="T537" s="114" t="s">
        <v>1320</v>
      </c>
    </row>
    <row r="538" spans="1:20" ht="25.5" x14ac:dyDescent="0.2">
      <c r="A538" s="108" t="s">
        <v>1794</v>
      </c>
      <c r="B538" s="114" t="s">
        <v>1028</v>
      </c>
      <c r="C538" s="114" t="s">
        <v>1029</v>
      </c>
      <c r="D538" s="114"/>
      <c r="E538" s="114"/>
      <c r="F538" s="114" t="s">
        <v>1030</v>
      </c>
      <c r="G538" s="114" t="s">
        <v>84</v>
      </c>
      <c r="H538" s="115">
        <v>10</v>
      </c>
      <c r="I538" s="116">
        <v>75.172499999999999</v>
      </c>
      <c r="J538" s="116">
        <v>91.882500000000007</v>
      </c>
      <c r="K538" s="116">
        <v>918.82</v>
      </c>
      <c r="L538" s="116">
        <v>100.23</v>
      </c>
      <c r="M538" s="116">
        <v>122.51</v>
      </c>
      <c r="N538" s="116">
        <v>1225.0999999999999</v>
      </c>
      <c r="O538" s="121">
        <f t="shared" si="16"/>
        <v>0.25</v>
      </c>
      <c r="P538" s="121">
        <f t="shared" si="17"/>
        <v>0.2500040812994857</v>
      </c>
      <c r="Q538" s="121">
        <f>IFERROR(K538/RESUMO_DILIG!$D$5,"")</f>
        <v>1.0268670414975378E-4</v>
      </c>
      <c r="R538" s="114" t="s">
        <v>1293</v>
      </c>
      <c r="S538" s="114" t="s">
        <v>1323</v>
      </c>
      <c r="T538" s="114" t="s">
        <v>1320</v>
      </c>
    </row>
    <row r="539" spans="1:20" ht="89.25" x14ac:dyDescent="0.2">
      <c r="A539" s="108" t="s">
        <v>1816</v>
      </c>
      <c r="B539" s="114" t="s">
        <v>2141</v>
      </c>
      <c r="C539" s="114" t="s">
        <v>24</v>
      </c>
      <c r="D539" s="114"/>
      <c r="E539" s="114"/>
      <c r="F539" s="114" t="s">
        <v>1032</v>
      </c>
      <c r="G539" s="114" t="s">
        <v>99</v>
      </c>
      <c r="H539" s="115">
        <v>179.9</v>
      </c>
      <c r="I539" s="116">
        <v>61.53</v>
      </c>
      <c r="J539" s="116">
        <v>75.202500000000001</v>
      </c>
      <c r="K539" s="116">
        <v>13528.92</v>
      </c>
      <c r="L539" s="116">
        <v>82.04</v>
      </c>
      <c r="M539" s="116">
        <v>100.27</v>
      </c>
      <c r="N539" s="116">
        <v>18038.57</v>
      </c>
      <c r="O539" s="121">
        <f t="shared" si="16"/>
        <v>0.25</v>
      </c>
      <c r="P539" s="121">
        <f t="shared" si="17"/>
        <v>0.25000041577575161</v>
      </c>
      <c r="Q539" s="121">
        <f>IFERROR(K539/RESUMO_DILIG!$D$5,"")</f>
        <v>1.5119829841597774E-3</v>
      </c>
      <c r="R539" s="114" t="s">
        <v>1290</v>
      </c>
      <c r="S539" s="114" t="s">
        <v>1323</v>
      </c>
      <c r="T539" s="114" t="s">
        <v>1320</v>
      </c>
    </row>
    <row r="540" spans="1:20" ht="89.25" x14ac:dyDescent="0.2">
      <c r="A540" s="108" t="s">
        <v>1860</v>
      </c>
      <c r="B540" s="114" t="s">
        <v>2142</v>
      </c>
      <c r="C540" s="114" t="s">
        <v>24</v>
      </c>
      <c r="D540" s="114"/>
      <c r="E540" s="114"/>
      <c r="F540" s="114" t="s">
        <v>2143</v>
      </c>
      <c r="G540" s="114" t="s">
        <v>99</v>
      </c>
      <c r="H540" s="115">
        <v>55.5</v>
      </c>
      <c r="I540" s="116">
        <v>76.155000000000001</v>
      </c>
      <c r="J540" s="116">
        <v>93.082499999999996</v>
      </c>
      <c r="K540" s="116">
        <v>5166.07</v>
      </c>
      <c r="L540" s="116">
        <v>101.54</v>
      </c>
      <c r="M540" s="116">
        <v>124.11</v>
      </c>
      <c r="N540" s="116">
        <v>6888.1</v>
      </c>
      <c r="O540" s="121">
        <f t="shared" si="16"/>
        <v>0.25</v>
      </c>
      <c r="P540" s="121">
        <f t="shared" si="17"/>
        <v>0.25000072588957778</v>
      </c>
      <c r="Q540" s="121">
        <f>IFERROR(K540/RESUMO_DILIG!$D$5,"")</f>
        <v>5.7735650258692499E-4</v>
      </c>
      <c r="R540" s="114" t="s">
        <v>1293</v>
      </c>
      <c r="S540" s="114" t="s">
        <v>1323</v>
      </c>
      <c r="T540" s="114" t="s">
        <v>1320</v>
      </c>
    </row>
    <row r="541" spans="1:20" ht="89.25" x14ac:dyDescent="0.2">
      <c r="A541" s="108" t="s">
        <v>2144</v>
      </c>
      <c r="B541" s="114" t="s">
        <v>2145</v>
      </c>
      <c r="C541" s="114" t="s">
        <v>24</v>
      </c>
      <c r="D541" s="114"/>
      <c r="E541" s="114"/>
      <c r="F541" s="114" t="s">
        <v>2146</v>
      </c>
      <c r="G541" s="114" t="s">
        <v>99</v>
      </c>
      <c r="H541" s="115">
        <v>15.7</v>
      </c>
      <c r="I541" s="116">
        <v>70.304999999999993</v>
      </c>
      <c r="J541" s="116">
        <v>85.927499999999995</v>
      </c>
      <c r="K541" s="116">
        <v>1349.06</v>
      </c>
      <c r="L541" s="116">
        <v>93.74</v>
      </c>
      <c r="M541" s="116">
        <v>114.57</v>
      </c>
      <c r="N541" s="116">
        <v>1798.74</v>
      </c>
      <c r="O541" s="121">
        <f t="shared" si="16"/>
        <v>0.25</v>
      </c>
      <c r="P541" s="121">
        <f t="shared" si="17"/>
        <v>0.2499972202764158</v>
      </c>
      <c r="Q541" s="121">
        <f>IFERROR(K541/RESUMO_DILIG!$D$5,"")</f>
        <v>1.5077003667776802E-4</v>
      </c>
      <c r="R541" s="114" t="s">
        <v>1293</v>
      </c>
      <c r="S541" s="114" t="s">
        <v>1323</v>
      </c>
      <c r="T541" s="114" t="s">
        <v>1320</v>
      </c>
    </row>
    <row r="542" spans="1:20" ht="51" x14ac:dyDescent="0.2">
      <c r="A542" s="108" t="s">
        <v>1877</v>
      </c>
      <c r="B542" s="114" t="s">
        <v>2147</v>
      </c>
      <c r="C542" s="114" t="s">
        <v>24</v>
      </c>
      <c r="D542" s="114"/>
      <c r="E542" s="114"/>
      <c r="F542" s="114" t="s">
        <v>1038</v>
      </c>
      <c r="G542" s="114" t="s">
        <v>99</v>
      </c>
      <c r="H542" s="115">
        <v>487</v>
      </c>
      <c r="I542" s="116">
        <v>15.3825</v>
      </c>
      <c r="J542" s="116">
        <v>18.794999999999998</v>
      </c>
      <c r="K542" s="116">
        <v>9153.16</v>
      </c>
      <c r="L542" s="116">
        <v>20.51</v>
      </c>
      <c r="M542" s="116">
        <v>25.06</v>
      </c>
      <c r="N542" s="116">
        <v>12204.22</v>
      </c>
      <c r="O542" s="121">
        <f t="shared" si="16"/>
        <v>0.25</v>
      </c>
      <c r="P542" s="121">
        <f t="shared" si="17"/>
        <v>0.25000040969435156</v>
      </c>
      <c r="Q542" s="121">
        <f>IFERROR(K542/RESUMO_DILIG!$D$5,"")</f>
        <v>1.0229509947055574E-3</v>
      </c>
      <c r="R542" s="114" t="s">
        <v>1290</v>
      </c>
      <c r="S542" s="114" t="s">
        <v>1323</v>
      </c>
      <c r="T542" s="114" t="s">
        <v>1320</v>
      </c>
    </row>
    <row r="543" spans="1:20" ht="51" x14ac:dyDescent="0.2">
      <c r="A543" s="108" t="s">
        <v>2148</v>
      </c>
      <c r="B543" s="114" t="s">
        <v>2149</v>
      </c>
      <c r="C543" s="114" t="s">
        <v>24</v>
      </c>
      <c r="D543" s="114"/>
      <c r="E543" s="114"/>
      <c r="F543" s="114" t="s">
        <v>1040</v>
      </c>
      <c r="G543" s="114" t="s">
        <v>99</v>
      </c>
      <c r="H543" s="115">
        <v>22.8</v>
      </c>
      <c r="I543" s="116">
        <v>19.725000000000001</v>
      </c>
      <c r="J543" s="116">
        <v>24.105</v>
      </c>
      <c r="K543" s="116">
        <v>549.59</v>
      </c>
      <c r="L543" s="116">
        <v>26.3</v>
      </c>
      <c r="M543" s="116">
        <v>32.14</v>
      </c>
      <c r="N543" s="116">
        <v>732.79</v>
      </c>
      <c r="O543" s="121">
        <f t="shared" si="16"/>
        <v>0.25</v>
      </c>
      <c r="P543" s="121">
        <f t="shared" si="17"/>
        <v>0.25000341161860828</v>
      </c>
      <c r="Q543" s="121">
        <f>IFERROR(K543/RESUMO_DILIG!$D$5,"")</f>
        <v>6.1421808116566008E-5</v>
      </c>
      <c r="R543" s="114" t="s">
        <v>1293</v>
      </c>
      <c r="S543" s="114" t="s">
        <v>1323</v>
      </c>
      <c r="T543" s="114" t="s">
        <v>1320</v>
      </c>
    </row>
    <row r="544" spans="1:20" ht="51" x14ac:dyDescent="0.2">
      <c r="A544" s="108" t="s">
        <v>2150</v>
      </c>
      <c r="B544" s="114" t="s">
        <v>1991</v>
      </c>
      <c r="C544" s="114" t="s">
        <v>56</v>
      </c>
      <c r="D544" s="114"/>
      <c r="E544" s="114"/>
      <c r="F544" s="114" t="s">
        <v>937</v>
      </c>
      <c r="G544" s="114" t="s">
        <v>99</v>
      </c>
      <c r="H544" s="115">
        <v>31</v>
      </c>
      <c r="I544" s="116">
        <v>10.74</v>
      </c>
      <c r="J544" s="116">
        <v>13.125</v>
      </c>
      <c r="K544" s="116">
        <v>406.87</v>
      </c>
      <c r="L544" s="116">
        <v>14.32</v>
      </c>
      <c r="M544" s="116">
        <v>17.5</v>
      </c>
      <c r="N544" s="116">
        <v>542.5</v>
      </c>
      <c r="O544" s="121">
        <f t="shared" si="16"/>
        <v>0.25</v>
      </c>
      <c r="P544" s="121">
        <f t="shared" si="17"/>
        <v>0.25000921658986175</v>
      </c>
      <c r="Q544" s="121">
        <f>IFERROR(K544/RESUMO_DILIG!$D$5,"")</f>
        <v>4.5471517073431481E-5</v>
      </c>
      <c r="R544" s="114" t="s">
        <v>1293</v>
      </c>
      <c r="S544" s="114" t="s">
        <v>1323</v>
      </c>
      <c r="T544" s="114" t="s">
        <v>1320</v>
      </c>
    </row>
    <row r="545" spans="1:20" ht="38.25" x14ac:dyDescent="0.2">
      <c r="A545" s="108" t="s">
        <v>2151</v>
      </c>
      <c r="B545" s="114" t="s">
        <v>2152</v>
      </c>
      <c r="C545" s="114" t="s">
        <v>56</v>
      </c>
      <c r="D545" s="114"/>
      <c r="E545" s="114"/>
      <c r="F545" s="114" t="s">
        <v>1042</v>
      </c>
      <c r="G545" s="114" t="s">
        <v>99</v>
      </c>
      <c r="H545" s="115">
        <v>9.8000000000000007</v>
      </c>
      <c r="I545" s="116">
        <v>24.974999999999998</v>
      </c>
      <c r="J545" s="116">
        <v>30.525000000000002</v>
      </c>
      <c r="K545" s="116">
        <v>299.14</v>
      </c>
      <c r="L545" s="116">
        <v>33.299999999999997</v>
      </c>
      <c r="M545" s="116">
        <v>40.700000000000003</v>
      </c>
      <c r="N545" s="116">
        <v>398.86</v>
      </c>
      <c r="O545" s="121">
        <f t="shared" si="16"/>
        <v>0.25</v>
      </c>
      <c r="P545" s="121">
        <f t="shared" si="17"/>
        <v>0.25001253572682147</v>
      </c>
      <c r="Q545" s="121">
        <f>IFERROR(K545/RESUMO_DILIG!$D$5,"")</f>
        <v>3.343168485596454E-5</v>
      </c>
      <c r="R545" s="114" t="s">
        <v>1293</v>
      </c>
      <c r="S545" s="114" t="s">
        <v>1323</v>
      </c>
      <c r="T545" s="114" t="s">
        <v>1320</v>
      </c>
    </row>
    <row r="546" spans="1:20" ht="51" x14ac:dyDescent="0.2">
      <c r="A546" s="108" t="s">
        <v>2153</v>
      </c>
      <c r="B546" s="114" t="s">
        <v>2011</v>
      </c>
      <c r="C546" s="114" t="s">
        <v>56</v>
      </c>
      <c r="D546" s="114"/>
      <c r="E546" s="114"/>
      <c r="F546" s="114" t="s">
        <v>2012</v>
      </c>
      <c r="G546" s="114" t="s">
        <v>99</v>
      </c>
      <c r="H546" s="115">
        <v>5.3</v>
      </c>
      <c r="I546" s="116">
        <v>22.11</v>
      </c>
      <c r="J546" s="116">
        <v>27.022500000000001</v>
      </c>
      <c r="K546" s="116">
        <v>143.21</v>
      </c>
      <c r="L546" s="116">
        <v>29.48</v>
      </c>
      <c r="M546" s="116">
        <v>36.03</v>
      </c>
      <c r="N546" s="116">
        <v>190.95</v>
      </c>
      <c r="O546" s="121">
        <f t="shared" si="16"/>
        <v>0.25</v>
      </c>
      <c r="P546" s="121">
        <f t="shared" si="17"/>
        <v>0.25001309243257386</v>
      </c>
      <c r="Q546" s="121">
        <f>IFERROR(K546/RESUMO_DILIG!$D$5,"")</f>
        <v>1.600505311299954E-5</v>
      </c>
      <c r="R546" s="114" t="s">
        <v>1293</v>
      </c>
      <c r="S546" s="114" t="s">
        <v>1323</v>
      </c>
      <c r="T546" s="114" t="s">
        <v>1320</v>
      </c>
    </row>
    <row r="547" spans="1:20" ht="76.5" x14ac:dyDescent="0.2">
      <c r="A547" s="108" t="s">
        <v>2154</v>
      </c>
      <c r="B547" s="114" t="s">
        <v>2155</v>
      </c>
      <c r="C547" s="114" t="s">
        <v>56</v>
      </c>
      <c r="D547" s="114"/>
      <c r="E547" s="114"/>
      <c r="F547" s="114" t="s">
        <v>1044</v>
      </c>
      <c r="G547" s="114" t="s">
        <v>99</v>
      </c>
      <c r="H547" s="115">
        <v>519.6</v>
      </c>
      <c r="I547" s="116">
        <v>11.842499999999999</v>
      </c>
      <c r="J547" s="116">
        <v>14.475000000000001</v>
      </c>
      <c r="K547" s="116">
        <v>7521.21</v>
      </c>
      <c r="L547" s="116">
        <v>15.79</v>
      </c>
      <c r="M547" s="116">
        <v>19.3</v>
      </c>
      <c r="N547" s="116">
        <v>10028.280000000001</v>
      </c>
      <c r="O547" s="121">
        <f t="shared" si="16"/>
        <v>0.25</v>
      </c>
      <c r="P547" s="121">
        <f t="shared" si="17"/>
        <v>0.25</v>
      </c>
      <c r="Q547" s="121">
        <f>IFERROR(K547/RESUMO_DILIG!$D$5,"")</f>
        <v>8.4056536222347088E-4</v>
      </c>
      <c r="R547" s="114" t="s">
        <v>1290</v>
      </c>
      <c r="S547" s="114" t="s">
        <v>1323</v>
      </c>
      <c r="T547" s="114" t="s">
        <v>1320</v>
      </c>
    </row>
    <row r="548" spans="1:20" ht="51" x14ac:dyDescent="0.2">
      <c r="A548" s="108" t="s">
        <v>2156</v>
      </c>
      <c r="B548" s="114" t="s">
        <v>2157</v>
      </c>
      <c r="C548" s="114" t="s">
        <v>56</v>
      </c>
      <c r="D548" s="114"/>
      <c r="E548" s="114"/>
      <c r="F548" s="114" t="s">
        <v>1045</v>
      </c>
      <c r="G548" s="114" t="s">
        <v>84</v>
      </c>
      <c r="H548" s="115">
        <v>2</v>
      </c>
      <c r="I548" s="116">
        <v>17.3475</v>
      </c>
      <c r="J548" s="116">
        <v>21.202500000000001</v>
      </c>
      <c r="K548" s="116">
        <v>42.4</v>
      </c>
      <c r="L548" s="116">
        <v>23.13</v>
      </c>
      <c r="M548" s="116">
        <v>28.27</v>
      </c>
      <c r="N548" s="116">
        <v>56.54</v>
      </c>
      <c r="O548" s="121">
        <f t="shared" si="16"/>
        <v>0.25</v>
      </c>
      <c r="P548" s="121">
        <f t="shared" si="17"/>
        <v>0.25008843296781036</v>
      </c>
      <c r="Q548" s="121">
        <f>IFERROR(K548/RESUMO_DILIG!$D$5,"")</f>
        <v>4.738595433218214E-6</v>
      </c>
      <c r="R548" s="114" t="s">
        <v>1293</v>
      </c>
      <c r="S548" s="114" t="s">
        <v>1323</v>
      </c>
      <c r="T548" s="114" t="s">
        <v>1320</v>
      </c>
    </row>
    <row r="549" spans="1:20" ht="25.5" x14ac:dyDescent="0.2">
      <c r="A549" s="108" t="s">
        <v>2158</v>
      </c>
      <c r="B549" s="114" t="s">
        <v>2159</v>
      </c>
      <c r="C549" s="114" t="s">
        <v>335</v>
      </c>
      <c r="D549" s="114"/>
      <c r="E549" s="114"/>
      <c r="F549" s="114" t="s">
        <v>1046</v>
      </c>
      <c r="G549" s="114" t="s">
        <v>84</v>
      </c>
      <c r="H549" s="115">
        <v>1</v>
      </c>
      <c r="I549" s="116">
        <v>7.0950000000000006</v>
      </c>
      <c r="J549" s="116">
        <v>8.67</v>
      </c>
      <c r="K549" s="116">
        <v>8.67</v>
      </c>
      <c r="L549" s="116">
        <v>9.4600000000000009</v>
      </c>
      <c r="M549" s="116">
        <v>11.56</v>
      </c>
      <c r="N549" s="116">
        <v>11.56</v>
      </c>
      <c r="O549" s="121">
        <f t="shared" si="16"/>
        <v>0.25</v>
      </c>
      <c r="P549" s="121">
        <f t="shared" si="17"/>
        <v>0.25</v>
      </c>
      <c r="Q549" s="121">
        <f>IFERROR(K549/RESUMO_DILIG!$D$5,"")</f>
        <v>9.6895335863212074E-7</v>
      </c>
      <c r="R549" s="114" t="s">
        <v>1293</v>
      </c>
      <c r="S549" s="114" t="s">
        <v>1323</v>
      </c>
      <c r="T549" s="114" t="s">
        <v>1320</v>
      </c>
    </row>
    <row r="550" spans="1:20" ht="25.5" x14ac:dyDescent="0.2">
      <c r="A550" s="108" t="s">
        <v>2160</v>
      </c>
      <c r="B550" s="114" t="s">
        <v>2161</v>
      </c>
      <c r="C550" s="114" t="s">
        <v>1047</v>
      </c>
      <c r="D550" s="114"/>
      <c r="E550" s="114"/>
      <c r="F550" s="114" t="s">
        <v>1048</v>
      </c>
      <c r="G550" s="114" t="s">
        <v>776</v>
      </c>
      <c r="H550" s="115">
        <v>76</v>
      </c>
      <c r="I550" s="116">
        <v>7.5975000000000001</v>
      </c>
      <c r="J550" s="116">
        <v>9.2850000000000001</v>
      </c>
      <c r="K550" s="116">
        <v>705.66</v>
      </c>
      <c r="L550" s="116">
        <v>10.130000000000001</v>
      </c>
      <c r="M550" s="116">
        <v>12.38</v>
      </c>
      <c r="N550" s="116">
        <v>940.88</v>
      </c>
      <c r="O550" s="121">
        <f t="shared" si="16"/>
        <v>0.25</v>
      </c>
      <c r="P550" s="121">
        <f t="shared" si="17"/>
        <v>0.25</v>
      </c>
      <c r="Q550" s="121">
        <f>IFERROR(K550/RESUMO_DILIG!$D$5,"")</f>
        <v>7.886408616520672E-5</v>
      </c>
      <c r="R550" s="114" t="s">
        <v>1293</v>
      </c>
      <c r="S550" s="114" t="s">
        <v>1323</v>
      </c>
      <c r="T550" s="114" t="s">
        <v>1320</v>
      </c>
    </row>
    <row r="551" spans="1:20" ht="25.5" x14ac:dyDescent="0.2">
      <c r="A551" s="108" t="s">
        <v>2162</v>
      </c>
      <c r="B551" s="114" t="s">
        <v>2163</v>
      </c>
      <c r="C551" s="114" t="s">
        <v>335</v>
      </c>
      <c r="D551" s="114"/>
      <c r="E551" s="114"/>
      <c r="F551" s="114" t="s">
        <v>1049</v>
      </c>
      <c r="G551" s="114" t="s">
        <v>84</v>
      </c>
      <c r="H551" s="115">
        <v>8</v>
      </c>
      <c r="I551" s="116">
        <v>247.79999999999998</v>
      </c>
      <c r="J551" s="116">
        <v>302.88</v>
      </c>
      <c r="K551" s="116">
        <v>2423.04</v>
      </c>
      <c r="L551" s="116">
        <v>330.4</v>
      </c>
      <c r="M551" s="116">
        <v>403.84</v>
      </c>
      <c r="N551" s="116">
        <v>3230.72</v>
      </c>
      <c r="O551" s="121">
        <f t="shared" si="16"/>
        <v>0.25</v>
      </c>
      <c r="P551" s="121">
        <f t="shared" si="17"/>
        <v>0.25</v>
      </c>
      <c r="Q551" s="121">
        <f>IFERROR(K551/RESUMO_DILIG!$D$5,"")</f>
        <v>2.7079731788927033E-4</v>
      </c>
      <c r="R551" s="114" t="s">
        <v>1293</v>
      </c>
      <c r="S551" s="114" t="s">
        <v>1323</v>
      </c>
      <c r="T551" s="114" t="s">
        <v>1320</v>
      </c>
    </row>
    <row r="552" spans="1:20" ht="51" x14ac:dyDescent="0.2">
      <c r="A552" s="108" t="s">
        <v>2164</v>
      </c>
      <c r="B552" s="114" t="s">
        <v>2165</v>
      </c>
      <c r="C552" s="114" t="s">
        <v>56</v>
      </c>
      <c r="D552" s="114"/>
      <c r="E552" s="114"/>
      <c r="F552" s="114" t="s">
        <v>2166</v>
      </c>
      <c r="G552" s="114" t="s">
        <v>84</v>
      </c>
      <c r="H552" s="115">
        <v>119</v>
      </c>
      <c r="I552" s="116">
        <v>9.8550000000000004</v>
      </c>
      <c r="J552" s="116">
        <v>12.044999999999998</v>
      </c>
      <c r="K552" s="116">
        <v>1433.35</v>
      </c>
      <c r="L552" s="116">
        <v>13.14</v>
      </c>
      <c r="M552" s="116">
        <v>16.059999999999999</v>
      </c>
      <c r="N552" s="116">
        <v>1911.14</v>
      </c>
      <c r="O552" s="121">
        <f t="shared" si="16"/>
        <v>0.25</v>
      </c>
      <c r="P552" s="121">
        <f t="shared" si="17"/>
        <v>0.25000261623952202</v>
      </c>
      <c r="Q552" s="121">
        <f>IFERROR(K552/RESUMO_DILIG!$D$5,"")</f>
        <v>1.6019023028781431E-4</v>
      </c>
      <c r="R552" s="114" t="s">
        <v>1293</v>
      </c>
      <c r="S552" s="114" t="s">
        <v>1323</v>
      </c>
      <c r="T552" s="114" t="s">
        <v>1320</v>
      </c>
    </row>
    <row r="553" spans="1:20" ht="25.5" x14ac:dyDescent="0.2">
      <c r="A553" s="108" t="s">
        <v>2167</v>
      </c>
      <c r="B553" s="114" t="s">
        <v>1051</v>
      </c>
      <c r="C553" s="114" t="s">
        <v>209</v>
      </c>
      <c r="D553" s="114"/>
      <c r="E553" s="114"/>
      <c r="F553" s="114" t="s">
        <v>1052</v>
      </c>
      <c r="G553" s="114" t="s">
        <v>84</v>
      </c>
      <c r="H553" s="115">
        <v>238</v>
      </c>
      <c r="I553" s="116">
        <v>45.292500000000004</v>
      </c>
      <c r="J553" s="116">
        <v>55.357500000000002</v>
      </c>
      <c r="K553" s="116">
        <v>13175.08</v>
      </c>
      <c r="L553" s="116">
        <v>60.39</v>
      </c>
      <c r="M553" s="116">
        <v>73.81</v>
      </c>
      <c r="N553" s="116">
        <v>17566.78</v>
      </c>
      <c r="O553" s="121">
        <f t="shared" si="16"/>
        <v>0.25</v>
      </c>
      <c r="P553" s="121">
        <f t="shared" si="17"/>
        <v>0.25000028462814472</v>
      </c>
      <c r="Q553" s="121">
        <f>IFERROR(K553/RESUMO_DILIG!$D$5,"")</f>
        <v>1.4724380641576564E-3</v>
      </c>
      <c r="R553" s="114" t="s">
        <v>1290</v>
      </c>
      <c r="S553" s="114" t="s">
        <v>1319</v>
      </c>
      <c r="T553" s="114" t="s">
        <v>1320</v>
      </c>
    </row>
    <row r="554" spans="1:20" ht="51" x14ac:dyDescent="0.2">
      <c r="A554" s="108" t="s">
        <v>1912</v>
      </c>
      <c r="B554" s="114" t="s">
        <v>1976</v>
      </c>
      <c r="C554" s="114" t="s">
        <v>56</v>
      </c>
      <c r="D554" s="114"/>
      <c r="E554" s="114"/>
      <c r="F554" s="114" t="s">
        <v>924</v>
      </c>
      <c r="G554" s="114" t="s">
        <v>84</v>
      </c>
      <c r="H554" s="115">
        <v>4</v>
      </c>
      <c r="I554" s="116">
        <v>127.88249999999999</v>
      </c>
      <c r="J554" s="116">
        <v>156.3075</v>
      </c>
      <c r="K554" s="116">
        <v>625.23</v>
      </c>
      <c r="L554" s="116">
        <v>170.51</v>
      </c>
      <c r="M554" s="116">
        <v>208.41</v>
      </c>
      <c r="N554" s="116">
        <v>833.64</v>
      </c>
      <c r="O554" s="121">
        <f t="shared" si="16"/>
        <v>0.25</v>
      </c>
      <c r="P554" s="121">
        <f t="shared" si="17"/>
        <v>0.25</v>
      </c>
      <c r="Q554" s="121">
        <f>IFERROR(K554/RESUMO_DILIG!$D$5,"")</f>
        <v>6.9875283554505293E-5</v>
      </c>
      <c r="R554" s="114" t="s">
        <v>1293</v>
      </c>
      <c r="S554" s="114" t="s">
        <v>1323</v>
      </c>
      <c r="T554" s="114" t="s">
        <v>1320</v>
      </c>
    </row>
    <row r="555" spans="1:20" ht="63.75" x14ac:dyDescent="0.2">
      <c r="A555" s="108" t="s">
        <v>2168</v>
      </c>
      <c r="B555" s="114" t="s">
        <v>2169</v>
      </c>
      <c r="C555" s="114" t="s">
        <v>56</v>
      </c>
      <c r="D555" s="114"/>
      <c r="E555" s="114"/>
      <c r="F555" s="114" t="s">
        <v>1056</v>
      </c>
      <c r="G555" s="114" t="s">
        <v>84</v>
      </c>
      <c r="H555" s="115">
        <v>11</v>
      </c>
      <c r="I555" s="116">
        <v>17.145</v>
      </c>
      <c r="J555" s="116">
        <v>20.955000000000002</v>
      </c>
      <c r="K555" s="116">
        <v>230.5</v>
      </c>
      <c r="L555" s="116">
        <v>22.86</v>
      </c>
      <c r="M555" s="116">
        <v>27.94</v>
      </c>
      <c r="N555" s="116">
        <v>307.33999999999997</v>
      </c>
      <c r="O555" s="121">
        <f t="shared" si="16"/>
        <v>0.25</v>
      </c>
      <c r="P555" s="121">
        <f t="shared" si="17"/>
        <v>0.25001626862757853</v>
      </c>
      <c r="Q555" s="121">
        <f>IFERROR(K555/RESUMO_DILIG!$D$5,"")</f>
        <v>2.5760524701811284E-5</v>
      </c>
      <c r="R555" s="114" t="s">
        <v>1293</v>
      </c>
      <c r="S555" s="114" t="s">
        <v>1323</v>
      </c>
      <c r="T555" s="114" t="s">
        <v>1320</v>
      </c>
    </row>
    <row r="556" spans="1:20" ht="63.75" x14ac:dyDescent="0.2">
      <c r="A556" s="108" t="s">
        <v>2170</v>
      </c>
      <c r="B556" s="114" t="s">
        <v>2171</v>
      </c>
      <c r="C556" s="114" t="s">
        <v>24</v>
      </c>
      <c r="D556" s="114"/>
      <c r="E556" s="114"/>
      <c r="F556" s="114" t="s">
        <v>1058</v>
      </c>
      <c r="G556" s="114" t="s">
        <v>84</v>
      </c>
      <c r="H556" s="115">
        <v>15</v>
      </c>
      <c r="I556" s="116">
        <v>80.092500000000001</v>
      </c>
      <c r="J556" s="116">
        <v>97.890000000000015</v>
      </c>
      <c r="K556" s="116">
        <v>1468.35</v>
      </c>
      <c r="L556" s="116">
        <v>106.79</v>
      </c>
      <c r="M556" s="116">
        <v>130.52000000000001</v>
      </c>
      <c r="N556" s="116">
        <v>1957.8</v>
      </c>
      <c r="O556" s="121">
        <f t="shared" si="16"/>
        <v>0.25</v>
      </c>
      <c r="P556" s="121">
        <f t="shared" si="17"/>
        <v>0.25</v>
      </c>
      <c r="Q556" s="121">
        <f>IFERROR(K556/RESUMO_DILIG!$D$5,"")</f>
        <v>1.6410180670674445E-4</v>
      </c>
      <c r="R556" s="114" t="s">
        <v>1293</v>
      </c>
      <c r="S556" s="114" t="s">
        <v>1323</v>
      </c>
      <c r="T556" s="114" t="s">
        <v>1320</v>
      </c>
    </row>
    <row r="557" spans="1:20" ht="25.5" x14ac:dyDescent="0.2">
      <c r="A557" s="108" t="s">
        <v>2172</v>
      </c>
      <c r="B557" s="114" t="s">
        <v>2173</v>
      </c>
      <c r="C557" s="114" t="s">
        <v>56</v>
      </c>
      <c r="D557" s="114"/>
      <c r="E557" s="114"/>
      <c r="F557" s="114" t="s">
        <v>1059</v>
      </c>
      <c r="G557" s="114" t="s">
        <v>84</v>
      </c>
      <c r="H557" s="115">
        <v>1</v>
      </c>
      <c r="I557" s="116">
        <v>100.1925</v>
      </c>
      <c r="J557" s="116">
        <v>122.46000000000001</v>
      </c>
      <c r="K557" s="116">
        <v>122.46</v>
      </c>
      <c r="L557" s="116">
        <v>133.59</v>
      </c>
      <c r="M557" s="116">
        <v>163.28</v>
      </c>
      <c r="N557" s="116">
        <v>163.28</v>
      </c>
      <c r="O557" s="121">
        <f t="shared" si="16"/>
        <v>0.25</v>
      </c>
      <c r="P557" s="121">
        <f t="shared" si="17"/>
        <v>0.25</v>
      </c>
      <c r="Q557" s="121">
        <f>IFERROR(K557/RESUMO_DILIG!$D$5,"")</f>
        <v>1.3686047093205248E-5</v>
      </c>
      <c r="R557" s="114" t="s">
        <v>1293</v>
      </c>
      <c r="S557" s="114" t="s">
        <v>1323</v>
      </c>
      <c r="T557" s="114" t="s">
        <v>1320</v>
      </c>
    </row>
    <row r="558" spans="1:20" ht="25.5" x14ac:dyDescent="0.2">
      <c r="A558" s="108" t="s">
        <v>1985</v>
      </c>
      <c r="B558" s="114" t="s">
        <v>2174</v>
      </c>
      <c r="C558" s="114" t="s">
        <v>56</v>
      </c>
      <c r="D558" s="114"/>
      <c r="E558" s="114"/>
      <c r="F558" s="114" t="s">
        <v>2175</v>
      </c>
      <c r="G558" s="114" t="s">
        <v>84</v>
      </c>
      <c r="H558" s="115">
        <v>1</v>
      </c>
      <c r="I558" s="116">
        <v>119.79749999999999</v>
      </c>
      <c r="J558" s="116">
        <v>146.42249999999999</v>
      </c>
      <c r="K558" s="116">
        <v>146.41999999999999</v>
      </c>
      <c r="L558" s="116">
        <v>159.72999999999999</v>
      </c>
      <c r="M558" s="116">
        <v>195.23</v>
      </c>
      <c r="N558" s="116">
        <v>195.23</v>
      </c>
      <c r="O558" s="121">
        <f t="shared" si="16"/>
        <v>0.25</v>
      </c>
      <c r="P558" s="121">
        <f t="shared" si="17"/>
        <v>0.25001280540900483</v>
      </c>
      <c r="Q558" s="121">
        <f>IFERROR(K558/RESUMO_DILIG!$D$5,"")</f>
        <v>1.636380055027856E-5</v>
      </c>
      <c r="R558" s="114" t="s">
        <v>1293</v>
      </c>
      <c r="S558" s="114" t="s">
        <v>1323</v>
      </c>
      <c r="T558" s="114" t="s">
        <v>1320</v>
      </c>
    </row>
    <row r="559" spans="1:20" ht="38.25" x14ac:dyDescent="0.2">
      <c r="A559" s="108" t="s">
        <v>2059</v>
      </c>
      <c r="B559" s="114" t="s">
        <v>2176</v>
      </c>
      <c r="C559" s="114" t="s">
        <v>56</v>
      </c>
      <c r="D559" s="114"/>
      <c r="E559" s="114"/>
      <c r="F559" s="114" t="s">
        <v>2177</v>
      </c>
      <c r="G559" s="114" t="s">
        <v>84</v>
      </c>
      <c r="H559" s="115">
        <v>1</v>
      </c>
      <c r="I559" s="116">
        <v>109.29749999999999</v>
      </c>
      <c r="J559" s="116">
        <v>133.59</v>
      </c>
      <c r="K559" s="116">
        <v>133.59</v>
      </c>
      <c r="L559" s="116">
        <v>145.72999999999999</v>
      </c>
      <c r="M559" s="116">
        <v>178.12</v>
      </c>
      <c r="N559" s="116">
        <v>178.12</v>
      </c>
      <c r="O559" s="121">
        <f t="shared" si="16"/>
        <v>0.25</v>
      </c>
      <c r="P559" s="121">
        <f t="shared" si="17"/>
        <v>0.25</v>
      </c>
      <c r="Q559" s="121">
        <f>IFERROR(K559/RESUMO_DILIG!$D$5,"")</f>
        <v>1.492992839442503E-5</v>
      </c>
      <c r="R559" s="114" t="s">
        <v>1293</v>
      </c>
      <c r="S559" s="114" t="s">
        <v>1323</v>
      </c>
      <c r="T559" s="114" t="s">
        <v>1320</v>
      </c>
    </row>
    <row r="560" spans="1:20" ht="25.5" x14ac:dyDescent="0.2">
      <c r="A560" s="108" t="s">
        <v>2087</v>
      </c>
      <c r="B560" s="114" t="s">
        <v>2178</v>
      </c>
      <c r="C560" s="114" t="s">
        <v>335</v>
      </c>
      <c r="D560" s="114"/>
      <c r="E560" s="114"/>
      <c r="F560" s="114" t="s">
        <v>1062</v>
      </c>
      <c r="G560" s="114" t="s">
        <v>84</v>
      </c>
      <c r="H560" s="115">
        <v>1</v>
      </c>
      <c r="I560" s="116">
        <v>432.32249999999999</v>
      </c>
      <c r="J560" s="116">
        <v>528.42750000000001</v>
      </c>
      <c r="K560" s="116">
        <v>528.41999999999996</v>
      </c>
      <c r="L560" s="116">
        <v>576.42999999999995</v>
      </c>
      <c r="M560" s="116">
        <v>704.57</v>
      </c>
      <c r="N560" s="116">
        <v>704.57</v>
      </c>
      <c r="O560" s="121">
        <f t="shared" si="16"/>
        <v>0.25</v>
      </c>
      <c r="P560" s="121">
        <f t="shared" si="17"/>
        <v>0.25001064479043966</v>
      </c>
      <c r="Q560" s="121">
        <f>IFERROR(K560/RESUMO_DILIG!$D$5,"")</f>
        <v>5.9055863179744542E-5</v>
      </c>
      <c r="R560" s="114" t="s">
        <v>1293</v>
      </c>
      <c r="S560" s="114" t="s">
        <v>1323</v>
      </c>
      <c r="T560" s="114" t="s">
        <v>1320</v>
      </c>
    </row>
    <row r="561" spans="1:20" ht="76.5" x14ac:dyDescent="0.2">
      <c r="A561" s="108" t="s">
        <v>2129</v>
      </c>
      <c r="B561" s="114" t="s">
        <v>2179</v>
      </c>
      <c r="C561" s="114" t="s">
        <v>24</v>
      </c>
      <c r="D561" s="114"/>
      <c r="E561" s="114"/>
      <c r="F561" s="114" t="s">
        <v>1064</v>
      </c>
      <c r="G561" s="114" t="s">
        <v>84</v>
      </c>
      <c r="H561" s="115">
        <v>55</v>
      </c>
      <c r="I561" s="116">
        <v>33.494999999999997</v>
      </c>
      <c r="J561" s="116">
        <v>40.935000000000002</v>
      </c>
      <c r="K561" s="116">
        <v>2251.42</v>
      </c>
      <c r="L561" s="116">
        <v>44.66</v>
      </c>
      <c r="M561" s="116">
        <v>54.58</v>
      </c>
      <c r="N561" s="116">
        <v>3001.9</v>
      </c>
      <c r="O561" s="121">
        <f t="shared" si="16"/>
        <v>0.24999999999999989</v>
      </c>
      <c r="P561" s="121">
        <f t="shared" si="17"/>
        <v>0.25000166561177917</v>
      </c>
      <c r="Q561" s="121">
        <f>IFERROR(K561/RESUMO_DILIG!$D$5,"")</f>
        <v>2.5161718231736209E-4</v>
      </c>
      <c r="R561" s="114" t="s">
        <v>1293</v>
      </c>
      <c r="S561" s="114" t="s">
        <v>1323</v>
      </c>
      <c r="T561" s="114" t="s">
        <v>1320</v>
      </c>
    </row>
    <row r="562" spans="1:20" ht="38.25" x14ac:dyDescent="0.2">
      <c r="A562" s="108" t="s">
        <v>2148</v>
      </c>
      <c r="B562" s="114" t="s">
        <v>2180</v>
      </c>
      <c r="C562" s="114" t="s">
        <v>56</v>
      </c>
      <c r="D562" s="114"/>
      <c r="E562" s="114"/>
      <c r="F562" s="114" t="s">
        <v>2181</v>
      </c>
      <c r="G562" s="114" t="s">
        <v>99</v>
      </c>
      <c r="H562" s="115">
        <v>396.9</v>
      </c>
      <c r="I562" s="116">
        <v>59.752499999999998</v>
      </c>
      <c r="J562" s="116">
        <v>73.034999999999997</v>
      </c>
      <c r="K562" s="116">
        <v>28987.59</v>
      </c>
      <c r="L562" s="116">
        <v>79.67</v>
      </c>
      <c r="M562" s="116">
        <v>97.38</v>
      </c>
      <c r="N562" s="116">
        <v>38650.120000000003</v>
      </c>
      <c r="O562" s="121">
        <f t="shared" si="16"/>
        <v>0.25</v>
      </c>
      <c r="P562" s="121">
        <f t="shared" si="17"/>
        <v>0.25</v>
      </c>
      <c r="Q562" s="121">
        <f>IFERROR(K562/RESUMO_DILIG!$D$5,"")</f>
        <v>3.2396335281604238E-3</v>
      </c>
      <c r="R562" s="114" t="s">
        <v>1293</v>
      </c>
      <c r="S562" s="114" t="s">
        <v>1323</v>
      </c>
      <c r="T562" s="114" t="s">
        <v>1320</v>
      </c>
    </row>
    <row r="563" spans="1:20" ht="38.25" x14ac:dyDescent="0.2">
      <c r="A563" s="108" t="s">
        <v>2182</v>
      </c>
      <c r="B563" s="114" t="s">
        <v>2183</v>
      </c>
      <c r="C563" s="114" t="s">
        <v>56</v>
      </c>
      <c r="D563" s="114"/>
      <c r="E563" s="114"/>
      <c r="F563" s="114" t="s">
        <v>1066</v>
      </c>
      <c r="G563" s="114" t="s">
        <v>99</v>
      </c>
      <c r="H563" s="115">
        <v>207.5</v>
      </c>
      <c r="I563" s="116">
        <v>44.2425</v>
      </c>
      <c r="J563" s="116">
        <v>54.074999999999996</v>
      </c>
      <c r="K563" s="116">
        <v>11220.56</v>
      </c>
      <c r="L563" s="116">
        <v>58.99</v>
      </c>
      <c r="M563" s="116">
        <v>72.099999999999994</v>
      </c>
      <c r="N563" s="116">
        <v>14960.75</v>
      </c>
      <c r="O563" s="121">
        <f t="shared" si="16"/>
        <v>0.25</v>
      </c>
      <c r="P563" s="121">
        <f t="shared" si="17"/>
        <v>0.25000016710392192</v>
      </c>
      <c r="Q563" s="121">
        <f>IFERROR(K563/RESUMO_DILIG!$D$5,"")</f>
        <v>1.2540022258054472E-3</v>
      </c>
      <c r="R563" s="114" t="s">
        <v>1290</v>
      </c>
      <c r="S563" s="114" t="s">
        <v>1323</v>
      </c>
      <c r="T563" s="114" t="s">
        <v>1320</v>
      </c>
    </row>
    <row r="564" spans="1:20" ht="25.5" x14ac:dyDescent="0.2">
      <c r="A564" s="108" t="s">
        <v>2184</v>
      </c>
      <c r="B564" s="114" t="s">
        <v>2185</v>
      </c>
      <c r="C564" s="114" t="s">
        <v>209</v>
      </c>
      <c r="D564" s="114"/>
      <c r="E564" s="114"/>
      <c r="F564" s="114" t="s">
        <v>1068</v>
      </c>
      <c r="G564" s="114" t="s">
        <v>99</v>
      </c>
      <c r="H564" s="115">
        <v>152.5</v>
      </c>
      <c r="I564" s="116">
        <v>24.427500000000002</v>
      </c>
      <c r="J564" s="116">
        <v>29.857500000000002</v>
      </c>
      <c r="K564" s="116">
        <v>4553.26</v>
      </c>
      <c r="L564" s="116">
        <v>32.57</v>
      </c>
      <c r="M564" s="116">
        <v>39.81</v>
      </c>
      <c r="N564" s="116">
        <v>6071.02</v>
      </c>
      <c r="O564" s="121">
        <f t="shared" si="16"/>
        <v>0.25</v>
      </c>
      <c r="P564" s="121">
        <f t="shared" si="17"/>
        <v>0.25000082358483422</v>
      </c>
      <c r="Q564" s="121">
        <f>IFERROR(K564/RESUMO_DILIG!$D$5,"")</f>
        <v>5.0886926986450868E-4</v>
      </c>
      <c r="R564" s="114" t="s">
        <v>1293</v>
      </c>
      <c r="S564" s="114" t="s">
        <v>1319</v>
      </c>
      <c r="T564" s="114" t="s">
        <v>1320</v>
      </c>
    </row>
    <row r="565" spans="1:20" ht="51" x14ac:dyDescent="0.2">
      <c r="A565" s="108" t="s">
        <v>2186</v>
      </c>
      <c r="B565" s="114" t="s">
        <v>1069</v>
      </c>
      <c r="C565" s="114" t="s">
        <v>209</v>
      </c>
      <c r="D565" s="114"/>
      <c r="E565" s="114"/>
      <c r="F565" s="114" t="s">
        <v>1070</v>
      </c>
      <c r="G565" s="114" t="s">
        <v>84</v>
      </c>
      <c r="H565" s="115">
        <v>1</v>
      </c>
      <c r="I565" s="116">
        <v>486.12749999999994</v>
      </c>
      <c r="J565" s="116">
        <v>594.1875</v>
      </c>
      <c r="K565" s="116">
        <v>594.17999999999995</v>
      </c>
      <c r="L565" s="116">
        <v>648.16999999999996</v>
      </c>
      <c r="M565" s="116">
        <v>792.25</v>
      </c>
      <c r="N565" s="116">
        <v>792.25</v>
      </c>
      <c r="O565" s="121">
        <f t="shared" si="16"/>
        <v>0.25</v>
      </c>
      <c r="P565" s="121">
        <f t="shared" si="17"/>
        <v>0.25000946670874102</v>
      </c>
      <c r="Q565" s="121">
        <f>IFERROR(K565/RESUMO_DILIG!$D$5,"")</f>
        <v>6.6405156474282979E-5</v>
      </c>
      <c r="R565" s="114" t="s">
        <v>1293</v>
      </c>
      <c r="S565" s="114" t="s">
        <v>1319</v>
      </c>
      <c r="T565" s="114" t="s">
        <v>1320</v>
      </c>
    </row>
    <row r="566" spans="1:20" ht="63.75" x14ac:dyDescent="0.2">
      <c r="A566" s="108" t="s">
        <v>2187</v>
      </c>
      <c r="B566" s="114" t="s">
        <v>2188</v>
      </c>
      <c r="C566" s="114" t="s">
        <v>56</v>
      </c>
      <c r="D566" s="114"/>
      <c r="E566" s="114"/>
      <c r="F566" s="114" t="s">
        <v>1074</v>
      </c>
      <c r="G566" s="114" t="s">
        <v>26</v>
      </c>
      <c r="H566" s="115">
        <v>1131.723</v>
      </c>
      <c r="I566" s="116">
        <v>25.102499999999999</v>
      </c>
      <c r="J566" s="116">
        <v>30.682499999999997</v>
      </c>
      <c r="K566" s="116">
        <v>34724.089999999997</v>
      </c>
      <c r="L566" s="116">
        <v>33.47</v>
      </c>
      <c r="M566" s="116">
        <v>40.909999999999997</v>
      </c>
      <c r="N566" s="116">
        <v>46298.78</v>
      </c>
      <c r="O566" s="121">
        <f t="shared" si="16"/>
        <v>0.25</v>
      </c>
      <c r="P566" s="121">
        <f t="shared" si="17"/>
        <v>0.24999989200579376</v>
      </c>
      <c r="Q566" s="121">
        <f>IFERROR(K566/RESUMO_DILIG!$D$5,"")</f>
        <v>3.880740903223072E-3</v>
      </c>
      <c r="R566" s="114" t="s">
        <v>1287</v>
      </c>
      <c r="S566" s="114" t="s">
        <v>1319</v>
      </c>
      <c r="T566" s="114" t="s">
        <v>1320</v>
      </c>
    </row>
    <row r="567" spans="1:20" ht="89.25" x14ac:dyDescent="0.2">
      <c r="A567" s="108" t="s">
        <v>2189</v>
      </c>
      <c r="B567" s="114" t="s">
        <v>2190</v>
      </c>
      <c r="C567" s="114" t="s">
        <v>56</v>
      </c>
      <c r="D567" s="114"/>
      <c r="E567" s="114"/>
      <c r="F567" s="114" t="s">
        <v>1075</v>
      </c>
      <c r="G567" s="114" t="s">
        <v>26</v>
      </c>
      <c r="H567" s="115">
        <v>1131.723</v>
      </c>
      <c r="I567" s="116">
        <v>27.285000000000004</v>
      </c>
      <c r="J567" s="116">
        <v>33.344999999999999</v>
      </c>
      <c r="K567" s="116">
        <v>37737.300000000003</v>
      </c>
      <c r="L567" s="116">
        <v>36.380000000000003</v>
      </c>
      <c r="M567" s="116">
        <v>44.46</v>
      </c>
      <c r="N567" s="116">
        <v>50316.4</v>
      </c>
      <c r="O567" s="121">
        <f t="shared" si="16"/>
        <v>0.25</v>
      </c>
      <c r="P567" s="121">
        <f t="shared" si="17"/>
        <v>0.25</v>
      </c>
      <c r="Q567" s="121">
        <f>IFERROR(K567/RESUMO_DILIG!$D$5,"")</f>
        <v>4.2174952226883425E-3</v>
      </c>
      <c r="R567" s="114" t="s">
        <v>1287</v>
      </c>
      <c r="S567" s="114" t="s">
        <v>1319</v>
      </c>
      <c r="T567" s="114" t="s">
        <v>1320</v>
      </c>
    </row>
    <row r="568" spans="1:20" ht="25.5" x14ac:dyDescent="0.2">
      <c r="A568" s="108" t="s">
        <v>2191</v>
      </c>
      <c r="B568" s="114" t="s">
        <v>2192</v>
      </c>
      <c r="C568" s="114" t="s">
        <v>335</v>
      </c>
      <c r="D568" s="114"/>
      <c r="E568" s="114"/>
      <c r="F568" s="114" t="s">
        <v>2193</v>
      </c>
      <c r="G568" s="114" t="s">
        <v>26</v>
      </c>
      <c r="H568" s="115">
        <v>38.488</v>
      </c>
      <c r="I568" s="116">
        <v>244.11750000000001</v>
      </c>
      <c r="J568" s="116">
        <v>298.38</v>
      </c>
      <c r="K568" s="116">
        <v>11484.04</v>
      </c>
      <c r="L568" s="116">
        <v>325.49</v>
      </c>
      <c r="M568" s="116">
        <v>397.84</v>
      </c>
      <c r="N568" s="116">
        <v>15312.06</v>
      </c>
      <c r="O568" s="121">
        <f t="shared" si="16"/>
        <v>0.25</v>
      </c>
      <c r="P568" s="121">
        <f t="shared" si="17"/>
        <v>0.25000032653999515</v>
      </c>
      <c r="Q568" s="121">
        <f>IFERROR(K568/RESUMO_DILIG!$D$5,"")</f>
        <v>1.2834485730871534E-3</v>
      </c>
      <c r="R568" s="114" t="s">
        <v>1290</v>
      </c>
      <c r="S568" s="114" t="s">
        <v>1323</v>
      </c>
      <c r="T568" s="114" t="s">
        <v>1320</v>
      </c>
    </row>
    <row r="569" spans="1:20" ht="38.25" x14ac:dyDescent="0.2">
      <c r="A569" s="108" t="s">
        <v>2194</v>
      </c>
      <c r="B569" s="114" t="s">
        <v>2195</v>
      </c>
      <c r="C569" s="114" t="s">
        <v>56</v>
      </c>
      <c r="D569" s="114"/>
      <c r="E569" s="114"/>
      <c r="F569" s="114" t="s">
        <v>1077</v>
      </c>
      <c r="G569" s="114" t="s">
        <v>26</v>
      </c>
      <c r="H569" s="115">
        <v>1170.211</v>
      </c>
      <c r="I569" s="116">
        <v>133.29</v>
      </c>
      <c r="J569" s="116">
        <v>162.91499999999999</v>
      </c>
      <c r="K569" s="116">
        <v>190644.92</v>
      </c>
      <c r="L569" s="116">
        <v>177.72</v>
      </c>
      <c r="M569" s="116">
        <v>217.22</v>
      </c>
      <c r="N569" s="116">
        <v>254193.23</v>
      </c>
      <c r="O569" s="121">
        <f t="shared" si="16"/>
        <v>0.25</v>
      </c>
      <c r="P569" s="121">
        <f t="shared" si="17"/>
        <v>0.25000000983503767</v>
      </c>
      <c r="Q569" s="121">
        <f>IFERROR(K569/RESUMO_DILIG!$D$5,"")</f>
        <v>2.1306347813166319E-2</v>
      </c>
      <c r="R569" s="114" t="s">
        <v>1287</v>
      </c>
      <c r="S569" s="114" t="s">
        <v>1319</v>
      </c>
      <c r="T569" s="114" t="s">
        <v>1320</v>
      </c>
    </row>
    <row r="570" spans="1:20" ht="76.5" x14ac:dyDescent="0.2">
      <c r="A570" s="108" t="s">
        <v>2196</v>
      </c>
      <c r="B570" s="114" t="s">
        <v>2197</v>
      </c>
      <c r="C570" s="114" t="s">
        <v>24</v>
      </c>
      <c r="D570" s="114"/>
      <c r="E570" s="114"/>
      <c r="F570" s="114" t="s">
        <v>1079</v>
      </c>
      <c r="G570" s="114" t="s">
        <v>99</v>
      </c>
      <c r="H570" s="115">
        <v>69.575000000000003</v>
      </c>
      <c r="I570" s="116">
        <v>81.06</v>
      </c>
      <c r="J570" s="116">
        <v>99.074999999999989</v>
      </c>
      <c r="K570" s="116">
        <v>6893.14</v>
      </c>
      <c r="L570" s="116">
        <v>108.08</v>
      </c>
      <c r="M570" s="116">
        <v>132.1</v>
      </c>
      <c r="N570" s="116">
        <v>9190.85</v>
      </c>
      <c r="O570" s="121">
        <f t="shared" si="16"/>
        <v>0.25</v>
      </c>
      <c r="P570" s="121">
        <f t="shared" si="17"/>
        <v>0.24999972799033821</v>
      </c>
      <c r="Q570" s="121">
        <f>IFERROR(K570/RESUMO_DILIG!$D$5,"")</f>
        <v>7.7037268218240103E-4</v>
      </c>
      <c r="R570" s="114" t="s">
        <v>1290</v>
      </c>
      <c r="S570" s="114" t="s">
        <v>1323</v>
      </c>
      <c r="T570" s="114" t="s">
        <v>1320</v>
      </c>
    </row>
    <row r="571" spans="1:20" ht="38.25" x14ac:dyDescent="0.2">
      <c r="A571" s="108" t="s">
        <v>2198</v>
      </c>
      <c r="B571" s="114" t="s">
        <v>2199</v>
      </c>
      <c r="C571" s="114" t="s">
        <v>56</v>
      </c>
      <c r="D571" s="114"/>
      <c r="E571" s="114"/>
      <c r="F571" s="114" t="s">
        <v>2200</v>
      </c>
      <c r="G571" s="114" t="s">
        <v>99</v>
      </c>
      <c r="H571" s="115">
        <v>166.459</v>
      </c>
      <c r="I571" s="116">
        <v>38.347500000000004</v>
      </c>
      <c r="J571" s="116">
        <v>46.8675</v>
      </c>
      <c r="K571" s="116">
        <v>7801.51</v>
      </c>
      <c r="L571" s="116">
        <v>51.13</v>
      </c>
      <c r="M571" s="116">
        <v>62.49</v>
      </c>
      <c r="N571" s="116">
        <v>10402.02</v>
      </c>
      <c r="O571" s="121">
        <f t="shared" si="16"/>
        <v>0.25</v>
      </c>
      <c r="P571" s="121">
        <f t="shared" si="17"/>
        <v>0.25000048067586877</v>
      </c>
      <c r="Q571" s="121">
        <f>IFERROR(K571/RESUMO_DILIG!$D$5,"")</f>
        <v>8.7189150137278852E-4</v>
      </c>
      <c r="R571" s="114" t="s">
        <v>1290</v>
      </c>
      <c r="S571" s="114" t="s">
        <v>1323</v>
      </c>
      <c r="T571" s="114" t="s">
        <v>1320</v>
      </c>
    </row>
    <row r="572" spans="1:20" ht="38.25" x14ac:dyDescent="0.2">
      <c r="A572" s="108" t="s">
        <v>2201</v>
      </c>
      <c r="B572" s="114" t="s">
        <v>1081</v>
      </c>
      <c r="C572" s="114" t="s">
        <v>209</v>
      </c>
      <c r="D572" s="114"/>
      <c r="E572" s="114"/>
      <c r="F572" s="114" t="s">
        <v>1082</v>
      </c>
      <c r="G572" s="114" t="s">
        <v>99</v>
      </c>
      <c r="H572" s="115">
        <v>43.436</v>
      </c>
      <c r="I572" s="116">
        <v>261.29999999999995</v>
      </c>
      <c r="J572" s="116">
        <v>319.38</v>
      </c>
      <c r="K572" s="116">
        <v>13872.58</v>
      </c>
      <c r="L572" s="116">
        <v>348.4</v>
      </c>
      <c r="M572" s="116">
        <v>425.84</v>
      </c>
      <c r="N572" s="116">
        <v>18496.78</v>
      </c>
      <c r="O572" s="121">
        <f t="shared" si="16"/>
        <v>0.25</v>
      </c>
      <c r="P572" s="121">
        <f t="shared" si="17"/>
        <v>0.25000027031732008</v>
      </c>
      <c r="Q572" s="121">
        <f>IFERROR(K572/RESUMO_DILIG!$D$5,"")</f>
        <v>1.5503901942206212E-3</v>
      </c>
      <c r="R572" s="114" t="s">
        <v>1290</v>
      </c>
      <c r="S572" s="114" t="s">
        <v>1319</v>
      </c>
      <c r="T572" s="114" t="s">
        <v>1320</v>
      </c>
    </row>
    <row r="573" spans="1:20" ht="153" x14ac:dyDescent="0.2">
      <c r="A573" s="108" t="s">
        <v>2202</v>
      </c>
      <c r="B573" s="114" t="s">
        <v>2203</v>
      </c>
      <c r="C573" s="114" t="s">
        <v>24</v>
      </c>
      <c r="D573" s="114"/>
      <c r="E573" s="114"/>
      <c r="F573" s="114" t="s">
        <v>1086</v>
      </c>
      <c r="G573" s="114" t="s">
        <v>26</v>
      </c>
      <c r="H573" s="115">
        <v>100.75</v>
      </c>
      <c r="I573" s="116">
        <v>103.39500000000001</v>
      </c>
      <c r="J573" s="116">
        <v>126.375</v>
      </c>
      <c r="K573" s="116">
        <v>12732.28</v>
      </c>
      <c r="L573" s="116">
        <v>137.86000000000001</v>
      </c>
      <c r="M573" s="116">
        <v>168.5</v>
      </c>
      <c r="N573" s="116">
        <v>16976.37</v>
      </c>
      <c r="O573" s="121">
        <f t="shared" si="16"/>
        <v>0.25</v>
      </c>
      <c r="P573" s="121">
        <f t="shared" si="17"/>
        <v>0.24999985273648007</v>
      </c>
      <c r="Q573" s="121">
        <f>IFERROR(K573/RESUMO_DILIG!$D$5,"")</f>
        <v>1.4229510344918777E-3</v>
      </c>
      <c r="R573" s="114" t="s">
        <v>1290</v>
      </c>
      <c r="S573" s="114" t="s">
        <v>1323</v>
      </c>
      <c r="T573" s="114" t="s">
        <v>1320</v>
      </c>
    </row>
    <row r="574" spans="1:20" ht="38.25" x14ac:dyDescent="0.2">
      <c r="A574" s="108" t="s">
        <v>2204</v>
      </c>
      <c r="B574" s="114" t="s">
        <v>2205</v>
      </c>
      <c r="C574" s="114" t="s">
        <v>56</v>
      </c>
      <c r="D574" s="114"/>
      <c r="E574" s="114"/>
      <c r="F574" s="114" t="s">
        <v>1087</v>
      </c>
      <c r="G574" s="114" t="s">
        <v>26</v>
      </c>
      <c r="H574" s="115">
        <v>400.49700000000001</v>
      </c>
      <c r="I574" s="116">
        <v>29.017499999999998</v>
      </c>
      <c r="J574" s="116">
        <v>35.467500000000001</v>
      </c>
      <c r="K574" s="116">
        <v>14204.62</v>
      </c>
      <c r="L574" s="116">
        <v>38.69</v>
      </c>
      <c r="M574" s="116">
        <v>47.29</v>
      </c>
      <c r="N574" s="116">
        <v>18939.5</v>
      </c>
      <c r="O574" s="121">
        <f t="shared" si="16"/>
        <v>0.25</v>
      </c>
      <c r="P574" s="121">
        <f t="shared" si="17"/>
        <v>0.2500002639985216</v>
      </c>
      <c r="Q574" s="121">
        <f>IFERROR(K574/RESUMO_DILIG!$D$5,"")</f>
        <v>1.5874987609103802E-3</v>
      </c>
      <c r="R574" s="114" t="s">
        <v>1290</v>
      </c>
      <c r="S574" s="114" t="s">
        <v>1323</v>
      </c>
      <c r="T574" s="114" t="s">
        <v>1320</v>
      </c>
    </row>
    <row r="575" spans="1:20" ht="51" x14ac:dyDescent="0.2">
      <c r="A575" s="108" t="s">
        <v>2206</v>
      </c>
      <c r="B575" s="114" t="s">
        <v>2207</v>
      </c>
      <c r="C575" s="114" t="s">
        <v>56</v>
      </c>
      <c r="D575" s="114"/>
      <c r="E575" s="114"/>
      <c r="F575" s="114" t="s">
        <v>2208</v>
      </c>
      <c r="G575" s="114" t="s">
        <v>26</v>
      </c>
      <c r="H575" s="115">
        <v>359.84500000000003</v>
      </c>
      <c r="I575" s="116">
        <v>212.54999999999998</v>
      </c>
      <c r="J575" s="116">
        <v>259.79250000000002</v>
      </c>
      <c r="K575" s="116">
        <v>93485.03</v>
      </c>
      <c r="L575" s="116">
        <v>283.39999999999998</v>
      </c>
      <c r="M575" s="116">
        <v>346.39</v>
      </c>
      <c r="N575" s="116">
        <v>124646.7</v>
      </c>
      <c r="O575" s="121">
        <f t="shared" si="16"/>
        <v>0.24999999999999989</v>
      </c>
      <c r="P575" s="121">
        <f t="shared" si="17"/>
        <v>0.24999995988662349</v>
      </c>
      <c r="Q575" s="121">
        <f>IFERROR(K575/RESUMO_DILIG!$D$5,"")</f>
        <v>1.0447823967742164E-2</v>
      </c>
      <c r="R575" s="114" t="s">
        <v>1287</v>
      </c>
      <c r="S575" s="114" t="s">
        <v>1319</v>
      </c>
      <c r="T575" s="114" t="s">
        <v>1320</v>
      </c>
    </row>
    <row r="576" spans="1:20" ht="38.25" x14ac:dyDescent="0.2">
      <c r="A576" s="108" t="s">
        <v>2209</v>
      </c>
      <c r="B576" s="114" t="s">
        <v>2210</v>
      </c>
      <c r="C576" s="114" t="s">
        <v>56</v>
      </c>
      <c r="D576" s="114"/>
      <c r="E576" s="114"/>
      <c r="F576" s="114" t="s">
        <v>1089</v>
      </c>
      <c r="G576" s="114" t="s">
        <v>26</v>
      </c>
      <c r="H576" s="115">
        <v>67.165999999999997</v>
      </c>
      <c r="I576" s="116">
        <v>90.292500000000004</v>
      </c>
      <c r="J576" s="116">
        <v>110.36250000000001</v>
      </c>
      <c r="K576" s="116">
        <v>7412.6</v>
      </c>
      <c r="L576" s="116">
        <v>120.39</v>
      </c>
      <c r="M576" s="116">
        <v>147.15</v>
      </c>
      <c r="N576" s="116">
        <v>9883.4699999999993</v>
      </c>
      <c r="O576" s="121">
        <f t="shared" si="16"/>
        <v>0.25</v>
      </c>
      <c r="P576" s="121">
        <f t="shared" si="17"/>
        <v>0.25000025294759831</v>
      </c>
      <c r="Q576" s="121">
        <f>IFERROR(K576/RESUMO_DILIG!$D$5,"")</f>
        <v>8.2842718179889946E-4</v>
      </c>
      <c r="R576" s="114" t="s">
        <v>1290</v>
      </c>
      <c r="S576" s="114" t="s">
        <v>1323</v>
      </c>
      <c r="T576" s="114" t="s">
        <v>1320</v>
      </c>
    </row>
    <row r="577" spans="1:20" ht="51" x14ac:dyDescent="0.2">
      <c r="A577" s="108" t="s">
        <v>2211</v>
      </c>
      <c r="B577" s="114" t="s">
        <v>2212</v>
      </c>
      <c r="C577" s="114" t="s">
        <v>56</v>
      </c>
      <c r="D577" s="114"/>
      <c r="E577" s="114"/>
      <c r="F577" s="114" t="s">
        <v>1090</v>
      </c>
      <c r="G577" s="114" t="s">
        <v>26</v>
      </c>
      <c r="H577" s="115">
        <v>292.67899999999997</v>
      </c>
      <c r="I577" s="116">
        <v>64.754999999999995</v>
      </c>
      <c r="J577" s="116">
        <v>79.147500000000008</v>
      </c>
      <c r="K577" s="116">
        <v>23164.81</v>
      </c>
      <c r="L577" s="116">
        <v>86.34</v>
      </c>
      <c r="M577" s="116">
        <v>105.53</v>
      </c>
      <c r="N577" s="116">
        <v>30886.41</v>
      </c>
      <c r="O577" s="121">
        <f t="shared" si="16"/>
        <v>0.24999999999999989</v>
      </c>
      <c r="P577" s="121">
        <f t="shared" si="17"/>
        <v>0.24999991905825247</v>
      </c>
      <c r="Q577" s="121">
        <f>IFERROR(K577/RESUMO_DILIG!$D$5,"")</f>
        <v>2.588883558428482E-3</v>
      </c>
      <c r="R577" s="114" t="s">
        <v>1287</v>
      </c>
      <c r="S577" s="114" t="s">
        <v>1319</v>
      </c>
      <c r="T577" s="114" t="s">
        <v>1320</v>
      </c>
    </row>
    <row r="578" spans="1:20" ht="63.75" x14ac:dyDescent="0.2">
      <c r="A578" s="108" t="s">
        <v>2213</v>
      </c>
      <c r="B578" s="114" t="s">
        <v>2214</v>
      </c>
      <c r="C578" s="114" t="s">
        <v>24</v>
      </c>
      <c r="D578" s="114"/>
      <c r="E578" s="114"/>
      <c r="F578" s="114" t="s">
        <v>2215</v>
      </c>
      <c r="G578" s="114" t="s">
        <v>84</v>
      </c>
      <c r="H578" s="115">
        <v>2</v>
      </c>
      <c r="I578" s="116">
        <v>1596.9675</v>
      </c>
      <c r="J578" s="116">
        <v>1951.9725000000001</v>
      </c>
      <c r="K578" s="116">
        <v>3903.94</v>
      </c>
      <c r="L578" s="116">
        <v>2129.29</v>
      </c>
      <c r="M578" s="116">
        <v>2602.63</v>
      </c>
      <c r="N578" s="116">
        <v>5205.26</v>
      </c>
      <c r="O578" s="121">
        <f t="shared" si="16"/>
        <v>0.25</v>
      </c>
      <c r="P578" s="121">
        <f t="shared" si="17"/>
        <v>0.25000096056681131</v>
      </c>
      <c r="Q578" s="121">
        <f>IFERROR(K578/RESUMO_DILIG!$D$5,"")</f>
        <v>4.3630170414051689E-4</v>
      </c>
      <c r="R578" s="114" t="s">
        <v>1293</v>
      </c>
      <c r="S578" s="114" t="s">
        <v>1323</v>
      </c>
      <c r="T578" s="114" t="s">
        <v>1320</v>
      </c>
    </row>
    <row r="579" spans="1:20" ht="38.25" x14ac:dyDescent="0.2">
      <c r="A579" s="108" t="s">
        <v>2216</v>
      </c>
      <c r="B579" s="114" t="s">
        <v>1096</v>
      </c>
      <c r="C579" s="114" t="s">
        <v>24</v>
      </c>
      <c r="D579" s="114"/>
      <c r="E579" s="114"/>
      <c r="F579" s="114" t="s">
        <v>2217</v>
      </c>
      <c r="G579" s="114" t="s">
        <v>84</v>
      </c>
      <c r="H579" s="115">
        <v>1</v>
      </c>
      <c r="I579" s="116">
        <v>370.35</v>
      </c>
      <c r="J579" s="116">
        <v>452.67750000000001</v>
      </c>
      <c r="K579" s="116">
        <v>452.67</v>
      </c>
      <c r="L579" s="116">
        <v>493.8</v>
      </c>
      <c r="M579" s="116">
        <v>603.57000000000005</v>
      </c>
      <c r="N579" s="116">
        <v>603.57000000000005</v>
      </c>
      <c r="O579" s="121">
        <f t="shared" si="16"/>
        <v>0.25</v>
      </c>
      <c r="P579" s="121">
        <f t="shared" si="17"/>
        <v>0.25001242606491381</v>
      </c>
      <c r="Q579" s="121">
        <f>IFERROR(K579/RESUMO_DILIG!$D$5,"")</f>
        <v>5.0590094215917195E-5</v>
      </c>
      <c r="R579" s="114" t="s">
        <v>1293</v>
      </c>
      <c r="S579" s="114" t="s">
        <v>1323</v>
      </c>
      <c r="T579" s="114" t="s">
        <v>1320</v>
      </c>
    </row>
    <row r="580" spans="1:20" ht="38.25" x14ac:dyDescent="0.2">
      <c r="A580" s="108" t="s">
        <v>2218</v>
      </c>
      <c r="B580" s="114" t="s">
        <v>2219</v>
      </c>
      <c r="C580" s="114" t="s">
        <v>24</v>
      </c>
      <c r="D580" s="114"/>
      <c r="E580" s="114"/>
      <c r="F580" s="114" t="s">
        <v>1098</v>
      </c>
      <c r="G580" s="114" t="s">
        <v>84</v>
      </c>
      <c r="H580" s="115">
        <v>1</v>
      </c>
      <c r="I580" s="116">
        <v>896.25</v>
      </c>
      <c r="J580" s="116">
        <v>1095.48</v>
      </c>
      <c r="K580" s="116">
        <v>1095.48</v>
      </c>
      <c r="L580" s="116">
        <v>1195</v>
      </c>
      <c r="M580" s="116">
        <v>1460.64</v>
      </c>
      <c r="N580" s="116">
        <v>1460.64</v>
      </c>
      <c r="O580" s="121">
        <f t="shared" ref="O580:O622" si="18">IFERROR(1-J580/M580,"")</f>
        <v>0.25</v>
      </c>
      <c r="P580" s="121">
        <f t="shared" ref="P580:P622" si="19">IFERROR(1-K580/N580,"")</f>
        <v>0.25</v>
      </c>
      <c r="Q580" s="121">
        <f>IFERROR(K580/RESUMO_DILIG!$D$5,"")</f>
        <v>1.2243010672598797E-4</v>
      </c>
      <c r="R580" s="114" t="s">
        <v>1293</v>
      </c>
      <c r="S580" s="114" t="s">
        <v>1323</v>
      </c>
      <c r="T580" s="114" t="s">
        <v>1320</v>
      </c>
    </row>
    <row r="581" spans="1:20" ht="25.5" x14ac:dyDescent="0.2">
      <c r="A581" s="108" t="s">
        <v>2220</v>
      </c>
      <c r="B581" s="114" t="s">
        <v>2221</v>
      </c>
      <c r="C581" s="114" t="s">
        <v>335</v>
      </c>
      <c r="D581" s="114"/>
      <c r="E581" s="114"/>
      <c r="F581" s="114" t="s">
        <v>1099</v>
      </c>
      <c r="G581" s="114" t="s">
        <v>84</v>
      </c>
      <c r="H581" s="115">
        <v>1</v>
      </c>
      <c r="I581" s="116">
        <v>130.10249999999999</v>
      </c>
      <c r="J581" s="116">
        <v>159.02250000000001</v>
      </c>
      <c r="K581" s="116">
        <v>159.02000000000001</v>
      </c>
      <c r="L581" s="116">
        <v>173.47</v>
      </c>
      <c r="M581" s="116">
        <v>212.03</v>
      </c>
      <c r="N581" s="116">
        <v>212.03</v>
      </c>
      <c r="O581" s="121">
        <f t="shared" si="18"/>
        <v>0.25</v>
      </c>
      <c r="P581" s="121">
        <f t="shared" si="19"/>
        <v>0.2500117907843229</v>
      </c>
      <c r="Q581" s="121">
        <f>IFERROR(K581/RESUMO_DILIG!$D$5,"")</f>
        <v>1.7771968061093408E-5</v>
      </c>
      <c r="R581" s="114" t="s">
        <v>1293</v>
      </c>
      <c r="S581" s="114" t="s">
        <v>1323</v>
      </c>
      <c r="T581" s="114" t="s">
        <v>1320</v>
      </c>
    </row>
    <row r="582" spans="1:20" ht="38.25" x14ac:dyDescent="0.2">
      <c r="A582" s="108" t="s">
        <v>2222</v>
      </c>
      <c r="B582" s="114" t="s">
        <v>2223</v>
      </c>
      <c r="C582" s="114" t="s">
        <v>56</v>
      </c>
      <c r="D582" s="114"/>
      <c r="E582" s="114"/>
      <c r="F582" s="114" t="s">
        <v>1100</v>
      </c>
      <c r="G582" s="114" t="s">
        <v>84</v>
      </c>
      <c r="H582" s="115">
        <v>1</v>
      </c>
      <c r="I582" s="116">
        <v>141.1275</v>
      </c>
      <c r="J582" s="116">
        <v>172.5</v>
      </c>
      <c r="K582" s="116">
        <v>172.5</v>
      </c>
      <c r="L582" s="116">
        <v>188.17</v>
      </c>
      <c r="M582" s="116">
        <v>230</v>
      </c>
      <c r="N582" s="116">
        <v>230</v>
      </c>
      <c r="O582" s="121">
        <f t="shared" si="18"/>
        <v>0.25</v>
      </c>
      <c r="P582" s="121">
        <f t="shared" si="19"/>
        <v>0.25</v>
      </c>
      <c r="Q582" s="121">
        <f>IFERROR(K582/RESUMO_DILIG!$D$5,"")</f>
        <v>1.9278483779012782E-5</v>
      </c>
      <c r="R582" s="114" t="s">
        <v>1293</v>
      </c>
      <c r="S582" s="114" t="s">
        <v>1323</v>
      </c>
      <c r="T582" s="114" t="s">
        <v>1320</v>
      </c>
    </row>
    <row r="583" spans="1:20" ht="25.5" x14ac:dyDescent="0.2">
      <c r="A583" s="108" t="s">
        <v>2224</v>
      </c>
      <c r="B583" s="114" t="s">
        <v>2225</v>
      </c>
      <c r="C583" s="114" t="s">
        <v>335</v>
      </c>
      <c r="D583" s="114"/>
      <c r="E583" s="114"/>
      <c r="F583" s="114" t="s">
        <v>1101</v>
      </c>
      <c r="G583" s="114" t="s">
        <v>84</v>
      </c>
      <c r="H583" s="115">
        <v>2</v>
      </c>
      <c r="I583" s="116">
        <v>155.58749999999998</v>
      </c>
      <c r="J583" s="116">
        <v>190.17000000000002</v>
      </c>
      <c r="K583" s="116">
        <v>380.34</v>
      </c>
      <c r="L583" s="116">
        <v>207.45</v>
      </c>
      <c r="M583" s="116">
        <v>253.56</v>
      </c>
      <c r="N583" s="116">
        <v>507.12</v>
      </c>
      <c r="O583" s="121">
        <f t="shared" si="18"/>
        <v>0.24999999999999989</v>
      </c>
      <c r="P583" s="121">
        <f t="shared" si="19"/>
        <v>0.25000000000000011</v>
      </c>
      <c r="Q583" s="121">
        <f>IFERROR(K583/RESUMO_DILIG!$D$5,"")</f>
        <v>4.2506542147882444E-5</v>
      </c>
      <c r="R583" s="114" t="s">
        <v>1293</v>
      </c>
      <c r="S583" s="114" t="s">
        <v>1323</v>
      </c>
      <c r="T583" s="114" t="s">
        <v>1320</v>
      </c>
    </row>
    <row r="584" spans="1:20" ht="38.25" x14ac:dyDescent="0.2">
      <c r="A584" s="108" t="s">
        <v>2226</v>
      </c>
      <c r="B584" s="114" t="s">
        <v>2227</v>
      </c>
      <c r="C584" s="114" t="s">
        <v>56</v>
      </c>
      <c r="D584" s="114"/>
      <c r="E584" s="114"/>
      <c r="F584" s="114" t="s">
        <v>1102</v>
      </c>
      <c r="G584" s="114" t="s">
        <v>84</v>
      </c>
      <c r="H584" s="115">
        <v>2</v>
      </c>
      <c r="I584" s="116">
        <v>342.495</v>
      </c>
      <c r="J584" s="116">
        <v>418.62749999999994</v>
      </c>
      <c r="K584" s="116">
        <v>837.25</v>
      </c>
      <c r="L584" s="116">
        <v>456.66</v>
      </c>
      <c r="M584" s="116">
        <v>558.16999999999996</v>
      </c>
      <c r="N584" s="116">
        <v>1116.3399999999999</v>
      </c>
      <c r="O584" s="121">
        <f t="shared" si="18"/>
        <v>0.25</v>
      </c>
      <c r="P584" s="121">
        <f t="shared" si="19"/>
        <v>0.25000447892219213</v>
      </c>
      <c r="Q584" s="121">
        <f>IFERROR(K584/RESUMO_DILIG!$D$5,"")</f>
        <v>9.3570495907121466E-5</v>
      </c>
      <c r="R584" s="114" t="s">
        <v>1293</v>
      </c>
      <c r="S584" s="114" t="s">
        <v>1323</v>
      </c>
      <c r="T584" s="114" t="s">
        <v>1320</v>
      </c>
    </row>
    <row r="585" spans="1:20" ht="38.25" x14ac:dyDescent="0.2">
      <c r="A585" s="108" t="s">
        <v>2228</v>
      </c>
      <c r="B585" s="114" t="s">
        <v>2229</v>
      </c>
      <c r="C585" s="114" t="s">
        <v>56</v>
      </c>
      <c r="D585" s="114"/>
      <c r="E585" s="114"/>
      <c r="F585" s="114" t="s">
        <v>1103</v>
      </c>
      <c r="G585" s="114" t="s">
        <v>84</v>
      </c>
      <c r="H585" s="115">
        <v>1</v>
      </c>
      <c r="I585" s="116">
        <v>536.99250000000006</v>
      </c>
      <c r="J585" s="116">
        <v>656.36249999999995</v>
      </c>
      <c r="K585" s="116">
        <v>656.36</v>
      </c>
      <c r="L585" s="116">
        <v>715.99</v>
      </c>
      <c r="M585" s="116">
        <v>875.15</v>
      </c>
      <c r="N585" s="116">
        <v>875.15</v>
      </c>
      <c r="O585" s="121">
        <f t="shared" si="18"/>
        <v>0.25</v>
      </c>
      <c r="P585" s="121">
        <f t="shared" si="19"/>
        <v>0.25000285665314514</v>
      </c>
      <c r="Q585" s="121">
        <f>IFERROR(K585/RESUMO_DILIG!$D$5,"")</f>
        <v>7.3354351380828001E-5</v>
      </c>
      <c r="R585" s="114" t="s">
        <v>1293</v>
      </c>
      <c r="S585" s="114" t="s">
        <v>1323</v>
      </c>
      <c r="T585" s="114" t="s">
        <v>1320</v>
      </c>
    </row>
    <row r="586" spans="1:20" ht="38.25" x14ac:dyDescent="0.2">
      <c r="A586" s="108" t="s">
        <v>2230</v>
      </c>
      <c r="B586" s="114" t="s">
        <v>2231</v>
      </c>
      <c r="C586" s="114" t="s">
        <v>56</v>
      </c>
      <c r="D586" s="114"/>
      <c r="E586" s="114"/>
      <c r="F586" s="114" t="s">
        <v>2232</v>
      </c>
      <c r="G586" s="114" t="s">
        <v>84</v>
      </c>
      <c r="H586" s="115">
        <v>6</v>
      </c>
      <c r="I586" s="116">
        <v>182.60249999999999</v>
      </c>
      <c r="J586" s="116">
        <v>223.1925</v>
      </c>
      <c r="K586" s="116">
        <v>1339.15</v>
      </c>
      <c r="L586" s="116">
        <v>243.47</v>
      </c>
      <c r="M586" s="116">
        <v>297.58999999999997</v>
      </c>
      <c r="N586" s="116">
        <v>1785.54</v>
      </c>
      <c r="O586" s="121">
        <f t="shared" si="18"/>
        <v>0.25</v>
      </c>
      <c r="P586" s="121">
        <f t="shared" si="19"/>
        <v>0.25000280027330657</v>
      </c>
      <c r="Q586" s="121">
        <f>IFERROR(K586/RESUMO_DILIG!$D$5,"")</f>
        <v>1.4966250175457954E-4</v>
      </c>
      <c r="R586" s="114" t="s">
        <v>1293</v>
      </c>
      <c r="S586" s="114" t="s">
        <v>1323</v>
      </c>
      <c r="T586" s="114" t="s">
        <v>1320</v>
      </c>
    </row>
    <row r="587" spans="1:20" ht="63.75" x14ac:dyDescent="0.2">
      <c r="A587" s="108" t="s">
        <v>2233</v>
      </c>
      <c r="B587" s="114" t="s">
        <v>2234</v>
      </c>
      <c r="C587" s="114" t="s">
        <v>56</v>
      </c>
      <c r="D587" s="114"/>
      <c r="E587" s="114"/>
      <c r="F587" s="114" t="s">
        <v>1105</v>
      </c>
      <c r="G587" s="114" t="s">
        <v>84</v>
      </c>
      <c r="H587" s="115">
        <v>15</v>
      </c>
      <c r="I587" s="116">
        <v>130.64999999999998</v>
      </c>
      <c r="J587" s="116">
        <v>159.69</v>
      </c>
      <c r="K587" s="116">
        <v>2395.35</v>
      </c>
      <c r="L587" s="116">
        <v>174.2</v>
      </c>
      <c r="M587" s="116">
        <v>212.92</v>
      </c>
      <c r="N587" s="116">
        <v>3193.8</v>
      </c>
      <c r="O587" s="121">
        <f t="shared" si="18"/>
        <v>0.25</v>
      </c>
      <c r="P587" s="121">
        <f t="shared" si="19"/>
        <v>0.25000000000000011</v>
      </c>
      <c r="Q587" s="121">
        <f>IFERROR(K587/RESUMO_DILIG!$D$5,"")</f>
        <v>2.677027021452653E-4</v>
      </c>
      <c r="R587" s="114" t="s">
        <v>1293</v>
      </c>
      <c r="S587" s="114" t="s">
        <v>1323</v>
      </c>
      <c r="T587" s="114" t="s">
        <v>1320</v>
      </c>
    </row>
    <row r="588" spans="1:20" ht="51" x14ac:dyDescent="0.2">
      <c r="A588" s="108" t="s">
        <v>2235</v>
      </c>
      <c r="B588" s="114" t="s">
        <v>2236</v>
      </c>
      <c r="C588" s="114" t="s">
        <v>56</v>
      </c>
      <c r="D588" s="114"/>
      <c r="E588" s="114"/>
      <c r="F588" s="114" t="s">
        <v>2237</v>
      </c>
      <c r="G588" s="114" t="s">
        <v>84</v>
      </c>
      <c r="H588" s="115">
        <v>1</v>
      </c>
      <c r="I588" s="116">
        <v>260.73749999999995</v>
      </c>
      <c r="J588" s="116">
        <v>318.69749999999999</v>
      </c>
      <c r="K588" s="116">
        <v>318.69</v>
      </c>
      <c r="L588" s="116">
        <v>347.65</v>
      </c>
      <c r="M588" s="116">
        <v>424.93</v>
      </c>
      <c r="N588" s="116">
        <v>424.93</v>
      </c>
      <c r="O588" s="121">
        <f t="shared" si="18"/>
        <v>0.25</v>
      </c>
      <c r="P588" s="121">
        <f t="shared" si="19"/>
        <v>0.25001764996587672</v>
      </c>
      <c r="Q588" s="121">
        <f>IFERROR(K588/RESUMO_DILIG!$D$5,"")</f>
        <v>3.5616579684252659E-5</v>
      </c>
      <c r="R588" s="114" t="s">
        <v>1293</v>
      </c>
      <c r="S588" s="114" t="s">
        <v>1323</v>
      </c>
      <c r="T588" s="114" t="s">
        <v>1320</v>
      </c>
    </row>
    <row r="589" spans="1:20" ht="63.75" x14ac:dyDescent="0.2">
      <c r="A589" s="108" t="s">
        <v>2238</v>
      </c>
      <c r="B589" s="114" t="s">
        <v>2239</v>
      </c>
      <c r="C589" s="114" t="s">
        <v>56</v>
      </c>
      <c r="D589" s="114"/>
      <c r="E589" s="114"/>
      <c r="F589" s="114" t="s">
        <v>1107</v>
      </c>
      <c r="G589" s="114" t="s">
        <v>84</v>
      </c>
      <c r="H589" s="115">
        <v>3</v>
      </c>
      <c r="I589" s="116">
        <v>90.052499999999995</v>
      </c>
      <c r="J589" s="116">
        <v>110.07</v>
      </c>
      <c r="K589" s="116">
        <v>330.21</v>
      </c>
      <c r="L589" s="116">
        <v>120.07</v>
      </c>
      <c r="M589" s="116">
        <v>146.76</v>
      </c>
      <c r="N589" s="116">
        <v>440.28</v>
      </c>
      <c r="O589" s="121">
        <f t="shared" si="18"/>
        <v>0.25</v>
      </c>
      <c r="P589" s="121">
        <f t="shared" si="19"/>
        <v>0.25</v>
      </c>
      <c r="Q589" s="121">
        <f>IFERROR(K589/RESUMO_DILIG!$D$5,"")</f>
        <v>3.6904047122711946E-5</v>
      </c>
      <c r="R589" s="114" t="s">
        <v>1293</v>
      </c>
      <c r="S589" s="114" t="s">
        <v>1323</v>
      </c>
      <c r="T589" s="114" t="s">
        <v>1320</v>
      </c>
    </row>
    <row r="590" spans="1:20" ht="63.75" x14ac:dyDescent="0.2">
      <c r="A590" s="108" t="s">
        <v>2240</v>
      </c>
      <c r="B590" s="114" t="s">
        <v>2241</v>
      </c>
      <c r="C590" s="114" t="s">
        <v>56</v>
      </c>
      <c r="D590" s="114"/>
      <c r="E590" s="114"/>
      <c r="F590" s="114" t="s">
        <v>1108</v>
      </c>
      <c r="G590" s="114" t="s">
        <v>84</v>
      </c>
      <c r="H590" s="115">
        <v>14</v>
      </c>
      <c r="I590" s="116">
        <v>82.02</v>
      </c>
      <c r="J590" s="116">
        <v>100.2525</v>
      </c>
      <c r="K590" s="116">
        <v>1403.53</v>
      </c>
      <c r="L590" s="116">
        <v>109.36</v>
      </c>
      <c r="M590" s="116">
        <v>133.66999999999999</v>
      </c>
      <c r="N590" s="116">
        <v>1871.38</v>
      </c>
      <c r="O590" s="121">
        <f t="shared" si="18"/>
        <v>0.25</v>
      </c>
      <c r="P590" s="121">
        <f t="shared" si="19"/>
        <v>0.2500026718250703</v>
      </c>
      <c r="Q590" s="121">
        <f>IFERROR(K590/RESUMO_DILIG!$D$5,"")</f>
        <v>1.5685756717888585E-4</v>
      </c>
      <c r="R590" s="114" t="s">
        <v>1293</v>
      </c>
      <c r="S590" s="114" t="s">
        <v>1323</v>
      </c>
      <c r="T590" s="114" t="s">
        <v>1320</v>
      </c>
    </row>
    <row r="591" spans="1:20" ht="63.75" x14ac:dyDescent="0.2">
      <c r="A591" s="108" t="s">
        <v>2242</v>
      </c>
      <c r="B591" s="114" t="s">
        <v>2243</v>
      </c>
      <c r="C591" s="114" t="s">
        <v>56</v>
      </c>
      <c r="D591" s="114"/>
      <c r="E591" s="114"/>
      <c r="F591" s="114" t="s">
        <v>1109</v>
      </c>
      <c r="G591" s="114" t="s">
        <v>84</v>
      </c>
      <c r="H591" s="115">
        <v>10</v>
      </c>
      <c r="I591" s="116">
        <v>171.70499999999998</v>
      </c>
      <c r="J591" s="116">
        <v>209.8725</v>
      </c>
      <c r="K591" s="116">
        <v>2098.7199999999998</v>
      </c>
      <c r="L591" s="116">
        <v>228.94</v>
      </c>
      <c r="M591" s="116">
        <v>279.83</v>
      </c>
      <c r="N591" s="116">
        <v>2798.3</v>
      </c>
      <c r="O591" s="121">
        <f t="shared" si="18"/>
        <v>0.25</v>
      </c>
      <c r="P591" s="121">
        <f t="shared" si="19"/>
        <v>0.25000178679912821</v>
      </c>
      <c r="Q591" s="121">
        <f>IFERROR(K591/RESUMO_DILIG!$D$5,"")</f>
        <v>2.3455153319820117E-4</v>
      </c>
      <c r="R591" s="114" t="s">
        <v>1293</v>
      </c>
      <c r="S591" s="114" t="s">
        <v>1323</v>
      </c>
      <c r="T591" s="114" t="s">
        <v>1320</v>
      </c>
    </row>
    <row r="592" spans="1:20" ht="51" x14ac:dyDescent="0.2">
      <c r="A592" s="108" t="s">
        <v>2244</v>
      </c>
      <c r="B592" s="114" t="s">
        <v>2245</v>
      </c>
      <c r="C592" s="114" t="s">
        <v>56</v>
      </c>
      <c r="D592" s="114"/>
      <c r="E592" s="114"/>
      <c r="F592" s="114" t="s">
        <v>1110</v>
      </c>
      <c r="G592" s="114" t="s">
        <v>84</v>
      </c>
      <c r="H592" s="115">
        <v>9</v>
      </c>
      <c r="I592" s="116">
        <v>178.08749999999998</v>
      </c>
      <c r="J592" s="116">
        <v>217.67250000000001</v>
      </c>
      <c r="K592" s="116">
        <v>1959.05</v>
      </c>
      <c r="L592" s="116">
        <v>237.45</v>
      </c>
      <c r="M592" s="116">
        <v>290.23</v>
      </c>
      <c r="N592" s="116">
        <v>2612.0700000000002</v>
      </c>
      <c r="O592" s="121">
        <f t="shared" si="18"/>
        <v>0.25</v>
      </c>
      <c r="P592" s="121">
        <f t="shared" si="19"/>
        <v>0.25000095709533054</v>
      </c>
      <c r="Q592" s="121">
        <f>IFERROR(K592/RESUMO_DILIG!$D$5,"")</f>
        <v>2.1894210810014488E-4</v>
      </c>
      <c r="R592" s="114" t="s">
        <v>1293</v>
      </c>
      <c r="S592" s="114" t="s">
        <v>1323</v>
      </c>
      <c r="T592" s="114" t="s">
        <v>1320</v>
      </c>
    </row>
    <row r="593" spans="1:20" ht="51" x14ac:dyDescent="0.2">
      <c r="A593" s="108" t="s">
        <v>2246</v>
      </c>
      <c r="B593" s="114" t="s">
        <v>2247</v>
      </c>
      <c r="C593" s="114" t="s">
        <v>56</v>
      </c>
      <c r="D593" s="114"/>
      <c r="E593" s="114"/>
      <c r="F593" s="114" t="s">
        <v>2248</v>
      </c>
      <c r="G593" s="114" t="s">
        <v>84</v>
      </c>
      <c r="H593" s="115">
        <v>2</v>
      </c>
      <c r="I593" s="116">
        <v>91.627499999999998</v>
      </c>
      <c r="J593" s="116">
        <v>111.99</v>
      </c>
      <c r="K593" s="116">
        <v>223.98</v>
      </c>
      <c r="L593" s="116">
        <v>122.17</v>
      </c>
      <c r="M593" s="116">
        <v>149.32</v>
      </c>
      <c r="N593" s="116">
        <v>298.64</v>
      </c>
      <c r="O593" s="121">
        <f t="shared" si="18"/>
        <v>0.25</v>
      </c>
      <c r="P593" s="121">
        <f t="shared" si="19"/>
        <v>0.25</v>
      </c>
      <c r="Q593" s="121">
        <f>IFERROR(K593/RESUMO_DILIG!$D$5,"")</f>
        <v>2.5031853894627727E-5</v>
      </c>
      <c r="R593" s="114" t="s">
        <v>1293</v>
      </c>
      <c r="S593" s="114" t="s">
        <v>1323</v>
      </c>
      <c r="T593" s="114" t="s">
        <v>1320</v>
      </c>
    </row>
    <row r="594" spans="1:20" ht="63.75" x14ac:dyDescent="0.2">
      <c r="A594" s="108" t="s">
        <v>2249</v>
      </c>
      <c r="B594" s="114" t="s">
        <v>2250</v>
      </c>
      <c r="C594" s="114" t="s">
        <v>56</v>
      </c>
      <c r="D594" s="114"/>
      <c r="E594" s="114"/>
      <c r="F594" s="114" t="s">
        <v>1112</v>
      </c>
      <c r="G594" s="114" t="s">
        <v>84</v>
      </c>
      <c r="H594" s="115">
        <v>2</v>
      </c>
      <c r="I594" s="116">
        <v>50.564999999999998</v>
      </c>
      <c r="J594" s="116">
        <v>61.800000000000004</v>
      </c>
      <c r="K594" s="116">
        <v>123.6</v>
      </c>
      <c r="L594" s="116">
        <v>67.42</v>
      </c>
      <c r="M594" s="116">
        <v>82.4</v>
      </c>
      <c r="N594" s="116">
        <v>164.8</v>
      </c>
      <c r="O594" s="121">
        <f t="shared" si="18"/>
        <v>0.25</v>
      </c>
      <c r="P594" s="121">
        <f t="shared" si="19"/>
        <v>0.25000000000000011</v>
      </c>
      <c r="Q594" s="121">
        <f>IFERROR(K594/RESUMO_DILIG!$D$5,"")</f>
        <v>1.3813452725136115E-5</v>
      </c>
      <c r="R594" s="114" t="s">
        <v>1293</v>
      </c>
      <c r="S594" s="114" t="s">
        <v>1323</v>
      </c>
      <c r="T594" s="114" t="s">
        <v>1320</v>
      </c>
    </row>
    <row r="595" spans="1:20" ht="63.75" x14ac:dyDescent="0.2">
      <c r="A595" s="108" t="s">
        <v>2251</v>
      </c>
      <c r="B595" s="114" t="s">
        <v>2252</v>
      </c>
      <c r="C595" s="114" t="s">
        <v>56</v>
      </c>
      <c r="D595" s="114"/>
      <c r="E595" s="114"/>
      <c r="F595" s="114" t="s">
        <v>1113</v>
      </c>
      <c r="G595" s="114" t="s">
        <v>99</v>
      </c>
      <c r="H595" s="115">
        <v>81.8</v>
      </c>
      <c r="I595" s="116">
        <v>84.307500000000005</v>
      </c>
      <c r="J595" s="116">
        <v>103.04249999999999</v>
      </c>
      <c r="K595" s="116">
        <v>8428.8700000000008</v>
      </c>
      <c r="L595" s="116">
        <v>112.41</v>
      </c>
      <c r="M595" s="116">
        <v>137.38999999999999</v>
      </c>
      <c r="N595" s="116">
        <v>11238.5</v>
      </c>
      <c r="O595" s="121">
        <f t="shared" si="18"/>
        <v>0.25</v>
      </c>
      <c r="P595" s="121">
        <f t="shared" si="19"/>
        <v>0.25000044489923023</v>
      </c>
      <c r="Q595" s="121">
        <f>IFERROR(K595/RESUMO_DILIG!$D$5,"")</f>
        <v>9.4200483229221733E-4</v>
      </c>
      <c r="R595" s="114" t="s">
        <v>1290</v>
      </c>
      <c r="S595" s="114" t="s">
        <v>1323</v>
      </c>
      <c r="T595" s="114" t="s">
        <v>1320</v>
      </c>
    </row>
    <row r="596" spans="1:20" ht="63.75" x14ac:dyDescent="0.2">
      <c r="A596" s="108" t="s">
        <v>2253</v>
      </c>
      <c r="B596" s="114" t="s">
        <v>2254</v>
      </c>
      <c r="C596" s="114" t="s">
        <v>56</v>
      </c>
      <c r="D596" s="114"/>
      <c r="E596" s="114"/>
      <c r="F596" s="114" t="s">
        <v>1114</v>
      </c>
      <c r="G596" s="114" t="s">
        <v>99</v>
      </c>
      <c r="H596" s="115">
        <v>0.1</v>
      </c>
      <c r="I596" s="116">
        <v>35.872500000000002</v>
      </c>
      <c r="J596" s="116">
        <v>43.844999999999999</v>
      </c>
      <c r="K596" s="116">
        <v>4.38</v>
      </c>
      <c r="L596" s="116">
        <v>47.83</v>
      </c>
      <c r="M596" s="116">
        <v>58.46</v>
      </c>
      <c r="N596" s="116">
        <v>5.84</v>
      </c>
      <c r="O596" s="121">
        <f t="shared" si="18"/>
        <v>0.25</v>
      </c>
      <c r="P596" s="121">
        <f t="shared" si="19"/>
        <v>0.25</v>
      </c>
      <c r="Q596" s="121">
        <f>IFERROR(K596/RESUMO_DILIG!$D$5,"")</f>
        <v>4.8950584899754199E-7</v>
      </c>
      <c r="R596" s="114" t="s">
        <v>1293</v>
      </c>
      <c r="S596" s="114" t="s">
        <v>1323</v>
      </c>
      <c r="T596" s="114" t="s">
        <v>1320</v>
      </c>
    </row>
    <row r="597" spans="1:20" ht="38.25" x14ac:dyDescent="0.2">
      <c r="A597" s="108" t="s">
        <v>2255</v>
      </c>
      <c r="B597" s="114" t="s">
        <v>2256</v>
      </c>
      <c r="C597" s="114" t="s">
        <v>56</v>
      </c>
      <c r="D597" s="114"/>
      <c r="E597" s="114"/>
      <c r="F597" s="114" t="s">
        <v>1115</v>
      </c>
      <c r="G597" s="114" t="s">
        <v>84</v>
      </c>
      <c r="H597" s="115">
        <v>1</v>
      </c>
      <c r="I597" s="116">
        <v>2670.6150000000002</v>
      </c>
      <c r="J597" s="116">
        <v>3264.2925000000005</v>
      </c>
      <c r="K597" s="116">
        <v>3264.29</v>
      </c>
      <c r="L597" s="116">
        <v>3560.82</v>
      </c>
      <c r="M597" s="116">
        <v>4352.3900000000003</v>
      </c>
      <c r="N597" s="116">
        <v>4352.3900000000003</v>
      </c>
      <c r="O597" s="121">
        <f t="shared" si="18"/>
        <v>0.25</v>
      </c>
      <c r="P597" s="121">
        <f t="shared" si="19"/>
        <v>0.25000057439705548</v>
      </c>
      <c r="Q597" s="121">
        <f>IFERROR(K597/RESUMO_DILIG!$D$5,"")</f>
        <v>3.6481485110141236E-4</v>
      </c>
      <c r="R597" s="114" t="s">
        <v>1293</v>
      </c>
      <c r="S597" s="114" t="s">
        <v>1323</v>
      </c>
      <c r="T597" s="114" t="s">
        <v>1320</v>
      </c>
    </row>
    <row r="598" spans="1:20" ht="76.5" x14ac:dyDescent="0.2">
      <c r="A598" s="108" t="s">
        <v>2257</v>
      </c>
      <c r="B598" s="114" t="s">
        <v>2258</v>
      </c>
      <c r="C598" s="114" t="s">
        <v>56</v>
      </c>
      <c r="D598" s="114"/>
      <c r="E598" s="114"/>
      <c r="F598" s="114" t="s">
        <v>1116</v>
      </c>
      <c r="G598" s="114" t="s">
        <v>84</v>
      </c>
      <c r="H598" s="115">
        <v>2</v>
      </c>
      <c r="I598" s="116">
        <v>1309.0875000000001</v>
      </c>
      <c r="J598" s="116">
        <v>1600.095</v>
      </c>
      <c r="K598" s="116">
        <v>3200.19</v>
      </c>
      <c r="L598" s="116">
        <v>1745.45</v>
      </c>
      <c r="M598" s="116">
        <v>2133.46</v>
      </c>
      <c r="N598" s="116">
        <v>4266.92</v>
      </c>
      <c r="O598" s="121">
        <f t="shared" si="18"/>
        <v>0.25</v>
      </c>
      <c r="P598" s="121">
        <f t="shared" si="19"/>
        <v>0.25</v>
      </c>
      <c r="Q598" s="121">
        <f>IFERROR(K598/RESUMO_DILIG!$D$5,"")</f>
        <v>3.5765107828845749E-4</v>
      </c>
      <c r="R598" s="114" t="s">
        <v>1293</v>
      </c>
      <c r="S598" s="114" t="s">
        <v>1323</v>
      </c>
      <c r="T598" s="114" t="s">
        <v>1320</v>
      </c>
    </row>
    <row r="599" spans="1:20" ht="63.75" x14ac:dyDescent="0.2">
      <c r="A599" s="108" t="s">
        <v>2259</v>
      </c>
      <c r="B599" s="114" t="s">
        <v>2260</v>
      </c>
      <c r="C599" s="114" t="s">
        <v>56</v>
      </c>
      <c r="D599" s="114"/>
      <c r="E599" s="114"/>
      <c r="F599" s="114" t="s">
        <v>1117</v>
      </c>
      <c r="G599" s="114" t="s">
        <v>84</v>
      </c>
      <c r="H599" s="115">
        <v>2</v>
      </c>
      <c r="I599" s="116">
        <v>307.5675</v>
      </c>
      <c r="J599" s="116">
        <v>375.9375</v>
      </c>
      <c r="K599" s="116">
        <v>751.87</v>
      </c>
      <c r="L599" s="116">
        <v>410.09</v>
      </c>
      <c r="M599" s="116">
        <v>501.25</v>
      </c>
      <c r="N599" s="116">
        <v>1002.5</v>
      </c>
      <c r="O599" s="121">
        <f t="shared" si="18"/>
        <v>0.25</v>
      </c>
      <c r="P599" s="121">
        <f t="shared" si="19"/>
        <v>0.25000498753117206</v>
      </c>
      <c r="Q599" s="121">
        <f>IFERROR(K599/RESUMO_DILIG!$D$5,"")</f>
        <v>8.4028484631457051E-5</v>
      </c>
      <c r="R599" s="114" t="s">
        <v>1293</v>
      </c>
      <c r="S599" s="114" t="s">
        <v>1323</v>
      </c>
      <c r="T599" s="114" t="s">
        <v>1320</v>
      </c>
    </row>
    <row r="600" spans="1:20" ht="89.25" x14ac:dyDescent="0.2">
      <c r="A600" s="108" t="s">
        <v>2261</v>
      </c>
      <c r="B600" s="114" t="s">
        <v>2262</v>
      </c>
      <c r="C600" s="114" t="s">
        <v>56</v>
      </c>
      <c r="D600" s="114"/>
      <c r="E600" s="114"/>
      <c r="F600" s="114" t="s">
        <v>1118</v>
      </c>
      <c r="G600" s="114" t="s">
        <v>99</v>
      </c>
      <c r="H600" s="115">
        <v>81.8</v>
      </c>
      <c r="I600" s="116">
        <v>6.5774999999999997</v>
      </c>
      <c r="J600" s="116">
        <v>8.0325000000000006</v>
      </c>
      <c r="K600" s="116">
        <v>657.05</v>
      </c>
      <c r="L600" s="116">
        <v>8.77</v>
      </c>
      <c r="M600" s="116">
        <v>10.71</v>
      </c>
      <c r="N600" s="116">
        <v>876.07</v>
      </c>
      <c r="O600" s="121">
        <f t="shared" si="18"/>
        <v>0.25</v>
      </c>
      <c r="P600" s="121">
        <f t="shared" si="19"/>
        <v>0.25000285365324704</v>
      </c>
      <c r="Q600" s="121">
        <f>IFERROR(K600/RESUMO_DILIG!$D$5,"")</f>
        <v>7.3431465315944042E-5</v>
      </c>
      <c r="R600" s="114" t="s">
        <v>1293</v>
      </c>
      <c r="S600" s="114" t="s">
        <v>1323</v>
      </c>
      <c r="T600" s="114" t="s">
        <v>1320</v>
      </c>
    </row>
    <row r="601" spans="1:20" ht="51" x14ac:dyDescent="0.2">
      <c r="A601" s="108" t="s">
        <v>2263</v>
      </c>
      <c r="B601" s="114" t="s">
        <v>2264</v>
      </c>
      <c r="C601" s="114" t="s">
        <v>56</v>
      </c>
      <c r="D601" s="114"/>
      <c r="E601" s="114"/>
      <c r="F601" s="114" t="s">
        <v>1121</v>
      </c>
      <c r="G601" s="114" t="s">
        <v>84</v>
      </c>
      <c r="H601" s="115">
        <v>19</v>
      </c>
      <c r="I601" s="116">
        <v>239.41500000000002</v>
      </c>
      <c r="J601" s="116">
        <v>292.63499999999999</v>
      </c>
      <c r="K601" s="116">
        <v>5560.06</v>
      </c>
      <c r="L601" s="116">
        <v>319.22000000000003</v>
      </c>
      <c r="M601" s="116">
        <v>390.18</v>
      </c>
      <c r="N601" s="116">
        <v>7413.42</v>
      </c>
      <c r="O601" s="121">
        <f t="shared" si="18"/>
        <v>0.25</v>
      </c>
      <c r="P601" s="121">
        <f t="shared" si="19"/>
        <v>0.25000067445254681</v>
      </c>
      <c r="Q601" s="121">
        <f>IFERROR(K601/RESUMO_DILIG!$D$5,"")</f>
        <v>6.2138855953819026E-4</v>
      </c>
      <c r="R601" s="114" t="s">
        <v>1293</v>
      </c>
      <c r="S601" s="114" t="s">
        <v>1323</v>
      </c>
      <c r="T601" s="114" t="s">
        <v>1320</v>
      </c>
    </row>
    <row r="602" spans="1:20" ht="89.25" x14ac:dyDescent="0.2">
      <c r="A602" s="108" t="s">
        <v>2265</v>
      </c>
      <c r="B602" s="114" t="s">
        <v>2266</v>
      </c>
      <c r="C602" s="114" t="s">
        <v>24</v>
      </c>
      <c r="D602" s="114"/>
      <c r="E602" s="114"/>
      <c r="F602" s="114" t="s">
        <v>1123</v>
      </c>
      <c r="G602" s="114" t="s">
        <v>84</v>
      </c>
      <c r="H602" s="115">
        <v>19</v>
      </c>
      <c r="I602" s="116">
        <v>34.695</v>
      </c>
      <c r="J602" s="116">
        <v>42.405000000000001</v>
      </c>
      <c r="K602" s="116">
        <v>805.69</v>
      </c>
      <c r="L602" s="116">
        <v>46.26</v>
      </c>
      <c r="M602" s="116">
        <v>56.54</v>
      </c>
      <c r="N602" s="116">
        <v>1074.26</v>
      </c>
      <c r="O602" s="121">
        <f t="shared" si="18"/>
        <v>0.25</v>
      </c>
      <c r="P602" s="121">
        <f t="shared" si="19"/>
        <v>0.25000465436672681</v>
      </c>
      <c r="Q602" s="121">
        <f>IFERROR(K602/RESUMO_DILIG!$D$5,"")</f>
        <v>9.004337157050904E-5</v>
      </c>
      <c r="R602" s="114" t="s">
        <v>1293</v>
      </c>
      <c r="S602" s="114" t="s">
        <v>1323</v>
      </c>
      <c r="T602" s="114" t="s">
        <v>1320</v>
      </c>
    </row>
    <row r="603" spans="1:20" ht="51" x14ac:dyDescent="0.2">
      <c r="A603" s="108" t="s">
        <v>2267</v>
      </c>
      <c r="B603" s="114" t="s">
        <v>2268</v>
      </c>
      <c r="C603" s="114" t="s">
        <v>24</v>
      </c>
      <c r="D603" s="114"/>
      <c r="E603" s="114"/>
      <c r="F603" s="114" t="s">
        <v>1125</v>
      </c>
      <c r="G603" s="114" t="s">
        <v>84</v>
      </c>
      <c r="H603" s="115">
        <v>3</v>
      </c>
      <c r="I603" s="116">
        <v>17.984999999999999</v>
      </c>
      <c r="J603" s="116">
        <v>21.982499999999998</v>
      </c>
      <c r="K603" s="116">
        <v>65.94</v>
      </c>
      <c r="L603" s="116">
        <v>23.98</v>
      </c>
      <c r="M603" s="116">
        <v>29.31</v>
      </c>
      <c r="N603" s="116">
        <v>87.93</v>
      </c>
      <c r="O603" s="121">
        <f t="shared" si="18"/>
        <v>0.25</v>
      </c>
      <c r="P603" s="121">
        <f t="shared" si="19"/>
        <v>0.25008529512111921</v>
      </c>
      <c r="Q603" s="121">
        <f>IFERROR(K603/RESUMO_DILIG!$D$5,"")</f>
        <v>7.3694099732643638E-6</v>
      </c>
      <c r="R603" s="114" t="s">
        <v>1293</v>
      </c>
      <c r="S603" s="114" t="s">
        <v>1323</v>
      </c>
      <c r="T603" s="114" t="s">
        <v>1320</v>
      </c>
    </row>
    <row r="604" spans="1:20" ht="38.25" x14ac:dyDescent="0.2">
      <c r="A604" s="108" t="s">
        <v>2269</v>
      </c>
      <c r="B604" s="114" t="s">
        <v>2270</v>
      </c>
      <c r="C604" s="114" t="s">
        <v>56</v>
      </c>
      <c r="D604" s="114"/>
      <c r="E604" s="114"/>
      <c r="F604" s="114" t="s">
        <v>1128</v>
      </c>
      <c r="G604" s="114" t="s">
        <v>84</v>
      </c>
      <c r="H604" s="115">
        <v>43</v>
      </c>
      <c r="I604" s="116">
        <v>14.115</v>
      </c>
      <c r="J604" s="116">
        <v>17.25</v>
      </c>
      <c r="K604" s="116">
        <v>741.75</v>
      </c>
      <c r="L604" s="116">
        <v>18.82</v>
      </c>
      <c r="M604" s="116">
        <v>23</v>
      </c>
      <c r="N604" s="116">
        <v>989</v>
      </c>
      <c r="O604" s="121">
        <f t="shared" si="18"/>
        <v>0.25</v>
      </c>
      <c r="P604" s="121">
        <f t="shared" si="19"/>
        <v>0.25</v>
      </c>
      <c r="Q604" s="121">
        <f>IFERROR(K604/RESUMO_DILIG!$D$5,"")</f>
        <v>8.2897480249754965E-5</v>
      </c>
      <c r="R604" s="114" t="s">
        <v>1293</v>
      </c>
      <c r="S604" s="114" t="s">
        <v>1323</v>
      </c>
      <c r="T604" s="114" t="s">
        <v>1320</v>
      </c>
    </row>
    <row r="605" spans="1:20" ht="102" x14ac:dyDescent="0.2">
      <c r="A605" s="108" t="s">
        <v>2271</v>
      </c>
      <c r="B605" s="114" t="s">
        <v>2272</v>
      </c>
      <c r="C605" s="114" t="s">
        <v>24</v>
      </c>
      <c r="D605" s="114"/>
      <c r="E605" s="114"/>
      <c r="F605" s="114" t="s">
        <v>1130</v>
      </c>
      <c r="G605" s="114" t="s">
        <v>84</v>
      </c>
      <c r="H605" s="115">
        <v>17</v>
      </c>
      <c r="I605" s="116">
        <v>22.32</v>
      </c>
      <c r="J605" s="116">
        <v>27.277499999999996</v>
      </c>
      <c r="K605" s="116">
        <v>463.71</v>
      </c>
      <c r="L605" s="116">
        <v>29.76</v>
      </c>
      <c r="M605" s="116">
        <v>36.369999999999997</v>
      </c>
      <c r="N605" s="116">
        <v>618.29</v>
      </c>
      <c r="O605" s="121">
        <f t="shared" si="18"/>
        <v>0.25</v>
      </c>
      <c r="P605" s="121">
        <f t="shared" si="19"/>
        <v>0.2500121302301509</v>
      </c>
      <c r="Q605" s="121">
        <f>IFERROR(K605/RESUMO_DILIG!$D$5,"")</f>
        <v>5.1823917177774011E-5</v>
      </c>
      <c r="R605" s="114" t="s">
        <v>1293</v>
      </c>
      <c r="S605" s="114" t="s">
        <v>1323</v>
      </c>
      <c r="T605" s="114" t="s">
        <v>1320</v>
      </c>
    </row>
    <row r="606" spans="1:20" ht="102" x14ac:dyDescent="0.2">
      <c r="A606" s="108" t="s">
        <v>2273</v>
      </c>
      <c r="B606" s="114" t="s">
        <v>2274</v>
      </c>
      <c r="C606" s="114" t="s">
        <v>24</v>
      </c>
      <c r="D606" s="114"/>
      <c r="E606" s="114"/>
      <c r="F606" s="114" t="s">
        <v>1132</v>
      </c>
      <c r="G606" s="114" t="s">
        <v>84</v>
      </c>
      <c r="H606" s="115">
        <v>21</v>
      </c>
      <c r="I606" s="116">
        <v>8.9924999999999997</v>
      </c>
      <c r="J606" s="116">
        <v>10.987500000000001</v>
      </c>
      <c r="K606" s="116">
        <v>230.73</v>
      </c>
      <c r="L606" s="116">
        <v>11.99</v>
      </c>
      <c r="M606" s="116">
        <v>14.65</v>
      </c>
      <c r="N606" s="116">
        <v>307.64999999999998</v>
      </c>
      <c r="O606" s="121">
        <f t="shared" si="18"/>
        <v>0.25</v>
      </c>
      <c r="P606" s="121">
        <f t="shared" si="19"/>
        <v>0.2500243783520234</v>
      </c>
      <c r="Q606" s="121">
        <f>IFERROR(K606/RESUMO_DILIG!$D$5,"")</f>
        <v>2.5786229346849966E-5</v>
      </c>
      <c r="R606" s="114" t="s">
        <v>1293</v>
      </c>
      <c r="S606" s="114" t="s">
        <v>1323</v>
      </c>
      <c r="T606" s="114" t="s">
        <v>1320</v>
      </c>
    </row>
    <row r="607" spans="1:20" ht="114.75" x14ac:dyDescent="0.2">
      <c r="A607" s="108" t="s">
        <v>2275</v>
      </c>
      <c r="B607" s="114" t="s">
        <v>2276</v>
      </c>
      <c r="C607" s="114" t="s">
        <v>24</v>
      </c>
      <c r="D607" s="114"/>
      <c r="E607" s="114"/>
      <c r="F607" s="114" t="s">
        <v>1134</v>
      </c>
      <c r="G607" s="114" t="s">
        <v>84</v>
      </c>
      <c r="H607" s="115">
        <v>5</v>
      </c>
      <c r="I607" s="116">
        <v>9.36</v>
      </c>
      <c r="J607" s="116">
        <v>11.4375</v>
      </c>
      <c r="K607" s="116">
        <v>57.18</v>
      </c>
      <c r="L607" s="116">
        <v>12.48</v>
      </c>
      <c r="M607" s="116">
        <v>15.25</v>
      </c>
      <c r="N607" s="116">
        <v>76.25</v>
      </c>
      <c r="O607" s="121">
        <f t="shared" si="18"/>
        <v>0.25</v>
      </c>
      <c r="P607" s="121">
        <f t="shared" si="19"/>
        <v>0.25009836065573776</v>
      </c>
      <c r="Q607" s="121">
        <f>IFERROR(K607/RESUMO_DILIG!$D$5,"")</f>
        <v>6.3903982752692807E-6</v>
      </c>
      <c r="R607" s="114" t="s">
        <v>1293</v>
      </c>
      <c r="S607" s="114" t="s">
        <v>1323</v>
      </c>
      <c r="T607" s="114" t="s">
        <v>1320</v>
      </c>
    </row>
    <row r="608" spans="1:20" ht="51" x14ac:dyDescent="0.2">
      <c r="A608" s="108" t="s">
        <v>2277</v>
      </c>
      <c r="B608" s="114" t="s">
        <v>2278</v>
      </c>
      <c r="C608" s="114" t="s">
        <v>24</v>
      </c>
      <c r="D608" s="114"/>
      <c r="E608" s="114"/>
      <c r="F608" s="114" t="s">
        <v>1138</v>
      </c>
      <c r="G608" s="114" t="s">
        <v>84</v>
      </c>
      <c r="H608" s="115">
        <v>2</v>
      </c>
      <c r="I608" s="116">
        <v>46.477499999999999</v>
      </c>
      <c r="J608" s="116">
        <v>56.804999999999993</v>
      </c>
      <c r="K608" s="116">
        <v>113.61</v>
      </c>
      <c r="L608" s="116">
        <v>61.97</v>
      </c>
      <c r="M608" s="116">
        <v>75.739999999999995</v>
      </c>
      <c r="N608" s="116">
        <v>151.47999999999999</v>
      </c>
      <c r="O608" s="121">
        <f t="shared" si="18"/>
        <v>0.25</v>
      </c>
      <c r="P608" s="121">
        <f t="shared" si="19"/>
        <v>0.25</v>
      </c>
      <c r="Q608" s="121">
        <f>IFERROR(K608/RESUMO_DILIG!$D$5,"")</f>
        <v>1.2696977055847201E-5</v>
      </c>
      <c r="R608" s="114" t="s">
        <v>1293</v>
      </c>
      <c r="S608" s="114" t="s">
        <v>1323</v>
      </c>
      <c r="T608" s="114" t="s">
        <v>1320</v>
      </c>
    </row>
    <row r="609" spans="1:20" ht="63.75" x14ac:dyDescent="0.2">
      <c r="A609" s="108" t="s">
        <v>2279</v>
      </c>
      <c r="B609" s="114" t="s">
        <v>2280</v>
      </c>
      <c r="C609" s="114" t="s">
        <v>24</v>
      </c>
      <c r="D609" s="114"/>
      <c r="E609" s="114"/>
      <c r="F609" s="114" t="s">
        <v>1140</v>
      </c>
      <c r="G609" s="114" t="s">
        <v>84</v>
      </c>
      <c r="H609" s="115">
        <v>2</v>
      </c>
      <c r="I609" s="116">
        <v>63.554999999999993</v>
      </c>
      <c r="J609" s="116">
        <v>77.677499999999995</v>
      </c>
      <c r="K609" s="116">
        <v>155.35</v>
      </c>
      <c r="L609" s="116">
        <v>84.74</v>
      </c>
      <c r="M609" s="116">
        <v>103.57</v>
      </c>
      <c r="N609" s="116">
        <v>207.14</v>
      </c>
      <c r="O609" s="121">
        <f t="shared" si="18"/>
        <v>0.25</v>
      </c>
      <c r="P609" s="121">
        <f t="shared" si="19"/>
        <v>0.25002413826397607</v>
      </c>
      <c r="Q609" s="121">
        <f>IFERROR(K609/RESUMO_DILIG!$D$5,"")</f>
        <v>1.7361811333737019E-5</v>
      </c>
      <c r="R609" s="114" t="s">
        <v>1293</v>
      </c>
      <c r="S609" s="114" t="s">
        <v>1323</v>
      </c>
      <c r="T609" s="114" t="s">
        <v>1320</v>
      </c>
    </row>
    <row r="610" spans="1:20" ht="25.5" x14ac:dyDescent="0.2">
      <c r="A610" s="108" t="s">
        <v>2281</v>
      </c>
      <c r="B610" s="114" t="s">
        <v>2282</v>
      </c>
      <c r="C610" s="114" t="s">
        <v>335</v>
      </c>
      <c r="D610" s="114"/>
      <c r="E610" s="114"/>
      <c r="F610" s="114" t="s">
        <v>1141</v>
      </c>
      <c r="G610" s="114" t="s">
        <v>84</v>
      </c>
      <c r="H610" s="115">
        <v>1</v>
      </c>
      <c r="I610" s="116">
        <v>1407.165</v>
      </c>
      <c r="J610" s="116">
        <v>1719.9750000000001</v>
      </c>
      <c r="K610" s="116">
        <v>1719.97</v>
      </c>
      <c r="L610" s="116">
        <v>1876.22</v>
      </c>
      <c r="M610" s="116">
        <v>2293.3000000000002</v>
      </c>
      <c r="N610" s="116">
        <v>2293.3000000000002</v>
      </c>
      <c r="O610" s="121">
        <f t="shared" si="18"/>
        <v>0.25</v>
      </c>
      <c r="P610" s="121">
        <f t="shared" si="19"/>
        <v>0.25000218026424803</v>
      </c>
      <c r="Q610" s="121">
        <f>IFERROR(K610/RESUMO_DILIG!$D$5,"")</f>
        <v>1.9222268837906445E-4</v>
      </c>
      <c r="R610" s="114" t="s">
        <v>1293</v>
      </c>
      <c r="S610" s="114" t="s">
        <v>1323</v>
      </c>
      <c r="T610" s="114" t="s">
        <v>1320</v>
      </c>
    </row>
    <row r="611" spans="1:20" ht="25.5" x14ac:dyDescent="0.2">
      <c r="A611" s="108" t="s">
        <v>2283</v>
      </c>
      <c r="B611" s="114" t="s">
        <v>2284</v>
      </c>
      <c r="C611" s="114" t="s">
        <v>335</v>
      </c>
      <c r="D611" s="114"/>
      <c r="E611" s="114"/>
      <c r="F611" s="114" t="s">
        <v>1142</v>
      </c>
      <c r="G611" s="114" t="s">
        <v>84</v>
      </c>
      <c r="H611" s="115">
        <v>7</v>
      </c>
      <c r="I611" s="116">
        <v>79.792500000000004</v>
      </c>
      <c r="J611" s="116">
        <v>97.53</v>
      </c>
      <c r="K611" s="116">
        <v>682.71</v>
      </c>
      <c r="L611" s="116">
        <v>106.39</v>
      </c>
      <c r="M611" s="116">
        <v>130.04</v>
      </c>
      <c r="N611" s="116">
        <v>910.28</v>
      </c>
      <c r="O611" s="121">
        <f t="shared" si="18"/>
        <v>0.25</v>
      </c>
      <c r="P611" s="121">
        <f t="shared" si="19"/>
        <v>0.24999999999999989</v>
      </c>
      <c r="Q611" s="121">
        <f>IFERROR(K611/RESUMO_DILIG!$D$5,"")</f>
        <v>7.6299209627651117E-5</v>
      </c>
      <c r="R611" s="114" t="s">
        <v>1293</v>
      </c>
      <c r="S611" s="114" t="s">
        <v>1323</v>
      </c>
      <c r="T611" s="114" t="s">
        <v>1320</v>
      </c>
    </row>
    <row r="612" spans="1:20" ht="89.25" x14ac:dyDescent="0.2">
      <c r="A612" s="108" t="s">
        <v>2285</v>
      </c>
      <c r="B612" s="114" t="s">
        <v>2286</v>
      </c>
      <c r="C612" s="114" t="s">
        <v>24</v>
      </c>
      <c r="D612" s="114"/>
      <c r="E612" s="114"/>
      <c r="F612" s="114" t="s">
        <v>1144</v>
      </c>
      <c r="G612" s="114" t="s">
        <v>99</v>
      </c>
      <c r="H612" s="115">
        <v>44.4</v>
      </c>
      <c r="I612" s="116">
        <v>26.587500000000002</v>
      </c>
      <c r="J612" s="116">
        <v>32.497500000000002</v>
      </c>
      <c r="K612" s="116">
        <v>1442.88</v>
      </c>
      <c r="L612" s="116">
        <v>35.450000000000003</v>
      </c>
      <c r="M612" s="116">
        <v>43.33</v>
      </c>
      <c r="N612" s="116">
        <v>1923.85</v>
      </c>
      <c r="O612" s="121">
        <f t="shared" si="18"/>
        <v>0.24999999999999989</v>
      </c>
      <c r="P612" s="121">
        <f t="shared" si="19"/>
        <v>0.25000389843282989</v>
      </c>
      <c r="Q612" s="121">
        <f>IFERROR(K612/RESUMO_DILIG!$D$5,"")</f>
        <v>1.6125529666702589E-4</v>
      </c>
      <c r="R612" s="114" t="s">
        <v>1293</v>
      </c>
      <c r="S612" s="114" t="s">
        <v>1323</v>
      </c>
      <c r="T612" s="114" t="s">
        <v>1320</v>
      </c>
    </row>
    <row r="613" spans="1:20" ht="25.5" x14ac:dyDescent="0.2">
      <c r="A613" s="108" t="s">
        <v>2287</v>
      </c>
      <c r="B613" s="114" t="s">
        <v>2288</v>
      </c>
      <c r="C613" s="114" t="s">
        <v>335</v>
      </c>
      <c r="D613" s="114"/>
      <c r="E613" s="114"/>
      <c r="F613" s="114" t="s">
        <v>1145</v>
      </c>
      <c r="G613" s="114" t="s">
        <v>99</v>
      </c>
      <c r="H613" s="115">
        <v>48.9</v>
      </c>
      <c r="I613" s="116">
        <v>10.17</v>
      </c>
      <c r="J613" s="116">
        <v>12.4275</v>
      </c>
      <c r="K613" s="116">
        <v>607.70000000000005</v>
      </c>
      <c r="L613" s="116">
        <v>13.56</v>
      </c>
      <c r="M613" s="116">
        <v>16.57</v>
      </c>
      <c r="N613" s="116">
        <v>810.27</v>
      </c>
      <c r="O613" s="121">
        <f t="shared" si="18"/>
        <v>0.25</v>
      </c>
      <c r="P613" s="121">
        <f t="shared" si="19"/>
        <v>0.25000308539128924</v>
      </c>
      <c r="Q613" s="121">
        <f>IFERROR(K613/RESUMO_DILIG!$D$5,"")</f>
        <v>6.7916142565252577E-5</v>
      </c>
      <c r="R613" s="114" t="s">
        <v>1293</v>
      </c>
      <c r="S613" s="114" t="s">
        <v>1323</v>
      </c>
      <c r="T613" s="114" t="s">
        <v>1320</v>
      </c>
    </row>
    <row r="614" spans="1:20" ht="76.5" x14ac:dyDescent="0.2">
      <c r="A614" s="108" t="s">
        <v>2289</v>
      </c>
      <c r="B614" s="114" t="s">
        <v>2155</v>
      </c>
      <c r="C614" s="114" t="s">
        <v>56</v>
      </c>
      <c r="D614" s="114"/>
      <c r="E614" s="114"/>
      <c r="F614" s="114" t="s">
        <v>1044</v>
      </c>
      <c r="G614" s="114" t="s">
        <v>99</v>
      </c>
      <c r="H614" s="115">
        <v>44.4</v>
      </c>
      <c r="I614" s="116">
        <v>11.842499999999999</v>
      </c>
      <c r="J614" s="116">
        <v>14.475000000000001</v>
      </c>
      <c r="K614" s="116">
        <v>642.69000000000005</v>
      </c>
      <c r="L614" s="116">
        <v>15.79</v>
      </c>
      <c r="M614" s="116">
        <v>19.3</v>
      </c>
      <c r="N614" s="116">
        <v>856.92</v>
      </c>
      <c r="O614" s="121">
        <f t="shared" si="18"/>
        <v>0.25</v>
      </c>
      <c r="P614" s="121">
        <f t="shared" si="19"/>
        <v>0.24999999999999989</v>
      </c>
      <c r="Q614" s="121">
        <f>IFERROR(K614/RESUMO_DILIG!$D$5,"")</f>
        <v>7.1826601390920149E-5</v>
      </c>
      <c r="R614" s="114" t="s">
        <v>1293</v>
      </c>
      <c r="S614" s="114" t="s">
        <v>1323</v>
      </c>
      <c r="T614" s="114" t="s">
        <v>1320</v>
      </c>
    </row>
    <row r="615" spans="1:20" ht="140.25" x14ac:dyDescent="0.2">
      <c r="A615" s="108" t="s">
        <v>2290</v>
      </c>
      <c r="B615" s="114" t="s">
        <v>2291</v>
      </c>
      <c r="C615" s="114" t="s">
        <v>24</v>
      </c>
      <c r="D615" s="114"/>
      <c r="E615" s="114"/>
      <c r="F615" s="114" t="s">
        <v>1150</v>
      </c>
      <c r="G615" s="114" t="s">
        <v>26</v>
      </c>
      <c r="H615" s="115">
        <v>77.989999999999995</v>
      </c>
      <c r="I615" s="116">
        <v>17.085000000000001</v>
      </c>
      <c r="J615" s="116">
        <v>20.88</v>
      </c>
      <c r="K615" s="116">
        <v>1628.43</v>
      </c>
      <c r="L615" s="116">
        <v>22.78</v>
      </c>
      <c r="M615" s="116">
        <v>27.84</v>
      </c>
      <c r="N615" s="116">
        <v>2171.2399999999998</v>
      </c>
      <c r="O615" s="121">
        <f t="shared" si="18"/>
        <v>0.25</v>
      </c>
      <c r="P615" s="121">
        <f t="shared" si="19"/>
        <v>0.24999999999999989</v>
      </c>
      <c r="Q615" s="121">
        <f>IFERROR(K615/RESUMO_DILIG!$D$5,"")</f>
        <v>1.8199223965366832E-4</v>
      </c>
      <c r="R615" s="114" t="s">
        <v>1293</v>
      </c>
      <c r="S615" s="114" t="s">
        <v>1323</v>
      </c>
      <c r="T615" s="114" t="s">
        <v>1320</v>
      </c>
    </row>
    <row r="616" spans="1:20" ht="51" x14ac:dyDescent="0.2">
      <c r="A616" s="108" t="s">
        <v>2292</v>
      </c>
      <c r="B616" s="114" t="s">
        <v>2293</v>
      </c>
      <c r="C616" s="114" t="s">
        <v>56</v>
      </c>
      <c r="D616" s="114"/>
      <c r="E616" s="114"/>
      <c r="F616" s="114" t="s">
        <v>1151</v>
      </c>
      <c r="G616" s="114" t="s">
        <v>26</v>
      </c>
      <c r="H616" s="115">
        <v>41.777000000000001</v>
      </c>
      <c r="I616" s="116">
        <v>9.3149999999999995</v>
      </c>
      <c r="J616" s="116">
        <v>11.385</v>
      </c>
      <c r="K616" s="116">
        <v>475.63</v>
      </c>
      <c r="L616" s="116">
        <v>12.42</v>
      </c>
      <c r="M616" s="116">
        <v>15.18</v>
      </c>
      <c r="N616" s="116">
        <v>634.16999999999996</v>
      </c>
      <c r="O616" s="121">
        <f t="shared" si="18"/>
        <v>0.25</v>
      </c>
      <c r="P616" s="121">
        <f t="shared" si="19"/>
        <v>0.24999605783938061</v>
      </c>
      <c r="Q616" s="121">
        <f>IFERROR(K616/RESUMO_DILIG!$D$5,"")</f>
        <v>5.3156088346735361E-5</v>
      </c>
      <c r="R616" s="114" t="s">
        <v>1293</v>
      </c>
      <c r="S616" s="114" t="s">
        <v>1323</v>
      </c>
      <c r="T616" s="114" t="s">
        <v>1320</v>
      </c>
    </row>
    <row r="617" spans="1:20" ht="25.5" x14ac:dyDescent="0.2">
      <c r="A617" s="108" t="s">
        <v>2294</v>
      </c>
      <c r="B617" s="114" t="s">
        <v>2295</v>
      </c>
      <c r="C617" s="114" t="s">
        <v>56</v>
      </c>
      <c r="D617" s="114"/>
      <c r="E617" s="114"/>
      <c r="F617" s="114" t="s">
        <v>1152</v>
      </c>
      <c r="G617" s="114" t="s">
        <v>118</v>
      </c>
      <c r="H617" s="115">
        <v>4.1779999999999999</v>
      </c>
      <c r="I617" s="116">
        <v>127.56</v>
      </c>
      <c r="J617" s="116">
        <v>155.91</v>
      </c>
      <c r="K617" s="116">
        <v>651.39</v>
      </c>
      <c r="L617" s="116">
        <v>170.08</v>
      </c>
      <c r="M617" s="116">
        <v>207.88</v>
      </c>
      <c r="N617" s="116">
        <v>868.52</v>
      </c>
      <c r="O617" s="121">
        <f t="shared" si="18"/>
        <v>0.25</v>
      </c>
      <c r="P617" s="121">
        <f t="shared" si="19"/>
        <v>0.25</v>
      </c>
      <c r="Q617" s="121">
        <f>IFERROR(K617/RESUMO_DILIG!$D$5,"")</f>
        <v>7.2798907529339916E-5</v>
      </c>
      <c r="R617" s="114" t="s">
        <v>1293</v>
      </c>
      <c r="S617" s="114" t="s">
        <v>1323</v>
      </c>
      <c r="T617" s="114" t="s">
        <v>1320</v>
      </c>
    </row>
    <row r="618" spans="1:20" ht="38.25" x14ac:dyDescent="0.2">
      <c r="A618" s="108" t="s">
        <v>2296</v>
      </c>
      <c r="B618" s="114" t="s">
        <v>1153</v>
      </c>
      <c r="C618" s="114" t="s">
        <v>24</v>
      </c>
      <c r="D618" s="114"/>
      <c r="E618" s="114"/>
      <c r="F618" s="114" t="s">
        <v>1154</v>
      </c>
      <c r="G618" s="114" t="s">
        <v>118</v>
      </c>
      <c r="H618" s="115">
        <v>30.315000000000001</v>
      </c>
      <c r="I618" s="116">
        <v>294.78000000000003</v>
      </c>
      <c r="J618" s="116">
        <v>360.3075</v>
      </c>
      <c r="K618" s="116">
        <v>10922.72</v>
      </c>
      <c r="L618" s="116">
        <v>393.04</v>
      </c>
      <c r="M618" s="116">
        <v>480.41</v>
      </c>
      <c r="N618" s="116">
        <v>14563.62</v>
      </c>
      <c r="O618" s="121">
        <f t="shared" si="18"/>
        <v>0.25</v>
      </c>
      <c r="P618" s="121">
        <f t="shared" si="19"/>
        <v>0.24999965667876545</v>
      </c>
      <c r="Q618" s="121">
        <f>IFERROR(K618/RESUMO_DILIG!$D$5,"")</f>
        <v>1.2207158280736145E-3</v>
      </c>
      <c r="R618" s="114" t="s">
        <v>1290</v>
      </c>
      <c r="S618" s="114" t="s">
        <v>1323</v>
      </c>
      <c r="T618" s="114" t="s">
        <v>1320</v>
      </c>
    </row>
    <row r="619" spans="1:20" ht="25.5" x14ac:dyDescent="0.2">
      <c r="A619" s="108" t="s">
        <v>2297</v>
      </c>
      <c r="B619" s="114" t="s">
        <v>2298</v>
      </c>
      <c r="C619" s="114" t="s">
        <v>56</v>
      </c>
      <c r="D619" s="114"/>
      <c r="E619" s="114"/>
      <c r="F619" s="114" t="s">
        <v>1157</v>
      </c>
      <c r="G619" s="114" t="s">
        <v>26</v>
      </c>
      <c r="H619" s="115">
        <v>161.26300000000001</v>
      </c>
      <c r="I619" s="116">
        <v>28.5075</v>
      </c>
      <c r="J619" s="116">
        <v>34.837500000000006</v>
      </c>
      <c r="K619" s="116">
        <v>5617.99</v>
      </c>
      <c r="L619" s="116">
        <v>38.01</v>
      </c>
      <c r="M619" s="116">
        <v>46.45</v>
      </c>
      <c r="N619" s="116">
        <v>7490.66</v>
      </c>
      <c r="O619" s="121">
        <f t="shared" si="18"/>
        <v>0.24999999999999989</v>
      </c>
      <c r="P619" s="121">
        <f t="shared" si="19"/>
        <v>0.25000066749792405</v>
      </c>
      <c r="Q619" s="121">
        <f>IFERROR(K619/RESUMO_DILIG!$D$5,"")</f>
        <v>6.2786277730815087E-4</v>
      </c>
      <c r="R619" s="114" t="s">
        <v>1290</v>
      </c>
      <c r="S619" s="114" t="s">
        <v>1323</v>
      </c>
      <c r="T619" s="114" t="s">
        <v>1320</v>
      </c>
    </row>
    <row r="620" spans="1:20" ht="38.25" x14ac:dyDescent="0.2">
      <c r="A620" s="108" t="s">
        <v>2299</v>
      </c>
      <c r="B620" s="114" t="s">
        <v>2300</v>
      </c>
      <c r="C620" s="114" t="s">
        <v>56</v>
      </c>
      <c r="D620" s="114"/>
      <c r="E620" s="114"/>
      <c r="F620" s="114" t="s">
        <v>1158</v>
      </c>
      <c r="G620" s="114" t="s">
        <v>84</v>
      </c>
      <c r="H620" s="115">
        <v>83</v>
      </c>
      <c r="I620" s="116">
        <v>48.592500000000001</v>
      </c>
      <c r="J620" s="116">
        <v>59.392499999999998</v>
      </c>
      <c r="K620" s="116">
        <v>4929.57</v>
      </c>
      <c r="L620" s="116">
        <v>64.790000000000006</v>
      </c>
      <c r="M620" s="116">
        <v>79.19</v>
      </c>
      <c r="N620" s="116">
        <v>6572.77</v>
      </c>
      <c r="O620" s="121">
        <f t="shared" si="18"/>
        <v>0.25</v>
      </c>
      <c r="P620" s="121">
        <f t="shared" si="19"/>
        <v>0.25000114107142046</v>
      </c>
      <c r="Q620" s="121">
        <f>IFERROR(K620/RESUMO_DILIG!$D$5,"")</f>
        <v>5.5092542192758279E-4</v>
      </c>
      <c r="R620" s="114" t="s">
        <v>1293</v>
      </c>
      <c r="S620" s="114" t="s">
        <v>1323</v>
      </c>
      <c r="T620" s="114" t="s">
        <v>1320</v>
      </c>
    </row>
    <row r="621" spans="1:20" ht="38.25" x14ac:dyDescent="0.2">
      <c r="A621" s="108" t="s">
        <v>2301</v>
      </c>
      <c r="B621" s="114" t="s">
        <v>2302</v>
      </c>
      <c r="C621" s="114" t="s">
        <v>56</v>
      </c>
      <c r="D621" s="114"/>
      <c r="E621" s="114"/>
      <c r="F621" s="114" t="s">
        <v>1159</v>
      </c>
      <c r="G621" s="114" t="s">
        <v>84</v>
      </c>
      <c r="H621" s="115">
        <v>16</v>
      </c>
      <c r="I621" s="116">
        <v>71.977499999999992</v>
      </c>
      <c r="J621" s="116">
        <v>87.974999999999994</v>
      </c>
      <c r="K621" s="116">
        <v>1407.6</v>
      </c>
      <c r="L621" s="116">
        <v>95.97</v>
      </c>
      <c r="M621" s="116">
        <v>117.3</v>
      </c>
      <c r="N621" s="116">
        <v>1876.8</v>
      </c>
      <c r="O621" s="121">
        <f t="shared" si="18"/>
        <v>0.25</v>
      </c>
      <c r="P621" s="121">
        <f t="shared" si="19"/>
        <v>0.25</v>
      </c>
      <c r="Q621" s="121">
        <f>IFERROR(K621/RESUMO_DILIG!$D$5,"")</f>
        <v>1.5731242763674429E-4</v>
      </c>
      <c r="R621" s="114" t="s">
        <v>1293</v>
      </c>
      <c r="S621" s="114" t="s">
        <v>1323</v>
      </c>
      <c r="T621" s="114" t="s">
        <v>1320</v>
      </c>
    </row>
    <row r="622" spans="1:20" ht="25.5" x14ac:dyDescent="0.2">
      <c r="A622" s="108" t="s">
        <v>2303</v>
      </c>
      <c r="B622" s="114" t="s">
        <v>2304</v>
      </c>
      <c r="C622" s="114" t="s">
        <v>56</v>
      </c>
      <c r="D622" s="114"/>
      <c r="E622" s="114"/>
      <c r="F622" s="114" t="s">
        <v>1160</v>
      </c>
      <c r="G622" s="114" t="s">
        <v>26</v>
      </c>
      <c r="H622" s="115">
        <v>483.697</v>
      </c>
      <c r="I622" s="116">
        <v>19.012500000000003</v>
      </c>
      <c r="J622" s="116">
        <v>23.234999999999999</v>
      </c>
      <c r="K622" s="116">
        <v>11238.69</v>
      </c>
      <c r="L622" s="116">
        <v>25.35</v>
      </c>
      <c r="M622" s="116">
        <v>30.98</v>
      </c>
      <c r="N622" s="116">
        <v>14984.93</v>
      </c>
      <c r="O622" s="121">
        <f t="shared" si="18"/>
        <v>0.25</v>
      </c>
      <c r="P622" s="121">
        <f t="shared" si="19"/>
        <v>0.25000050050283851</v>
      </c>
      <c r="Q622" s="121">
        <f>IFERROR(K622/RESUMO_DILIG!$D$5,"")</f>
        <v>1.2560284223904533E-3</v>
      </c>
      <c r="R622" s="114" t="s">
        <v>1290</v>
      </c>
      <c r="S622" s="114" t="s">
        <v>1323</v>
      </c>
      <c r="T622" s="114" t="s">
        <v>1320</v>
      </c>
    </row>
  </sheetData>
  <dataValidations count="1">
    <dataValidation type="list" sqref="S4:S622" xr:uid="{00000000-0002-0000-0400-000000000000}">
      <formula1>"SIM,NÃO"</formula1>
    </dataValidation>
  </dataValidations>
  <pageMargins left="0.7" right="0.7" top="0.75" bottom="0.75" header="0.3" footer="0.3"/>
  <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21"/>
  <sheetViews>
    <sheetView topLeftCell="A614" workbookViewId="0">
      <selection activeCell="E627" sqref="E627"/>
    </sheetView>
  </sheetViews>
  <sheetFormatPr defaultRowHeight="12.75" x14ac:dyDescent="0.2"/>
  <cols>
    <col min="5" max="5" width="55" customWidth="1"/>
    <col min="6" max="6" width="13" customWidth="1"/>
    <col min="10" max="11" width="0" hidden="1" customWidth="1"/>
  </cols>
  <sheetData>
    <row r="1" spans="1:11" ht="62.25" customHeight="1" x14ac:dyDescent="0.2">
      <c r="A1" s="250"/>
      <c r="B1" s="250"/>
      <c r="C1" s="250"/>
    </row>
    <row r="2" spans="1:11" ht="30" customHeight="1" x14ac:dyDescent="0.2">
      <c r="A2" s="117" t="s">
        <v>2305</v>
      </c>
      <c r="B2" s="118" t="s">
        <v>8</v>
      </c>
      <c r="C2" s="118" t="s">
        <v>9</v>
      </c>
      <c r="D2" s="118" t="s">
        <v>10</v>
      </c>
      <c r="E2" s="118" t="s">
        <v>11</v>
      </c>
      <c r="F2" s="118" t="s">
        <v>1308</v>
      </c>
      <c r="G2" s="118" t="s">
        <v>2306</v>
      </c>
      <c r="H2" s="118" t="s">
        <v>2307</v>
      </c>
      <c r="I2" s="118" t="s">
        <v>1315</v>
      </c>
      <c r="J2" s="118" t="s">
        <v>1316</v>
      </c>
      <c r="K2" s="119" t="s">
        <v>2308</v>
      </c>
    </row>
    <row r="3" spans="1:11" ht="51" x14ac:dyDescent="0.2">
      <c r="A3" s="120">
        <v>1</v>
      </c>
      <c r="B3" s="114" t="s">
        <v>165</v>
      </c>
      <c r="C3" s="114" t="s">
        <v>1373</v>
      </c>
      <c r="D3" s="114" t="s">
        <v>56</v>
      </c>
      <c r="E3" s="114" t="s">
        <v>166</v>
      </c>
      <c r="F3" s="116">
        <v>462288.78</v>
      </c>
      <c r="G3" s="121">
        <v>5.1665082588113677E-2</v>
      </c>
      <c r="H3" s="121">
        <v>5.1665082588113677E-2</v>
      </c>
      <c r="I3" s="114" t="s">
        <v>1287</v>
      </c>
      <c r="J3" s="114" t="s">
        <v>1319</v>
      </c>
      <c r="K3" s="129" t="s">
        <v>2309</v>
      </c>
    </row>
    <row r="4" spans="1:11" ht="102" x14ac:dyDescent="0.2">
      <c r="A4" s="120">
        <v>2</v>
      </c>
      <c r="B4" s="114" t="s">
        <v>2067</v>
      </c>
      <c r="C4" s="114" t="s">
        <v>979</v>
      </c>
      <c r="D4" s="114" t="s">
        <v>209</v>
      </c>
      <c r="E4" s="114" t="s">
        <v>2068</v>
      </c>
      <c r="F4" s="116">
        <v>261643.44</v>
      </c>
      <c r="G4" s="121">
        <v>2.9241094573478864E-2</v>
      </c>
      <c r="H4" s="121">
        <v>8.0906177161592541E-2</v>
      </c>
      <c r="I4" s="114" t="s">
        <v>1287</v>
      </c>
      <c r="J4" s="114" t="s">
        <v>1319</v>
      </c>
      <c r="K4" s="129" t="s">
        <v>2310</v>
      </c>
    </row>
    <row r="5" spans="1:11" ht="114.75" x14ac:dyDescent="0.2">
      <c r="A5" s="120">
        <v>3</v>
      </c>
      <c r="B5" s="114" t="s">
        <v>372</v>
      </c>
      <c r="C5" s="114" t="s">
        <v>1472</v>
      </c>
      <c r="D5" s="114" t="s">
        <v>24</v>
      </c>
      <c r="E5" s="114" t="s">
        <v>374</v>
      </c>
      <c r="F5" s="116">
        <v>217888.44</v>
      </c>
      <c r="G5" s="121">
        <v>2.4351065253184926E-2</v>
      </c>
      <c r="H5" s="121">
        <v>0.10525724241477746</v>
      </c>
      <c r="I5" s="114" t="s">
        <v>1287</v>
      </c>
      <c r="J5" s="114" t="s">
        <v>1319</v>
      </c>
      <c r="K5" s="129" t="s">
        <v>2309</v>
      </c>
    </row>
    <row r="6" spans="1:11" ht="51" x14ac:dyDescent="0.2">
      <c r="A6" s="120">
        <v>4</v>
      </c>
      <c r="B6" s="114" t="s">
        <v>213</v>
      </c>
      <c r="C6" s="114" t="s">
        <v>1399</v>
      </c>
      <c r="D6" s="114" t="s">
        <v>56</v>
      </c>
      <c r="E6" s="114" t="s">
        <v>214</v>
      </c>
      <c r="F6" s="116">
        <v>202728.79</v>
      </c>
      <c r="G6" s="121">
        <v>2.2656832982921097E-2</v>
      </c>
      <c r="H6" s="121">
        <v>0.12791407539769856</v>
      </c>
      <c r="I6" s="114" t="s">
        <v>1287</v>
      </c>
      <c r="J6" s="114" t="s">
        <v>1319</v>
      </c>
      <c r="K6" s="129" t="s">
        <v>2309</v>
      </c>
    </row>
    <row r="7" spans="1:11" ht="51" x14ac:dyDescent="0.2">
      <c r="A7" s="120">
        <v>5</v>
      </c>
      <c r="B7" s="114" t="s">
        <v>66</v>
      </c>
      <c r="C7" s="114" t="s">
        <v>1337</v>
      </c>
      <c r="D7" s="114" t="s">
        <v>24</v>
      </c>
      <c r="E7" s="114" t="s">
        <v>68</v>
      </c>
      <c r="F7" s="116">
        <v>197320.83</v>
      </c>
      <c r="G7" s="121">
        <v>2.2052443016906311E-2</v>
      </c>
      <c r="H7" s="121">
        <v>0.14996651841460487</v>
      </c>
      <c r="I7" s="114" t="s">
        <v>1287</v>
      </c>
      <c r="J7" s="114" t="s">
        <v>1319</v>
      </c>
      <c r="K7" s="129" t="s">
        <v>2309</v>
      </c>
    </row>
    <row r="8" spans="1:11" ht="51" x14ac:dyDescent="0.2">
      <c r="A8" s="120">
        <v>6</v>
      </c>
      <c r="B8" s="114" t="s">
        <v>59</v>
      </c>
      <c r="C8" s="114" t="s">
        <v>1332</v>
      </c>
      <c r="D8" s="114" t="s">
        <v>56</v>
      </c>
      <c r="E8" s="114" t="s">
        <v>60</v>
      </c>
      <c r="F8" s="116">
        <v>192877.2</v>
      </c>
      <c r="G8" s="121">
        <v>2.1555825921979157E-2</v>
      </c>
      <c r="H8" s="121">
        <v>0.17152234433658403</v>
      </c>
      <c r="I8" s="114" t="s">
        <v>1287</v>
      </c>
      <c r="J8" s="114" t="s">
        <v>1319</v>
      </c>
      <c r="K8" s="129" t="s">
        <v>2309</v>
      </c>
    </row>
    <row r="9" spans="1:11" ht="51" x14ac:dyDescent="0.2">
      <c r="A9" s="120">
        <v>7</v>
      </c>
      <c r="B9" s="114" t="s">
        <v>2194</v>
      </c>
      <c r="C9" s="114" t="s">
        <v>2195</v>
      </c>
      <c r="D9" s="114" t="s">
        <v>56</v>
      </c>
      <c r="E9" s="114" t="s">
        <v>1077</v>
      </c>
      <c r="F9" s="116">
        <v>190644.92</v>
      </c>
      <c r="G9" s="121">
        <v>2.1306347813166319E-2</v>
      </c>
      <c r="H9" s="121">
        <v>0.19282869214975035</v>
      </c>
      <c r="I9" s="114" t="s">
        <v>1287</v>
      </c>
      <c r="J9" s="114" t="s">
        <v>1319</v>
      </c>
      <c r="K9" s="129" t="s">
        <v>2309</v>
      </c>
    </row>
    <row r="10" spans="1:11" ht="51" x14ac:dyDescent="0.2">
      <c r="A10" s="120">
        <v>8</v>
      </c>
      <c r="B10" s="114" t="s">
        <v>215</v>
      </c>
      <c r="C10" s="114" t="s">
        <v>1400</v>
      </c>
      <c r="D10" s="114" t="s">
        <v>56</v>
      </c>
      <c r="E10" s="114" t="s">
        <v>216</v>
      </c>
      <c r="F10" s="116">
        <v>184944.08</v>
      </c>
      <c r="G10" s="121">
        <v>2.0669225775677924E-2</v>
      </c>
      <c r="H10" s="121">
        <v>0.21349791792542827</v>
      </c>
      <c r="I10" s="114" t="s">
        <v>1287</v>
      </c>
      <c r="J10" s="114" t="s">
        <v>1319</v>
      </c>
      <c r="K10" s="129" t="s">
        <v>2309</v>
      </c>
    </row>
    <row r="11" spans="1:11" ht="51" x14ac:dyDescent="0.2">
      <c r="A11" s="120">
        <v>9</v>
      </c>
      <c r="B11" s="114" t="s">
        <v>356</v>
      </c>
      <c r="C11" s="114" t="s">
        <v>1465</v>
      </c>
      <c r="D11" s="114" t="s">
        <v>56</v>
      </c>
      <c r="E11" s="114" t="s">
        <v>357</v>
      </c>
      <c r="F11" s="116">
        <v>150664.87</v>
      </c>
      <c r="G11" s="121">
        <v>1.6838204361519244E-2</v>
      </c>
      <c r="H11" s="121">
        <v>0.23033612228694753</v>
      </c>
      <c r="I11" s="114" t="s">
        <v>1287</v>
      </c>
      <c r="J11" s="114" t="s">
        <v>1319</v>
      </c>
      <c r="K11" s="129" t="s">
        <v>2309</v>
      </c>
    </row>
    <row r="12" spans="1:11" ht="51" x14ac:dyDescent="0.2">
      <c r="A12" s="120">
        <v>10</v>
      </c>
      <c r="B12" s="114" t="s">
        <v>97</v>
      </c>
      <c r="C12" s="114" t="s">
        <v>1348</v>
      </c>
      <c r="D12" s="114" t="s">
        <v>56</v>
      </c>
      <c r="E12" s="114" t="s">
        <v>98</v>
      </c>
      <c r="F12" s="116">
        <v>147623.76999999999</v>
      </c>
      <c r="G12" s="121">
        <v>1.6498333074444718E-2</v>
      </c>
      <c r="H12" s="121">
        <v>0.24683445536139226</v>
      </c>
      <c r="I12" s="114" t="s">
        <v>1287</v>
      </c>
      <c r="J12" s="114" t="s">
        <v>1319</v>
      </c>
      <c r="K12" s="129" t="s">
        <v>2309</v>
      </c>
    </row>
    <row r="13" spans="1:11" ht="51" x14ac:dyDescent="0.2">
      <c r="A13" s="120">
        <v>11</v>
      </c>
      <c r="B13" s="114" t="s">
        <v>55</v>
      </c>
      <c r="C13" s="114" t="s">
        <v>1331</v>
      </c>
      <c r="D13" s="114" t="s">
        <v>56</v>
      </c>
      <c r="E13" s="114" t="s">
        <v>57</v>
      </c>
      <c r="F13" s="116">
        <v>144250.76</v>
      </c>
      <c r="G13" s="121">
        <v>1.6121367749392847E-2</v>
      </c>
      <c r="H13" s="121">
        <v>0.26295582311078508</v>
      </c>
      <c r="I13" s="114" t="s">
        <v>1287</v>
      </c>
      <c r="J13" s="114" t="s">
        <v>1319</v>
      </c>
      <c r="K13" s="129" t="s">
        <v>2309</v>
      </c>
    </row>
    <row r="14" spans="1:11" ht="51" x14ac:dyDescent="0.2">
      <c r="A14" s="120">
        <v>12</v>
      </c>
      <c r="B14" s="114" t="s">
        <v>394</v>
      </c>
      <c r="C14" s="114" t="s">
        <v>1487</v>
      </c>
      <c r="D14" s="114" t="s">
        <v>56</v>
      </c>
      <c r="E14" s="114" t="s">
        <v>1488</v>
      </c>
      <c r="F14" s="116">
        <v>144137.93</v>
      </c>
      <c r="G14" s="121">
        <v>1.6108757944611477E-2</v>
      </c>
      <c r="H14" s="121">
        <v>0.27906458105539655</v>
      </c>
      <c r="I14" s="114" t="s">
        <v>1287</v>
      </c>
      <c r="J14" s="114" t="s">
        <v>1319</v>
      </c>
      <c r="K14" s="129" t="s">
        <v>2309</v>
      </c>
    </row>
    <row r="15" spans="1:11" ht="51" x14ac:dyDescent="0.2">
      <c r="A15" s="120">
        <v>13</v>
      </c>
      <c r="B15" s="114" t="s">
        <v>1946</v>
      </c>
      <c r="C15" s="114" t="s">
        <v>1947</v>
      </c>
      <c r="D15" s="114" t="s">
        <v>24</v>
      </c>
      <c r="E15" s="114" t="s">
        <v>897</v>
      </c>
      <c r="F15" s="116">
        <v>140493.88</v>
      </c>
      <c r="G15" s="121">
        <v>1.5701501371771412E-2</v>
      </c>
      <c r="H15" s="121">
        <v>0.29476608242716795</v>
      </c>
      <c r="I15" s="114" t="s">
        <v>1287</v>
      </c>
      <c r="J15" s="114" t="s">
        <v>1319</v>
      </c>
      <c r="K15" s="129" t="s">
        <v>2309</v>
      </c>
    </row>
    <row r="16" spans="1:11" ht="63.75" x14ac:dyDescent="0.2">
      <c r="A16" s="120">
        <v>14</v>
      </c>
      <c r="B16" s="114" t="s">
        <v>328</v>
      </c>
      <c r="C16" s="114" t="s">
        <v>1456</v>
      </c>
      <c r="D16" s="114" t="s">
        <v>56</v>
      </c>
      <c r="E16" s="114" t="s">
        <v>329</v>
      </c>
      <c r="F16" s="116">
        <v>131161.07999999999</v>
      </c>
      <c r="G16" s="121">
        <v>1.4658473931697377E-2</v>
      </c>
      <c r="H16" s="121">
        <v>0.30942455635886534</v>
      </c>
      <c r="I16" s="114" t="s">
        <v>1287</v>
      </c>
      <c r="J16" s="114" t="s">
        <v>1319</v>
      </c>
      <c r="K16" s="129" t="s">
        <v>2309</v>
      </c>
    </row>
    <row r="17" spans="1:11" ht="102" x14ac:dyDescent="0.2">
      <c r="A17" s="120">
        <v>15</v>
      </c>
      <c r="B17" s="114" t="s">
        <v>348</v>
      </c>
      <c r="C17" s="114" t="s">
        <v>349</v>
      </c>
      <c r="D17" s="114" t="s">
        <v>209</v>
      </c>
      <c r="E17" s="114" t="s">
        <v>350</v>
      </c>
      <c r="F17" s="116">
        <v>127178.07</v>
      </c>
      <c r="G17" s="121">
        <v>1.4213335417629869E-2</v>
      </c>
      <c r="H17" s="121">
        <v>0.32363789177649521</v>
      </c>
      <c r="I17" s="114" t="s">
        <v>1287</v>
      </c>
      <c r="J17" s="114" t="s">
        <v>1319</v>
      </c>
      <c r="K17" s="129" t="s">
        <v>2310</v>
      </c>
    </row>
    <row r="18" spans="1:11" ht="51" x14ac:dyDescent="0.2">
      <c r="A18" s="120">
        <v>16</v>
      </c>
      <c r="B18" s="114" t="s">
        <v>62</v>
      </c>
      <c r="C18" s="114" t="s">
        <v>1333</v>
      </c>
      <c r="D18" s="114" t="s">
        <v>56</v>
      </c>
      <c r="E18" s="114" t="s">
        <v>1334</v>
      </c>
      <c r="F18" s="116">
        <v>117463.38</v>
      </c>
      <c r="G18" s="121">
        <v>1.3127628208452258E-2</v>
      </c>
      <c r="H18" s="121">
        <v>0.33676551998494747</v>
      </c>
      <c r="I18" s="114" t="s">
        <v>1287</v>
      </c>
      <c r="J18" s="114" t="s">
        <v>1319</v>
      </c>
      <c r="K18" s="129" t="s">
        <v>2309</v>
      </c>
    </row>
    <row r="19" spans="1:11" ht="51" x14ac:dyDescent="0.2">
      <c r="A19" s="120">
        <v>17</v>
      </c>
      <c r="B19" s="114" t="s">
        <v>488</v>
      </c>
      <c r="C19" s="114" t="s">
        <v>1533</v>
      </c>
      <c r="D19" s="114" t="s">
        <v>24</v>
      </c>
      <c r="E19" s="114" t="s">
        <v>490</v>
      </c>
      <c r="F19" s="116">
        <v>114250.12</v>
      </c>
      <c r="G19" s="121">
        <v>1.2768516435769645E-2</v>
      </c>
      <c r="H19" s="121">
        <v>0.34953403642071712</v>
      </c>
      <c r="I19" s="114" t="s">
        <v>1287</v>
      </c>
      <c r="J19" s="114" t="s">
        <v>1319</v>
      </c>
      <c r="K19" s="129" t="s">
        <v>2309</v>
      </c>
    </row>
    <row r="20" spans="1:11" ht="114.75" x14ac:dyDescent="0.2">
      <c r="A20" s="120">
        <v>18</v>
      </c>
      <c r="B20" s="114" t="s">
        <v>22</v>
      </c>
      <c r="C20" s="114" t="s">
        <v>1317</v>
      </c>
      <c r="D20" s="114" t="s">
        <v>24</v>
      </c>
      <c r="E20" s="114" t="s">
        <v>1318</v>
      </c>
      <c r="F20" s="116">
        <v>111230.61</v>
      </c>
      <c r="G20" s="121">
        <v>1.2431058032548969E-2</v>
      </c>
      <c r="H20" s="121">
        <v>0.36196509445326608</v>
      </c>
      <c r="I20" s="114" t="s">
        <v>1287</v>
      </c>
      <c r="J20" s="114" t="s">
        <v>1319</v>
      </c>
      <c r="K20" s="129" t="s">
        <v>2309</v>
      </c>
    </row>
    <row r="21" spans="1:11" ht="51" x14ac:dyDescent="0.2">
      <c r="A21" s="120">
        <v>19</v>
      </c>
      <c r="B21" s="114" t="s">
        <v>217</v>
      </c>
      <c r="C21" s="114" t="s">
        <v>1401</v>
      </c>
      <c r="D21" s="114" t="s">
        <v>56</v>
      </c>
      <c r="E21" s="114" t="s">
        <v>218</v>
      </c>
      <c r="F21" s="116">
        <v>104938.27</v>
      </c>
      <c r="G21" s="121">
        <v>1.1727830353580659E-2</v>
      </c>
      <c r="H21" s="121">
        <v>0.37369292480684674</v>
      </c>
      <c r="I21" s="114" t="s">
        <v>1287</v>
      </c>
      <c r="J21" s="114" t="s">
        <v>1319</v>
      </c>
      <c r="K21" s="129" t="s">
        <v>2309</v>
      </c>
    </row>
    <row r="22" spans="1:11" ht="76.5" x14ac:dyDescent="0.2">
      <c r="A22" s="120">
        <v>20</v>
      </c>
      <c r="B22" s="114" t="s">
        <v>2126</v>
      </c>
      <c r="C22" s="114" t="s">
        <v>2127</v>
      </c>
      <c r="D22" s="114" t="s">
        <v>24</v>
      </c>
      <c r="E22" s="114" t="s">
        <v>2128</v>
      </c>
      <c r="F22" s="116">
        <v>103848.42</v>
      </c>
      <c r="G22" s="121">
        <v>1.1606029451861488E-2</v>
      </c>
      <c r="H22" s="121">
        <v>0.38529895425870819</v>
      </c>
      <c r="I22" s="114" t="s">
        <v>1287</v>
      </c>
      <c r="J22" s="114" t="s">
        <v>1319</v>
      </c>
      <c r="K22" s="129" t="s">
        <v>2309</v>
      </c>
    </row>
    <row r="23" spans="1:11" ht="127.5" x14ac:dyDescent="0.2">
      <c r="A23" s="120">
        <v>21</v>
      </c>
      <c r="B23" s="114" t="s">
        <v>517</v>
      </c>
      <c r="C23" s="114" t="s">
        <v>1544</v>
      </c>
      <c r="D23" s="114" t="s">
        <v>24</v>
      </c>
      <c r="E23" s="114" t="s">
        <v>519</v>
      </c>
      <c r="F23" s="116">
        <v>100821.48</v>
      </c>
      <c r="G23" s="121">
        <v>1.1267740676846733E-2</v>
      </c>
      <c r="H23" s="121">
        <v>0.39656669493555491</v>
      </c>
      <c r="I23" s="114" t="s">
        <v>1287</v>
      </c>
      <c r="J23" s="114" t="s">
        <v>1319</v>
      </c>
      <c r="K23" s="129" t="s">
        <v>2309</v>
      </c>
    </row>
    <row r="24" spans="1:11" ht="51" x14ac:dyDescent="0.2">
      <c r="A24" s="120">
        <v>22</v>
      </c>
      <c r="B24" s="114" t="s">
        <v>1938</v>
      </c>
      <c r="C24" s="114" t="s">
        <v>1939</v>
      </c>
      <c r="D24" s="114" t="s">
        <v>56</v>
      </c>
      <c r="E24" s="114" t="s">
        <v>887</v>
      </c>
      <c r="F24" s="116">
        <v>100460.22</v>
      </c>
      <c r="G24" s="121">
        <v>1.1227366502643801E-2</v>
      </c>
      <c r="H24" s="121">
        <v>0.40779406143819874</v>
      </c>
      <c r="I24" s="114" t="s">
        <v>1287</v>
      </c>
      <c r="J24" s="114" t="s">
        <v>1319</v>
      </c>
      <c r="K24" s="129" t="s">
        <v>2309</v>
      </c>
    </row>
    <row r="25" spans="1:11" ht="51" x14ac:dyDescent="0.2">
      <c r="A25" s="120">
        <v>23</v>
      </c>
      <c r="B25" s="114" t="s">
        <v>315</v>
      </c>
      <c r="C25" s="114" t="s">
        <v>316</v>
      </c>
      <c r="D25" s="114" t="s">
        <v>317</v>
      </c>
      <c r="E25" s="114" t="s">
        <v>318</v>
      </c>
      <c r="F25" s="116">
        <v>100251.8</v>
      </c>
      <c r="G25" s="121">
        <v>1.1204073623865702E-2</v>
      </c>
      <c r="H25" s="121">
        <v>0.41899813506206446</v>
      </c>
      <c r="I25" s="114" t="s">
        <v>1287</v>
      </c>
      <c r="J25" s="114" t="s">
        <v>1319</v>
      </c>
      <c r="K25" s="129" t="s">
        <v>2309</v>
      </c>
    </row>
    <row r="26" spans="1:11" ht="51" x14ac:dyDescent="0.2">
      <c r="A26" s="120">
        <v>24</v>
      </c>
      <c r="B26" s="114" t="s">
        <v>1936</v>
      </c>
      <c r="C26" s="114" t="s">
        <v>1937</v>
      </c>
      <c r="D26" s="114" t="s">
        <v>56</v>
      </c>
      <c r="E26" s="114" t="s">
        <v>885</v>
      </c>
      <c r="F26" s="116">
        <v>99320.84</v>
      </c>
      <c r="G26" s="121">
        <v>1.1100030161495212E-2</v>
      </c>
      <c r="H26" s="121">
        <v>0.43009816522355965</v>
      </c>
      <c r="I26" s="114" t="s">
        <v>1287</v>
      </c>
      <c r="J26" s="114" t="s">
        <v>1319</v>
      </c>
      <c r="K26" s="129" t="s">
        <v>2309</v>
      </c>
    </row>
    <row r="27" spans="1:11" ht="102" x14ac:dyDescent="0.2">
      <c r="A27" s="120">
        <v>25</v>
      </c>
      <c r="B27" s="114" t="s">
        <v>1416</v>
      </c>
      <c r="C27" s="114" t="s">
        <v>236</v>
      </c>
      <c r="D27" s="114" t="s">
        <v>209</v>
      </c>
      <c r="E27" s="114" t="s">
        <v>271</v>
      </c>
      <c r="F27" s="116">
        <v>94069.42</v>
      </c>
      <c r="G27" s="121">
        <v>1.051313500041241E-2</v>
      </c>
      <c r="H27" s="121">
        <v>0.44061130022397205</v>
      </c>
      <c r="I27" s="114" t="s">
        <v>1287</v>
      </c>
      <c r="J27" s="114" t="s">
        <v>1319</v>
      </c>
      <c r="K27" s="129" t="s">
        <v>2310</v>
      </c>
    </row>
    <row r="28" spans="1:11" ht="51" x14ac:dyDescent="0.2">
      <c r="A28" s="120">
        <v>26</v>
      </c>
      <c r="B28" s="114" t="s">
        <v>2206</v>
      </c>
      <c r="C28" s="114" t="s">
        <v>2207</v>
      </c>
      <c r="D28" s="114" t="s">
        <v>56</v>
      </c>
      <c r="E28" s="114" t="s">
        <v>2208</v>
      </c>
      <c r="F28" s="116">
        <v>93485.03</v>
      </c>
      <c r="G28" s="121">
        <v>1.0447823967742164E-2</v>
      </c>
      <c r="H28" s="121">
        <v>0.45105912419171418</v>
      </c>
      <c r="I28" s="114" t="s">
        <v>1287</v>
      </c>
      <c r="J28" s="114" t="s">
        <v>1319</v>
      </c>
      <c r="K28" s="129" t="s">
        <v>2309</v>
      </c>
    </row>
    <row r="29" spans="1:11" ht="51" x14ac:dyDescent="0.2">
      <c r="A29" s="120">
        <v>27</v>
      </c>
      <c r="B29" s="114" t="s">
        <v>1408</v>
      </c>
      <c r="C29" s="114" t="s">
        <v>1409</v>
      </c>
      <c r="D29" s="114" t="s">
        <v>56</v>
      </c>
      <c r="E29" s="114" t="s">
        <v>232</v>
      </c>
      <c r="F29" s="116">
        <v>90410.76</v>
      </c>
      <c r="G29" s="121">
        <v>1.0104245623815754E-2</v>
      </c>
      <c r="H29" s="121">
        <v>0.46116336981552991</v>
      </c>
      <c r="I29" s="114" t="s">
        <v>1287</v>
      </c>
      <c r="J29" s="114" t="s">
        <v>1319</v>
      </c>
      <c r="K29" s="129" t="s">
        <v>2309</v>
      </c>
    </row>
    <row r="30" spans="1:11" ht="63.75" x14ac:dyDescent="0.2">
      <c r="A30" s="120">
        <v>28</v>
      </c>
      <c r="B30" s="114" t="s">
        <v>428</v>
      </c>
      <c r="C30" s="114" t="s">
        <v>1503</v>
      </c>
      <c r="D30" s="114" t="s">
        <v>56</v>
      </c>
      <c r="E30" s="114" t="s">
        <v>429</v>
      </c>
      <c r="F30" s="116">
        <v>84198.81</v>
      </c>
      <c r="G30" s="121">
        <v>9.4100022770850968E-3</v>
      </c>
      <c r="H30" s="121">
        <v>0.47057337209261502</v>
      </c>
      <c r="I30" s="114" t="s">
        <v>1287</v>
      </c>
      <c r="J30" s="114" t="s">
        <v>1319</v>
      </c>
      <c r="K30" s="129" t="s">
        <v>2309</v>
      </c>
    </row>
    <row r="31" spans="1:11" ht="51" x14ac:dyDescent="0.2">
      <c r="A31" s="120">
        <v>29</v>
      </c>
      <c r="B31" s="114" t="s">
        <v>400</v>
      </c>
      <c r="C31" s="114" t="s">
        <v>1491</v>
      </c>
      <c r="D31" s="114" t="s">
        <v>335</v>
      </c>
      <c r="E31" s="114" t="s">
        <v>401</v>
      </c>
      <c r="F31" s="116">
        <v>82070.070000000007</v>
      </c>
      <c r="G31" s="121">
        <v>9.1720957289127165E-3</v>
      </c>
      <c r="H31" s="121">
        <v>0.47974546782152777</v>
      </c>
      <c r="I31" s="114" t="s">
        <v>1287</v>
      </c>
      <c r="J31" s="114" t="s">
        <v>1319</v>
      </c>
      <c r="K31" s="129" t="s">
        <v>2309</v>
      </c>
    </row>
    <row r="32" spans="1:11" ht="63.75" x14ac:dyDescent="0.2">
      <c r="A32" s="120">
        <v>30</v>
      </c>
      <c r="B32" s="114" t="s">
        <v>307</v>
      </c>
      <c r="C32" s="114" t="s">
        <v>1451</v>
      </c>
      <c r="D32" s="114" t="s">
        <v>56</v>
      </c>
      <c r="E32" s="114" t="s">
        <v>308</v>
      </c>
      <c r="F32" s="116">
        <v>81841.83</v>
      </c>
      <c r="G32" s="121">
        <v>9.1465877802882414E-3</v>
      </c>
      <c r="H32" s="121">
        <v>0.48889205560181598</v>
      </c>
      <c r="I32" s="114" t="s">
        <v>1287</v>
      </c>
      <c r="J32" s="114" t="s">
        <v>1319</v>
      </c>
      <c r="K32" s="129" t="s">
        <v>2309</v>
      </c>
    </row>
    <row r="33" spans="1:11" ht="102" x14ac:dyDescent="0.2">
      <c r="A33" s="120">
        <v>31</v>
      </c>
      <c r="B33" s="114" t="s">
        <v>1524</v>
      </c>
      <c r="C33" s="114" t="s">
        <v>1525</v>
      </c>
      <c r="D33" s="114" t="s">
        <v>24</v>
      </c>
      <c r="E33" s="114" t="s">
        <v>473</v>
      </c>
      <c r="F33" s="116">
        <v>78667.22</v>
      </c>
      <c r="G33" s="121">
        <v>8.7917955055653915E-3</v>
      </c>
      <c r="H33" s="121">
        <v>0.49768385110738134</v>
      </c>
      <c r="I33" s="114" t="s">
        <v>1287</v>
      </c>
      <c r="J33" s="114" t="s">
        <v>1319</v>
      </c>
      <c r="K33" s="129" t="s">
        <v>2309</v>
      </c>
    </row>
    <row r="34" spans="1:11" ht="51" x14ac:dyDescent="0.2">
      <c r="A34" s="120">
        <v>32</v>
      </c>
      <c r="B34" s="114" t="s">
        <v>541</v>
      </c>
      <c r="C34" s="114" t="s">
        <v>1556</v>
      </c>
      <c r="D34" s="114" t="s">
        <v>335</v>
      </c>
      <c r="E34" s="114" t="s">
        <v>542</v>
      </c>
      <c r="F34" s="116">
        <v>78369.48</v>
      </c>
      <c r="G34" s="121">
        <v>8.758520283766183E-3</v>
      </c>
      <c r="H34" s="121">
        <v>0.50644237139114756</v>
      </c>
      <c r="I34" s="114" t="s">
        <v>1287</v>
      </c>
      <c r="J34" s="114" t="s">
        <v>1319</v>
      </c>
      <c r="K34" s="129" t="s">
        <v>2309</v>
      </c>
    </row>
    <row r="35" spans="1:11" ht="51" x14ac:dyDescent="0.2">
      <c r="A35" s="120">
        <v>33</v>
      </c>
      <c r="B35" s="114" t="s">
        <v>1969</v>
      </c>
      <c r="C35" s="114" t="s">
        <v>1970</v>
      </c>
      <c r="D35" s="114" t="s">
        <v>24</v>
      </c>
      <c r="E35" s="114" t="s">
        <v>918</v>
      </c>
      <c r="F35" s="116">
        <v>77537.009999999995</v>
      </c>
      <c r="G35" s="121">
        <v>8.6654839974385604E-3</v>
      </c>
      <c r="H35" s="121">
        <v>0.51510785538858617</v>
      </c>
      <c r="I35" s="114" t="s">
        <v>1287</v>
      </c>
      <c r="J35" s="114" t="s">
        <v>1319</v>
      </c>
      <c r="K35" s="129" t="s">
        <v>2309</v>
      </c>
    </row>
    <row r="36" spans="1:11" ht="51" x14ac:dyDescent="0.2">
      <c r="A36" s="120">
        <v>34</v>
      </c>
      <c r="B36" s="114" t="s">
        <v>392</v>
      </c>
      <c r="C36" s="114" t="s">
        <v>1485</v>
      </c>
      <c r="D36" s="114" t="s">
        <v>56</v>
      </c>
      <c r="E36" s="114" t="s">
        <v>1486</v>
      </c>
      <c r="F36" s="116">
        <v>75161.63</v>
      </c>
      <c r="G36" s="121">
        <v>8.4000131290386127E-3</v>
      </c>
      <c r="H36" s="121">
        <v>0.52350786851762476</v>
      </c>
      <c r="I36" s="114" t="s">
        <v>1287</v>
      </c>
      <c r="J36" s="114" t="s">
        <v>1319</v>
      </c>
      <c r="K36" s="129" t="s">
        <v>2309</v>
      </c>
    </row>
    <row r="37" spans="1:11" ht="51" x14ac:dyDescent="0.2">
      <c r="A37" s="120">
        <v>35</v>
      </c>
      <c r="B37" s="114" t="s">
        <v>295</v>
      </c>
      <c r="C37" s="114" t="s">
        <v>1443</v>
      </c>
      <c r="D37" s="114" t="s">
        <v>56</v>
      </c>
      <c r="E37" s="114" t="s">
        <v>296</v>
      </c>
      <c r="F37" s="116">
        <v>74929.960000000006</v>
      </c>
      <c r="G37" s="121">
        <v>8.3741218459250834E-3</v>
      </c>
      <c r="H37" s="121">
        <v>0.53188199036354977</v>
      </c>
      <c r="I37" s="114" t="s">
        <v>1287</v>
      </c>
      <c r="J37" s="114" t="s">
        <v>1319</v>
      </c>
      <c r="K37" s="129" t="s">
        <v>2309</v>
      </c>
    </row>
    <row r="38" spans="1:11" ht="102" x14ac:dyDescent="0.2">
      <c r="A38" s="120">
        <v>36</v>
      </c>
      <c r="B38" s="114" t="s">
        <v>309</v>
      </c>
      <c r="C38" s="114" t="s">
        <v>310</v>
      </c>
      <c r="D38" s="114" t="s">
        <v>209</v>
      </c>
      <c r="E38" s="114" t="s">
        <v>311</v>
      </c>
      <c r="F38" s="116">
        <v>74500.69</v>
      </c>
      <c r="G38" s="121">
        <v>8.3261469199435358E-3</v>
      </c>
      <c r="H38" s="121">
        <v>0.54020813728349337</v>
      </c>
      <c r="I38" s="114" t="s">
        <v>1287</v>
      </c>
      <c r="J38" s="114" t="s">
        <v>1319</v>
      </c>
      <c r="K38" s="129" t="s">
        <v>2310</v>
      </c>
    </row>
    <row r="39" spans="1:11" ht="102" x14ac:dyDescent="0.2">
      <c r="A39" s="120">
        <v>37</v>
      </c>
      <c r="B39" s="114" t="s">
        <v>345</v>
      </c>
      <c r="C39" s="114" t="s">
        <v>346</v>
      </c>
      <c r="D39" s="114" t="s">
        <v>209</v>
      </c>
      <c r="E39" s="114" t="s">
        <v>1462</v>
      </c>
      <c r="F39" s="116">
        <v>74168.58</v>
      </c>
      <c r="G39" s="121">
        <v>8.2890305301009382E-3</v>
      </c>
      <c r="H39" s="121">
        <v>0.54849716781359437</v>
      </c>
      <c r="I39" s="114" t="s">
        <v>1287</v>
      </c>
      <c r="J39" s="114" t="s">
        <v>1319</v>
      </c>
      <c r="K39" s="129" t="s">
        <v>2310</v>
      </c>
    </row>
    <row r="40" spans="1:11" ht="51" x14ac:dyDescent="0.2">
      <c r="A40" s="120">
        <v>38</v>
      </c>
      <c r="B40" s="114" t="s">
        <v>2038</v>
      </c>
      <c r="C40" s="114" t="s">
        <v>2039</v>
      </c>
      <c r="D40" s="114" t="s">
        <v>56</v>
      </c>
      <c r="E40" s="114" t="s">
        <v>966</v>
      </c>
      <c r="F40" s="116">
        <v>69485.39</v>
      </c>
      <c r="G40" s="121">
        <v>7.7656403709760987E-3</v>
      </c>
      <c r="H40" s="121">
        <v>0.55626280818457041</v>
      </c>
      <c r="I40" s="114" t="s">
        <v>1287</v>
      </c>
      <c r="J40" s="114" t="s">
        <v>1319</v>
      </c>
      <c r="K40" s="129" t="s">
        <v>2309</v>
      </c>
    </row>
    <row r="41" spans="1:11" ht="63.75" x14ac:dyDescent="0.2">
      <c r="A41" s="120">
        <v>39</v>
      </c>
      <c r="B41" s="114" t="s">
        <v>197</v>
      </c>
      <c r="C41" s="114" t="s">
        <v>1394</v>
      </c>
      <c r="D41" s="114" t="s">
        <v>56</v>
      </c>
      <c r="E41" s="114" t="s">
        <v>198</v>
      </c>
      <c r="F41" s="116">
        <v>69482.100000000006</v>
      </c>
      <c r="G41" s="121">
        <v>7.7652726827927201E-3</v>
      </c>
      <c r="H41" s="121">
        <v>0.56402808086736311</v>
      </c>
      <c r="I41" s="114" t="s">
        <v>1287</v>
      </c>
      <c r="J41" s="114" t="s">
        <v>1319</v>
      </c>
      <c r="K41" s="129" t="s">
        <v>2309</v>
      </c>
    </row>
    <row r="42" spans="1:11" ht="51" x14ac:dyDescent="0.2">
      <c r="A42" s="120">
        <v>40</v>
      </c>
      <c r="B42" s="114" t="s">
        <v>1406</v>
      </c>
      <c r="C42" s="114" t="s">
        <v>1407</v>
      </c>
      <c r="D42" s="114" t="s">
        <v>56</v>
      </c>
      <c r="E42" s="114" t="s">
        <v>231</v>
      </c>
      <c r="F42" s="116">
        <v>68060.87</v>
      </c>
      <c r="G42" s="121">
        <v>7.6064369755391168E-3</v>
      </c>
      <c r="H42" s="121">
        <v>0.91265346814430215</v>
      </c>
      <c r="I42" s="114" t="s">
        <v>1290</v>
      </c>
      <c r="J42" s="114" t="s">
        <v>1323</v>
      </c>
      <c r="K42" s="129" t="s">
        <v>2311</v>
      </c>
    </row>
    <row r="43" spans="1:11" ht="51" x14ac:dyDescent="0.2">
      <c r="A43" s="120">
        <v>41</v>
      </c>
      <c r="B43" s="114" t="s">
        <v>334</v>
      </c>
      <c r="C43" s="114" t="s">
        <v>1459</v>
      </c>
      <c r="D43" s="114" t="s">
        <v>335</v>
      </c>
      <c r="E43" s="114" t="s">
        <v>336</v>
      </c>
      <c r="F43" s="116">
        <v>62513.96</v>
      </c>
      <c r="G43" s="121">
        <v>6.9865180511411822E-3</v>
      </c>
      <c r="H43" s="121">
        <v>0.57862103589404335</v>
      </c>
      <c r="I43" s="114" t="s">
        <v>1287</v>
      </c>
      <c r="J43" s="114" t="s">
        <v>1319</v>
      </c>
      <c r="K43" s="129" t="s">
        <v>2309</v>
      </c>
    </row>
    <row r="44" spans="1:11" ht="89.25" x14ac:dyDescent="0.2">
      <c r="A44" s="120">
        <v>42</v>
      </c>
      <c r="B44" s="114" t="s">
        <v>27</v>
      </c>
      <c r="C44" s="114" t="s">
        <v>1321</v>
      </c>
      <c r="D44" s="114" t="s">
        <v>24</v>
      </c>
      <c r="E44" s="114" t="s">
        <v>29</v>
      </c>
      <c r="F44" s="116">
        <v>62236.05</v>
      </c>
      <c r="G44" s="121">
        <v>6.9554590167816149E-3</v>
      </c>
      <c r="H44" s="121">
        <v>0.58557649491082497</v>
      </c>
      <c r="I44" s="114" t="s">
        <v>1287</v>
      </c>
      <c r="J44" s="114" t="s">
        <v>1319</v>
      </c>
      <c r="K44" s="129" t="s">
        <v>2309</v>
      </c>
    </row>
    <row r="45" spans="1:11" ht="63.75" x14ac:dyDescent="0.2">
      <c r="A45" s="120">
        <v>43</v>
      </c>
      <c r="B45" s="114" t="s">
        <v>291</v>
      </c>
      <c r="C45" s="114" t="s">
        <v>1441</v>
      </c>
      <c r="D45" s="114" t="s">
        <v>56</v>
      </c>
      <c r="E45" s="114" t="s">
        <v>292</v>
      </c>
      <c r="F45" s="116">
        <v>61039.07</v>
      </c>
      <c r="G45" s="121">
        <v>6.8216853384407286E-3</v>
      </c>
      <c r="H45" s="121">
        <v>0.59239818024926572</v>
      </c>
      <c r="I45" s="114" t="s">
        <v>1287</v>
      </c>
      <c r="J45" s="114" t="s">
        <v>1319</v>
      </c>
      <c r="K45" s="129" t="s">
        <v>2309</v>
      </c>
    </row>
    <row r="46" spans="1:11" ht="51" x14ac:dyDescent="0.2">
      <c r="A46" s="120">
        <v>44</v>
      </c>
      <c r="B46" s="114" t="s">
        <v>312</v>
      </c>
      <c r="C46" s="114" t="s">
        <v>1452</v>
      </c>
      <c r="D46" s="114" t="s">
        <v>24</v>
      </c>
      <c r="E46" s="114" t="s">
        <v>314</v>
      </c>
      <c r="F46" s="116">
        <v>60817.25</v>
      </c>
      <c r="G46" s="121">
        <v>6.7968948846908123E-3</v>
      </c>
      <c r="H46" s="121">
        <v>0.59919507513395653</v>
      </c>
      <c r="I46" s="114" t="s">
        <v>1287</v>
      </c>
      <c r="J46" s="114" t="s">
        <v>1319</v>
      </c>
      <c r="K46" s="129" t="s">
        <v>2309</v>
      </c>
    </row>
    <row r="47" spans="1:11" ht="51" x14ac:dyDescent="0.2">
      <c r="A47" s="120">
        <v>45</v>
      </c>
      <c r="B47" s="114" t="s">
        <v>491</v>
      </c>
      <c r="C47" s="114" t="s">
        <v>1534</v>
      </c>
      <c r="D47" s="114" t="s">
        <v>24</v>
      </c>
      <c r="E47" s="114" t="s">
        <v>493</v>
      </c>
      <c r="F47" s="116">
        <v>55397.98</v>
      </c>
      <c r="G47" s="121">
        <v>6.1912409206960842E-3</v>
      </c>
      <c r="H47" s="121">
        <v>0.60538631605465265</v>
      </c>
      <c r="I47" s="114" t="s">
        <v>1287</v>
      </c>
      <c r="J47" s="114" t="s">
        <v>1319</v>
      </c>
      <c r="K47" s="129" t="s">
        <v>2309</v>
      </c>
    </row>
    <row r="48" spans="1:11" ht="51" x14ac:dyDescent="0.2">
      <c r="A48" s="120">
        <v>46</v>
      </c>
      <c r="B48" s="114" t="s">
        <v>546</v>
      </c>
      <c r="C48" s="114" t="s">
        <v>1558</v>
      </c>
      <c r="D48" s="114" t="s">
        <v>335</v>
      </c>
      <c r="E48" s="114" t="s">
        <v>547</v>
      </c>
      <c r="F48" s="116">
        <v>55095.7</v>
      </c>
      <c r="G48" s="121">
        <v>6.1574583115556782E-3</v>
      </c>
      <c r="H48" s="121">
        <v>0.61154377436620844</v>
      </c>
      <c r="I48" s="114" t="s">
        <v>1287</v>
      </c>
      <c r="J48" s="114" t="s">
        <v>1319</v>
      </c>
      <c r="K48" s="129" t="s">
        <v>2309</v>
      </c>
    </row>
    <row r="49" spans="1:11" ht="51" x14ac:dyDescent="0.2">
      <c r="A49" s="120">
        <v>47</v>
      </c>
      <c r="B49" s="114" t="s">
        <v>406</v>
      </c>
      <c r="C49" s="114" t="s">
        <v>1493</v>
      </c>
      <c r="D49" s="114" t="s">
        <v>56</v>
      </c>
      <c r="E49" s="114" t="s">
        <v>407</v>
      </c>
      <c r="F49" s="116">
        <v>54232.29</v>
      </c>
      <c r="G49" s="121">
        <v>6.0609641916737223E-3</v>
      </c>
      <c r="H49" s="121">
        <v>0.61760473855788212</v>
      </c>
      <c r="I49" s="114" t="s">
        <v>1287</v>
      </c>
      <c r="J49" s="114" t="s">
        <v>1319</v>
      </c>
      <c r="K49" s="129" t="s">
        <v>2309</v>
      </c>
    </row>
    <row r="50" spans="1:11" ht="51" x14ac:dyDescent="0.2">
      <c r="A50" s="120">
        <v>48</v>
      </c>
      <c r="B50" s="114" t="s">
        <v>1410</v>
      </c>
      <c r="C50" s="114" t="s">
        <v>1411</v>
      </c>
      <c r="D50" s="114" t="s">
        <v>56</v>
      </c>
      <c r="E50" s="114" t="s">
        <v>233</v>
      </c>
      <c r="F50" s="116">
        <v>53836.959999999999</v>
      </c>
      <c r="G50" s="121">
        <v>6.0167823772252754E-3</v>
      </c>
      <c r="H50" s="121">
        <v>0.62362152093510737</v>
      </c>
      <c r="I50" s="114" t="s">
        <v>1287</v>
      </c>
      <c r="J50" s="114" t="s">
        <v>1319</v>
      </c>
      <c r="K50" s="129" t="s">
        <v>2309</v>
      </c>
    </row>
    <row r="51" spans="1:11" ht="51" x14ac:dyDescent="0.2">
      <c r="A51" s="120">
        <v>49</v>
      </c>
      <c r="B51" s="114" t="s">
        <v>1944</v>
      </c>
      <c r="C51" s="114" t="s">
        <v>1945</v>
      </c>
      <c r="D51" s="114" t="s">
        <v>24</v>
      </c>
      <c r="E51" s="114" t="s">
        <v>894</v>
      </c>
      <c r="F51" s="116">
        <v>51757.77</v>
      </c>
      <c r="G51" s="121">
        <v>5.7844135036688371E-3</v>
      </c>
      <c r="H51" s="121">
        <v>0.62940593443877613</v>
      </c>
      <c r="I51" s="114" t="s">
        <v>1287</v>
      </c>
      <c r="J51" s="114" t="s">
        <v>1319</v>
      </c>
      <c r="K51" s="129" t="s">
        <v>2309</v>
      </c>
    </row>
    <row r="52" spans="1:11" ht="51" x14ac:dyDescent="0.2">
      <c r="A52" s="120">
        <v>50</v>
      </c>
      <c r="B52" s="114" t="s">
        <v>332</v>
      </c>
      <c r="C52" s="114" t="s">
        <v>1458</v>
      </c>
      <c r="D52" s="114" t="s">
        <v>56</v>
      </c>
      <c r="E52" s="114" t="s">
        <v>333</v>
      </c>
      <c r="F52" s="116">
        <v>50172.27</v>
      </c>
      <c r="G52" s="121">
        <v>5.607219091891302E-3</v>
      </c>
      <c r="H52" s="121">
        <v>0.63501315353066745</v>
      </c>
      <c r="I52" s="114" t="s">
        <v>1287</v>
      </c>
      <c r="J52" s="114" t="s">
        <v>1319</v>
      </c>
      <c r="K52" s="129" t="s">
        <v>2309</v>
      </c>
    </row>
    <row r="53" spans="1:11" ht="38.25" x14ac:dyDescent="0.2">
      <c r="A53" s="120">
        <v>51</v>
      </c>
      <c r="B53" s="114" t="s">
        <v>418</v>
      </c>
      <c r="C53" s="114" t="s">
        <v>1498</v>
      </c>
      <c r="D53" s="114" t="s">
        <v>56</v>
      </c>
      <c r="E53" s="114" t="s">
        <v>419</v>
      </c>
      <c r="F53" s="116">
        <v>49768.480000000003</v>
      </c>
      <c r="G53" s="121">
        <v>5.5620917935427366E-3</v>
      </c>
      <c r="H53" s="121">
        <v>0.64057524532421017</v>
      </c>
      <c r="I53" s="114" t="s">
        <v>1287</v>
      </c>
      <c r="J53" s="114" t="s">
        <v>1319</v>
      </c>
      <c r="K53" s="129" t="s">
        <v>2312</v>
      </c>
    </row>
    <row r="54" spans="1:11" ht="38.25" x14ac:dyDescent="0.2">
      <c r="A54" s="120">
        <v>52</v>
      </c>
      <c r="B54" s="114" t="s">
        <v>319</v>
      </c>
      <c r="C54" s="114" t="s">
        <v>1453</v>
      </c>
      <c r="D54" s="114" t="s">
        <v>56</v>
      </c>
      <c r="E54" s="114" t="s">
        <v>320</v>
      </c>
      <c r="F54" s="116">
        <v>47658.57</v>
      </c>
      <c r="G54" s="121">
        <v>5.3262896734837407E-3</v>
      </c>
      <c r="H54" s="121">
        <v>0.64590153499769398</v>
      </c>
      <c r="I54" s="114" t="s">
        <v>1287</v>
      </c>
      <c r="J54" s="114" t="s">
        <v>1319</v>
      </c>
      <c r="K54" s="129" t="s">
        <v>2312</v>
      </c>
    </row>
    <row r="55" spans="1:11" ht="63.75" x14ac:dyDescent="0.2">
      <c r="A55" s="120">
        <v>53</v>
      </c>
      <c r="B55" s="114" t="s">
        <v>364</v>
      </c>
      <c r="C55" s="114" t="s">
        <v>1469</v>
      </c>
      <c r="D55" s="114" t="s">
        <v>56</v>
      </c>
      <c r="E55" s="114" t="s">
        <v>365</v>
      </c>
      <c r="F55" s="116">
        <v>47133.56</v>
      </c>
      <c r="G55" s="121">
        <v>5.2676149096065258E-3</v>
      </c>
      <c r="H55" s="121">
        <v>0.65116914990730046</v>
      </c>
      <c r="I55" s="114" t="s">
        <v>1287</v>
      </c>
      <c r="J55" s="114" t="s">
        <v>1319</v>
      </c>
      <c r="K55" s="129" t="s">
        <v>2312</v>
      </c>
    </row>
    <row r="56" spans="1:11" ht="63.75" x14ac:dyDescent="0.2">
      <c r="A56" s="120">
        <v>54</v>
      </c>
      <c r="B56" s="114" t="s">
        <v>351</v>
      </c>
      <c r="C56" s="114" t="s">
        <v>1463</v>
      </c>
      <c r="D56" s="114" t="s">
        <v>209</v>
      </c>
      <c r="E56" s="114" t="s">
        <v>1464</v>
      </c>
      <c r="F56" s="116">
        <v>46910.99</v>
      </c>
      <c r="G56" s="121">
        <v>5.2427406363619181E-3</v>
      </c>
      <c r="H56" s="121">
        <v>0.65641189054366245</v>
      </c>
      <c r="I56" s="114" t="s">
        <v>1287</v>
      </c>
      <c r="J56" s="114" t="s">
        <v>1319</v>
      </c>
      <c r="K56" s="129" t="s">
        <v>2313</v>
      </c>
    </row>
    <row r="57" spans="1:11" ht="63.75" x14ac:dyDescent="0.2">
      <c r="A57" s="120">
        <v>55</v>
      </c>
      <c r="B57" s="114" t="s">
        <v>330</v>
      </c>
      <c r="C57" s="114" t="s">
        <v>1457</v>
      </c>
      <c r="D57" s="114" t="s">
        <v>56</v>
      </c>
      <c r="E57" s="114" t="s">
        <v>331</v>
      </c>
      <c r="F57" s="116">
        <v>45702.55</v>
      </c>
      <c r="G57" s="121">
        <v>5.1076861961421487E-3</v>
      </c>
      <c r="H57" s="121">
        <v>0.66151957673980455</v>
      </c>
      <c r="I57" s="114" t="s">
        <v>1287</v>
      </c>
      <c r="J57" s="114" t="s">
        <v>1319</v>
      </c>
      <c r="K57" s="129" t="s">
        <v>2312</v>
      </c>
    </row>
    <row r="58" spans="1:11" ht="51" x14ac:dyDescent="0.2">
      <c r="A58" s="120">
        <v>56</v>
      </c>
      <c r="B58" s="114" t="s">
        <v>279</v>
      </c>
      <c r="C58" s="114" t="s">
        <v>1399</v>
      </c>
      <c r="D58" s="114" t="s">
        <v>56</v>
      </c>
      <c r="E58" s="114" t="s">
        <v>214</v>
      </c>
      <c r="F58" s="116">
        <v>45363.33</v>
      </c>
      <c r="G58" s="121">
        <v>5.0697751974898781E-3</v>
      </c>
      <c r="H58" s="121">
        <v>0.66658935193729441</v>
      </c>
      <c r="I58" s="114" t="s">
        <v>1287</v>
      </c>
      <c r="J58" s="114" t="s">
        <v>1319</v>
      </c>
      <c r="K58" s="129" t="s">
        <v>2312</v>
      </c>
    </row>
    <row r="59" spans="1:11" ht="51" x14ac:dyDescent="0.2">
      <c r="A59" s="120">
        <v>57</v>
      </c>
      <c r="B59" s="114" t="s">
        <v>2063</v>
      </c>
      <c r="C59" s="114" t="s">
        <v>2064</v>
      </c>
      <c r="D59" s="114" t="s">
        <v>56</v>
      </c>
      <c r="E59" s="114" t="s">
        <v>977</v>
      </c>
      <c r="F59" s="116">
        <v>44450.83</v>
      </c>
      <c r="G59" s="121">
        <v>4.9677948122820569E-3</v>
      </c>
      <c r="H59" s="121">
        <v>0.67155714674957645</v>
      </c>
      <c r="I59" s="114" t="s">
        <v>1287</v>
      </c>
      <c r="J59" s="114" t="s">
        <v>1319</v>
      </c>
      <c r="K59" s="129" t="s">
        <v>2312</v>
      </c>
    </row>
    <row r="60" spans="1:11" ht="51" x14ac:dyDescent="0.2">
      <c r="A60" s="120">
        <v>58</v>
      </c>
      <c r="B60" s="114" t="s">
        <v>2065</v>
      </c>
      <c r="C60" s="114" t="s">
        <v>2066</v>
      </c>
      <c r="D60" s="114" t="s">
        <v>56</v>
      </c>
      <c r="E60" s="114" t="s">
        <v>978</v>
      </c>
      <c r="F60" s="116">
        <v>43003.32</v>
      </c>
      <c r="G60" s="121">
        <v>4.8060220699344697E-3</v>
      </c>
      <c r="H60" s="121">
        <v>0.67636316881951097</v>
      </c>
      <c r="I60" s="114" t="s">
        <v>1287</v>
      </c>
      <c r="J60" s="114" t="s">
        <v>1319</v>
      </c>
      <c r="K60" s="129" t="s">
        <v>2312</v>
      </c>
    </row>
    <row r="61" spans="1:11" ht="51" x14ac:dyDescent="0.2">
      <c r="A61" s="120">
        <v>59</v>
      </c>
      <c r="B61" s="114" t="s">
        <v>1388</v>
      </c>
      <c r="C61" s="114" t="s">
        <v>1389</v>
      </c>
      <c r="D61" s="114" t="s">
        <v>56</v>
      </c>
      <c r="E61" s="114" t="s">
        <v>191</v>
      </c>
      <c r="F61" s="116">
        <v>42865.07</v>
      </c>
      <c r="G61" s="121">
        <v>4.7905713430796953E-3</v>
      </c>
      <c r="H61" s="121">
        <v>0.68115374016259067</v>
      </c>
      <c r="I61" s="114" t="s">
        <v>1287</v>
      </c>
      <c r="J61" s="114" t="s">
        <v>1319</v>
      </c>
      <c r="K61" s="129" t="s">
        <v>2312</v>
      </c>
    </row>
    <row r="62" spans="1:11" ht="51" x14ac:dyDescent="0.2">
      <c r="A62" s="120">
        <v>60</v>
      </c>
      <c r="B62" s="114" t="s">
        <v>95</v>
      </c>
      <c r="C62" s="114" t="s">
        <v>1347</v>
      </c>
      <c r="D62" s="114" t="s">
        <v>56</v>
      </c>
      <c r="E62" s="114" t="s">
        <v>96</v>
      </c>
      <c r="F62" s="116">
        <v>41354.04</v>
      </c>
      <c r="G62" s="121">
        <v>4.6216996483283814E-3</v>
      </c>
      <c r="H62" s="121">
        <v>0.68577543981091915</v>
      </c>
      <c r="I62" s="114" t="s">
        <v>1287</v>
      </c>
      <c r="J62" s="114" t="s">
        <v>1319</v>
      </c>
      <c r="K62" s="129" t="s">
        <v>2312</v>
      </c>
    </row>
    <row r="63" spans="1:11" ht="51" x14ac:dyDescent="0.2">
      <c r="A63" s="120">
        <v>61</v>
      </c>
      <c r="B63" s="114" t="s">
        <v>396</v>
      </c>
      <c r="C63" s="114" t="s">
        <v>1489</v>
      </c>
      <c r="D63" s="114" t="s">
        <v>56</v>
      </c>
      <c r="E63" s="114" t="s">
        <v>397</v>
      </c>
      <c r="F63" s="116">
        <v>40492.06</v>
      </c>
      <c r="G63" s="121">
        <v>4.5253653442829701E-3</v>
      </c>
      <c r="H63" s="121">
        <v>0.69030080515520198</v>
      </c>
      <c r="I63" s="114" t="s">
        <v>1287</v>
      </c>
      <c r="J63" s="114" t="s">
        <v>1319</v>
      </c>
      <c r="K63" s="129" t="s">
        <v>2312</v>
      </c>
    </row>
    <row r="64" spans="1:11" ht="38.25" x14ac:dyDescent="0.2">
      <c r="A64" s="120">
        <v>62</v>
      </c>
      <c r="B64" s="114" t="s">
        <v>2044</v>
      </c>
      <c r="C64" s="114" t="s">
        <v>2045</v>
      </c>
      <c r="D64" s="114" t="s">
        <v>56</v>
      </c>
      <c r="E64" s="114" t="s">
        <v>2046</v>
      </c>
      <c r="F64" s="116">
        <v>39709.620000000003</v>
      </c>
      <c r="G64" s="121">
        <v>4.4379203770478935E-3</v>
      </c>
      <c r="H64" s="121">
        <v>0.69473872553224991</v>
      </c>
      <c r="I64" s="114" t="s">
        <v>1287</v>
      </c>
      <c r="J64" s="114" t="s">
        <v>1319</v>
      </c>
      <c r="K64" s="129" t="s">
        <v>2312</v>
      </c>
    </row>
    <row r="65" spans="1:11" ht="76.5" x14ac:dyDescent="0.2">
      <c r="A65" s="120">
        <v>63</v>
      </c>
      <c r="B65" s="114" t="s">
        <v>2019</v>
      </c>
      <c r="C65" s="114" t="s">
        <v>2020</v>
      </c>
      <c r="D65" s="114" t="s">
        <v>24</v>
      </c>
      <c r="E65" s="114" t="s">
        <v>954</v>
      </c>
      <c r="F65" s="116">
        <v>38106.75</v>
      </c>
      <c r="G65" s="121">
        <v>4.258784705773306E-3</v>
      </c>
      <c r="H65" s="121">
        <v>0.69899751023802326</v>
      </c>
      <c r="I65" s="114" t="s">
        <v>1287</v>
      </c>
      <c r="J65" s="114" t="s">
        <v>1319</v>
      </c>
      <c r="K65" s="129" t="s">
        <v>2312</v>
      </c>
    </row>
    <row r="66" spans="1:11" ht="76.5" x14ac:dyDescent="0.2">
      <c r="A66" s="120">
        <v>64</v>
      </c>
      <c r="B66" s="114" t="s">
        <v>2189</v>
      </c>
      <c r="C66" s="114" t="s">
        <v>2190</v>
      </c>
      <c r="D66" s="114" t="s">
        <v>56</v>
      </c>
      <c r="E66" s="114" t="s">
        <v>1075</v>
      </c>
      <c r="F66" s="116">
        <v>37737.300000000003</v>
      </c>
      <c r="G66" s="121">
        <v>4.2174952226883425E-3</v>
      </c>
      <c r="H66" s="121">
        <v>0.70321500546071158</v>
      </c>
      <c r="I66" s="114" t="s">
        <v>1287</v>
      </c>
      <c r="J66" s="114" t="s">
        <v>1319</v>
      </c>
      <c r="K66" s="129" t="s">
        <v>2312</v>
      </c>
    </row>
    <row r="67" spans="1:11" ht="51" x14ac:dyDescent="0.2">
      <c r="A67" s="120">
        <v>65</v>
      </c>
      <c r="B67" s="114" t="s">
        <v>1392</v>
      </c>
      <c r="C67" s="114" t="s">
        <v>1393</v>
      </c>
      <c r="D67" s="114" t="s">
        <v>24</v>
      </c>
      <c r="E67" s="114" t="s">
        <v>194</v>
      </c>
      <c r="F67" s="116">
        <v>35920.639999999999</v>
      </c>
      <c r="G67" s="121">
        <v>4.0144665250536676E-3</v>
      </c>
      <c r="H67" s="121">
        <v>0.70722947198576525</v>
      </c>
      <c r="I67" s="114" t="s">
        <v>1287</v>
      </c>
      <c r="J67" s="114" t="s">
        <v>1319</v>
      </c>
      <c r="K67" s="129" t="s">
        <v>2312</v>
      </c>
    </row>
    <row r="68" spans="1:11" ht="25.5" x14ac:dyDescent="0.2">
      <c r="A68" s="120">
        <v>66</v>
      </c>
      <c r="B68" s="114" t="s">
        <v>337</v>
      </c>
      <c r="C68" s="114" t="s">
        <v>1460</v>
      </c>
      <c r="D68" s="114" t="s">
        <v>56</v>
      </c>
      <c r="E68" s="114" t="s">
        <v>338</v>
      </c>
      <c r="F68" s="116">
        <v>35521.4</v>
      </c>
      <c r="G68" s="121">
        <v>3.9698477316395635E-3</v>
      </c>
      <c r="H68" s="121">
        <v>0.7111993197174048</v>
      </c>
      <c r="I68" s="114" t="s">
        <v>1287</v>
      </c>
      <c r="J68" s="114" t="s">
        <v>1319</v>
      </c>
      <c r="K68" s="129" t="s">
        <v>2312</v>
      </c>
    </row>
    <row r="69" spans="1:11" ht="63.75" x14ac:dyDescent="0.2">
      <c r="A69" s="120">
        <v>67</v>
      </c>
      <c r="B69" s="114" t="s">
        <v>326</v>
      </c>
      <c r="C69" s="114" t="s">
        <v>1454</v>
      </c>
      <c r="D69" s="114" t="s">
        <v>56</v>
      </c>
      <c r="E69" s="114" t="s">
        <v>1455</v>
      </c>
      <c r="F69" s="116">
        <v>34854.1</v>
      </c>
      <c r="G69" s="121">
        <v>3.8952707332295037E-3</v>
      </c>
      <c r="H69" s="121">
        <v>0.71509459045063428</v>
      </c>
      <c r="I69" s="114" t="s">
        <v>1287</v>
      </c>
      <c r="J69" s="114" t="s">
        <v>1319</v>
      </c>
      <c r="K69" s="129" t="s">
        <v>2312</v>
      </c>
    </row>
    <row r="70" spans="1:11" ht="63.75" x14ac:dyDescent="0.2">
      <c r="A70" s="120">
        <v>68</v>
      </c>
      <c r="B70" s="114" t="s">
        <v>2187</v>
      </c>
      <c r="C70" s="114" t="s">
        <v>2188</v>
      </c>
      <c r="D70" s="114" t="s">
        <v>56</v>
      </c>
      <c r="E70" s="114" t="s">
        <v>1074</v>
      </c>
      <c r="F70" s="116">
        <v>34724.089999999997</v>
      </c>
      <c r="G70" s="121">
        <v>3.880740903223072E-3</v>
      </c>
      <c r="H70" s="121">
        <v>0.71897533135385727</v>
      </c>
      <c r="I70" s="114" t="s">
        <v>1287</v>
      </c>
      <c r="J70" s="114" t="s">
        <v>1319</v>
      </c>
      <c r="K70" s="129" t="s">
        <v>2312</v>
      </c>
    </row>
    <row r="71" spans="1:11" ht="51" x14ac:dyDescent="0.2">
      <c r="A71" s="120">
        <v>69</v>
      </c>
      <c r="B71" s="114" t="s">
        <v>225</v>
      </c>
      <c r="C71" s="114" t="s">
        <v>1397</v>
      </c>
      <c r="D71" s="114" t="s">
        <v>56</v>
      </c>
      <c r="E71" s="114" t="s">
        <v>204</v>
      </c>
      <c r="F71" s="116">
        <v>34417.83</v>
      </c>
      <c r="G71" s="121">
        <v>3.8465134919641714E-3</v>
      </c>
      <c r="H71" s="121">
        <v>0.72282184484582146</v>
      </c>
      <c r="I71" s="114" t="s">
        <v>1287</v>
      </c>
      <c r="J71" s="114" t="s">
        <v>1319</v>
      </c>
      <c r="K71" s="129" t="s">
        <v>2312</v>
      </c>
    </row>
    <row r="72" spans="1:11" ht="25.5" x14ac:dyDescent="0.2">
      <c r="A72" s="120">
        <v>70</v>
      </c>
      <c r="B72" s="114" t="s">
        <v>420</v>
      </c>
      <c r="C72" s="114" t="s">
        <v>1499</v>
      </c>
      <c r="D72" s="114" t="s">
        <v>56</v>
      </c>
      <c r="E72" s="114" t="s">
        <v>1500</v>
      </c>
      <c r="F72" s="116">
        <v>34138.57</v>
      </c>
      <c r="G72" s="121">
        <v>3.8153035825141588E-3</v>
      </c>
      <c r="H72" s="121">
        <v>0.72663714842833571</v>
      </c>
      <c r="I72" s="114" t="s">
        <v>1287</v>
      </c>
      <c r="J72" s="114" t="s">
        <v>1319</v>
      </c>
      <c r="K72" s="129" t="s">
        <v>2312</v>
      </c>
    </row>
    <row r="73" spans="1:11" ht="63.75" x14ac:dyDescent="0.2">
      <c r="A73" s="120">
        <v>71</v>
      </c>
      <c r="B73" s="114" t="s">
        <v>207</v>
      </c>
      <c r="C73" s="114" t="s">
        <v>208</v>
      </c>
      <c r="D73" s="114" t="s">
        <v>209</v>
      </c>
      <c r="E73" s="114" t="s">
        <v>210</v>
      </c>
      <c r="F73" s="116">
        <v>33517.730000000003</v>
      </c>
      <c r="G73" s="121">
        <v>3.745918922401914E-3</v>
      </c>
      <c r="H73" s="121">
        <v>0.73038306735073766</v>
      </c>
      <c r="I73" s="114" t="s">
        <v>1287</v>
      </c>
      <c r="J73" s="114" t="s">
        <v>1319</v>
      </c>
      <c r="K73" s="129" t="s">
        <v>2313</v>
      </c>
    </row>
    <row r="74" spans="1:11" ht="25.5" x14ac:dyDescent="0.2">
      <c r="A74" s="120">
        <v>72</v>
      </c>
      <c r="B74" s="114" t="s">
        <v>1480</v>
      </c>
      <c r="C74" s="114" t="s">
        <v>386</v>
      </c>
      <c r="D74" s="114" t="s">
        <v>317</v>
      </c>
      <c r="E74" s="114" t="s">
        <v>387</v>
      </c>
      <c r="F74" s="116">
        <v>32507.24</v>
      </c>
      <c r="G74" s="121">
        <v>3.6329872408143509E-3</v>
      </c>
      <c r="H74" s="121">
        <v>0.84013295533185028</v>
      </c>
      <c r="I74" s="114" t="s">
        <v>1290</v>
      </c>
      <c r="J74" s="114" t="s">
        <v>1323</v>
      </c>
      <c r="K74" s="129" t="s">
        <v>2314</v>
      </c>
    </row>
    <row r="75" spans="1:11" ht="51" x14ac:dyDescent="0.2">
      <c r="A75" s="120">
        <v>73</v>
      </c>
      <c r="B75" s="114" t="s">
        <v>174</v>
      </c>
      <c r="C75" s="114" t="s">
        <v>1378</v>
      </c>
      <c r="D75" s="114" t="s">
        <v>56</v>
      </c>
      <c r="E75" s="114" t="s">
        <v>175</v>
      </c>
      <c r="F75" s="116">
        <v>31177.52</v>
      </c>
      <c r="G75" s="121">
        <v>3.484378629506357E-3</v>
      </c>
      <c r="H75" s="121">
        <v>0.73750043322105829</v>
      </c>
      <c r="I75" s="114" t="s">
        <v>1287</v>
      </c>
      <c r="J75" s="114" t="s">
        <v>1319</v>
      </c>
      <c r="K75" s="129" t="s">
        <v>2312</v>
      </c>
    </row>
    <row r="76" spans="1:11" ht="25.5" x14ac:dyDescent="0.2">
      <c r="A76" s="120">
        <v>74</v>
      </c>
      <c r="B76" s="114" t="s">
        <v>64</v>
      </c>
      <c r="C76" s="114" t="s">
        <v>1335</v>
      </c>
      <c r="D76" s="114" t="s">
        <v>56</v>
      </c>
      <c r="E76" s="114" t="s">
        <v>1336</v>
      </c>
      <c r="F76" s="116">
        <v>31104</v>
      </c>
      <c r="G76" s="121">
        <v>3.4761620838400786E-3</v>
      </c>
      <c r="H76" s="121">
        <v>0.74097659530489846</v>
      </c>
      <c r="I76" s="114" t="s">
        <v>1287</v>
      </c>
      <c r="J76" s="114" t="s">
        <v>1319</v>
      </c>
      <c r="K76" s="129" t="s">
        <v>2312</v>
      </c>
    </row>
    <row r="77" spans="1:11" ht="38.25" x14ac:dyDescent="0.2">
      <c r="A77" s="120">
        <v>75</v>
      </c>
      <c r="B77" s="114" t="s">
        <v>1816</v>
      </c>
      <c r="C77" s="114" t="s">
        <v>1817</v>
      </c>
      <c r="D77" s="114" t="s">
        <v>56</v>
      </c>
      <c r="E77" s="114" t="s">
        <v>1818</v>
      </c>
      <c r="F77" s="116">
        <v>30962.73</v>
      </c>
      <c r="G77" s="121">
        <v>3.460373843820014E-3</v>
      </c>
      <c r="H77" s="121">
        <v>0.84935266388652753</v>
      </c>
      <c r="I77" s="114" t="s">
        <v>1290</v>
      </c>
      <c r="J77" s="114" t="s">
        <v>1323</v>
      </c>
      <c r="K77" s="129" t="s">
        <v>2314</v>
      </c>
    </row>
    <row r="78" spans="1:11" x14ac:dyDescent="0.2">
      <c r="A78" s="120">
        <v>76</v>
      </c>
      <c r="B78" s="114" t="s">
        <v>142</v>
      </c>
      <c r="C78" s="114" t="s">
        <v>1364</v>
      </c>
      <c r="D78" s="114" t="s">
        <v>56</v>
      </c>
      <c r="E78" s="114" t="s">
        <v>143</v>
      </c>
      <c r="F78" s="116">
        <v>30113.55</v>
      </c>
      <c r="G78" s="121">
        <v>3.3654700591506689E-3</v>
      </c>
      <c r="H78" s="121">
        <v>0.74780243920786915</v>
      </c>
      <c r="I78" s="114" t="s">
        <v>1287</v>
      </c>
      <c r="J78" s="114" t="s">
        <v>1319</v>
      </c>
      <c r="K78" s="129" t="s">
        <v>2312</v>
      </c>
    </row>
    <row r="79" spans="1:11" ht="63.75" x14ac:dyDescent="0.2">
      <c r="A79" s="120">
        <v>77</v>
      </c>
      <c r="B79" s="114" t="s">
        <v>109</v>
      </c>
      <c r="C79" s="114" t="s">
        <v>1352</v>
      </c>
      <c r="D79" s="114" t="s">
        <v>24</v>
      </c>
      <c r="E79" s="114" t="s">
        <v>111</v>
      </c>
      <c r="F79" s="116">
        <v>29372.17</v>
      </c>
      <c r="G79" s="121">
        <v>3.2826139298516282E-3</v>
      </c>
      <c r="H79" s="121">
        <v>0.75108505313772078</v>
      </c>
      <c r="I79" s="114" t="s">
        <v>1287</v>
      </c>
      <c r="J79" s="114" t="s">
        <v>1319</v>
      </c>
      <c r="K79" s="129" t="s">
        <v>2312</v>
      </c>
    </row>
    <row r="80" spans="1:11" ht="38.25" x14ac:dyDescent="0.2">
      <c r="A80" s="120">
        <v>78</v>
      </c>
      <c r="B80" s="114" t="s">
        <v>2148</v>
      </c>
      <c r="C80" s="114" t="s">
        <v>2180</v>
      </c>
      <c r="D80" s="114" t="s">
        <v>56</v>
      </c>
      <c r="E80" s="114" t="s">
        <v>2181</v>
      </c>
      <c r="F80" s="116">
        <v>28987.59</v>
      </c>
      <c r="G80" s="121">
        <v>3.2396335281604238E-3</v>
      </c>
      <c r="H80" s="121">
        <v>0.99555943539729252</v>
      </c>
      <c r="I80" s="114" t="s">
        <v>1293</v>
      </c>
      <c r="J80" s="114" t="s">
        <v>1323</v>
      </c>
      <c r="K80" s="129" t="s">
        <v>2314</v>
      </c>
    </row>
    <row r="81" spans="1:11" ht="51" x14ac:dyDescent="0.2">
      <c r="A81" s="120">
        <v>79</v>
      </c>
      <c r="B81" s="114" t="s">
        <v>219</v>
      </c>
      <c r="C81" s="114" t="s">
        <v>1395</v>
      </c>
      <c r="D81" s="114" t="s">
        <v>56</v>
      </c>
      <c r="E81" s="114" t="s">
        <v>200</v>
      </c>
      <c r="F81" s="116">
        <v>28476.48</v>
      </c>
      <c r="G81" s="121">
        <v>3.1825122189181559E-3</v>
      </c>
      <c r="H81" s="121">
        <v>0.75750719888479934</v>
      </c>
      <c r="I81" s="114" t="s">
        <v>1287</v>
      </c>
      <c r="J81" s="114" t="s">
        <v>1319</v>
      </c>
      <c r="K81" s="129" t="s">
        <v>2312</v>
      </c>
    </row>
    <row r="82" spans="1:11" ht="25.5" x14ac:dyDescent="0.2">
      <c r="A82" s="120">
        <v>80</v>
      </c>
      <c r="B82" s="114" t="s">
        <v>454</v>
      </c>
      <c r="C82" s="114" t="s">
        <v>1513</v>
      </c>
      <c r="D82" s="114" t="s">
        <v>335</v>
      </c>
      <c r="E82" s="114" t="s">
        <v>455</v>
      </c>
      <c r="F82" s="116">
        <v>27999.84</v>
      </c>
      <c r="G82" s="121">
        <v>3.1292432536519032E-3</v>
      </c>
      <c r="H82" s="121">
        <v>0.76063644213845127</v>
      </c>
      <c r="I82" s="114" t="s">
        <v>1287</v>
      </c>
      <c r="J82" s="114" t="s">
        <v>1319</v>
      </c>
      <c r="K82" s="129" t="s">
        <v>2312</v>
      </c>
    </row>
    <row r="83" spans="1:11" ht="25.5" x14ac:dyDescent="0.2">
      <c r="A83" s="120">
        <v>81</v>
      </c>
      <c r="B83" s="114" t="s">
        <v>1390</v>
      </c>
      <c r="C83" s="114" t="s">
        <v>1391</v>
      </c>
      <c r="D83" s="114" t="s">
        <v>56</v>
      </c>
      <c r="E83" s="114" t="s">
        <v>192</v>
      </c>
      <c r="F83" s="116">
        <v>27737.439999999999</v>
      </c>
      <c r="G83" s="121">
        <v>3.0999176064425522E-3</v>
      </c>
      <c r="H83" s="121">
        <v>0.76373635974489384</v>
      </c>
      <c r="I83" s="114" t="s">
        <v>1287</v>
      </c>
      <c r="J83" s="114" t="s">
        <v>1319</v>
      </c>
      <c r="K83" s="129" t="s">
        <v>2312</v>
      </c>
    </row>
    <row r="84" spans="1:11" ht="63.75" x14ac:dyDescent="0.2">
      <c r="A84" s="120">
        <v>82</v>
      </c>
      <c r="B84" s="114" t="s">
        <v>456</v>
      </c>
      <c r="C84" s="114" t="s">
        <v>457</v>
      </c>
      <c r="D84" s="114" t="s">
        <v>209</v>
      </c>
      <c r="E84" s="114" t="s">
        <v>458</v>
      </c>
      <c r="F84" s="116">
        <v>27021.39</v>
      </c>
      <c r="G84" s="121">
        <v>3.0198923408775546E-3</v>
      </c>
      <c r="H84" s="121">
        <v>0.76675625208577136</v>
      </c>
      <c r="I84" s="114" t="s">
        <v>1287</v>
      </c>
      <c r="J84" s="114" t="s">
        <v>1319</v>
      </c>
      <c r="K84" s="129" t="s">
        <v>2313</v>
      </c>
    </row>
    <row r="85" spans="1:11" ht="25.5" x14ac:dyDescent="0.2">
      <c r="A85" s="120">
        <v>83</v>
      </c>
      <c r="B85" s="114" t="s">
        <v>181</v>
      </c>
      <c r="C85" s="114" t="s">
        <v>1381</v>
      </c>
      <c r="D85" s="114" t="s">
        <v>56</v>
      </c>
      <c r="E85" s="114" t="s">
        <v>1382</v>
      </c>
      <c r="F85" s="116">
        <v>26070.94</v>
      </c>
      <c r="G85" s="121">
        <v>2.9136706892383506E-3</v>
      </c>
      <c r="H85" s="121">
        <v>0.76966992277500978</v>
      </c>
      <c r="I85" s="114" t="s">
        <v>1287</v>
      </c>
      <c r="J85" s="114" t="s">
        <v>1319</v>
      </c>
      <c r="K85" s="129" t="s">
        <v>2312</v>
      </c>
    </row>
    <row r="86" spans="1:11" ht="38.25" x14ac:dyDescent="0.2">
      <c r="A86" s="120">
        <v>84</v>
      </c>
      <c r="B86" s="114" t="s">
        <v>176</v>
      </c>
      <c r="C86" s="114" t="s">
        <v>1379</v>
      </c>
      <c r="D86" s="114" t="s">
        <v>56</v>
      </c>
      <c r="E86" s="114" t="s">
        <v>177</v>
      </c>
      <c r="F86" s="116">
        <v>25125.84</v>
      </c>
      <c r="G86" s="121">
        <v>2.8080469499946119E-3</v>
      </c>
      <c r="H86" s="121">
        <v>0.77247796972500438</v>
      </c>
      <c r="I86" s="114" t="s">
        <v>1287</v>
      </c>
      <c r="J86" s="114" t="s">
        <v>1319</v>
      </c>
      <c r="K86" s="129" t="s">
        <v>2312</v>
      </c>
    </row>
    <row r="87" spans="1:11" ht="102" x14ac:dyDescent="0.2">
      <c r="A87" s="120">
        <v>85</v>
      </c>
      <c r="B87" s="114" t="s">
        <v>823</v>
      </c>
      <c r="C87" s="114" t="s">
        <v>824</v>
      </c>
      <c r="D87" s="114" t="s">
        <v>209</v>
      </c>
      <c r="E87" s="114" t="s">
        <v>825</v>
      </c>
      <c r="F87" s="116">
        <v>24600.91</v>
      </c>
      <c r="G87" s="121">
        <v>2.7493811268634975E-3</v>
      </c>
      <c r="H87" s="121">
        <v>0.77522735085186789</v>
      </c>
      <c r="I87" s="114" t="s">
        <v>1287</v>
      </c>
      <c r="J87" s="114" t="s">
        <v>1319</v>
      </c>
      <c r="K87" s="129" t="s">
        <v>2313</v>
      </c>
    </row>
    <row r="88" spans="1:11" ht="76.5" x14ac:dyDescent="0.2">
      <c r="A88" s="120">
        <v>86</v>
      </c>
      <c r="B88" s="114" t="s">
        <v>450</v>
      </c>
      <c r="C88" s="114" t="s">
        <v>1511</v>
      </c>
      <c r="D88" s="114" t="s">
        <v>56</v>
      </c>
      <c r="E88" s="114" t="s">
        <v>451</v>
      </c>
      <c r="F88" s="116">
        <v>23533.18</v>
      </c>
      <c r="G88" s="121">
        <v>2.6300523414410902E-3</v>
      </c>
      <c r="H88" s="121">
        <v>0.77785740319330887</v>
      </c>
      <c r="I88" s="114" t="s">
        <v>1287</v>
      </c>
      <c r="J88" s="114" t="s">
        <v>1319</v>
      </c>
      <c r="K88" s="129" t="s">
        <v>2312</v>
      </c>
    </row>
    <row r="89" spans="1:11" ht="38.25" x14ac:dyDescent="0.2">
      <c r="A89" s="120">
        <v>87</v>
      </c>
      <c r="B89" s="114" t="s">
        <v>2211</v>
      </c>
      <c r="C89" s="114" t="s">
        <v>2212</v>
      </c>
      <c r="D89" s="114" t="s">
        <v>56</v>
      </c>
      <c r="E89" s="114" t="s">
        <v>1090</v>
      </c>
      <c r="F89" s="116">
        <v>23164.81</v>
      </c>
      <c r="G89" s="121">
        <v>2.588883558428482E-3</v>
      </c>
      <c r="H89" s="121">
        <v>0.78044628675173733</v>
      </c>
      <c r="I89" s="114" t="s">
        <v>1287</v>
      </c>
      <c r="J89" s="114" t="s">
        <v>1319</v>
      </c>
      <c r="K89" s="129" t="s">
        <v>2312</v>
      </c>
    </row>
    <row r="90" spans="1:11" ht="38.25" x14ac:dyDescent="0.2">
      <c r="A90" s="120">
        <v>88</v>
      </c>
      <c r="B90" s="114" t="s">
        <v>1942</v>
      </c>
      <c r="C90" s="114" t="s">
        <v>1943</v>
      </c>
      <c r="D90" s="114" t="s">
        <v>56</v>
      </c>
      <c r="E90" s="114" t="s">
        <v>891</v>
      </c>
      <c r="F90" s="116">
        <v>22424.34</v>
      </c>
      <c r="G90" s="121">
        <v>2.5061291301163332E-3</v>
      </c>
      <c r="H90" s="121">
        <v>0.78295241588185371</v>
      </c>
      <c r="I90" s="114" t="s">
        <v>1287</v>
      </c>
      <c r="J90" s="114" t="s">
        <v>1319</v>
      </c>
      <c r="K90" s="129" t="s">
        <v>2312</v>
      </c>
    </row>
    <row r="91" spans="1:11" ht="127.5" x14ac:dyDescent="0.2">
      <c r="A91" s="120">
        <v>89</v>
      </c>
      <c r="B91" s="114" t="s">
        <v>78</v>
      </c>
      <c r="C91" s="114" t="s">
        <v>1341</v>
      </c>
      <c r="D91" s="114" t="s">
        <v>24</v>
      </c>
      <c r="E91" s="114" t="s">
        <v>80</v>
      </c>
      <c r="F91" s="116">
        <v>22252.85</v>
      </c>
      <c r="G91" s="121">
        <v>2.4869635232568381E-3</v>
      </c>
      <c r="H91" s="121">
        <v>0.78543937940511044</v>
      </c>
      <c r="I91" s="114" t="s">
        <v>1287</v>
      </c>
      <c r="J91" s="114" t="s">
        <v>1319</v>
      </c>
      <c r="K91" s="129" t="s">
        <v>2312</v>
      </c>
    </row>
    <row r="92" spans="1:11" ht="89.25" x14ac:dyDescent="0.2">
      <c r="A92" s="120">
        <v>90</v>
      </c>
      <c r="B92" s="114" t="s">
        <v>103</v>
      </c>
      <c r="C92" s="114" t="s">
        <v>1350</v>
      </c>
      <c r="D92" s="114" t="s">
        <v>56</v>
      </c>
      <c r="E92" s="114" t="s">
        <v>1351</v>
      </c>
      <c r="F92" s="116">
        <v>21354.06</v>
      </c>
      <c r="G92" s="121">
        <v>2.3865153584119751E-3</v>
      </c>
      <c r="H92" s="121">
        <v>0.78782589476352238</v>
      </c>
      <c r="I92" s="114" t="s">
        <v>1287</v>
      </c>
      <c r="J92" s="114" t="s">
        <v>1319</v>
      </c>
      <c r="K92" s="129" t="s">
        <v>2312</v>
      </c>
    </row>
    <row r="93" spans="1:11" ht="89.25" x14ac:dyDescent="0.2">
      <c r="A93" s="120">
        <v>91</v>
      </c>
      <c r="B93" s="114" t="s">
        <v>256</v>
      </c>
      <c r="C93" s="114" t="s">
        <v>1426</v>
      </c>
      <c r="D93" s="114" t="s">
        <v>24</v>
      </c>
      <c r="E93" s="114" t="s">
        <v>1427</v>
      </c>
      <c r="F93" s="116">
        <v>21286.52</v>
      </c>
      <c r="G93" s="121">
        <v>2.3789671335167025E-3</v>
      </c>
      <c r="H93" s="121">
        <v>0.79020486189703909</v>
      </c>
      <c r="I93" s="114" t="s">
        <v>1287</v>
      </c>
      <c r="J93" s="114" t="s">
        <v>1319</v>
      </c>
      <c r="K93" s="129" t="s">
        <v>2312</v>
      </c>
    </row>
    <row r="94" spans="1:11" ht="38.25" x14ac:dyDescent="0.2">
      <c r="A94" s="120">
        <v>92</v>
      </c>
      <c r="B94" s="114" t="s">
        <v>1940</v>
      </c>
      <c r="C94" s="114" t="s">
        <v>1941</v>
      </c>
      <c r="D94" s="114" t="s">
        <v>56</v>
      </c>
      <c r="E94" s="114" t="s">
        <v>889</v>
      </c>
      <c r="F94" s="116">
        <v>21089.11</v>
      </c>
      <c r="G94" s="121">
        <v>2.3569047249206742E-3</v>
      </c>
      <c r="H94" s="121">
        <v>0.79256176662195976</v>
      </c>
      <c r="I94" s="114" t="s">
        <v>1287</v>
      </c>
      <c r="J94" s="114" t="s">
        <v>1319</v>
      </c>
      <c r="K94" s="129" t="s">
        <v>2312</v>
      </c>
    </row>
    <row r="95" spans="1:11" ht="51" x14ac:dyDescent="0.2">
      <c r="A95" s="120">
        <v>93</v>
      </c>
      <c r="B95" s="114" t="s">
        <v>203</v>
      </c>
      <c r="C95" s="114" t="s">
        <v>1397</v>
      </c>
      <c r="D95" s="114" t="s">
        <v>56</v>
      </c>
      <c r="E95" s="114" t="s">
        <v>204</v>
      </c>
      <c r="F95" s="116">
        <v>20850.169999999998</v>
      </c>
      <c r="G95" s="121">
        <v>2.3302009515052693E-3</v>
      </c>
      <c r="H95" s="121">
        <v>0.79489196757346503</v>
      </c>
      <c r="I95" s="114" t="s">
        <v>1287</v>
      </c>
      <c r="J95" s="114" t="s">
        <v>1319</v>
      </c>
      <c r="K95" s="129" t="s">
        <v>2312</v>
      </c>
    </row>
    <row r="96" spans="1:11" ht="76.5" x14ac:dyDescent="0.2">
      <c r="A96" s="120">
        <v>94</v>
      </c>
      <c r="B96" s="114" t="s">
        <v>2021</v>
      </c>
      <c r="C96" s="114" t="s">
        <v>2022</v>
      </c>
      <c r="D96" s="114" t="s">
        <v>24</v>
      </c>
      <c r="E96" s="114" t="s">
        <v>956</v>
      </c>
      <c r="F96" s="116">
        <v>20613.66</v>
      </c>
      <c r="G96" s="121">
        <v>2.3037687532526645E-3</v>
      </c>
      <c r="H96" s="121">
        <v>0.7971957363267177</v>
      </c>
      <c r="I96" s="114" t="s">
        <v>1287</v>
      </c>
      <c r="J96" s="114" t="s">
        <v>1319</v>
      </c>
      <c r="K96" s="129" t="s">
        <v>2312</v>
      </c>
    </row>
    <row r="97" spans="1:11" ht="76.5" x14ac:dyDescent="0.2">
      <c r="A97" s="120">
        <v>95</v>
      </c>
      <c r="B97" s="114" t="s">
        <v>100</v>
      </c>
      <c r="C97" s="114" t="s">
        <v>1349</v>
      </c>
      <c r="D97" s="114" t="s">
        <v>56</v>
      </c>
      <c r="E97" s="114" t="s">
        <v>101</v>
      </c>
      <c r="F97" s="116">
        <v>20017.72</v>
      </c>
      <c r="G97" s="121">
        <v>2.2371669003641726E-3</v>
      </c>
      <c r="H97" s="121">
        <v>0.79943290322708183</v>
      </c>
      <c r="I97" s="114" t="s">
        <v>1287</v>
      </c>
      <c r="J97" s="114" t="s">
        <v>1319</v>
      </c>
      <c r="K97" s="129" t="s">
        <v>2312</v>
      </c>
    </row>
    <row r="98" spans="1:11" ht="25.5" x14ac:dyDescent="0.2">
      <c r="A98" s="120">
        <v>96</v>
      </c>
      <c r="B98" s="114" t="s">
        <v>160</v>
      </c>
      <c r="C98" s="114" t="s">
        <v>161</v>
      </c>
      <c r="D98" s="114" t="s">
        <v>24</v>
      </c>
      <c r="E98" s="114" t="s">
        <v>162</v>
      </c>
      <c r="F98" s="116">
        <v>19373.900000000001</v>
      </c>
      <c r="G98" s="121">
        <v>2.1652140109345843E-3</v>
      </c>
      <c r="H98" s="121">
        <v>0.80159811723801644</v>
      </c>
      <c r="I98" s="114" t="s">
        <v>1290</v>
      </c>
      <c r="J98" s="114" t="s">
        <v>1323</v>
      </c>
      <c r="K98" s="129" t="s">
        <v>2314</v>
      </c>
    </row>
    <row r="99" spans="1:11" ht="76.5" x14ac:dyDescent="0.2">
      <c r="A99" s="120">
        <v>97</v>
      </c>
      <c r="B99" s="114" t="s">
        <v>75</v>
      </c>
      <c r="C99" s="114" t="s">
        <v>1340</v>
      </c>
      <c r="D99" s="114" t="s">
        <v>24</v>
      </c>
      <c r="E99" s="114" t="s">
        <v>77</v>
      </c>
      <c r="F99" s="116">
        <v>18836.5</v>
      </c>
      <c r="G99" s="121">
        <v>2.1051545490050681E-3</v>
      </c>
      <c r="H99" s="121">
        <v>0.8037032717870215</v>
      </c>
      <c r="I99" s="114" t="s">
        <v>1290</v>
      </c>
      <c r="J99" s="114" t="s">
        <v>1323</v>
      </c>
      <c r="K99" s="129" t="s">
        <v>2314</v>
      </c>
    </row>
    <row r="100" spans="1:11" ht="51" x14ac:dyDescent="0.2">
      <c r="A100" s="120">
        <v>98</v>
      </c>
      <c r="B100" s="114" t="s">
        <v>426</v>
      </c>
      <c r="C100" s="114" t="s">
        <v>1502</v>
      </c>
      <c r="D100" s="114" t="s">
        <v>56</v>
      </c>
      <c r="E100" s="114" t="s">
        <v>427</v>
      </c>
      <c r="F100" s="116">
        <v>18642.849999999999</v>
      </c>
      <c r="G100" s="121">
        <v>2.0835123554757591E-3</v>
      </c>
      <c r="H100" s="121">
        <v>0.80578678414249727</v>
      </c>
      <c r="I100" s="114" t="s">
        <v>1290</v>
      </c>
      <c r="J100" s="114" t="s">
        <v>1323</v>
      </c>
      <c r="K100" s="129" t="s">
        <v>2314</v>
      </c>
    </row>
    <row r="101" spans="1:11" ht="38.25" x14ac:dyDescent="0.2">
      <c r="A101" s="120">
        <v>99</v>
      </c>
      <c r="B101" s="114" t="s">
        <v>375</v>
      </c>
      <c r="C101" s="114" t="s">
        <v>1473</v>
      </c>
      <c r="D101" s="114" t="s">
        <v>56</v>
      </c>
      <c r="E101" s="114" t="s">
        <v>1474</v>
      </c>
      <c r="F101" s="116">
        <v>18335.45</v>
      </c>
      <c r="G101" s="121">
        <v>2.0491575385849273E-3</v>
      </c>
      <c r="H101" s="121">
        <v>0.80783594168108219</v>
      </c>
      <c r="I101" s="114" t="s">
        <v>1290</v>
      </c>
      <c r="J101" s="114" t="s">
        <v>1323</v>
      </c>
      <c r="K101" s="129" t="s">
        <v>2314</v>
      </c>
    </row>
    <row r="102" spans="1:11" ht="51" x14ac:dyDescent="0.2">
      <c r="A102" s="120">
        <v>100</v>
      </c>
      <c r="B102" s="114" t="s">
        <v>199</v>
      </c>
      <c r="C102" s="114" t="s">
        <v>1395</v>
      </c>
      <c r="D102" s="114" t="s">
        <v>56</v>
      </c>
      <c r="E102" s="114" t="s">
        <v>200</v>
      </c>
      <c r="F102" s="116">
        <v>18257.72</v>
      </c>
      <c r="G102" s="121">
        <v>2.0404704861551148E-3</v>
      </c>
      <c r="H102" s="121">
        <v>0.80987641216723727</v>
      </c>
      <c r="I102" s="114" t="s">
        <v>1290</v>
      </c>
      <c r="J102" s="114" t="s">
        <v>1323</v>
      </c>
      <c r="K102" s="129" t="s">
        <v>2314</v>
      </c>
    </row>
    <row r="103" spans="1:11" ht="38.25" x14ac:dyDescent="0.2">
      <c r="A103" s="120">
        <v>101</v>
      </c>
      <c r="B103" s="114" t="s">
        <v>550</v>
      </c>
      <c r="C103" s="114" t="s">
        <v>551</v>
      </c>
      <c r="D103" s="114" t="s">
        <v>209</v>
      </c>
      <c r="E103" s="114" t="s">
        <v>552</v>
      </c>
      <c r="F103" s="116">
        <v>18176.43</v>
      </c>
      <c r="G103" s="121">
        <v>2.0313855705238336E-3</v>
      </c>
      <c r="H103" s="121">
        <v>0.81190779773776112</v>
      </c>
      <c r="I103" s="114" t="s">
        <v>1290</v>
      </c>
      <c r="J103" s="114" t="s">
        <v>1319</v>
      </c>
      <c r="K103" s="129" t="s">
        <v>2315</v>
      </c>
    </row>
    <row r="104" spans="1:11" ht="63.75" x14ac:dyDescent="0.2">
      <c r="A104" s="120">
        <v>102</v>
      </c>
      <c r="B104" s="114" t="s">
        <v>807</v>
      </c>
      <c r="C104" s="114" t="s">
        <v>1866</v>
      </c>
      <c r="D104" s="114" t="s">
        <v>24</v>
      </c>
      <c r="E104" s="114" t="s">
        <v>809</v>
      </c>
      <c r="F104" s="116">
        <v>17828.79</v>
      </c>
      <c r="G104" s="121">
        <v>1.9925335583444947E-3</v>
      </c>
      <c r="H104" s="121">
        <v>0.81390033129610562</v>
      </c>
      <c r="I104" s="114" t="s">
        <v>1290</v>
      </c>
      <c r="J104" s="114" t="s">
        <v>1323</v>
      </c>
      <c r="K104" s="129" t="s">
        <v>2314</v>
      </c>
    </row>
    <row r="105" spans="1:11" ht="102" x14ac:dyDescent="0.2">
      <c r="A105" s="120">
        <v>103</v>
      </c>
      <c r="B105" s="114" t="s">
        <v>1849</v>
      </c>
      <c r="C105" s="114" t="s">
        <v>773</v>
      </c>
      <c r="D105" s="114" t="s">
        <v>774</v>
      </c>
      <c r="E105" s="114" t="s">
        <v>775</v>
      </c>
      <c r="F105" s="116">
        <v>17133.580000000002</v>
      </c>
      <c r="G105" s="121">
        <v>1.9148373571386543E-3</v>
      </c>
      <c r="H105" s="121">
        <v>0.81581516865324422</v>
      </c>
      <c r="I105" s="114" t="s">
        <v>1290</v>
      </c>
      <c r="J105" s="114" t="s">
        <v>1323</v>
      </c>
      <c r="K105" s="129" t="s">
        <v>2314</v>
      </c>
    </row>
    <row r="106" spans="1:11" ht="51" x14ac:dyDescent="0.2">
      <c r="A106" s="120">
        <v>104</v>
      </c>
      <c r="B106" s="114" t="s">
        <v>543</v>
      </c>
      <c r="C106" s="114" t="s">
        <v>544</v>
      </c>
      <c r="D106" s="114" t="s">
        <v>209</v>
      </c>
      <c r="E106" s="114" t="s">
        <v>1557</v>
      </c>
      <c r="F106" s="116">
        <v>17011.36</v>
      </c>
      <c r="G106" s="121">
        <v>1.90117813228375E-3</v>
      </c>
      <c r="H106" s="121">
        <v>0.81771634678552807</v>
      </c>
      <c r="I106" s="114" t="s">
        <v>1290</v>
      </c>
      <c r="J106" s="114" t="s">
        <v>1319</v>
      </c>
      <c r="K106" s="129" t="s">
        <v>2315</v>
      </c>
    </row>
    <row r="107" spans="1:11" ht="51" x14ac:dyDescent="0.2">
      <c r="A107" s="120">
        <v>105</v>
      </c>
      <c r="B107" s="114" t="s">
        <v>1412</v>
      </c>
      <c r="C107" s="114" t="s">
        <v>1413</v>
      </c>
      <c r="D107" s="114" t="s">
        <v>56</v>
      </c>
      <c r="E107" s="114" t="s">
        <v>234</v>
      </c>
      <c r="F107" s="116">
        <v>16846.009999999998</v>
      </c>
      <c r="G107" s="121">
        <v>1.8826987276874614E-3</v>
      </c>
      <c r="H107" s="121">
        <v>0.8195990455132155</v>
      </c>
      <c r="I107" s="114" t="s">
        <v>1290</v>
      </c>
      <c r="J107" s="114" t="s">
        <v>1323</v>
      </c>
      <c r="K107" s="129" t="s">
        <v>2314</v>
      </c>
    </row>
    <row r="108" spans="1:11" ht="25.5" x14ac:dyDescent="0.2">
      <c r="A108" s="120">
        <v>106</v>
      </c>
      <c r="B108" s="114" t="s">
        <v>416</v>
      </c>
      <c r="C108" s="114" t="s">
        <v>1496</v>
      </c>
      <c r="D108" s="114" t="s">
        <v>56</v>
      </c>
      <c r="E108" s="114" t="s">
        <v>1497</v>
      </c>
      <c r="F108" s="116">
        <v>16787.740000000002</v>
      </c>
      <c r="G108" s="121">
        <v>1.8761865117465743E-3</v>
      </c>
      <c r="H108" s="121">
        <v>0.82147523202496209</v>
      </c>
      <c r="I108" s="114" t="s">
        <v>1290</v>
      </c>
      <c r="J108" s="114" t="s">
        <v>1323</v>
      </c>
      <c r="K108" s="129" t="s">
        <v>2314</v>
      </c>
    </row>
    <row r="109" spans="1:11" ht="51" x14ac:dyDescent="0.2">
      <c r="A109" s="120">
        <v>107</v>
      </c>
      <c r="B109" s="114" t="s">
        <v>2061</v>
      </c>
      <c r="C109" s="114" t="s">
        <v>2062</v>
      </c>
      <c r="D109" s="114" t="s">
        <v>56</v>
      </c>
      <c r="E109" s="114" t="s">
        <v>976</v>
      </c>
      <c r="F109" s="116">
        <v>16699.490000000002</v>
      </c>
      <c r="G109" s="121">
        <v>1.8663237512045578E-3</v>
      </c>
      <c r="H109" s="121">
        <v>0.82334155577616663</v>
      </c>
      <c r="I109" s="114" t="s">
        <v>1290</v>
      </c>
      <c r="J109" s="114" t="s">
        <v>1323</v>
      </c>
      <c r="K109" s="129" t="s">
        <v>2314</v>
      </c>
    </row>
    <row r="110" spans="1:11" ht="38.25" x14ac:dyDescent="0.2">
      <c r="A110" s="120">
        <v>108</v>
      </c>
      <c r="B110" s="114" t="s">
        <v>1523</v>
      </c>
      <c r="C110" s="114" t="s">
        <v>470</v>
      </c>
      <c r="D110" s="114" t="s">
        <v>209</v>
      </c>
      <c r="E110" s="114" t="s">
        <v>471</v>
      </c>
      <c r="F110" s="116">
        <v>16601.759999999998</v>
      </c>
      <c r="G110" s="121">
        <v>1.8554015122496418E-3</v>
      </c>
      <c r="H110" s="121">
        <v>0.98520760822043052</v>
      </c>
      <c r="I110" s="114" t="s">
        <v>1293</v>
      </c>
      <c r="J110" s="114" t="s">
        <v>1323</v>
      </c>
      <c r="K110" s="129" t="s">
        <v>2314</v>
      </c>
    </row>
    <row r="111" spans="1:11" ht="38.25" x14ac:dyDescent="0.2">
      <c r="A111" s="120">
        <v>109</v>
      </c>
      <c r="B111" s="114" t="s">
        <v>746</v>
      </c>
      <c r="C111" s="114" t="s">
        <v>1808</v>
      </c>
      <c r="D111" s="114" t="s">
        <v>56</v>
      </c>
      <c r="E111" s="114" t="s">
        <v>747</v>
      </c>
      <c r="F111" s="116">
        <v>16167.74</v>
      </c>
      <c r="G111" s="121">
        <v>1.8068957294683833E-3</v>
      </c>
      <c r="H111" s="121">
        <v>0.8270038530178847</v>
      </c>
      <c r="I111" s="114" t="s">
        <v>1290</v>
      </c>
      <c r="J111" s="114" t="s">
        <v>1323</v>
      </c>
      <c r="K111" s="129" t="s">
        <v>2314</v>
      </c>
    </row>
    <row r="112" spans="1:11" ht="25.5" x14ac:dyDescent="0.2">
      <c r="A112" s="120">
        <v>110</v>
      </c>
      <c r="B112" s="114" t="s">
        <v>377</v>
      </c>
      <c r="C112" s="114" t="s">
        <v>1475</v>
      </c>
      <c r="D112" s="114" t="s">
        <v>56</v>
      </c>
      <c r="E112" s="114" t="s">
        <v>1476</v>
      </c>
      <c r="F112" s="116">
        <v>15661.3</v>
      </c>
      <c r="G112" s="121">
        <v>1.7502963362797269E-3</v>
      </c>
      <c r="H112" s="121">
        <v>0.82875414935416436</v>
      </c>
      <c r="I112" s="114" t="s">
        <v>1290</v>
      </c>
      <c r="J112" s="114" t="s">
        <v>1323</v>
      </c>
      <c r="K112" s="129" t="s">
        <v>2314</v>
      </c>
    </row>
    <row r="113" spans="1:11" ht="63.75" x14ac:dyDescent="0.2">
      <c r="A113" s="120">
        <v>111</v>
      </c>
      <c r="B113" s="114" t="s">
        <v>278</v>
      </c>
      <c r="C113" s="114" t="s">
        <v>1394</v>
      </c>
      <c r="D113" s="114" t="s">
        <v>56</v>
      </c>
      <c r="E113" s="114" t="s">
        <v>198</v>
      </c>
      <c r="F113" s="116">
        <v>15509.78</v>
      </c>
      <c r="G113" s="121">
        <v>1.7333625631655472E-3</v>
      </c>
      <c r="H113" s="121">
        <v>0.83048751191732995</v>
      </c>
      <c r="I113" s="114" t="s">
        <v>1290</v>
      </c>
      <c r="J113" s="114" t="s">
        <v>1323</v>
      </c>
      <c r="K113" s="129" t="s">
        <v>2314</v>
      </c>
    </row>
    <row r="114" spans="1:11" ht="63.75" x14ac:dyDescent="0.2">
      <c r="A114" s="120">
        <v>112</v>
      </c>
      <c r="B114" s="114" t="s">
        <v>366</v>
      </c>
      <c r="C114" s="114" t="s">
        <v>1470</v>
      </c>
      <c r="D114" s="114" t="s">
        <v>56</v>
      </c>
      <c r="E114" s="114" t="s">
        <v>1471</v>
      </c>
      <c r="F114" s="116">
        <v>15235.95</v>
      </c>
      <c r="G114" s="121">
        <v>1.7027595068571004E-3</v>
      </c>
      <c r="H114" s="121">
        <v>0.83219027142418711</v>
      </c>
      <c r="I114" s="114" t="s">
        <v>1290</v>
      </c>
      <c r="J114" s="114" t="s">
        <v>1323</v>
      </c>
      <c r="K114" s="129" t="s">
        <v>2314</v>
      </c>
    </row>
    <row r="115" spans="1:11" ht="38.25" x14ac:dyDescent="0.2">
      <c r="A115" s="120">
        <v>113</v>
      </c>
      <c r="B115" s="114" t="s">
        <v>751</v>
      </c>
      <c r="C115" s="114" t="s">
        <v>1810</v>
      </c>
      <c r="D115" s="114" t="s">
        <v>56</v>
      </c>
      <c r="E115" s="114" t="s">
        <v>752</v>
      </c>
      <c r="F115" s="116">
        <v>14426.69</v>
      </c>
      <c r="G115" s="121">
        <v>1.6123171544918605E-3</v>
      </c>
      <c r="H115" s="121">
        <v>0.83380258857867895</v>
      </c>
      <c r="I115" s="114" t="s">
        <v>1290</v>
      </c>
      <c r="J115" s="114" t="s">
        <v>1323</v>
      </c>
      <c r="K115" s="129" t="s">
        <v>2314</v>
      </c>
    </row>
    <row r="116" spans="1:11" ht="140.25" x14ac:dyDescent="0.2">
      <c r="A116" s="120">
        <v>114</v>
      </c>
      <c r="B116" s="114" t="s">
        <v>69</v>
      </c>
      <c r="C116" s="114" t="s">
        <v>1338</v>
      </c>
      <c r="D116" s="114" t="s">
        <v>24</v>
      </c>
      <c r="E116" s="114" t="s">
        <v>1339</v>
      </c>
      <c r="F116" s="116">
        <v>14236.29</v>
      </c>
      <c r="G116" s="121">
        <v>1.5910381787728805E-3</v>
      </c>
      <c r="H116" s="121">
        <v>0.83539362675745188</v>
      </c>
      <c r="I116" s="114" t="s">
        <v>1290</v>
      </c>
      <c r="J116" s="114" t="s">
        <v>1323</v>
      </c>
      <c r="K116" s="129" t="s">
        <v>2314</v>
      </c>
    </row>
    <row r="117" spans="1:11" ht="63.75" x14ac:dyDescent="0.2">
      <c r="A117" s="120">
        <v>115</v>
      </c>
      <c r="B117" s="114" t="s">
        <v>813</v>
      </c>
      <c r="C117" s="114" t="s">
        <v>1867</v>
      </c>
      <c r="D117" s="114" t="s">
        <v>56</v>
      </c>
      <c r="E117" s="114" t="s">
        <v>814</v>
      </c>
      <c r="F117" s="116">
        <v>14217.56</v>
      </c>
      <c r="G117" s="121">
        <v>1.5889449265921215E-3</v>
      </c>
      <c r="H117" s="121">
        <v>0.836982571684044</v>
      </c>
      <c r="I117" s="114" t="s">
        <v>1290</v>
      </c>
      <c r="J117" s="114" t="s">
        <v>1323</v>
      </c>
      <c r="K117" s="129" t="s">
        <v>2314</v>
      </c>
    </row>
    <row r="118" spans="1:11" ht="38.25" x14ac:dyDescent="0.2">
      <c r="A118" s="120">
        <v>116</v>
      </c>
      <c r="B118" s="114" t="s">
        <v>2204</v>
      </c>
      <c r="C118" s="114" t="s">
        <v>2205</v>
      </c>
      <c r="D118" s="114" t="s">
        <v>56</v>
      </c>
      <c r="E118" s="114" t="s">
        <v>1087</v>
      </c>
      <c r="F118" s="116">
        <v>14204.62</v>
      </c>
      <c r="G118" s="121">
        <v>1.5874987609103802E-3</v>
      </c>
      <c r="H118" s="121">
        <v>0.83857007044495435</v>
      </c>
      <c r="I118" s="114" t="s">
        <v>1290</v>
      </c>
      <c r="J118" s="114" t="s">
        <v>1323</v>
      </c>
      <c r="K118" s="129" t="s">
        <v>2314</v>
      </c>
    </row>
    <row r="119" spans="1:11" ht="38.25" x14ac:dyDescent="0.2">
      <c r="A119" s="120">
        <v>117</v>
      </c>
      <c r="B119" s="114" t="s">
        <v>1480</v>
      </c>
      <c r="C119" s="114" t="s">
        <v>2050</v>
      </c>
      <c r="D119" s="114" t="s">
        <v>56</v>
      </c>
      <c r="E119" s="114" t="s">
        <v>2051</v>
      </c>
      <c r="F119" s="116">
        <v>13984.38</v>
      </c>
      <c r="G119" s="121">
        <v>1.5628848868959465E-3</v>
      </c>
      <c r="H119" s="121">
        <v>0.84013295533185028</v>
      </c>
      <c r="I119" s="114" t="s">
        <v>1290</v>
      </c>
      <c r="J119" s="114" t="s">
        <v>1323</v>
      </c>
      <c r="K119" s="129" t="s">
        <v>2314</v>
      </c>
    </row>
    <row r="120" spans="1:11" ht="102" x14ac:dyDescent="0.2">
      <c r="A120" s="120">
        <v>118</v>
      </c>
      <c r="B120" s="114" t="s">
        <v>526</v>
      </c>
      <c r="C120" s="114" t="s">
        <v>1547</v>
      </c>
      <c r="D120" s="114" t="s">
        <v>24</v>
      </c>
      <c r="E120" s="114" t="s">
        <v>1548</v>
      </c>
      <c r="F120" s="116">
        <v>13890.5</v>
      </c>
      <c r="G120" s="121">
        <v>1.5523929213471133E-3</v>
      </c>
      <c r="H120" s="121">
        <v>0.84168534825319741</v>
      </c>
      <c r="I120" s="114" t="s">
        <v>1290</v>
      </c>
      <c r="J120" s="114" t="s">
        <v>1323</v>
      </c>
      <c r="K120" s="129" t="s">
        <v>2314</v>
      </c>
    </row>
    <row r="121" spans="1:11" ht="38.25" x14ac:dyDescent="0.2">
      <c r="A121" s="120">
        <v>119</v>
      </c>
      <c r="B121" s="114" t="s">
        <v>2201</v>
      </c>
      <c r="C121" s="114" t="s">
        <v>1081</v>
      </c>
      <c r="D121" s="114" t="s">
        <v>209</v>
      </c>
      <c r="E121" s="114" t="s">
        <v>1082</v>
      </c>
      <c r="F121" s="116">
        <v>13872.58</v>
      </c>
      <c r="G121" s="121">
        <v>1.5503901942206212E-3</v>
      </c>
      <c r="H121" s="121">
        <v>0.84323573844741806</v>
      </c>
      <c r="I121" s="114" t="s">
        <v>1290</v>
      </c>
      <c r="J121" s="114" t="s">
        <v>1319</v>
      </c>
      <c r="K121" s="129" t="s">
        <v>2315</v>
      </c>
    </row>
    <row r="122" spans="1:11" ht="51" x14ac:dyDescent="0.2">
      <c r="A122" s="120">
        <v>120</v>
      </c>
      <c r="B122" s="114" t="s">
        <v>2001</v>
      </c>
      <c r="C122" s="114" t="s">
        <v>2002</v>
      </c>
      <c r="D122" s="114" t="s">
        <v>56</v>
      </c>
      <c r="E122" s="114" t="s">
        <v>2003</v>
      </c>
      <c r="F122" s="116">
        <v>13851.86</v>
      </c>
      <c r="G122" s="121">
        <v>1.5480745409806147E-3</v>
      </c>
      <c r="H122" s="121">
        <v>0.84478381298839866</v>
      </c>
      <c r="I122" s="114" t="s">
        <v>1290</v>
      </c>
      <c r="J122" s="114" t="s">
        <v>1323</v>
      </c>
      <c r="K122" s="129" t="s">
        <v>2314</v>
      </c>
    </row>
    <row r="123" spans="1:11" ht="51" x14ac:dyDescent="0.2">
      <c r="A123" s="120">
        <v>121</v>
      </c>
      <c r="B123" s="114" t="s">
        <v>227</v>
      </c>
      <c r="C123" s="114" t="s">
        <v>1398</v>
      </c>
      <c r="D123" s="114" t="s">
        <v>56</v>
      </c>
      <c r="E123" s="114" t="s">
        <v>206</v>
      </c>
      <c r="F123" s="116">
        <v>13726.96</v>
      </c>
      <c r="G123" s="121">
        <v>1.5341158011313465E-3</v>
      </c>
      <c r="H123" s="121">
        <v>0.84631792878953005</v>
      </c>
      <c r="I123" s="114" t="s">
        <v>1290</v>
      </c>
      <c r="J123" s="114" t="s">
        <v>1323</v>
      </c>
      <c r="K123" s="129" t="s">
        <v>2314</v>
      </c>
    </row>
    <row r="124" spans="1:11" ht="63.75" x14ac:dyDescent="0.2">
      <c r="A124" s="120">
        <v>122</v>
      </c>
      <c r="B124" s="114" t="s">
        <v>408</v>
      </c>
      <c r="C124" s="114" t="s">
        <v>1494</v>
      </c>
      <c r="D124" s="114" t="s">
        <v>24</v>
      </c>
      <c r="E124" s="114" t="s">
        <v>410</v>
      </c>
      <c r="F124" s="116">
        <v>13625.28</v>
      </c>
      <c r="G124" s="121">
        <v>1.5227521128377234E-3</v>
      </c>
      <c r="H124" s="121">
        <v>0.84784068090236775</v>
      </c>
      <c r="I124" s="114" t="s">
        <v>1290</v>
      </c>
      <c r="J124" s="114" t="s">
        <v>1323</v>
      </c>
      <c r="K124" s="129" t="s">
        <v>2314</v>
      </c>
    </row>
    <row r="125" spans="1:11" ht="76.5" x14ac:dyDescent="0.2">
      <c r="A125" s="120">
        <v>123</v>
      </c>
      <c r="B125" s="114" t="s">
        <v>1816</v>
      </c>
      <c r="C125" s="114" t="s">
        <v>2141</v>
      </c>
      <c r="D125" s="114" t="s">
        <v>24</v>
      </c>
      <c r="E125" s="114" t="s">
        <v>1032</v>
      </c>
      <c r="F125" s="116">
        <v>13528.92</v>
      </c>
      <c r="G125" s="121">
        <v>1.5119829841597774E-3</v>
      </c>
      <c r="H125" s="121">
        <v>0.84935266388652753</v>
      </c>
      <c r="I125" s="114" t="s">
        <v>1290</v>
      </c>
      <c r="J125" s="114" t="s">
        <v>1323</v>
      </c>
      <c r="K125" s="129" t="s">
        <v>2314</v>
      </c>
    </row>
    <row r="126" spans="1:11" ht="89.25" x14ac:dyDescent="0.2">
      <c r="A126" s="120">
        <v>124</v>
      </c>
      <c r="B126" s="114" t="s">
        <v>39</v>
      </c>
      <c r="C126" s="114" t="s">
        <v>1326</v>
      </c>
      <c r="D126" s="114" t="s">
        <v>24</v>
      </c>
      <c r="E126" s="114" t="s">
        <v>41</v>
      </c>
      <c r="F126" s="116">
        <v>13515.37</v>
      </c>
      <c r="G126" s="121">
        <v>1.5104686452890204E-3</v>
      </c>
      <c r="H126" s="121">
        <v>0.85086313253181656</v>
      </c>
      <c r="I126" s="114" t="s">
        <v>1290</v>
      </c>
      <c r="J126" s="114" t="s">
        <v>1323</v>
      </c>
      <c r="K126" s="129" t="s">
        <v>2314</v>
      </c>
    </row>
    <row r="127" spans="1:11" ht="102" x14ac:dyDescent="0.2">
      <c r="A127" s="120">
        <v>125</v>
      </c>
      <c r="B127" s="114" t="s">
        <v>506</v>
      </c>
      <c r="C127" s="114" t="s">
        <v>1542</v>
      </c>
      <c r="D127" s="114" t="s">
        <v>24</v>
      </c>
      <c r="E127" s="114" t="s">
        <v>508</v>
      </c>
      <c r="F127" s="116">
        <v>13368.27</v>
      </c>
      <c r="G127" s="121">
        <v>1.4940288483968882E-3</v>
      </c>
      <c r="H127" s="121">
        <v>0.85235716138021345</v>
      </c>
      <c r="I127" s="114" t="s">
        <v>1290</v>
      </c>
      <c r="J127" s="114" t="s">
        <v>1323</v>
      </c>
      <c r="K127" s="129" t="s">
        <v>2314</v>
      </c>
    </row>
    <row r="128" spans="1:11" ht="63.75" x14ac:dyDescent="0.2">
      <c r="A128" s="120">
        <v>126</v>
      </c>
      <c r="B128" s="114" t="s">
        <v>523</v>
      </c>
      <c r="C128" s="114" t="s">
        <v>1546</v>
      </c>
      <c r="D128" s="114" t="s">
        <v>24</v>
      </c>
      <c r="E128" s="114" t="s">
        <v>525</v>
      </c>
      <c r="F128" s="116">
        <v>13342.5</v>
      </c>
      <c r="G128" s="121">
        <v>1.4911488105592929E-3</v>
      </c>
      <c r="H128" s="121">
        <v>0.85384831019077267</v>
      </c>
      <c r="I128" s="114" t="s">
        <v>1290</v>
      </c>
      <c r="J128" s="114" t="s">
        <v>1323</v>
      </c>
      <c r="K128" s="129" t="s">
        <v>2314</v>
      </c>
    </row>
    <row r="129" spans="1:11" ht="51" x14ac:dyDescent="0.2">
      <c r="A129" s="120">
        <v>127</v>
      </c>
      <c r="B129" s="114" t="s">
        <v>130</v>
      </c>
      <c r="C129" s="114" t="s">
        <v>1360</v>
      </c>
      <c r="D129" s="114" t="s">
        <v>24</v>
      </c>
      <c r="E129" s="114" t="s">
        <v>132</v>
      </c>
      <c r="F129" s="116">
        <v>13332.52</v>
      </c>
      <c r="G129" s="121">
        <v>1.4900334524832668E-3</v>
      </c>
      <c r="H129" s="121">
        <v>0.85533834364325589</v>
      </c>
      <c r="I129" s="114" t="s">
        <v>1290</v>
      </c>
      <c r="J129" s="114" t="s">
        <v>1323</v>
      </c>
      <c r="K129" s="129" t="s">
        <v>2314</v>
      </c>
    </row>
    <row r="130" spans="1:11" ht="38.25" x14ac:dyDescent="0.2">
      <c r="A130" s="120">
        <v>128</v>
      </c>
      <c r="B130" s="114" t="s">
        <v>2167</v>
      </c>
      <c r="C130" s="114" t="s">
        <v>1051</v>
      </c>
      <c r="D130" s="114" t="s">
        <v>209</v>
      </c>
      <c r="E130" s="114" t="s">
        <v>1052</v>
      </c>
      <c r="F130" s="116">
        <v>13175.08</v>
      </c>
      <c r="G130" s="121">
        <v>1.4724380641576564E-3</v>
      </c>
      <c r="H130" s="121">
        <v>0.85681078170741354</v>
      </c>
      <c r="I130" s="114" t="s">
        <v>1290</v>
      </c>
      <c r="J130" s="114" t="s">
        <v>1319</v>
      </c>
      <c r="K130" s="129" t="s">
        <v>2315</v>
      </c>
    </row>
    <row r="131" spans="1:11" ht="63.75" x14ac:dyDescent="0.2">
      <c r="A131" s="120">
        <v>129</v>
      </c>
      <c r="B131" s="114" t="s">
        <v>157</v>
      </c>
      <c r="C131" s="114" t="s">
        <v>1372</v>
      </c>
      <c r="D131" s="114" t="s">
        <v>24</v>
      </c>
      <c r="E131" s="114" t="s">
        <v>159</v>
      </c>
      <c r="F131" s="116">
        <v>13081.14</v>
      </c>
      <c r="G131" s="121">
        <v>1.4619393930492479E-3</v>
      </c>
      <c r="H131" s="121">
        <v>0.85827272110046282</v>
      </c>
      <c r="I131" s="114" t="s">
        <v>1290</v>
      </c>
      <c r="J131" s="114" t="s">
        <v>1323</v>
      </c>
      <c r="K131" s="129" t="s">
        <v>2314</v>
      </c>
    </row>
    <row r="132" spans="1:11" ht="51" x14ac:dyDescent="0.2">
      <c r="A132" s="120">
        <v>130</v>
      </c>
      <c r="B132" s="114" t="s">
        <v>1434</v>
      </c>
      <c r="C132" s="114" t="s">
        <v>236</v>
      </c>
      <c r="D132" s="114" t="s">
        <v>209</v>
      </c>
      <c r="E132" s="114" t="s">
        <v>271</v>
      </c>
      <c r="F132" s="116">
        <v>12971.88</v>
      </c>
      <c r="G132" s="121">
        <v>1.4497285690626106E-3</v>
      </c>
      <c r="H132" s="121">
        <v>0.85972244966952538</v>
      </c>
      <c r="I132" s="114" t="s">
        <v>1290</v>
      </c>
      <c r="J132" s="114" t="s">
        <v>1319</v>
      </c>
      <c r="K132" s="129" t="s">
        <v>2315</v>
      </c>
    </row>
    <row r="133" spans="1:11" ht="25.5" x14ac:dyDescent="0.2">
      <c r="A133" s="120">
        <v>131</v>
      </c>
      <c r="B133" s="114" t="s">
        <v>430</v>
      </c>
      <c r="C133" s="114" t="s">
        <v>431</v>
      </c>
      <c r="D133" s="114" t="s">
        <v>24</v>
      </c>
      <c r="E133" s="114" t="s">
        <v>432</v>
      </c>
      <c r="F133" s="116">
        <v>12931.88</v>
      </c>
      <c r="G133" s="121">
        <v>1.4452581960124047E-3</v>
      </c>
      <c r="H133" s="121">
        <v>0.86116770786553776</v>
      </c>
      <c r="I133" s="114" t="s">
        <v>1290</v>
      </c>
      <c r="J133" s="114" t="s">
        <v>1323</v>
      </c>
      <c r="K133" s="129" t="s">
        <v>2314</v>
      </c>
    </row>
    <row r="134" spans="1:11" ht="38.25" x14ac:dyDescent="0.2">
      <c r="A134" s="120">
        <v>132</v>
      </c>
      <c r="B134" s="114" t="s">
        <v>1952</v>
      </c>
      <c r="C134" s="114" t="s">
        <v>1953</v>
      </c>
      <c r="D134" s="114" t="s">
        <v>209</v>
      </c>
      <c r="E134" s="114" t="s">
        <v>1954</v>
      </c>
      <c r="F134" s="116">
        <v>12812.73</v>
      </c>
      <c r="G134" s="121">
        <v>1.431942072289104E-3</v>
      </c>
      <c r="H134" s="121">
        <v>0.8625996499378269</v>
      </c>
      <c r="I134" s="114" t="s">
        <v>1290</v>
      </c>
      <c r="J134" s="114" t="s">
        <v>1319</v>
      </c>
      <c r="K134" s="129" t="s">
        <v>2315</v>
      </c>
    </row>
    <row r="135" spans="1:11" ht="38.25" x14ac:dyDescent="0.2">
      <c r="A135" s="120">
        <v>133</v>
      </c>
      <c r="B135" s="114" t="s">
        <v>537</v>
      </c>
      <c r="C135" s="114" t="s">
        <v>538</v>
      </c>
      <c r="D135" s="114" t="s">
        <v>209</v>
      </c>
      <c r="E135" s="114" t="s">
        <v>539</v>
      </c>
      <c r="F135" s="116">
        <v>12775.86</v>
      </c>
      <c r="G135" s="121">
        <v>1.4278215059300768E-3</v>
      </c>
      <c r="H135" s="121">
        <v>0.86402747144375702</v>
      </c>
      <c r="I135" s="114" t="s">
        <v>1290</v>
      </c>
      <c r="J135" s="114" t="s">
        <v>1319</v>
      </c>
      <c r="K135" s="129" t="s">
        <v>2315</v>
      </c>
    </row>
    <row r="136" spans="1:11" ht="140.25" x14ac:dyDescent="0.2">
      <c r="A136" s="120">
        <v>134</v>
      </c>
      <c r="B136" s="114" t="s">
        <v>2202</v>
      </c>
      <c r="C136" s="114" t="s">
        <v>2203</v>
      </c>
      <c r="D136" s="114" t="s">
        <v>24</v>
      </c>
      <c r="E136" s="114" t="s">
        <v>1086</v>
      </c>
      <c r="F136" s="116">
        <v>12732.28</v>
      </c>
      <c r="G136" s="121">
        <v>1.4229510344918777E-3</v>
      </c>
      <c r="H136" s="121">
        <v>0.86545042247824899</v>
      </c>
      <c r="I136" s="114" t="s">
        <v>1290</v>
      </c>
      <c r="J136" s="114" t="s">
        <v>1323</v>
      </c>
      <c r="K136" s="129" t="s">
        <v>2314</v>
      </c>
    </row>
    <row r="137" spans="1:11" ht="51" x14ac:dyDescent="0.2">
      <c r="A137" s="120">
        <v>135</v>
      </c>
      <c r="B137" s="114" t="s">
        <v>1904</v>
      </c>
      <c r="C137" s="114" t="s">
        <v>1905</v>
      </c>
      <c r="D137" s="114" t="s">
        <v>56</v>
      </c>
      <c r="E137" s="114" t="s">
        <v>1906</v>
      </c>
      <c r="F137" s="116">
        <v>11907</v>
      </c>
      <c r="G137" s="121">
        <v>1.3307182977200301E-3</v>
      </c>
      <c r="H137" s="121">
        <v>0.86678114077596902</v>
      </c>
      <c r="I137" s="114" t="s">
        <v>1290</v>
      </c>
      <c r="J137" s="114" t="s">
        <v>1323</v>
      </c>
      <c r="K137" s="129" t="s">
        <v>2314</v>
      </c>
    </row>
    <row r="138" spans="1:11" ht="51" x14ac:dyDescent="0.2">
      <c r="A138" s="120">
        <v>136</v>
      </c>
      <c r="B138" s="114" t="s">
        <v>1439</v>
      </c>
      <c r="C138" s="114" t="s">
        <v>236</v>
      </c>
      <c r="D138" s="114" t="s">
        <v>209</v>
      </c>
      <c r="E138" s="114" t="s">
        <v>271</v>
      </c>
      <c r="F138" s="116">
        <v>11829.55</v>
      </c>
      <c r="G138" s="121">
        <v>1.3220625379015689E-3</v>
      </c>
      <c r="H138" s="121">
        <v>0.99951144187008878</v>
      </c>
      <c r="I138" s="114" t="s">
        <v>1293</v>
      </c>
      <c r="J138" s="114" t="s">
        <v>1323</v>
      </c>
      <c r="K138" s="129" t="s">
        <v>2314</v>
      </c>
    </row>
    <row r="139" spans="1:11" ht="51" x14ac:dyDescent="0.2">
      <c r="A139" s="120">
        <v>137</v>
      </c>
      <c r="B139" s="114" t="s">
        <v>1436</v>
      </c>
      <c r="C139" s="114" t="s">
        <v>1393</v>
      </c>
      <c r="D139" s="114" t="s">
        <v>24</v>
      </c>
      <c r="E139" s="114" t="s">
        <v>194</v>
      </c>
      <c r="F139" s="116">
        <v>11498.08</v>
      </c>
      <c r="G139" s="121">
        <v>1.2850176740277757E-3</v>
      </c>
      <c r="H139" s="121">
        <v>0.86938822098789836</v>
      </c>
      <c r="I139" s="114" t="s">
        <v>1290</v>
      </c>
      <c r="J139" s="114" t="s">
        <v>1323</v>
      </c>
      <c r="K139" s="129" t="s">
        <v>2314</v>
      </c>
    </row>
    <row r="140" spans="1:11" ht="25.5" x14ac:dyDescent="0.2">
      <c r="A140" s="120">
        <v>138</v>
      </c>
      <c r="B140" s="114" t="s">
        <v>2191</v>
      </c>
      <c r="C140" s="114" t="s">
        <v>2192</v>
      </c>
      <c r="D140" s="114" t="s">
        <v>335</v>
      </c>
      <c r="E140" s="114" t="s">
        <v>2193</v>
      </c>
      <c r="F140" s="116">
        <v>11484.04</v>
      </c>
      <c r="G140" s="121">
        <v>1.2834485730871534E-3</v>
      </c>
      <c r="H140" s="121">
        <v>0.87067166956098552</v>
      </c>
      <c r="I140" s="114" t="s">
        <v>1290</v>
      </c>
      <c r="J140" s="114" t="s">
        <v>1323</v>
      </c>
      <c r="K140" s="129" t="s">
        <v>2314</v>
      </c>
    </row>
    <row r="141" spans="1:11" ht="89.25" x14ac:dyDescent="0.2">
      <c r="A141" s="120">
        <v>139</v>
      </c>
      <c r="B141" s="114" t="s">
        <v>32</v>
      </c>
      <c r="C141" s="114" t="s">
        <v>1322</v>
      </c>
      <c r="D141" s="114" t="s">
        <v>24</v>
      </c>
      <c r="E141" s="114" t="s">
        <v>34</v>
      </c>
      <c r="F141" s="116">
        <v>11324.26</v>
      </c>
      <c r="G141" s="121">
        <v>1.265591667938106E-3</v>
      </c>
      <c r="H141" s="121">
        <v>0.87193726122892357</v>
      </c>
      <c r="I141" s="114" t="s">
        <v>1290</v>
      </c>
      <c r="J141" s="114" t="s">
        <v>1323</v>
      </c>
      <c r="K141" s="129" t="s">
        <v>2314</v>
      </c>
    </row>
    <row r="142" spans="1:11" ht="25.5" x14ac:dyDescent="0.2">
      <c r="A142" s="120">
        <v>140</v>
      </c>
      <c r="B142" s="114" t="s">
        <v>2303</v>
      </c>
      <c r="C142" s="114" t="s">
        <v>2304</v>
      </c>
      <c r="D142" s="114" t="s">
        <v>56</v>
      </c>
      <c r="E142" s="114" t="s">
        <v>1160</v>
      </c>
      <c r="F142" s="116">
        <v>11238.69</v>
      </c>
      <c r="G142" s="121">
        <v>1.2560284223904533E-3</v>
      </c>
      <c r="H142" s="121">
        <v>0.87319328965131404</v>
      </c>
      <c r="I142" s="114" t="s">
        <v>1290</v>
      </c>
      <c r="J142" s="114" t="s">
        <v>1323</v>
      </c>
      <c r="K142" s="129" t="s">
        <v>2314</v>
      </c>
    </row>
    <row r="143" spans="1:11" ht="25.5" x14ac:dyDescent="0.2">
      <c r="A143" s="120">
        <v>141</v>
      </c>
      <c r="B143" s="114" t="s">
        <v>2182</v>
      </c>
      <c r="C143" s="114" t="s">
        <v>2183</v>
      </c>
      <c r="D143" s="114" t="s">
        <v>56</v>
      </c>
      <c r="E143" s="114" t="s">
        <v>1066</v>
      </c>
      <c r="F143" s="116">
        <v>11220.56</v>
      </c>
      <c r="G143" s="121">
        <v>1.2540022258054472E-3</v>
      </c>
      <c r="H143" s="121">
        <v>0.87444729187711945</v>
      </c>
      <c r="I143" s="114" t="s">
        <v>1290</v>
      </c>
      <c r="J143" s="114" t="s">
        <v>1323</v>
      </c>
      <c r="K143" s="129" t="s">
        <v>2314</v>
      </c>
    </row>
    <row r="144" spans="1:11" ht="51" x14ac:dyDescent="0.2">
      <c r="A144" s="120">
        <v>142</v>
      </c>
      <c r="B144" s="114" t="s">
        <v>321</v>
      </c>
      <c r="C144" s="114" t="s">
        <v>322</v>
      </c>
      <c r="D144" s="114" t="s">
        <v>209</v>
      </c>
      <c r="E144" s="114" t="s">
        <v>323</v>
      </c>
      <c r="F144" s="116">
        <v>11134.89</v>
      </c>
      <c r="G144" s="121">
        <v>1.244427804325169E-3</v>
      </c>
      <c r="H144" s="121">
        <v>0.87569171968144455</v>
      </c>
      <c r="I144" s="114" t="s">
        <v>1290</v>
      </c>
      <c r="J144" s="114" t="s">
        <v>1319</v>
      </c>
      <c r="K144" s="129" t="s">
        <v>2315</v>
      </c>
    </row>
    <row r="145" spans="1:11" ht="38.25" x14ac:dyDescent="0.2">
      <c r="A145" s="120">
        <v>143</v>
      </c>
      <c r="B145" s="114" t="s">
        <v>757</v>
      </c>
      <c r="C145" s="114" t="s">
        <v>1814</v>
      </c>
      <c r="D145" s="114" t="s">
        <v>56</v>
      </c>
      <c r="E145" s="114" t="s">
        <v>1815</v>
      </c>
      <c r="F145" s="116">
        <v>11036.95</v>
      </c>
      <c r="G145" s="121">
        <v>1.2334820959117399E-3</v>
      </c>
      <c r="H145" s="121">
        <v>0.87692520177735633</v>
      </c>
      <c r="I145" s="114" t="s">
        <v>1290</v>
      </c>
      <c r="J145" s="114" t="s">
        <v>1323</v>
      </c>
      <c r="K145" s="129" t="s">
        <v>2314</v>
      </c>
    </row>
    <row r="146" spans="1:11" ht="25.5" x14ac:dyDescent="0.2">
      <c r="A146" s="120">
        <v>144</v>
      </c>
      <c r="B146" s="114" t="s">
        <v>1956</v>
      </c>
      <c r="C146" s="114" t="s">
        <v>1957</v>
      </c>
      <c r="D146" s="114" t="s">
        <v>335</v>
      </c>
      <c r="E146" s="114" t="s">
        <v>909</v>
      </c>
      <c r="F146" s="116">
        <v>10962.65</v>
      </c>
      <c r="G146" s="121">
        <v>1.2251783779709824E-3</v>
      </c>
      <c r="H146" s="121">
        <v>0.87815038015532743</v>
      </c>
      <c r="I146" s="114" t="s">
        <v>1290</v>
      </c>
      <c r="J146" s="114" t="s">
        <v>1323</v>
      </c>
      <c r="K146" s="129" t="s">
        <v>2314</v>
      </c>
    </row>
    <row r="147" spans="1:11" ht="25.5" x14ac:dyDescent="0.2">
      <c r="A147" s="120">
        <v>145</v>
      </c>
      <c r="B147" s="114" t="s">
        <v>1967</v>
      </c>
      <c r="C147" s="114" t="s">
        <v>1968</v>
      </c>
      <c r="D147" s="114" t="s">
        <v>335</v>
      </c>
      <c r="E147" s="114" t="s">
        <v>914</v>
      </c>
      <c r="F147" s="116">
        <v>10937.2</v>
      </c>
      <c r="G147" s="121">
        <v>1.2223341031177891E-3</v>
      </c>
      <c r="H147" s="121">
        <v>0.87937271425844521</v>
      </c>
      <c r="I147" s="114" t="s">
        <v>1290</v>
      </c>
      <c r="J147" s="114" t="s">
        <v>1323</v>
      </c>
      <c r="K147" s="129" t="s">
        <v>2314</v>
      </c>
    </row>
    <row r="148" spans="1:11" ht="25.5" x14ac:dyDescent="0.2">
      <c r="A148" s="120">
        <v>146</v>
      </c>
      <c r="B148" s="114" t="s">
        <v>2296</v>
      </c>
      <c r="C148" s="114" t="s">
        <v>1153</v>
      </c>
      <c r="D148" s="114" t="s">
        <v>24</v>
      </c>
      <c r="E148" s="114" t="s">
        <v>1154</v>
      </c>
      <c r="F148" s="116">
        <v>10922.72</v>
      </c>
      <c r="G148" s="121">
        <v>1.2207158280736145E-3</v>
      </c>
      <c r="H148" s="121">
        <v>0.8805934300865188</v>
      </c>
      <c r="I148" s="114" t="s">
        <v>1290</v>
      </c>
      <c r="J148" s="114" t="s">
        <v>1323</v>
      </c>
      <c r="K148" s="129" t="s">
        <v>2314</v>
      </c>
    </row>
    <row r="149" spans="1:11" ht="38.25" x14ac:dyDescent="0.2">
      <c r="A149" s="120">
        <v>147</v>
      </c>
      <c r="B149" s="114" t="s">
        <v>267</v>
      </c>
      <c r="C149" s="114" t="s">
        <v>1429</v>
      </c>
      <c r="D149" s="114" t="s">
        <v>56</v>
      </c>
      <c r="E149" s="114" t="s">
        <v>268</v>
      </c>
      <c r="F149" s="116">
        <v>10858.12</v>
      </c>
      <c r="G149" s="121">
        <v>1.2134961755975321E-3</v>
      </c>
      <c r="H149" s="121">
        <v>0.88180692626211632</v>
      </c>
      <c r="I149" s="114" t="s">
        <v>1290</v>
      </c>
      <c r="J149" s="114" t="s">
        <v>1323</v>
      </c>
      <c r="K149" s="129" t="s">
        <v>2314</v>
      </c>
    </row>
    <row r="150" spans="1:11" ht="51" x14ac:dyDescent="0.2">
      <c r="A150" s="120">
        <v>148</v>
      </c>
      <c r="B150" s="114" t="s">
        <v>742</v>
      </c>
      <c r="C150" s="114" t="s">
        <v>1806</v>
      </c>
      <c r="D150" s="114" t="s">
        <v>56</v>
      </c>
      <c r="E150" s="114" t="s">
        <v>743</v>
      </c>
      <c r="F150" s="116">
        <v>10833.7</v>
      </c>
      <c r="G150" s="121">
        <v>1.2107670128503815E-3</v>
      </c>
      <c r="H150" s="121">
        <v>0.88301769327496671</v>
      </c>
      <c r="I150" s="114" t="s">
        <v>1290</v>
      </c>
      <c r="J150" s="114" t="s">
        <v>1323</v>
      </c>
      <c r="K150" s="129" t="s">
        <v>2314</v>
      </c>
    </row>
    <row r="151" spans="1:11" ht="51" x14ac:dyDescent="0.2">
      <c r="A151" s="120">
        <v>149</v>
      </c>
      <c r="B151" s="114" t="s">
        <v>2057</v>
      </c>
      <c r="C151" s="114" t="s">
        <v>2058</v>
      </c>
      <c r="D151" s="114" t="s">
        <v>56</v>
      </c>
      <c r="E151" s="114" t="s">
        <v>974</v>
      </c>
      <c r="F151" s="116">
        <v>10606.65</v>
      </c>
      <c r="G151" s="121">
        <v>1.1853920578241504E-3</v>
      </c>
      <c r="H151" s="121">
        <v>0.88420308533279091</v>
      </c>
      <c r="I151" s="114" t="s">
        <v>1290</v>
      </c>
      <c r="J151" s="114" t="s">
        <v>1323</v>
      </c>
      <c r="K151" s="129" t="s">
        <v>2314</v>
      </c>
    </row>
    <row r="152" spans="1:11" ht="51" x14ac:dyDescent="0.2">
      <c r="A152" s="120">
        <v>150</v>
      </c>
      <c r="B152" s="114" t="s">
        <v>223</v>
      </c>
      <c r="C152" s="114" t="s">
        <v>1402</v>
      </c>
      <c r="D152" s="114" t="s">
        <v>56</v>
      </c>
      <c r="E152" s="114" t="s">
        <v>1403</v>
      </c>
      <c r="F152" s="116">
        <v>10526.42</v>
      </c>
      <c r="G152" s="121">
        <v>1.1764256070786999E-3</v>
      </c>
      <c r="H152" s="121">
        <v>0.88537951093986955</v>
      </c>
      <c r="I152" s="114" t="s">
        <v>1290</v>
      </c>
      <c r="J152" s="114" t="s">
        <v>1323</v>
      </c>
      <c r="K152" s="129" t="s">
        <v>2314</v>
      </c>
    </row>
    <row r="153" spans="1:11" ht="76.5" x14ac:dyDescent="0.2">
      <c r="A153" s="120">
        <v>151</v>
      </c>
      <c r="B153" s="114" t="s">
        <v>398</v>
      </c>
      <c r="C153" s="114" t="s">
        <v>1490</v>
      </c>
      <c r="D153" s="114" t="s">
        <v>56</v>
      </c>
      <c r="E153" s="114" t="s">
        <v>399</v>
      </c>
      <c r="F153" s="116">
        <v>10489.07</v>
      </c>
      <c r="G153" s="121">
        <v>1.1722513962430701E-3</v>
      </c>
      <c r="H153" s="121">
        <v>0.88655176233611266</v>
      </c>
      <c r="I153" s="114" t="s">
        <v>1290</v>
      </c>
      <c r="J153" s="114" t="s">
        <v>1323</v>
      </c>
      <c r="K153" s="129" t="s">
        <v>2314</v>
      </c>
    </row>
    <row r="154" spans="1:11" ht="51" x14ac:dyDescent="0.2">
      <c r="A154" s="120">
        <v>152</v>
      </c>
      <c r="B154" s="114" t="s">
        <v>1898</v>
      </c>
      <c r="C154" s="114" t="s">
        <v>1899</v>
      </c>
      <c r="D154" s="114" t="s">
        <v>56</v>
      </c>
      <c r="E154" s="114" t="s">
        <v>1900</v>
      </c>
      <c r="F154" s="116">
        <v>10469.469999999999</v>
      </c>
      <c r="G154" s="121">
        <v>1.1700609134484693E-3</v>
      </c>
      <c r="H154" s="121">
        <v>0.88772182324956117</v>
      </c>
      <c r="I154" s="114" t="s">
        <v>1290</v>
      </c>
      <c r="J154" s="114" t="s">
        <v>1323</v>
      </c>
      <c r="K154" s="129" t="s">
        <v>2314</v>
      </c>
    </row>
    <row r="155" spans="1:11" ht="76.5" x14ac:dyDescent="0.2">
      <c r="A155" s="120">
        <v>153</v>
      </c>
      <c r="B155" s="114" t="s">
        <v>46</v>
      </c>
      <c r="C155" s="114" t="s">
        <v>1328</v>
      </c>
      <c r="D155" s="114" t="s">
        <v>24</v>
      </c>
      <c r="E155" s="114" t="s">
        <v>1329</v>
      </c>
      <c r="F155" s="116">
        <v>10344.58</v>
      </c>
      <c r="G155" s="121">
        <v>1.1561032911924641E-3</v>
      </c>
      <c r="H155" s="121">
        <v>0.88887792654075359</v>
      </c>
      <c r="I155" s="114" t="s">
        <v>1290</v>
      </c>
      <c r="J155" s="114" t="s">
        <v>1323</v>
      </c>
      <c r="K155" s="129" t="s">
        <v>2314</v>
      </c>
    </row>
    <row r="156" spans="1:11" ht="25.5" x14ac:dyDescent="0.2">
      <c r="A156" s="120">
        <v>154</v>
      </c>
      <c r="B156" s="114" t="s">
        <v>1550</v>
      </c>
      <c r="C156" s="114" t="s">
        <v>1551</v>
      </c>
      <c r="D156" s="114" t="s">
        <v>335</v>
      </c>
      <c r="E156" s="114" t="s">
        <v>531</v>
      </c>
      <c r="F156" s="116">
        <v>10248.91</v>
      </c>
      <c r="G156" s="121">
        <v>1.1454112764496341E-3</v>
      </c>
      <c r="H156" s="121">
        <v>0.99970262184395331</v>
      </c>
      <c r="I156" s="114" t="s">
        <v>1293</v>
      </c>
      <c r="J156" s="114" t="s">
        <v>1323</v>
      </c>
      <c r="K156" s="129" t="s">
        <v>2314</v>
      </c>
    </row>
    <row r="157" spans="1:11" ht="51" x14ac:dyDescent="0.2">
      <c r="A157" s="120">
        <v>155</v>
      </c>
      <c r="B157" s="114" t="s">
        <v>686</v>
      </c>
      <c r="C157" s="114" t="s">
        <v>1725</v>
      </c>
      <c r="D157" s="114" t="s">
        <v>56</v>
      </c>
      <c r="E157" s="114" t="s">
        <v>1726</v>
      </c>
      <c r="F157" s="116">
        <v>10198.44</v>
      </c>
      <c r="G157" s="121">
        <v>1.1397707832535369E-3</v>
      </c>
      <c r="H157" s="121">
        <v>0.89116310860045689</v>
      </c>
      <c r="I157" s="114" t="s">
        <v>1290</v>
      </c>
      <c r="J157" s="114" t="s">
        <v>1323</v>
      </c>
      <c r="K157" s="129" t="s">
        <v>2314</v>
      </c>
    </row>
    <row r="158" spans="1:11" ht="51" x14ac:dyDescent="0.2">
      <c r="A158" s="120">
        <v>156</v>
      </c>
      <c r="B158" s="114" t="s">
        <v>229</v>
      </c>
      <c r="C158" s="114" t="s">
        <v>1404</v>
      </c>
      <c r="D158" s="114" t="s">
        <v>56</v>
      </c>
      <c r="E158" s="114" t="s">
        <v>1405</v>
      </c>
      <c r="F158" s="116">
        <v>10144.67</v>
      </c>
      <c r="G158" s="121">
        <v>1.1337614842807978E-3</v>
      </c>
      <c r="H158" s="121">
        <v>0.89229687008473768</v>
      </c>
      <c r="I158" s="114" t="s">
        <v>1290</v>
      </c>
      <c r="J158" s="114" t="s">
        <v>1323</v>
      </c>
      <c r="K158" s="129" t="s">
        <v>2314</v>
      </c>
    </row>
    <row r="159" spans="1:11" ht="38.25" x14ac:dyDescent="0.2">
      <c r="A159" s="120">
        <v>157</v>
      </c>
      <c r="B159" s="114" t="s">
        <v>514</v>
      </c>
      <c r="C159" s="114" t="s">
        <v>515</v>
      </c>
      <c r="D159" s="114" t="s">
        <v>209</v>
      </c>
      <c r="E159" s="114" t="s">
        <v>516</v>
      </c>
      <c r="F159" s="116">
        <v>10091.19</v>
      </c>
      <c r="G159" s="121">
        <v>1.1277845955126725E-3</v>
      </c>
      <c r="H159" s="121">
        <v>0.89342465468025034</v>
      </c>
      <c r="I159" s="114" t="s">
        <v>1290</v>
      </c>
      <c r="J159" s="114" t="s">
        <v>1319</v>
      </c>
      <c r="K159" s="129" t="s">
        <v>2315</v>
      </c>
    </row>
    <row r="160" spans="1:11" ht="102" x14ac:dyDescent="0.2">
      <c r="A160" s="120">
        <v>158</v>
      </c>
      <c r="B160" s="114" t="s">
        <v>115</v>
      </c>
      <c r="C160" s="114" t="s">
        <v>1354</v>
      </c>
      <c r="D160" s="114" t="s">
        <v>24</v>
      </c>
      <c r="E160" s="114" t="s">
        <v>117</v>
      </c>
      <c r="F160" s="116">
        <v>10073.77</v>
      </c>
      <c r="G160" s="121">
        <v>1.1258377480493078E-3</v>
      </c>
      <c r="H160" s="121">
        <v>0.89455049242829965</v>
      </c>
      <c r="I160" s="114" t="s">
        <v>1290</v>
      </c>
      <c r="J160" s="114" t="s">
        <v>1323</v>
      </c>
      <c r="K160" s="129" t="s">
        <v>2314</v>
      </c>
    </row>
    <row r="161" spans="1:11" ht="51" x14ac:dyDescent="0.2">
      <c r="A161" s="120">
        <v>159</v>
      </c>
      <c r="B161" s="114" t="s">
        <v>744</v>
      </c>
      <c r="C161" s="114" t="s">
        <v>1807</v>
      </c>
      <c r="D161" s="114" t="s">
        <v>56</v>
      </c>
      <c r="E161" s="114" t="s">
        <v>745</v>
      </c>
      <c r="F161" s="116">
        <v>10037.16</v>
      </c>
      <c r="G161" s="121">
        <v>1.1217462391151069E-3</v>
      </c>
      <c r="H161" s="121">
        <v>0.89567223866741474</v>
      </c>
      <c r="I161" s="114" t="s">
        <v>1290</v>
      </c>
      <c r="J161" s="114" t="s">
        <v>1323</v>
      </c>
      <c r="K161" s="129" t="s">
        <v>2314</v>
      </c>
    </row>
    <row r="162" spans="1:11" ht="102" x14ac:dyDescent="0.2">
      <c r="A162" s="120">
        <v>160</v>
      </c>
      <c r="B162" s="114" t="s">
        <v>1526</v>
      </c>
      <c r="C162" s="114" t="s">
        <v>474</v>
      </c>
      <c r="D162" s="114" t="s">
        <v>209</v>
      </c>
      <c r="E162" s="114" t="s">
        <v>475</v>
      </c>
      <c r="F162" s="116">
        <v>10030.64</v>
      </c>
      <c r="G162" s="121">
        <v>1.1210175683079233E-3</v>
      </c>
      <c r="H162" s="121">
        <v>0.89679325623572259</v>
      </c>
      <c r="I162" s="114" t="s">
        <v>1290</v>
      </c>
      <c r="J162" s="114" t="s">
        <v>1319</v>
      </c>
      <c r="K162" s="129" t="s">
        <v>2315</v>
      </c>
    </row>
    <row r="163" spans="1:11" ht="38.25" x14ac:dyDescent="0.2">
      <c r="A163" s="120">
        <v>161</v>
      </c>
      <c r="B163" s="114" t="s">
        <v>2047</v>
      </c>
      <c r="C163" s="114" t="s">
        <v>2048</v>
      </c>
      <c r="D163" s="114" t="s">
        <v>56</v>
      </c>
      <c r="E163" s="114" t="s">
        <v>2049</v>
      </c>
      <c r="F163" s="116">
        <v>10004.33</v>
      </c>
      <c r="G163" s="121">
        <v>1.1180771804341503E-3</v>
      </c>
      <c r="H163" s="121">
        <v>0.89791133341615681</v>
      </c>
      <c r="I163" s="114" t="s">
        <v>1290</v>
      </c>
      <c r="J163" s="114" t="s">
        <v>1323</v>
      </c>
      <c r="K163" s="129" t="s">
        <v>2314</v>
      </c>
    </row>
    <row r="164" spans="1:11" ht="51" x14ac:dyDescent="0.2">
      <c r="A164" s="120">
        <v>162</v>
      </c>
      <c r="B164" s="114" t="s">
        <v>281</v>
      </c>
      <c r="C164" s="114" t="s">
        <v>1395</v>
      </c>
      <c r="D164" s="114" t="s">
        <v>56</v>
      </c>
      <c r="E164" s="114" t="s">
        <v>200</v>
      </c>
      <c r="F164" s="116">
        <v>9914.58</v>
      </c>
      <c r="G164" s="121">
        <v>1.108046780902751E-3</v>
      </c>
      <c r="H164" s="121">
        <v>0.89901938019705951</v>
      </c>
      <c r="I164" s="114" t="s">
        <v>1290</v>
      </c>
      <c r="J164" s="114" t="s">
        <v>1323</v>
      </c>
      <c r="K164" s="129" t="s">
        <v>2314</v>
      </c>
    </row>
    <row r="165" spans="1:11" ht="63.75" x14ac:dyDescent="0.2">
      <c r="A165" s="120">
        <v>163</v>
      </c>
      <c r="B165" s="114" t="s">
        <v>1910</v>
      </c>
      <c r="C165" s="114" t="s">
        <v>856</v>
      </c>
      <c r="D165" s="114" t="s">
        <v>209</v>
      </c>
      <c r="E165" s="114" t="s">
        <v>857</v>
      </c>
      <c r="F165" s="116">
        <v>9792.3700000000008</v>
      </c>
      <c r="G165" s="121">
        <v>1.0943886736411096E-3</v>
      </c>
      <c r="H165" s="121">
        <v>0.90011376887070071</v>
      </c>
      <c r="I165" s="114" t="s">
        <v>1290</v>
      </c>
      <c r="J165" s="114" t="s">
        <v>1319</v>
      </c>
      <c r="K165" s="129" t="s">
        <v>2315</v>
      </c>
    </row>
    <row r="166" spans="1:11" ht="63.75" x14ac:dyDescent="0.2">
      <c r="A166" s="120">
        <v>164</v>
      </c>
      <c r="B166" s="114" t="s">
        <v>1911</v>
      </c>
      <c r="C166" s="114" t="s">
        <v>858</v>
      </c>
      <c r="D166" s="114" t="s">
        <v>209</v>
      </c>
      <c r="E166" s="114" t="s">
        <v>859</v>
      </c>
      <c r="F166" s="116">
        <v>9778.7999999999993</v>
      </c>
      <c r="G166" s="121">
        <v>1.0928720995838272E-3</v>
      </c>
      <c r="H166" s="121">
        <v>0.90120664097028447</v>
      </c>
      <c r="I166" s="114" t="s">
        <v>1290</v>
      </c>
      <c r="J166" s="114" t="s">
        <v>1319</v>
      </c>
      <c r="K166" s="129" t="s">
        <v>2315</v>
      </c>
    </row>
    <row r="167" spans="1:11" ht="38.25" x14ac:dyDescent="0.2">
      <c r="A167" s="120">
        <v>165</v>
      </c>
      <c r="B167" s="114" t="s">
        <v>2122</v>
      </c>
      <c r="C167" s="114" t="s">
        <v>2123</v>
      </c>
      <c r="D167" s="114" t="s">
        <v>56</v>
      </c>
      <c r="E167" s="114" t="s">
        <v>1015</v>
      </c>
      <c r="F167" s="116">
        <v>9774.9599999999991</v>
      </c>
      <c r="G167" s="121">
        <v>1.0924429437710074E-3</v>
      </c>
      <c r="H167" s="121">
        <v>0.90229908391405544</v>
      </c>
      <c r="I167" s="114" t="s">
        <v>1290</v>
      </c>
      <c r="J167" s="114" t="s">
        <v>1323</v>
      </c>
      <c r="K167" s="129" t="s">
        <v>2314</v>
      </c>
    </row>
    <row r="168" spans="1:11" ht="127.5" x14ac:dyDescent="0.2">
      <c r="A168" s="120">
        <v>166</v>
      </c>
      <c r="B168" s="114" t="s">
        <v>81</v>
      </c>
      <c r="C168" s="114" t="s">
        <v>1342</v>
      </c>
      <c r="D168" s="114" t="s">
        <v>24</v>
      </c>
      <c r="E168" s="114" t="s">
        <v>1343</v>
      </c>
      <c r="F168" s="116">
        <v>9698.0400000000009</v>
      </c>
      <c r="G168" s="121">
        <v>1.0838464163954616E-3</v>
      </c>
      <c r="H168" s="121">
        <v>0.90338293033045092</v>
      </c>
      <c r="I168" s="114" t="s">
        <v>1290</v>
      </c>
      <c r="J168" s="114" t="s">
        <v>1323</v>
      </c>
      <c r="K168" s="129" t="s">
        <v>2314</v>
      </c>
    </row>
    <row r="169" spans="1:11" ht="38.25" x14ac:dyDescent="0.2">
      <c r="A169" s="120">
        <v>167</v>
      </c>
      <c r="B169" s="114" t="s">
        <v>1435</v>
      </c>
      <c r="C169" s="114" t="s">
        <v>272</v>
      </c>
      <c r="D169" s="114" t="s">
        <v>209</v>
      </c>
      <c r="E169" s="114" t="s">
        <v>273</v>
      </c>
      <c r="F169" s="116">
        <v>9622.68</v>
      </c>
      <c r="G169" s="121">
        <v>1.0754242335688738E-3</v>
      </c>
      <c r="H169" s="121">
        <v>0.9044583545640198</v>
      </c>
      <c r="I169" s="114" t="s">
        <v>1290</v>
      </c>
      <c r="J169" s="114" t="s">
        <v>1319</v>
      </c>
      <c r="K169" s="129" t="s">
        <v>2315</v>
      </c>
    </row>
    <row r="170" spans="1:11" ht="25.5" x14ac:dyDescent="0.2">
      <c r="A170" s="120">
        <v>168</v>
      </c>
      <c r="B170" s="114" t="s">
        <v>1891</v>
      </c>
      <c r="C170" s="114" t="s">
        <v>1892</v>
      </c>
      <c r="D170" s="114" t="s">
        <v>56</v>
      </c>
      <c r="E170" s="114" t="s">
        <v>843</v>
      </c>
      <c r="F170" s="116">
        <v>9586.18</v>
      </c>
      <c r="G170" s="121">
        <v>1.071345018160561E-3</v>
      </c>
      <c r="H170" s="121">
        <v>0.90552969958218033</v>
      </c>
      <c r="I170" s="114" t="s">
        <v>1290</v>
      </c>
      <c r="J170" s="114" t="s">
        <v>1323</v>
      </c>
      <c r="K170" s="129" t="s">
        <v>2314</v>
      </c>
    </row>
    <row r="171" spans="1:11" ht="38.25" x14ac:dyDescent="0.2">
      <c r="A171" s="120">
        <v>169</v>
      </c>
      <c r="B171" s="114" t="s">
        <v>187</v>
      </c>
      <c r="C171" s="114" t="s">
        <v>1385</v>
      </c>
      <c r="D171" s="114" t="s">
        <v>56</v>
      </c>
      <c r="E171" s="114" t="s">
        <v>188</v>
      </c>
      <c r="F171" s="116">
        <v>9528.1</v>
      </c>
      <c r="G171" s="121">
        <v>1.064854036491662E-3</v>
      </c>
      <c r="H171" s="121">
        <v>0.90659455361867192</v>
      </c>
      <c r="I171" s="114" t="s">
        <v>1290</v>
      </c>
      <c r="J171" s="114" t="s">
        <v>1323</v>
      </c>
      <c r="K171" s="129" t="s">
        <v>2314</v>
      </c>
    </row>
    <row r="172" spans="1:11" ht="51" x14ac:dyDescent="0.2">
      <c r="A172" s="120">
        <v>170</v>
      </c>
      <c r="B172" s="114" t="s">
        <v>484</v>
      </c>
      <c r="C172" s="114" t="s">
        <v>1531</v>
      </c>
      <c r="D172" s="114" t="s">
        <v>56</v>
      </c>
      <c r="E172" s="114" t="s">
        <v>485</v>
      </c>
      <c r="F172" s="116">
        <v>9476.19</v>
      </c>
      <c r="G172" s="121">
        <v>1.0590526098657573E-3</v>
      </c>
      <c r="H172" s="121">
        <v>0.90765360622853775</v>
      </c>
      <c r="I172" s="114" t="s">
        <v>1290</v>
      </c>
      <c r="J172" s="114" t="s">
        <v>1323</v>
      </c>
      <c r="K172" s="129" t="s">
        <v>2314</v>
      </c>
    </row>
    <row r="173" spans="1:11" ht="38.25" x14ac:dyDescent="0.2">
      <c r="A173" s="120">
        <v>171</v>
      </c>
      <c r="B173" s="114" t="s">
        <v>1877</v>
      </c>
      <c r="C173" s="114" t="s">
        <v>2147</v>
      </c>
      <c r="D173" s="114" t="s">
        <v>24</v>
      </c>
      <c r="E173" s="114" t="s">
        <v>1038</v>
      </c>
      <c r="F173" s="116">
        <v>9153.16</v>
      </c>
      <c r="G173" s="121">
        <v>1.0229509947055574E-3</v>
      </c>
      <c r="H173" s="121">
        <v>0.9236548148207141</v>
      </c>
      <c r="I173" s="114" t="s">
        <v>1290</v>
      </c>
      <c r="J173" s="114" t="s">
        <v>1323</v>
      </c>
      <c r="K173" s="129" t="s">
        <v>2314</v>
      </c>
    </row>
    <row r="174" spans="1:11" ht="38.25" x14ac:dyDescent="0.2">
      <c r="A174" s="120">
        <v>172</v>
      </c>
      <c r="B174" s="114" t="s">
        <v>459</v>
      </c>
      <c r="C174" s="114" t="s">
        <v>1514</v>
      </c>
      <c r="D174" s="114" t="s">
        <v>56</v>
      </c>
      <c r="E174" s="114" t="s">
        <v>1515</v>
      </c>
      <c r="F174" s="116">
        <v>9135.6</v>
      </c>
      <c r="G174" s="121">
        <v>1.0209885009365169E-3</v>
      </c>
      <c r="H174" s="121">
        <v>0.90969754572417982</v>
      </c>
      <c r="I174" s="114" t="s">
        <v>1290</v>
      </c>
      <c r="J174" s="114" t="s">
        <v>1323</v>
      </c>
      <c r="K174" s="129" t="s">
        <v>2314</v>
      </c>
    </row>
    <row r="175" spans="1:11" ht="25.5" x14ac:dyDescent="0.2">
      <c r="A175" s="120">
        <v>173</v>
      </c>
      <c r="B175" s="114" t="s">
        <v>1481</v>
      </c>
      <c r="C175" s="114" t="s">
        <v>1482</v>
      </c>
      <c r="D175" s="114" t="s">
        <v>56</v>
      </c>
      <c r="E175" s="114" t="s">
        <v>388</v>
      </c>
      <c r="F175" s="116">
        <v>9071.59</v>
      </c>
      <c r="G175" s="121">
        <v>1.0138347864629251E-3</v>
      </c>
      <c r="H175" s="121">
        <v>0.91071138051064271</v>
      </c>
      <c r="I175" s="114" t="s">
        <v>1290</v>
      </c>
      <c r="J175" s="114" t="s">
        <v>1323</v>
      </c>
      <c r="K175" s="129" t="s">
        <v>2314</v>
      </c>
    </row>
    <row r="176" spans="1:11" ht="25.5" x14ac:dyDescent="0.2">
      <c r="A176" s="120">
        <v>174</v>
      </c>
      <c r="B176" s="114" t="s">
        <v>1440</v>
      </c>
      <c r="C176" s="114" t="s">
        <v>1391</v>
      </c>
      <c r="D176" s="114" t="s">
        <v>56</v>
      </c>
      <c r="E176" s="114" t="s">
        <v>192</v>
      </c>
      <c r="F176" s="116">
        <v>8756.99</v>
      </c>
      <c r="G176" s="121">
        <v>9.7867530242305581E-4</v>
      </c>
      <c r="H176" s="121">
        <v>0.91169005581306573</v>
      </c>
      <c r="I176" s="114" t="s">
        <v>1290</v>
      </c>
      <c r="J176" s="114" t="s">
        <v>1323</v>
      </c>
      <c r="K176" s="129" t="s">
        <v>2314</v>
      </c>
    </row>
    <row r="177" spans="1:11" ht="25.5" x14ac:dyDescent="0.2">
      <c r="A177" s="120">
        <v>175</v>
      </c>
      <c r="B177" s="114" t="s">
        <v>1406</v>
      </c>
      <c r="C177" s="114" t="s">
        <v>1974</v>
      </c>
      <c r="D177" s="114" t="s">
        <v>56</v>
      </c>
      <c r="E177" s="114" t="s">
        <v>923</v>
      </c>
      <c r="F177" s="116">
        <v>8620.42</v>
      </c>
      <c r="G177" s="121">
        <v>9.6341233123639061E-4</v>
      </c>
      <c r="H177" s="121">
        <v>0.91265346814430215</v>
      </c>
      <c r="I177" s="114" t="s">
        <v>1290</v>
      </c>
      <c r="J177" s="114" t="s">
        <v>1323</v>
      </c>
      <c r="K177" s="129" t="s">
        <v>2314</v>
      </c>
    </row>
    <row r="178" spans="1:11" ht="38.25" x14ac:dyDescent="0.2">
      <c r="A178" s="120">
        <v>176</v>
      </c>
      <c r="B178" s="114" t="s">
        <v>144</v>
      </c>
      <c r="C178" s="114" t="s">
        <v>1365</v>
      </c>
      <c r="D178" s="114" t="s">
        <v>56</v>
      </c>
      <c r="E178" s="114" t="s">
        <v>1366</v>
      </c>
      <c r="F178" s="116">
        <v>8492.5499999999993</v>
      </c>
      <c r="G178" s="121">
        <v>9.4912166618814483E-4</v>
      </c>
      <c r="H178" s="121">
        <v>0.91360258981049025</v>
      </c>
      <c r="I178" s="114" t="s">
        <v>1290</v>
      </c>
      <c r="J178" s="114" t="s">
        <v>1323</v>
      </c>
      <c r="K178" s="129" t="s">
        <v>2314</v>
      </c>
    </row>
    <row r="179" spans="1:11" ht="63.75" x14ac:dyDescent="0.2">
      <c r="A179" s="120">
        <v>177</v>
      </c>
      <c r="B179" s="114" t="s">
        <v>2251</v>
      </c>
      <c r="C179" s="114" t="s">
        <v>2252</v>
      </c>
      <c r="D179" s="114" t="s">
        <v>56</v>
      </c>
      <c r="E179" s="114" t="s">
        <v>1113</v>
      </c>
      <c r="F179" s="116">
        <v>8428.8700000000008</v>
      </c>
      <c r="G179" s="121">
        <v>9.4200483229221733E-4</v>
      </c>
      <c r="H179" s="121">
        <v>0.91454459464278248</v>
      </c>
      <c r="I179" s="114" t="s">
        <v>1290</v>
      </c>
      <c r="J179" s="114" t="s">
        <v>1323</v>
      </c>
      <c r="K179" s="129" t="s">
        <v>2314</v>
      </c>
    </row>
    <row r="180" spans="1:11" ht="38.25" x14ac:dyDescent="0.2">
      <c r="A180" s="120">
        <v>178</v>
      </c>
      <c r="B180" s="114" t="s">
        <v>138</v>
      </c>
      <c r="C180" s="114" t="s">
        <v>1362</v>
      </c>
      <c r="D180" s="114" t="s">
        <v>56</v>
      </c>
      <c r="E180" s="114" t="s">
        <v>139</v>
      </c>
      <c r="F180" s="116">
        <v>8394.2000000000007</v>
      </c>
      <c r="G180" s="121">
        <v>9.3813013645095136E-4</v>
      </c>
      <c r="H180" s="121">
        <v>0.91548272477923354</v>
      </c>
      <c r="I180" s="114" t="s">
        <v>1290</v>
      </c>
      <c r="J180" s="114" t="s">
        <v>1323</v>
      </c>
      <c r="K180" s="129" t="s">
        <v>2314</v>
      </c>
    </row>
    <row r="181" spans="1:11" ht="63.75" x14ac:dyDescent="0.2">
      <c r="A181" s="120">
        <v>179</v>
      </c>
      <c r="B181" s="114" t="s">
        <v>1913</v>
      </c>
      <c r="C181" s="114" t="s">
        <v>862</v>
      </c>
      <c r="D181" s="114" t="s">
        <v>209</v>
      </c>
      <c r="E181" s="114" t="s">
        <v>863</v>
      </c>
      <c r="F181" s="116">
        <v>8332.35</v>
      </c>
      <c r="G181" s="121">
        <v>9.3121782212207053E-4</v>
      </c>
      <c r="H181" s="121">
        <v>0.91641394260135556</v>
      </c>
      <c r="I181" s="114" t="s">
        <v>1290</v>
      </c>
      <c r="J181" s="114" t="s">
        <v>1319</v>
      </c>
      <c r="K181" s="129" t="s">
        <v>2315</v>
      </c>
    </row>
    <row r="182" spans="1:11" ht="51" x14ac:dyDescent="0.2">
      <c r="A182" s="120">
        <v>180</v>
      </c>
      <c r="B182" s="114" t="s">
        <v>478</v>
      </c>
      <c r="C182" s="114" t="s">
        <v>1527</v>
      </c>
      <c r="D182" s="114" t="s">
        <v>24</v>
      </c>
      <c r="E182" s="114" t="s">
        <v>1528</v>
      </c>
      <c r="F182" s="116">
        <v>8241.5400000000009</v>
      </c>
      <c r="G182" s="121">
        <v>9.2106895770484071E-4</v>
      </c>
      <c r="H182" s="121">
        <v>0.91733501155906039</v>
      </c>
      <c r="I182" s="114" t="s">
        <v>1290</v>
      </c>
      <c r="J182" s="114" t="s">
        <v>1323</v>
      </c>
      <c r="K182" s="129" t="s">
        <v>2314</v>
      </c>
    </row>
    <row r="183" spans="1:11" ht="102" x14ac:dyDescent="0.2">
      <c r="A183" s="120">
        <v>181</v>
      </c>
      <c r="B183" s="114" t="s">
        <v>494</v>
      </c>
      <c r="C183" s="114" t="s">
        <v>1535</v>
      </c>
      <c r="D183" s="114" t="s">
        <v>24</v>
      </c>
      <c r="E183" s="114" t="s">
        <v>1536</v>
      </c>
      <c r="F183" s="116">
        <v>8217.8799999999992</v>
      </c>
      <c r="G183" s="121">
        <v>9.1842473204564376E-4</v>
      </c>
      <c r="H183" s="121">
        <v>0.91825343629110601</v>
      </c>
      <c r="I183" s="114" t="s">
        <v>1290</v>
      </c>
      <c r="J183" s="114" t="s">
        <v>1323</v>
      </c>
      <c r="K183" s="129" t="s">
        <v>2314</v>
      </c>
    </row>
    <row r="184" spans="1:11" ht="38.25" x14ac:dyDescent="0.2">
      <c r="A184" s="120">
        <v>182</v>
      </c>
      <c r="B184" s="114" t="s">
        <v>1955</v>
      </c>
      <c r="C184" s="114" t="s">
        <v>907</v>
      </c>
      <c r="D184" s="114" t="s">
        <v>209</v>
      </c>
      <c r="E184" s="114" t="s">
        <v>908</v>
      </c>
      <c r="F184" s="116">
        <v>8206.94</v>
      </c>
      <c r="G184" s="121">
        <v>9.1720208501641263E-4</v>
      </c>
      <c r="H184" s="121">
        <v>0.91917063837612245</v>
      </c>
      <c r="I184" s="114" t="s">
        <v>1290</v>
      </c>
      <c r="J184" s="114" t="s">
        <v>1319</v>
      </c>
      <c r="K184" s="129" t="s">
        <v>2315</v>
      </c>
    </row>
    <row r="185" spans="1:11" ht="51" x14ac:dyDescent="0.2">
      <c r="A185" s="120">
        <v>183</v>
      </c>
      <c r="B185" s="114" t="s">
        <v>283</v>
      </c>
      <c r="C185" s="114" t="s">
        <v>1402</v>
      </c>
      <c r="D185" s="114" t="s">
        <v>56</v>
      </c>
      <c r="E185" s="114" t="s">
        <v>1403</v>
      </c>
      <c r="F185" s="116">
        <v>8119.37</v>
      </c>
      <c r="G185" s="121">
        <v>9.0741532081624939E-4</v>
      </c>
      <c r="H185" s="121">
        <v>0.92007805369693874</v>
      </c>
      <c r="I185" s="114" t="s">
        <v>1290</v>
      </c>
      <c r="J185" s="114" t="s">
        <v>1323</v>
      </c>
      <c r="K185" s="129" t="s">
        <v>2314</v>
      </c>
    </row>
    <row r="186" spans="1:11" ht="63.75" x14ac:dyDescent="0.2">
      <c r="A186" s="120">
        <v>184</v>
      </c>
      <c r="B186" s="114" t="s">
        <v>293</v>
      </c>
      <c r="C186" s="114" t="s">
        <v>1442</v>
      </c>
      <c r="D186" s="114" t="s">
        <v>56</v>
      </c>
      <c r="E186" s="114" t="s">
        <v>294</v>
      </c>
      <c r="F186" s="116">
        <v>8113.2</v>
      </c>
      <c r="G186" s="121">
        <v>9.0672576577325507E-4</v>
      </c>
      <c r="H186" s="121">
        <v>0.92098477946271196</v>
      </c>
      <c r="I186" s="114" t="s">
        <v>1290</v>
      </c>
      <c r="J186" s="114" t="s">
        <v>1323</v>
      </c>
      <c r="K186" s="129" t="s">
        <v>2314</v>
      </c>
    </row>
    <row r="187" spans="1:11" ht="51" x14ac:dyDescent="0.2">
      <c r="A187" s="120">
        <v>185</v>
      </c>
      <c r="B187" s="114" t="s">
        <v>805</v>
      </c>
      <c r="C187" s="114" t="s">
        <v>1865</v>
      </c>
      <c r="D187" s="114" t="s">
        <v>56</v>
      </c>
      <c r="E187" s="114" t="s">
        <v>806</v>
      </c>
      <c r="F187" s="116">
        <v>8044.68</v>
      </c>
      <c r="G187" s="121">
        <v>8.9906801673825254E-4</v>
      </c>
      <c r="H187" s="121">
        <v>0.92188384747945018</v>
      </c>
      <c r="I187" s="114" t="s">
        <v>1290</v>
      </c>
      <c r="J187" s="114" t="s">
        <v>1323</v>
      </c>
      <c r="K187" s="129" t="s">
        <v>2314</v>
      </c>
    </row>
    <row r="188" spans="1:11" ht="51" x14ac:dyDescent="0.2">
      <c r="A188" s="120">
        <v>186</v>
      </c>
      <c r="B188" s="114" t="s">
        <v>262</v>
      </c>
      <c r="C188" s="114" t="s">
        <v>1411</v>
      </c>
      <c r="D188" s="114" t="s">
        <v>56</v>
      </c>
      <c r="E188" s="114" t="s">
        <v>233</v>
      </c>
      <c r="F188" s="116">
        <v>8038.42</v>
      </c>
      <c r="G188" s="121">
        <v>8.9836840335589521E-4</v>
      </c>
      <c r="H188" s="121">
        <v>0.92278221588280607</v>
      </c>
      <c r="I188" s="114" t="s">
        <v>1290</v>
      </c>
      <c r="J188" s="114" t="s">
        <v>1323</v>
      </c>
      <c r="K188" s="129" t="s">
        <v>2314</v>
      </c>
    </row>
    <row r="189" spans="1:11" ht="25.5" x14ac:dyDescent="0.2">
      <c r="A189" s="120">
        <v>187</v>
      </c>
      <c r="B189" s="114" t="s">
        <v>1877</v>
      </c>
      <c r="C189" s="114" t="s">
        <v>1878</v>
      </c>
      <c r="D189" s="114" t="s">
        <v>335</v>
      </c>
      <c r="E189" s="114" t="s">
        <v>834</v>
      </c>
      <c r="F189" s="116">
        <v>7807.84</v>
      </c>
      <c r="G189" s="121">
        <v>8.7259893790798352E-4</v>
      </c>
      <c r="H189" s="121">
        <v>0.9236548148207141</v>
      </c>
      <c r="I189" s="114" t="s">
        <v>1290</v>
      </c>
      <c r="J189" s="114" t="s">
        <v>1323</v>
      </c>
      <c r="K189" s="129" t="s">
        <v>2314</v>
      </c>
    </row>
    <row r="190" spans="1:11" ht="38.25" x14ac:dyDescent="0.2">
      <c r="A190" s="120">
        <v>188</v>
      </c>
      <c r="B190" s="114" t="s">
        <v>2198</v>
      </c>
      <c r="C190" s="114" t="s">
        <v>2199</v>
      </c>
      <c r="D190" s="114" t="s">
        <v>56</v>
      </c>
      <c r="E190" s="114" t="s">
        <v>2200</v>
      </c>
      <c r="F190" s="116">
        <v>7801.51</v>
      </c>
      <c r="G190" s="121">
        <v>8.7189150137278852E-4</v>
      </c>
      <c r="H190" s="121">
        <v>0.92452670632208678</v>
      </c>
      <c r="I190" s="114" t="s">
        <v>1290</v>
      </c>
      <c r="J190" s="114" t="s">
        <v>1323</v>
      </c>
      <c r="K190" s="129" t="s">
        <v>2314</v>
      </c>
    </row>
    <row r="191" spans="1:11" ht="51" x14ac:dyDescent="0.2">
      <c r="A191" s="120">
        <v>189</v>
      </c>
      <c r="B191" s="114" t="s">
        <v>1993</v>
      </c>
      <c r="C191" s="114" t="s">
        <v>940</v>
      </c>
      <c r="D191" s="114" t="s">
        <v>209</v>
      </c>
      <c r="E191" s="114" t="s">
        <v>941</v>
      </c>
      <c r="F191" s="116">
        <v>7801.04</v>
      </c>
      <c r="G191" s="121">
        <v>8.7183897448944855E-4</v>
      </c>
      <c r="H191" s="121">
        <v>0.92539854529657628</v>
      </c>
      <c r="I191" s="114" t="s">
        <v>1290</v>
      </c>
      <c r="J191" s="114" t="s">
        <v>1319</v>
      </c>
      <c r="K191" s="129" t="s">
        <v>2315</v>
      </c>
    </row>
    <row r="192" spans="1:11" ht="38.25" x14ac:dyDescent="0.2">
      <c r="A192" s="120">
        <v>190</v>
      </c>
      <c r="B192" s="114" t="s">
        <v>280</v>
      </c>
      <c r="C192" s="114" t="s">
        <v>1385</v>
      </c>
      <c r="D192" s="114" t="s">
        <v>56</v>
      </c>
      <c r="E192" s="114" t="s">
        <v>188</v>
      </c>
      <c r="F192" s="116">
        <v>7702.11</v>
      </c>
      <c r="G192" s="121">
        <v>8.6078262434302686E-4</v>
      </c>
      <c r="H192" s="121">
        <v>0.92625932792091936</v>
      </c>
      <c r="I192" s="114" t="s">
        <v>1290</v>
      </c>
      <c r="J192" s="114" t="s">
        <v>1323</v>
      </c>
      <c r="K192" s="129" t="s">
        <v>2314</v>
      </c>
    </row>
    <row r="193" spans="1:11" ht="76.5" x14ac:dyDescent="0.2">
      <c r="A193" s="120">
        <v>191</v>
      </c>
      <c r="B193" s="114" t="s">
        <v>1919</v>
      </c>
      <c r="C193" s="114" t="s">
        <v>1920</v>
      </c>
      <c r="D193" s="114" t="s">
        <v>24</v>
      </c>
      <c r="E193" s="114" t="s">
        <v>1921</v>
      </c>
      <c r="F193" s="116">
        <v>7549.29</v>
      </c>
      <c r="G193" s="121">
        <v>8.4370356410471542E-4</v>
      </c>
      <c r="H193" s="121">
        <v>0.92710303148502404</v>
      </c>
      <c r="I193" s="114" t="s">
        <v>1290</v>
      </c>
      <c r="J193" s="114" t="s">
        <v>1323</v>
      </c>
      <c r="K193" s="129" t="s">
        <v>2314</v>
      </c>
    </row>
    <row r="194" spans="1:11" ht="63.75" x14ac:dyDescent="0.2">
      <c r="A194" s="120">
        <v>192</v>
      </c>
      <c r="B194" s="114" t="s">
        <v>2154</v>
      </c>
      <c r="C194" s="114" t="s">
        <v>2155</v>
      </c>
      <c r="D194" s="114" t="s">
        <v>56</v>
      </c>
      <c r="E194" s="114" t="s">
        <v>1044</v>
      </c>
      <c r="F194" s="116">
        <v>7521.21</v>
      </c>
      <c r="G194" s="121">
        <v>8.4056536222347088E-4</v>
      </c>
      <c r="H194" s="121">
        <v>0.92794359684724748</v>
      </c>
      <c r="I194" s="114" t="s">
        <v>1290</v>
      </c>
      <c r="J194" s="114" t="s">
        <v>1323</v>
      </c>
      <c r="K194" s="129" t="s">
        <v>2314</v>
      </c>
    </row>
    <row r="195" spans="1:11" ht="38.25" x14ac:dyDescent="0.2">
      <c r="A195" s="120">
        <v>193</v>
      </c>
      <c r="B195" s="114" t="s">
        <v>2209</v>
      </c>
      <c r="C195" s="114" t="s">
        <v>2210</v>
      </c>
      <c r="D195" s="114" t="s">
        <v>56</v>
      </c>
      <c r="E195" s="114" t="s">
        <v>1089</v>
      </c>
      <c r="F195" s="116">
        <v>7412.6</v>
      </c>
      <c r="G195" s="121">
        <v>8.2842718179889946E-4</v>
      </c>
      <c r="H195" s="121">
        <v>0.92877202402904635</v>
      </c>
      <c r="I195" s="114" t="s">
        <v>1290</v>
      </c>
      <c r="J195" s="114" t="s">
        <v>1323</v>
      </c>
      <c r="K195" s="129" t="s">
        <v>2314</v>
      </c>
    </row>
    <row r="196" spans="1:11" ht="51" x14ac:dyDescent="0.2">
      <c r="A196" s="120">
        <v>194</v>
      </c>
      <c r="B196" s="114" t="s">
        <v>254</v>
      </c>
      <c r="C196" s="114" t="s">
        <v>1400</v>
      </c>
      <c r="D196" s="114" t="s">
        <v>56</v>
      </c>
      <c r="E196" s="114" t="s">
        <v>216</v>
      </c>
      <c r="F196" s="116">
        <v>7409.52</v>
      </c>
      <c r="G196" s="121">
        <v>8.2808296307403367E-4</v>
      </c>
      <c r="H196" s="121">
        <v>0.92960010699212037</v>
      </c>
      <c r="I196" s="114" t="s">
        <v>1290</v>
      </c>
      <c r="J196" s="114" t="s">
        <v>1323</v>
      </c>
      <c r="K196" s="129" t="s">
        <v>2314</v>
      </c>
    </row>
    <row r="197" spans="1:11" ht="25.5" x14ac:dyDescent="0.2">
      <c r="A197" s="120">
        <v>195</v>
      </c>
      <c r="B197" s="114" t="s">
        <v>1934</v>
      </c>
      <c r="C197" s="114" t="s">
        <v>1935</v>
      </c>
      <c r="D197" s="114" t="s">
        <v>335</v>
      </c>
      <c r="E197" s="114" t="s">
        <v>882</v>
      </c>
      <c r="F197" s="116">
        <v>7357.35</v>
      </c>
      <c r="G197" s="121">
        <v>8.2225247902330267E-4</v>
      </c>
      <c r="H197" s="121">
        <v>0.9304223594711436</v>
      </c>
      <c r="I197" s="114" t="s">
        <v>1290</v>
      </c>
      <c r="J197" s="114" t="s">
        <v>1323</v>
      </c>
      <c r="K197" s="129" t="s">
        <v>2314</v>
      </c>
    </row>
    <row r="198" spans="1:11" ht="51" x14ac:dyDescent="0.2">
      <c r="A198" s="120">
        <v>196</v>
      </c>
      <c r="B198" s="114" t="s">
        <v>1907</v>
      </c>
      <c r="C198" s="114" t="s">
        <v>852</v>
      </c>
      <c r="D198" s="114" t="s">
        <v>209</v>
      </c>
      <c r="E198" s="114" t="s">
        <v>1908</v>
      </c>
      <c r="F198" s="116">
        <v>7211.92</v>
      </c>
      <c r="G198" s="121">
        <v>8.059993202060166E-4</v>
      </c>
      <c r="H198" s="121">
        <v>0.93122835879134969</v>
      </c>
      <c r="I198" s="114" t="s">
        <v>1290</v>
      </c>
      <c r="J198" s="114" t="s">
        <v>1319</v>
      </c>
      <c r="K198" s="129" t="s">
        <v>2315</v>
      </c>
    </row>
    <row r="199" spans="1:11" ht="51" x14ac:dyDescent="0.2">
      <c r="A199" s="120">
        <v>197</v>
      </c>
      <c r="B199" s="114" t="s">
        <v>803</v>
      </c>
      <c r="C199" s="114" t="s">
        <v>1864</v>
      </c>
      <c r="D199" s="114" t="s">
        <v>56</v>
      </c>
      <c r="E199" s="114" t="s">
        <v>804</v>
      </c>
      <c r="F199" s="116">
        <v>6972.91</v>
      </c>
      <c r="G199" s="121">
        <v>7.7928772363777398E-4</v>
      </c>
      <c r="H199" s="121">
        <v>0.93200764651498746</v>
      </c>
      <c r="I199" s="114" t="s">
        <v>1290</v>
      </c>
      <c r="J199" s="114" t="s">
        <v>1323</v>
      </c>
      <c r="K199" s="129" t="s">
        <v>2314</v>
      </c>
    </row>
    <row r="200" spans="1:11" ht="76.5" x14ac:dyDescent="0.2">
      <c r="A200" s="120">
        <v>198</v>
      </c>
      <c r="B200" s="114" t="s">
        <v>124</v>
      </c>
      <c r="C200" s="114" t="s">
        <v>1357</v>
      </c>
      <c r="D200" s="114" t="s">
        <v>24</v>
      </c>
      <c r="E200" s="114" t="s">
        <v>1358</v>
      </c>
      <c r="F200" s="116">
        <v>6913.4</v>
      </c>
      <c r="G200" s="121">
        <v>7.7263692613233027E-4</v>
      </c>
      <c r="H200" s="121">
        <v>0.93278028344111985</v>
      </c>
      <c r="I200" s="114" t="s">
        <v>1290</v>
      </c>
      <c r="J200" s="114" t="s">
        <v>1323</v>
      </c>
      <c r="K200" s="129" t="s">
        <v>2314</v>
      </c>
    </row>
    <row r="201" spans="1:11" ht="38.25" x14ac:dyDescent="0.2">
      <c r="A201" s="120">
        <v>199</v>
      </c>
      <c r="B201" s="114" t="s">
        <v>755</v>
      </c>
      <c r="C201" s="114" t="s">
        <v>1812</v>
      </c>
      <c r="D201" s="114" t="s">
        <v>56</v>
      </c>
      <c r="E201" s="114" t="s">
        <v>1813</v>
      </c>
      <c r="F201" s="116">
        <v>6902.27</v>
      </c>
      <c r="G201" s="121">
        <v>7.713930448311105E-4</v>
      </c>
      <c r="H201" s="121">
        <v>0.93355167648595083</v>
      </c>
      <c r="I201" s="114" t="s">
        <v>1290</v>
      </c>
      <c r="J201" s="114" t="s">
        <v>1323</v>
      </c>
      <c r="K201" s="129" t="s">
        <v>2314</v>
      </c>
    </row>
    <row r="202" spans="1:11" ht="63.75" x14ac:dyDescent="0.2">
      <c r="A202" s="120">
        <v>200</v>
      </c>
      <c r="B202" s="114" t="s">
        <v>2196</v>
      </c>
      <c r="C202" s="114" t="s">
        <v>2197</v>
      </c>
      <c r="D202" s="114" t="s">
        <v>24</v>
      </c>
      <c r="E202" s="114" t="s">
        <v>1079</v>
      </c>
      <c r="F202" s="116">
        <v>6893.14</v>
      </c>
      <c r="G202" s="121">
        <v>7.7037268218240103E-4</v>
      </c>
      <c r="H202" s="121">
        <v>0.93432204916813322</v>
      </c>
      <c r="I202" s="114" t="s">
        <v>1290</v>
      </c>
      <c r="J202" s="114" t="s">
        <v>1323</v>
      </c>
      <c r="K202" s="129" t="s">
        <v>2314</v>
      </c>
    </row>
    <row r="203" spans="1:11" ht="51" x14ac:dyDescent="0.2">
      <c r="A203" s="120">
        <v>201</v>
      </c>
      <c r="B203" s="114" t="s">
        <v>221</v>
      </c>
      <c r="C203" s="114" t="s">
        <v>1396</v>
      </c>
      <c r="D203" s="114" t="s">
        <v>56</v>
      </c>
      <c r="E203" s="114" t="s">
        <v>202</v>
      </c>
      <c r="F203" s="116">
        <v>6852.75</v>
      </c>
      <c r="G203" s="121">
        <v>7.6585872299495558E-4</v>
      </c>
      <c r="H203" s="121">
        <v>0.93508790789112817</v>
      </c>
      <c r="I203" s="114" t="s">
        <v>1290</v>
      </c>
      <c r="J203" s="114" t="s">
        <v>1323</v>
      </c>
      <c r="K203" s="129" t="s">
        <v>2314</v>
      </c>
    </row>
    <row r="204" spans="1:11" ht="51" x14ac:dyDescent="0.2">
      <c r="A204" s="120">
        <v>202</v>
      </c>
      <c r="B204" s="114" t="s">
        <v>284</v>
      </c>
      <c r="C204" s="114" t="s">
        <v>1397</v>
      </c>
      <c r="D204" s="114" t="s">
        <v>56</v>
      </c>
      <c r="E204" s="114" t="s">
        <v>204</v>
      </c>
      <c r="F204" s="116">
        <v>6793.51</v>
      </c>
      <c r="G204" s="121">
        <v>7.592381005076008E-4</v>
      </c>
      <c r="H204" s="121">
        <v>0.93584714599163576</v>
      </c>
      <c r="I204" s="114" t="s">
        <v>1290</v>
      </c>
      <c r="J204" s="114" t="s">
        <v>1323</v>
      </c>
      <c r="K204" s="129" t="s">
        <v>2314</v>
      </c>
    </row>
    <row r="205" spans="1:11" ht="102" x14ac:dyDescent="0.2">
      <c r="A205" s="120">
        <v>203</v>
      </c>
      <c r="B205" s="114" t="s">
        <v>36</v>
      </c>
      <c r="C205" s="114" t="s">
        <v>1324</v>
      </c>
      <c r="D205" s="114" t="s">
        <v>24</v>
      </c>
      <c r="E205" s="114" t="s">
        <v>1325</v>
      </c>
      <c r="F205" s="116">
        <v>6752.42</v>
      </c>
      <c r="G205" s="121">
        <v>7.5464590979177682E-4</v>
      </c>
      <c r="H205" s="121">
        <v>0.93660179190142756</v>
      </c>
      <c r="I205" s="114" t="s">
        <v>1290</v>
      </c>
      <c r="J205" s="114" t="s">
        <v>1323</v>
      </c>
      <c r="K205" s="129" t="s">
        <v>2314</v>
      </c>
    </row>
    <row r="206" spans="1:11" ht="89.25" x14ac:dyDescent="0.2">
      <c r="A206" s="120">
        <v>204</v>
      </c>
      <c r="B206" s="114" t="s">
        <v>42</v>
      </c>
      <c r="C206" s="114" t="s">
        <v>1327</v>
      </c>
      <c r="D206" s="114" t="s">
        <v>24</v>
      </c>
      <c r="E206" s="114" t="s">
        <v>44</v>
      </c>
      <c r="F206" s="116">
        <v>6752.42</v>
      </c>
      <c r="G206" s="121">
        <v>7.5464590979177682E-4</v>
      </c>
      <c r="H206" s="121">
        <v>0.93735643781121925</v>
      </c>
      <c r="I206" s="114" t="s">
        <v>1290</v>
      </c>
      <c r="J206" s="114" t="s">
        <v>1323</v>
      </c>
      <c r="K206" s="129" t="s">
        <v>2314</v>
      </c>
    </row>
    <row r="207" spans="1:11" ht="51" x14ac:dyDescent="0.2">
      <c r="A207" s="120">
        <v>205</v>
      </c>
      <c r="B207" s="114" t="s">
        <v>1901</v>
      </c>
      <c r="C207" s="114" t="s">
        <v>1902</v>
      </c>
      <c r="D207" s="114" t="s">
        <v>56</v>
      </c>
      <c r="E207" s="114" t="s">
        <v>1903</v>
      </c>
      <c r="F207" s="116">
        <v>6489.45</v>
      </c>
      <c r="G207" s="121">
        <v>7.2525655976646091E-4</v>
      </c>
      <c r="H207" s="121">
        <v>0.93808169437098565</v>
      </c>
      <c r="I207" s="114" t="s">
        <v>1290</v>
      </c>
      <c r="J207" s="114" t="s">
        <v>1323</v>
      </c>
      <c r="K207" s="129" t="s">
        <v>2314</v>
      </c>
    </row>
    <row r="208" spans="1:11" ht="51" x14ac:dyDescent="0.2">
      <c r="A208" s="120">
        <v>206</v>
      </c>
      <c r="B208" s="114" t="s">
        <v>2036</v>
      </c>
      <c r="C208" s="114" t="s">
        <v>2037</v>
      </c>
      <c r="D208" s="114" t="s">
        <v>56</v>
      </c>
      <c r="E208" s="114" t="s">
        <v>963</v>
      </c>
      <c r="F208" s="116">
        <v>6340.32</v>
      </c>
      <c r="G208" s="121">
        <v>7.0858989144203079E-4</v>
      </c>
      <c r="H208" s="121">
        <v>0.93879028426242772</v>
      </c>
      <c r="I208" s="114" t="s">
        <v>1290</v>
      </c>
      <c r="J208" s="114" t="s">
        <v>1323</v>
      </c>
      <c r="K208" s="129" t="s">
        <v>2314</v>
      </c>
    </row>
    <row r="209" spans="1:11" ht="76.5" x14ac:dyDescent="0.2">
      <c r="A209" s="120">
        <v>207</v>
      </c>
      <c r="B209" s="114" t="s">
        <v>112</v>
      </c>
      <c r="C209" s="114" t="s">
        <v>1353</v>
      </c>
      <c r="D209" s="114" t="s">
        <v>24</v>
      </c>
      <c r="E209" s="114" t="s">
        <v>114</v>
      </c>
      <c r="F209" s="116">
        <v>6284.58</v>
      </c>
      <c r="G209" s="121">
        <v>7.0236042659656901E-4</v>
      </c>
      <c r="H209" s="121">
        <v>0.93949264468902427</v>
      </c>
      <c r="I209" s="114" t="s">
        <v>1290</v>
      </c>
      <c r="J209" s="114" t="s">
        <v>1323</v>
      </c>
      <c r="K209" s="129" t="s">
        <v>2314</v>
      </c>
    </row>
    <row r="210" spans="1:11" ht="38.25" x14ac:dyDescent="0.2">
      <c r="A210" s="120">
        <v>208</v>
      </c>
      <c r="B210" s="114" t="s">
        <v>185</v>
      </c>
      <c r="C210" s="114" t="s">
        <v>1384</v>
      </c>
      <c r="D210" s="114" t="s">
        <v>56</v>
      </c>
      <c r="E210" s="114" t="s">
        <v>186</v>
      </c>
      <c r="F210" s="116">
        <v>6264.83</v>
      </c>
      <c r="G210" s="121">
        <v>7.0015317990302988E-4</v>
      </c>
      <c r="H210" s="121">
        <v>0.9401927978689274</v>
      </c>
      <c r="I210" s="114" t="s">
        <v>1290</v>
      </c>
      <c r="J210" s="114" t="s">
        <v>1323</v>
      </c>
      <c r="K210" s="129" t="s">
        <v>2314</v>
      </c>
    </row>
    <row r="211" spans="1:11" ht="63.75" x14ac:dyDescent="0.2">
      <c r="A211" s="120">
        <v>209</v>
      </c>
      <c r="B211" s="114" t="s">
        <v>2076</v>
      </c>
      <c r="C211" s="114" t="s">
        <v>989</v>
      </c>
      <c r="D211" s="114" t="s">
        <v>209</v>
      </c>
      <c r="E211" s="114" t="s">
        <v>990</v>
      </c>
      <c r="F211" s="116">
        <v>6224.71</v>
      </c>
      <c r="G211" s="121">
        <v>6.9566939573367337E-4</v>
      </c>
      <c r="H211" s="121">
        <v>0.94088846726466113</v>
      </c>
      <c r="I211" s="114" t="s">
        <v>1290</v>
      </c>
      <c r="J211" s="114" t="s">
        <v>1319</v>
      </c>
      <c r="K211" s="129" t="s">
        <v>2315</v>
      </c>
    </row>
    <row r="212" spans="1:11" ht="51" x14ac:dyDescent="0.2">
      <c r="A212" s="120">
        <v>210</v>
      </c>
      <c r="B212" s="114" t="s">
        <v>205</v>
      </c>
      <c r="C212" s="114" t="s">
        <v>1398</v>
      </c>
      <c r="D212" s="114" t="s">
        <v>56</v>
      </c>
      <c r="E212" s="114" t="s">
        <v>206</v>
      </c>
      <c r="F212" s="116">
        <v>6085.88</v>
      </c>
      <c r="G212" s="121">
        <v>6.8015384846967144E-4</v>
      </c>
      <c r="H212" s="121">
        <v>0.94156862111313089</v>
      </c>
      <c r="I212" s="114" t="s">
        <v>1290</v>
      </c>
      <c r="J212" s="114" t="s">
        <v>1323</v>
      </c>
      <c r="K212" s="129" t="s">
        <v>2314</v>
      </c>
    </row>
    <row r="213" spans="1:11" ht="38.25" x14ac:dyDescent="0.2">
      <c r="A213" s="120">
        <v>211</v>
      </c>
      <c r="B213" s="114" t="s">
        <v>152</v>
      </c>
      <c r="C213" s="114" t="s">
        <v>1370</v>
      </c>
      <c r="D213" s="114" t="s">
        <v>56</v>
      </c>
      <c r="E213" s="114" t="s">
        <v>1371</v>
      </c>
      <c r="F213" s="116">
        <v>6062.83</v>
      </c>
      <c r="G213" s="121">
        <v>6.7757779599949023E-4</v>
      </c>
      <c r="H213" s="121">
        <v>0.94224619890913042</v>
      </c>
      <c r="I213" s="114" t="s">
        <v>1290</v>
      </c>
      <c r="J213" s="114" t="s">
        <v>1323</v>
      </c>
      <c r="K213" s="129" t="s">
        <v>2314</v>
      </c>
    </row>
    <row r="214" spans="1:11" ht="51" x14ac:dyDescent="0.2">
      <c r="A214" s="120">
        <v>212</v>
      </c>
      <c r="B214" s="114" t="s">
        <v>2004</v>
      </c>
      <c r="C214" s="114" t="s">
        <v>2005</v>
      </c>
      <c r="D214" s="114" t="s">
        <v>56</v>
      </c>
      <c r="E214" s="114" t="s">
        <v>946</v>
      </c>
      <c r="F214" s="116">
        <v>6053.3</v>
      </c>
      <c r="G214" s="121">
        <v>6.7651272962027868E-4</v>
      </c>
      <c r="H214" s="121">
        <v>0.94292271163875074</v>
      </c>
      <c r="I214" s="114" t="s">
        <v>1290</v>
      </c>
      <c r="J214" s="114" t="s">
        <v>1323</v>
      </c>
      <c r="K214" s="129" t="s">
        <v>2314</v>
      </c>
    </row>
    <row r="215" spans="1:11" ht="51" x14ac:dyDescent="0.2">
      <c r="A215" s="120">
        <v>213</v>
      </c>
      <c r="B215" s="114" t="s">
        <v>2074</v>
      </c>
      <c r="C215" s="114" t="s">
        <v>987</v>
      </c>
      <c r="D215" s="114" t="s">
        <v>209</v>
      </c>
      <c r="E215" s="114" t="s">
        <v>2075</v>
      </c>
      <c r="F215" s="116">
        <v>5990.28</v>
      </c>
      <c r="G215" s="121">
        <v>6.6946965687967935E-4</v>
      </c>
      <c r="H215" s="121">
        <v>0.94359218129563038</v>
      </c>
      <c r="I215" s="114" t="s">
        <v>1290</v>
      </c>
      <c r="J215" s="114" t="s">
        <v>1319</v>
      </c>
      <c r="K215" s="129" t="s">
        <v>2315</v>
      </c>
    </row>
    <row r="216" spans="1:11" ht="38.25" x14ac:dyDescent="0.2">
      <c r="A216" s="120">
        <v>214</v>
      </c>
      <c r="B216" s="114" t="s">
        <v>500</v>
      </c>
      <c r="C216" s="114" t="s">
        <v>1538</v>
      </c>
      <c r="D216" s="114" t="s">
        <v>209</v>
      </c>
      <c r="E216" s="114" t="s">
        <v>1539</v>
      </c>
      <c r="F216" s="116">
        <v>5901</v>
      </c>
      <c r="G216" s="121">
        <v>6.5949178423161986E-4</v>
      </c>
      <c r="H216" s="121">
        <v>0.94425167307986202</v>
      </c>
      <c r="I216" s="114" t="s">
        <v>1290</v>
      </c>
      <c r="J216" s="114" t="s">
        <v>1319</v>
      </c>
      <c r="K216" s="129" t="s">
        <v>2315</v>
      </c>
    </row>
    <row r="217" spans="1:11" ht="38.25" x14ac:dyDescent="0.2">
      <c r="A217" s="120">
        <v>215</v>
      </c>
      <c r="B217" s="114" t="s">
        <v>368</v>
      </c>
      <c r="C217" s="114" t="s">
        <v>369</v>
      </c>
      <c r="D217" s="114" t="s">
        <v>209</v>
      </c>
      <c r="E217" s="114" t="s">
        <v>370</v>
      </c>
      <c r="F217" s="116">
        <v>5874.99</v>
      </c>
      <c r="G217" s="121">
        <v>6.5658492415572351E-4</v>
      </c>
      <c r="H217" s="121">
        <v>0.94490825800401768</v>
      </c>
      <c r="I217" s="114" t="s">
        <v>1290</v>
      </c>
      <c r="J217" s="114" t="s">
        <v>1319</v>
      </c>
      <c r="K217" s="129" t="s">
        <v>2315</v>
      </c>
    </row>
    <row r="218" spans="1:11" ht="38.25" x14ac:dyDescent="0.2">
      <c r="A218" s="120">
        <v>216</v>
      </c>
      <c r="B218" s="114" t="s">
        <v>783</v>
      </c>
      <c r="C218" s="114" t="s">
        <v>1852</v>
      </c>
      <c r="D218" s="114" t="s">
        <v>56</v>
      </c>
      <c r="E218" s="114" t="s">
        <v>784</v>
      </c>
      <c r="F218" s="116">
        <v>5813.07</v>
      </c>
      <c r="G218" s="121">
        <v>6.4966478667400479E-4</v>
      </c>
      <c r="H218" s="121">
        <v>0.94555792279069173</v>
      </c>
      <c r="I218" s="114" t="s">
        <v>1290</v>
      </c>
      <c r="J218" s="114" t="s">
        <v>1323</v>
      </c>
      <c r="K218" s="129" t="s">
        <v>2314</v>
      </c>
    </row>
    <row r="219" spans="1:11" ht="51" x14ac:dyDescent="0.2">
      <c r="A219" s="120">
        <v>217</v>
      </c>
      <c r="B219" s="114" t="s">
        <v>463</v>
      </c>
      <c r="C219" s="114" t="s">
        <v>1518</v>
      </c>
      <c r="D219" s="114" t="s">
        <v>56</v>
      </c>
      <c r="E219" s="114" t="s">
        <v>1519</v>
      </c>
      <c r="F219" s="116">
        <v>5810.8</v>
      </c>
      <c r="G219" s="121">
        <v>6.4941109300340567E-4</v>
      </c>
      <c r="H219" s="121">
        <v>0.94620733388369527</v>
      </c>
      <c r="I219" s="114" t="s">
        <v>1290</v>
      </c>
      <c r="J219" s="114" t="s">
        <v>1323</v>
      </c>
      <c r="K219" s="129" t="s">
        <v>2314</v>
      </c>
    </row>
    <row r="220" spans="1:11" ht="38.25" x14ac:dyDescent="0.2">
      <c r="A220" s="120">
        <v>218</v>
      </c>
      <c r="B220" s="114" t="s">
        <v>285</v>
      </c>
      <c r="C220" s="114" t="s">
        <v>1438</v>
      </c>
      <c r="D220" s="114" t="s">
        <v>56</v>
      </c>
      <c r="E220" s="114" t="s">
        <v>286</v>
      </c>
      <c r="F220" s="116">
        <v>5778.28</v>
      </c>
      <c r="G220" s="121">
        <v>6.4577667971358829E-4</v>
      </c>
      <c r="H220" s="121">
        <v>0.94685311056340871</v>
      </c>
      <c r="I220" s="114" t="s">
        <v>1290</v>
      </c>
      <c r="J220" s="114" t="s">
        <v>1323</v>
      </c>
      <c r="K220" s="129" t="s">
        <v>2314</v>
      </c>
    </row>
    <row r="221" spans="1:11" ht="38.25" x14ac:dyDescent="0.2">
      <c r="A221" s="120">
        <v>219</v>
      </c>
      <c r="B221" s="114" t="s">
        <v>2052</v>
      </c>
      <c r="C221" s="114" t="s">
        <v>2053</v>
      </c>
      <c r="D221" s="114" t="s">
        <v>56</v>
      </c>
      <c r="E221" s="114" t="s">
        <v>2054</v>
      </c>
      <c r="F221" s="116">
        <v>5750.51</v>
      </c>
      <c r="G221" s="121">
        <v>6.4267312322348292E-4</v>
      </c>
      <c r="H221" s="121">
        <v>0.94749578368663223</v>
      </c>
      <c r="I221" s="114" t="s">
        <v>1290</v>
      </c>
      <c r="J221" s="114" t="s">
        <v>1323</v>
      </c>
      <c r="K221" s="129" t="s">
        <v>2314</v>
      </c>
    </row>
    <row r="222" spans="1:11" ht="38.25" x14ac:dyDescent="0.2">
      <c r="A222" s="120">
        <v>220</v>
      </c>
      <c r="B222" s="114" t="s">
        <v>404</v>
      </c>
      <c r="C222" s="114" t="s">
        <v>1492</v>
      </c>
      <c r="D222" s="114" t="s">
        <v>56</v>
      </c>
      <c r="E222" s="114" t="s">
        <v>405</v>
      </c>
      <c r="F222" s="116">
        <v>5668.61</v>
      </c>
      <c r="G222" s="121">
        <v>6.3352003440318629E-4</v>
      </c>
      <c r="H222" s="121">
        <v>0.94812930372103532</v>
      </c>
      <c r="I222" s="114" t="s">
        <v>1290</v>
      </c>
      <c r="J222" s="114" t="s">
        <v>1323</v>
      </c>
      <c r="K222" s="129" t="s">
        <v>2314</v>
      </c>
    </row>
    <row r="223" spans="1:11" ht="25.5" x14ac:dyDescent="0.2">
      <c r="A223" s="120">
        <v>221</v>
      </c>
      <c r="B223" s="114" t="s">
        <v>2297</v>
      </c>
      <c r="C223" s="114" t="s">
        <v>2298</v>
      </c>
      <c r="D223" s="114" t="s">
        <v>56</v>
      </c>
      <c r="E223" s="114" t="s">
        <v>1157</v>
      </c>
      <c r="F223" s="116">
        <v>5617.99</v>
      </c>
      <c r="G223" s="121">
        <v>6.2786277730815087E-4</v>
      </c>
      <c r="H223" s="121">
        <v>0.94875716649834352</v>
      </c>
      <c r="I223" s="114" t="s">
        <v>1290</v>
      </c>
      <c r="J223" s="114" t="s">
        <v>1323</v>
      </c>
      <c r="K223" s="129" t="s">
        <v>2314</v>
      </c>
    </row>
    <row r="224" spans="1:11" ht="38.25" x14ac:dyDescent="0.2">
      <c r="A224" s="120">
        <v>222</v>
      </c>
      <c r="B224" s="114" t="s">
        <v>1387</v>
      </c>
      <c r="C224" s="114" t="s">
        <v>1971</v>
      </c>
      <c r="D224" s="114" t="s">
        <v>56</v>
      </c>
      <c r="E224" s="114" t="s">
        <v>921</v>
      </c>
      <c r="F224" s="116">
        <v>5602.9</v>
      </c>
      <c r="G224" s="121">
        <v>6.2617632907496063E-4</v>
      </c>
      <c r="H224" s="121">
        <v>0.99930226864469673</v>
      </c>
      <c r="I224" s="114" t="s">
        <v>1293</v>
      </c>
      <c r="J224" s="114" t="s">
        <v>1323</v>
      </c>
      <c r="K224" s="129" t="s">
        <v>2314</v>
      </c>
    </row>
    <row r="225" spans="1:11" ht="76.5" x14ac:dyDescent="0.2">
      <c r="A225" s="120">
        <v>223</v>
      </c>
      <c r="B225" s="114" t="s">
        <v>1922</v>
      </c>
      <c r="C225" s="114" t="s">
        <v>1923</v>
      </c>
      <c r="D225" s="114" t="s">
        <v>24</v>
      </c>
      <c r="E225" s="114" t="s">
        <v>1924</v>
      </c>
      <c r="F225" s="116">
        <v>5585</v>
      </c>
      <c r="G225" s="121">
        <v>6.2417583713499352E-4</v>
      </c>
      <c r="H225" s="121">
        <v>0.95000751866455346</v>
      </c>
      <c r="I225" s="114" t="s">
        <v>1293</v>
      </c>
      <c r="J225" s="114" t="s">
        <v>1323</v>
      </c>
      <c r="K225" s="129" t="s">
        <v>2314</v>
      </c>
    </row>
    <row r="226" spans="1:11" ht="38.25" x14ac:dyDescent="0.2">
      <c r="A226" s="120">
        <v>224</v>
      </c>
      <c r="B226" s="114" t="s">
        <v>2263</v>
      </c>
      <c r="C226" s="114" t="s">
        <v>2264</v>
      </c>
      <c r="D226" s="114" t="s">
        <v>56</v>
      </c>
      <c r="E226" s="114" t="s">
        <v>1121</v>
      </c>
      <c r="F226" s="116">
        <v>5560.06</v>
      </c>
      <c r="G226" s="121">
        <v>6.2138855953819026E-4</v>
      </c>
      <c r="H226" s="121">
        <v>0.95062890722409177</v>
      </c>
      <c r="I226" s="114" t="s">
        <v>1293</v>
      </c>
      <c r="J226" s="114" t="s">
        <v>1323</v>
      </c>
      <c r="K226" s="129" t="s">
        <v>2314</v>
      </c>
    </row>
    <row r="227" spans="1:11" ht="38.25" x14ac:dyDescent="0.2">
      <c r="A227" s="120">
        <v>225</v>
      </c>
      <c r="B227" s="114" t="s">
        <v>242</v>
      </c>
      <c r="C227" s="114" t="s">
        <v>1418</v>
      </c>
      <c r="D227" s="114" t="s">
        <v>56</v>
      </c>
      <c r="E227" s="114" t="s">
        <v>243</v>
      </c>
      <c r="F227" s="116">
        <v>5533.36</v>
      </c>
      <c r="G227" s="121">
        <v>6.1840458552717777E-4</v>
      </c>
      <c r="H227" s="121">
        <v>0.95124731180961886</v>
      </c>
      <c r="I227" s="114" t="s">
        <v>1293</v>
      </c>
      <c r="J227" s="114" t="s">
        <v>1323</v>
      </c>
      <c r="K227" s="129" t="s">
        <v>2314</v>
      </c>
    </row>
    <row r="228" spans="1:11" ht="25.5" x14ac:dyDescent="0.2">
      <c r="A228" s="120">
        <v>226</v>
      </c>
      <c r="B228" s="114" t="s">
        <v>1960</v>
      </c>
      <c r="C228" s="114" t="s">
        <v>1961</v>
      </c>
      <c r="D228" s="114" t="s">
        <v>335</v>
      </c>
      <c r="E228" s="114" t="s">
        <v>911</v>
      </c>
      <c r="F228" s="116">
        <v>5507.83</v>
      </c>
      <c r="G228" s="121">
        <v>6.1555136992788389E-4</v>
      </c>
      <c r="H228" s="121">
        <v>0.95186286317954671</v>
      </c>
      <c r="I228" s="114" t="s">
        <v>1293</v>
      </c>
      <c r="J228" s="114" t="s">
        <v>1323</v>
      </c>
      <c r="K228" s="129" t="s">
        <v>2314</v>
      </c>
    </row>
    <row r="229" spans="1:11" ht="51" x14ac:dyDescent="0.2">
      <c r="A229" s="120">
        <v>227</v>
      </c>
      <c r="B229" s="114" t="s">
        <v>303</v>
      </c>
      <c r="C229" s="114" t="s">
        <v>1449</v>
      </c>
      <c r="D229" s="114" t="s">
        <v>56</v>
      </c>
      <c r="E229" s="114" t="s">
        <v>1450</v>
      </c>
      <c r="F229" s="116">
        <v>5485.75</v>
      </c>
      <c r="G229" s="121">
        <v>6.1308372400417025E-4</v>
      </c>
      <c r="H229" s="121">
        <v>0.95247594690355097</v>
      </c>
      <c r="I229" s="114" t="s">
        <v>1293</v>
      </c>
      <c r="J229" s="114" t="s">
        <v>1323</v>
      </c>
      <c r="K229" s="129" t="s">
        <v>2314</v>
      </c>
    </row>
    <row r="230" spans="1:11" ht="25.5" x14ac:dyDescent="0.2">
      <c r="A230" s="120">
        <v>228</v>
      </c>
      <c r="B230" s="114" t="s">
        <v>2072</v>
      </c>
      <c r="C230" s="114" t="s">
        <v>2073</v>
      </c>
      <c r="D230" s="114" t="s">
        <v>335</v>
      </c>
      <c r="E230" s="114" t="s">
        <v>986</v>
      </c>
      <c r="F230" s="116">
        <v>5344.72</v>
      </c>
      <c r="G230" s="121">
        <v>5.9732230622240698E-4</v>
      </c>
      <c r="H230" s="121">
        <v>0.95307326920977342</v>
      </c>
      <c r="I230" s="114" t="s">
        <v>1293</v>
      </c>
      <c r="J230" s="114" t="s">
        <v>1323</v>
      </c>
      <c r="K230" s="129" t="s">
        <v>2314</v>
      </c>
    </row>
    <row r="231" spans="1:11" ht="76.5" x14ac:dyDescent="0.2">
      <c r="A231" s="120">
        <v>229</v>
      </c>
      <c r="B231" s="114" t="s">
        <v>1860</v>
      </c>
      <c r="C231" s="114" t="s">
        <v>2142</v>
      </c>
      <c r="D231" s="114" t="s">
        <v>24</v>
      </c>
      <c r="E231" s="114" t="s">
        <v>2143</v>
      </c>
      <c r="F231" s="116">
        <v>5166.07</v>
      </c>
      <c r="G231" s="121">
        <v>5.7735650258692499E-4</v>
      </c>
      <c r="H231" s="121">
        <v>0.99953420948003346</v>
      </c>
      <c r="I231" s="114" t="s">
        <v>1293</v>
      </c>
      <c r="J231" s="114" t="s">
        <v>1323</v>
      </c>
      <c r="K231" s="129" t="s">
        <v>2314</v>
      </c>
    </row>
    <row r="232" spans="1:11" ht="76.5" x14ac:dyDescent="0.2">
      <c r="A232" s="120">
        <v>230</v>
      </c>
      <c r="B232" s="114" t="s">
        <v>127</v>
      </c>
      <c r="C232" s="114" t="s">
        <v>1359</v>
      </c>
      <c r="D232" s="114" t="s">
        <v>24</v>
      </c>
      <c r="E232" s="114" t="s">
        <v>129</v>
      </c>
      <c r="F232" s="116">
        <v>5087.49</v>
      </c>
      <c r="G232" s="121">
        <v>5.6857445472979556E-4</v>
      </c>
      <c r="H232" s="121">
        <v>0.95421920016709016</v>
      </c>
      <c r="I232" s="114" t="s">
        <v>1293</v>
      </c>
      <c r="J232" s="114" t="s">
        <v>1323</v>
      </c>
      <c r="K232" s="129" t="s">
        <v>2314</v>
      </c>
    </row>
    <row r="233" spans="1:11" ht="38.25" x14ac:dyDescent="0.2">
      <c r="A233" s="120">
        <v>231</v>
      </c>
      <c r="B233" s="114" t="s">
        <v>675</v>
      </c>
      <c r="C233" s="114" t="s">
        <v>1715</v>
      </c>
      <c r="D233" s="114" t="s">
        <v>56</v>
      </c>
      <c r="E233" s="114" t="s">
        <v>1716</v>
      </c>
      <c r="F233" s="116">
        <v>5077.3500000000004</v>
      </c>
      <c r="G233" s="121">
        <v>5.6744121516156848E-4</v>
      </c>
      <c r="H233" s="121">
        <v>0.95478664138225167</v>
      </c>
      <c r="I233" s="114" t="s">
        <v>1293</v>
      </c>
      <c r="J233" s="114" t="s">
        <v>1323</v>
      </c>
      <c r="K233" s="129" t="s">
        <v>2314</v>
      </c>
    </row>
    <row r="234" spans="1:11" ht="38.25" x14ac:dyDescent="0.2">
      <c r="A234" s="120">
        <v>232</v>
      </c>
      <c r="B234" s="114" t="s">
        <v>610</v>
      </c>
      <c r="C234" s="114" t="s">
        <v>1575</v>
      </c>
      <c r="D234" s="114" t="s">
        <v>56</v>
      </c>
      <c r="E234" s="114" t="s">
        <v>577</v>
      </c>
      <c r="F234" s="116">
        <v>5028.47</v>
      </c>
      <c r="G234" s="121">
        <v>5.6197841929421684E-4</v>
      </c>
      <c r="H234" s="121">
        <v>0.95534861980154606</v>
      </c>
      <c r="I234" s="114" t="s">
        <v>1293</v>
      </c>
      <c r="J234" s="114" t="s">
        <v>1323</v>
      </c>
      <c r="K234" s="129" t="s">
        <v>2314</v>
      </c>
    </row>
    <row r="235" spans="1:11" ht="38.25" x14ac:dyDescent="0.2">
      <c r="A235" s="120">
        <v>233</v>
      </c>
      <c r="B235" s="114" t="s">
        <v>2042</v>
      </c>
      <c r="C235" s="114" t="s">
        <v>2043</v>
      </c>
      <c r="D235" s="114" t="s">
        <v>56</v>
      </c>
      <c r="E235" s="114" t="s">
        <v>968</v>
      </c>
      <c r="F235" s="116">
        <v>5023.2</v>
      </c>
      <c r="G235" s="121">
        <v>5.613894476448522E-4</v>
      </c>
      <c r="H235" s="121">
        <v>0.95591000924919078</v>
      </c>
      <c r="I235" s="114" t="s">
        <v>1293</v>
      </c>
      <c r="J235" s="114" t="s">
        <v>1323</v>
      </c>
      <c r="K235" s="129" t="s">
        <v>2314</v>
      </c>
    </row>
    <row r="236" spans="1:11" ht="38.25" x14ac:dyDescent="0.2">
      <c r="A236" s="120">
        <v>234</v>
      </c>
      <c r="B236" s="114" t="s">
        <v>265</v>
      </c>
      <c r="C236" s="114" t="s">
        <v>1428</v>
      </c>
      <c r="D236" s="114" t="s">
        <v>56</v>
      </c>
      <c r="E236" s="114" t="s">
        <v>266</v>
      </c>
      <c r="F236" s="116">
        <v>4966.63</v>
      </c>
      <c r="G236" s="121">
        <v>5.5506722255859863E-4</v>
      </c>
      <c r="H236" s="121">
        <v>0.9564650764717495</v>
      </c>
      <c r="I236" s="114" t="s">
        <v>1293</v>
      </c>
      <c r="J236" s="114" t="s">
        <v>1323</v>
      </c>
      <c r="K236" s="129" t="s">
        <v>2314</v>
      </c>
    </row>
    <row r="237" spans="1:11" ht="25.5" x14ac:dyDescent="0.2">
      <c r="A237" s="120">
        <v>235</v>
      </c>
      <c r="B237" s="114" t="s">
        <v>509</v>
      </c>
      <c r="C237" s="114" t="s">
        <v>1543</v>
      </c>
      <c r="D237" s="114" t="s">
        <v>335</v>
      </c>
      <c r="E237" s="114" t="s">
        <v>510</v>
      </c>
      <c r="F237" s="116">
        <v>4945.8500000000004</v>
      </c>
      <c r="G237" s="121">
        <v>5.5274486375901666E-4</v>
      </c>
      <c r="H237" s="121">
        <v>0.95701782133550839</v>
      </c>
      <c r="I237" s="114" t="s">
        <v>1293</v>
      </c>
      <c r="J237" s="114" t="s">
        <v>1323</v>
      </c>
      <c r="K237" s="129" t="s">
        <v>2314</v>
      </c>
    </row>
    <row r="238" spans="1:11" ht="25.5" x14ac:dyDescent="0.2">
      <c r="A238" s="120">
        <v>236</v>
      </c>
      <c r="B238" s="114" t="s">
        <v>529</v>
      </c>
      <c r="C238" s="114" t="s">
        <v>1549</v>
      </c>
      <c r="D238" s="114" t="s">
        <v>56</v>
      </c>
      <c r="E238" s="114" t="s">
        <v>530</v>
      </c>
      <c r="F238" s="116">
        <v>4945.2700000000004</v>
      </c>
      <c r="G238" s="121">
        <v>5.5268004334978866E-4</v>
      </c>
      <c r="H238" s="121">
        <v>0.95757050137885813</v>
      </c>
      <c r="I238" s="114" t="s">
        <v>1293</v>
      </c>
      <c r="J238" s="114" t="s">
        <v>1323</v>
      </c>
      <c r="K238" s="129" t="s">
        <v>2314</v>
      </c>
    </row>
    <row r="239" spans="1:11" ht="25.5" x14ac:dyDescent="0.2">
      <c r="A239" s="120">
        <v>237</v>
      </c>
      <c r="B239" s="114" t="s">
        <v>2299</v>
      </c>
      <c r="C239" s="114" t="s">
        <v>2300</v>
      </c>
      <c r="D239" s="114" t="s">
        <v>56</v>
      </c>
      <c r="E239" s="114" t="s">
        <v>1158</v>
      </c>
      <c r="F239" s="116">
        <v>4929.57</v>
      </c>
      <c r="G239" s="121">
        <v>5.5092542192758279E-4</v>
      </c>
      <c r="H239" s="121">
        <v>0.95812142680078582</v>
      </c>
      <c r="I239" s="114" t="s">
        <v>1293</v>
      </c>
      <c r="J239" s="114" t="s">
        <v>1323</v>
      </c>
      <c r="K239" s="129" t="s">
        <v>2314</v>
      </c>
    </row>
    <row r="240" spans="1:11" ht="38.25" x14ac:dyDescent="0.2">
      <c r="A240" s="120">
        <v>238</v>
      </c>
      <c r="B240" s="114" t="s">
        <v>297</v>
      </c>
      <c r="C240" s="114" t="s">
        <v>1444</v>
      </c>
      <c r="D240" s="114" t="s">
        <v>56</v>
      </c>
      <c r="E240" s="114" t="s">
        <v>1445</v>
      </c>
      <c r="F240" s="116">
        <v>4903.01</v>
      </c>
      <c r="G240" s="121">
        <v>5.4795709422224617E-4</v>
      </c>
      <c r="H240" s="121">
        <v>0.958669383895008</v>
      </c>
      <c r="I240" s="114" t="s">
        <v>1293</v>
      </c>
      <c r="J240" s="114" t="s">
        <v>1323</v>
      </c>
      <c r="K240" s="129" t="s">
        <v>2314</v>
      </c>
    </row>
    <row r="241" spans="1:11" ht="25.5" x14ac:dyDescent="0.2">
      <c r="A241" s="120">
        <v>239</v>
      </c>
      <c r="B241" s="114" t="s">
        <v>381</v>
      </c>
      <c r="C241" s="114" t="s">
        <v>1478</v>
      </c>
      <c r="D241" s="114" t="s">
        <v>335</v>
      </c>
      <c r="E241" s="114" t="s">
        <v>382</v>
      </c>
      <c r="F241" s="116">
        <v>4900.55</v>
      </c>
      <c r="G241" s="121">
        <v>5.4768216627965852E-4</v>
      </c>
      <c r="H241" s="121">
        <v>0.95921706606128776</v>
      </c>
      <c r="I241" s="114" t="s">
        <v>1293</v>
      </c>
      <c r="J241" s="114" t="s">
        <v>1323</v>
      </c>
      <c r="K241" s="129" t="s">
        <v>2314</v>
      </c>
    </row>
    <row r="242" spans="1:11" ht="51" x14ac:dyDescent="0.2">
      <c r="A242" s="120">
        <v>240</v>
      </c>
      <c r="B242" s="114" t="s">
        <v>673</v>
      </c>
      <c r="C242" s="114" t="s">
        <v>1718</v>
      </c>
      <c r="D242" s="114" t="s">
        <v>56</v>
      </c>
      <c r="E242" s="114" t="s">
        <v>674</v>
      </c>
      <c r="F242" s="116">
        <v>4884.43</v>
      </c>
      <c r="G242" s="121">
        <v>5.4588060594042555E-4</v>
      </c>
      <c r="H242" s="121">
        <v>0.95976294666722817</v>
      </c>
      <c r="I242" s="114" t="s">
        <v>1293</v>
      </c>
      <c r="J242" s="114" t="s">
        <v>1323</v>
      </c>
      <c r="K242" s="129" t="s">
        <v>2314</v>
      </c>
    </row>
    <row r="243" spans="1:11" ht="38.25" x14ac:dyDescent="0.2">
      <c r="A243" s="120">
        <v>241</v>
      </c>
      <c r="B243" s="114" t="s">
        <v>287</v>
      </c>
      <c r="C243" s="114" t="s">
        <v>208</v>
      </c>
      <c r="D243" s="114" t="s">
        <v>209</v>
      </c>
      <c r="E243" s="114" t="s">
        <v>210</v>
      </c>
      <c r="F243" s="116">
        <v>4832.8100000000004</v>
      </c>
      <c r="G243" s="121">
        <v>5.4011158951913492E-4</v>
      </c>
      <c r="H243" s="121">
        <v>0.96030305825674733</v>
      </c>
      <c r="I243" s="114" t="s">
        <v>1293</v>
      </c>
      <c r="J243" s="114" t="s">
        <v>1319</v>
      </c>
      <c r="K243" s="129" t="s">
        <v>2315</v>
      </c>
    </row>
    <row r="244" spans="1:11" ht="38.25" x14ac:dyDescent="0.2">
      <c r="A244" s="120">
        <v>242</v>
      </c>
      <c r="B244" s="114" t="s">
        <v>486</v>
      </c>
      <c r="C244" s="114" t="s">
        <v>1532</v>
      </c>
      <c r="D244" s="114" t="s">
        <v>56</v>
      </c>
      <c r="E244" s="114" t="s">
        <v>487</v>
      </c>
      <c r="F244" s="116">
        <v>4723.1400000000003</v>
      </c>
      <c r="G244" s="121">
        <v>5.2785494420873303E-4</v>
      </c>
      <c r="H244" s="121">
        <v>0.96083091320095615</v>
      </c>
      <c r="I244" s="114" t="s">
        <v>1293</v>
      </c>
      <c r="J244" s="114" t="s">
        <v>1323</v>
      </c>
      <c r="K244" s="129" t="s">
        <v>2314</v>
      </c>
    </row>
    <row r="245" spans="1:11" ht="38.25" x14ac:dyDescent="0.2">
      <c r="A245" s="120">
        <v>243</v>
      </c>
      <c r="B245" s="114" t="s">
        <v>753</v>
      </c>
      <c r="C245" s="114" t="s">
        <v>1811</v>
      </c>
      <c r="D245" s="114" t="s">
        <v>56</v>
      </c>
      <c r="E245" s="114" t="s">
        <v>754</v>
      </c>
      <c r="F245" s="116">
        <v>4646.1099999999997</v>
      </c>
      <c r="G245" s="121">
        <v>5.1924612330729895E-4</v>
      </c>
      <c r="H245" s="121">
        <v>0.96135015932426338</v>
      </c>
      <c r="I245" s="114" t="s">
        <v>1293</v>
      </c>
      <c r="J245" s="114" t="s">
        <v>1323</v>
      </c>
      <c r="K245" s="129" t="s">
        <v>2314</v>
      </c>
    </row>
    <row r="246" spans="1:11" ht="76.5" x14ac:dyDescent="0.2">
      <c r="A246" s="120">
        <v>244</v>
      </c>
      <c r="B246" s="114" t="s">
        <v>1916</v>
      </c>
      <c r="C246" s="114" t="s">
        <v>1917</v>
      </c>
      <c r="D246" s="114" t="s">
        <v>24</v>
      </c>
      <c r="E246" s="114" t="s">
        <v>1918</v>
      </c>
      <c r="F246" s="116">
        <v>4554.3900000000003</v>
      </c>
      <c r="G246" s="121">
        <v>5.0899555790317704E-4</v>
      </c>
      <c r="H246" s="121">
        <v>0.96185915488216667</v>
      </c>
      <c r="I246" s="114" t="s">
        <v>1293</v>
      </c>
      <c r="J246" s="114" t="s">
        <v>1323</v>
      </c>
      <c r="K246" s="129" t="s">
        <v>2314</v>
      </c>
    </row>
    <row r="247" spans="1:11" ht="38.25" x14ac:dyDescent="0.2">
      <c r="A247" s="120">
        <v>245</v>
      </c>
      <c r="B247" s="114" t="s">
        <v>2184</v>
      </c>
      <c r="C247" s="114" t="s">
        <v>2185</v>
      </c>
      <c r="D247" s="114" t="s">
        <v>209</v>
      </c>
      <c r="E247" s="114" t="s">
        <v>1068</v>
      </c>
      <c r="F247" s="116">
        <v>4553.26</v>
      </c>
      <c r="G247" s="121">
        <v>5.0886926986450868E-4</v>
      </c>
      <c r="H247" s="121">
        <v>0.96236802415203115</v>
      </c>
      <c r="I247" s="114" t="s">
        <v>1293</v>
      </c>
      <c r="J247" s="114" t="s">
        <v>1319</v>
      </c>
      <c r="K247" s="129" t="s">
        <v>2315</v>
      </c>
    </row>
    <row r="248" spans="1:11" ht="38.25" x14ac:dyDescent="0.2">
      <c r="A248" s="120">
        <v>246</v>
      </c>
      <c r="B248" s="114" t="s">
        <v>276</v>
      </c>
      <c r="C248" s="114" t="s">
        <v>1437</v>
      </c>
      <c r="D248" s="114" t="s">
        <v>56</v>
      </c>
      <c r="E248" s="114" t="s">
        <v>277</v>
      </c>
      <c r="F248" s="116">
        <v>4504.8500000000004</v>
      </c>
      <c r="G248" s="121">
        <v>5.03459000880497E-4</v>
      </c>
      <c r="H248" s="121">
        <v>0.9628714831529116</v>
      </c>
      <c r="I248" s="114" t="s">
        <v>1293</v>
      </c>
      <c r="J248" s="114" t="s">
        <v>1323</v>
      </c>
      <c r="K248" s="129" t="s">
        <v>2314</v>
      </c>
    </row>
    <row r="249" spans="1:11" ht="76.5" x14ac:dyDescent="0.2">
      <c r="A249" s="120">
        <v>247</v>
      </c>
      <c r="B249" s="114" t="s">
        <v>87</v>
      </c>
      <c r="C249" s="114" t="s">
        <v>1345</v>
      </c>
      <c r="D249" s="114" t="s">
        <v>24</v>
      </c>
      <c r="E249" s="114" t="s">
        <v>89</v>
      </c>
      <c r="F249" s="116">
        <v>4483.47</v>
      </c>
      <c r="G249" s="121">
        <v>5.0106958648516201E-4</v>
      </c>
      <c r="H249" s="121">
        <v>0.96337255273939681</v>
      </c>
      <c r="I249" s="114" t="s">
        <v>1293</v>
      </c>
      <c r="J249" s="114" t="s">
        <v>1323</v>
      </c>
      <c r="K249" s="129" t="s">
        <v>2314</v>
      </c>
    </row>
    <row r="250" spans="1:11" ht="38.25" x14ac:dyDescent="0.2">
      <c r="A250" s="120">
        <v>248</v>
      </c>
      <c r="B250" s="114" t="s">
        <v>1572</v>
      </c>
      <c r="C250" s="114" t="s">
        <v>1573</v>
      </c>
      <c r="D250" s="114" t="s">
        <v>56</v>
      </c>
      <c r="E250" s="114" t="s">
        <v>576</v>
      </c>
      <c r="F250" s="116">
        <v>4255.26</v>
      </c>
      <c r="G250" s="121">
        <v>4.7556499064047502E-4</v>
      </c>
      <c r="H250" s="121">
        <v>0.9638481177300372</v>
      </c>
      <c r="I250" s="114" t="s">
        <v>1293</v>
      </c>
      <c r="J250" s="114" t="s">
        <v>1323</v>
      </c>
      <c r="K250" s="129" t="s">
        <v>2314</v>
      </c>
    </row>
    <row r="251" spans="1:11" ht="51" x14ac:dyDescent="0.2">
      <c r="A251" s="120">
        <v>249</v>
      </c>
      <c r="B251" s="114" t="s">
        <v>1909</v>
      </c>
      <c r="C251" s="114" t="s">
        <v>854</v>
      </c>
      <c r="D251" s="114" t="s">
        <v>209</v>
      </c>
      <c r="E251" s="114" t="s">
        <v>855</v>
      </c>
      <c r="F251" s="116">
        <v>4245.07</v>
      </c>
      <c r="G251" s="121">
        <v>4.7442616310593502E-4</v>
      </c>
      <c r="H251" s="121">
        <v>0.9643225438931432</v>
      </c>
      <c r="I251" s="114" t="s">
        <v>1293</v>
      </c>
      <c r="J251" s="114" t="s">
        <v>1319</v>
      </c>
      <c r="K251" s="129" t="s">
        <v>2315</v>
      </c>
    </row>
    <row r="252" spans="1:11" ht="38.25" x14ac:dyDescent="0.2">
      <c r="A252" s="120">
        <v>250</v>
      </c>
      <c r="B252" s="114" t="s">
        <v>563</v>
      </c>
      <c r="C252" s="114" t="s">
        <v>1562</v>
      </c>
      <c r="D252" s="114" t="s">
        <v>56</v>
      </c>
      <c r="E252" s="114" t="s">
        <v>564</v>
      </c>
      <c r="F252" s="116">
        <v>4243.47</v>
      </c>
      <c r="G252" s="121">
        <v>4.742473481839268E-4</v>
      </c>
      <c r="H252" s="121">
        <v>0.96479679124132722</v>
      </c>
      <c r="I252" s="114" t="s">
        <v>1293</v>
      </c>
      <c r="J252" s="114" t="s">
        <v>1323</v>
      </c>
      <c r="K252" s="129" t="s">
        <v>2314</v>
      </c>
    </row>
    <row r="253" spans="1:11" ht="38.25" x14ac:dyDescent="0.2">
      <c r="A253" s="120">
        <v>251</v>
      </c>
      <c r="B253" s="114" t="s">
        <v>511</v>
      </c>
      <c r="C253" s="114" t="s">
        <v>512</v>
      </c>
      <c r="D253" s="114" t="s">
        <v>209</v>
      </c>
      <c r="E253" s="114" t="s">
        <v>513</v>
      </c>
      <c r="F253" s="116">
        <v>4193.55</v>
      </c>
      <c r="G253" s="121">
        <v>4.6866832261726991E-4</v>
      </c>
      <c r="H253" s="121">
        <v>0.96526545956394461</v>
      </c>
      <c r="I253" s="114" t="s">
        <v>1293</v>
      </c>
      <c r="J253" s="114" t="s">
        <v>1319</v>
      </c>
      <c r="K253" s="129" t="s">
        <v>2315</v>
      </c>
    </row>
    <row r="254" spans="1:11" ht="153" x14ac:dyDescent="0.2">
      <c r="A254" s="120">
        <v>252</v>
      </c>
      <c r="B254" s="114" t="s">
        <v>520</v>
      </c>
      <c r="C254" s="114" t="s">
        <v>1545</v>
      </c>
      <c r="D254" s="114" t="s">
        <v>24</v>
      </c>
      <c r="E254" s="114" t="s">
        <v>522</v>
      </c>
      <c r="F254" s="116">
        <v>4135.8500000000004</v>
      </c>
      <c r="G254" s="121">
        <v>4.6221980949234798E-4</v>
      </c>
      <c r="H254" s="121">
        <v>0.96572767937343684</v>
      </c>
      <c r="I254" s="114" t="s">
        <v>1293</v>
      </c>
      <c r="J254" s="114" t="s">
        <v>1323</v>
      </c>
      <c r="K254" s="129" t="s">
        <v>2314</v>
      </c>
    </row>
    <row r="255" spans="1:11" ht="51" x14ac:dyDescent="0.2">
      <c r="A255" s="120">
        <v>253</v>
      </c>
      <c r="B255" s="114" t="s">
        <v>1997</v>
      </c>
      <c r="C255" s="114" t="s">
        <v>1688</v>
      </c>
      <c r="D255" s="114" t="s">
        <v>56</v>
      </c>
      <c r="E255" s="114" t="s">
        <v>1689</v>
      </c>
      <c r="F255" s="116">
        <v>4114.46</v>
      </c>
      <c r="G255" s="121">
        <v>4.5982927750375032E-4</v>
      </c>
      <c r="H255" s="121">
        <v>0.96618750865094072</v>
      </c>
      <c r="I255" s="114" t="s">
        <v>1293</v>
      </c>
      <c r="J255" s="114" t="s">
        <v>1323</v>
      </c>
      <c r="K255" s="129" t="s">
        <v>2314</v>
      </c>
    </row>
    <row r="256" spans="1:11" ht="38.25" x14ac:dyDescent="0.2">
      <c r="A256" s="120">
        <v>254</v>
      </c>
      <c r="B256" s="114" t="s">
        <v>750</v>
      </c>
      <c r="C256" s="114" t="s">
        <v>1715</v>
      </c>
      <c r="D256" s="114" t="s">
        <v>56</v>
      </c>
      <c r="E256" s="114" t="s">
        <v>1716</v>
      </c>
      <c r="F256" s="116">
        <v>3949.05</v>
      </c>
      <c r="G256" s="121">
        <v>4.4134316734788654E-4</v>
      </c>
      <c r="H256" s="121">
        <v>0.96662885181828873</v>
      </c>
      <c r="I256" s="114" t="s">
        <v>1293</v>
      </c>
      <c r="J256" s="114" t="s">
        <v>1323</v>
      </c>
      <c r="K256" s="129" t="s">
        <v>2314</v>
      </c>
    </row>
    <row r="257" spans="1:11" ht="51" x14ac:dyDescent="0.2">
      <c r="A257" s="120">
        <v>255</v>
      </c>
      <c r="B257" s="114" t="s">
        <v>261</v>
      </c>
      <c r="C257" s="114" t="s">
        <v>1407</v>
      </c>
      <c r="D257" s="114" t="s">
        <v>56</v>
      </c>
      <c r="E257" s="114" t="s">
        <v>231</v>
      </c>
      <c r="F257" s="116">
        <v>3904.51</v>
      </c>
      <c r="G257" s="121">
        <v>4.3636540695648232E-4</v>
      </c>
      <c r="H257" s="121">
        <v>0.96706521722524519</v>
      </c>
      <c r="I257" s="114" t="s">
        <v>1293</v>
      </c>
      <c r="J257" s="114" t="s">
        <v>1323</v>
      </c>
      <c r="K257" s="129" t="s">
        <v>2314</v>
      </c>
    </row>
    <row r="258" spans="1:11" ht="51" x14ac:dyDescent="0.2">
      <c r="A258" s="120">
        <v>256</v>
      </c>
      <c r="B258" s="114" t="s">
        <v>2213</v>
      </c>
      <c r="C258" s="114" t="s">
        <v>2214</v>
      </c>
      <c r="D258" s="114" t="s">
        <v>24</v>
      </c>
      <c r="E258" s="114" t="s">
        <v>2215</v>
      </c>
      <c r="F258" s="116">
        <v>3903.94</v>
      </c>
      <c r="G258" s="121">
        <v>4.3630170414051689E-4</v>
      </c>
      <c r="H258" s="121">
        <v>0.96750151892938563</v>
      </c>
      <c r="I258" s="114" t="s">
        <v>1293</v>
      </c>
      <c r="J258" s="114" t="s">
        <v>1323</v>
      </c>
      <c r="K258" s="129" t="s">
        <v>2314</v>
      </c>
    </row>
    <row r="259" spans="1:11" ht="25.5" x14ac:dyDescent="0.2">
      <c r="A259" s="120">
        <v>257</v>
      </c>
      <c r="B259" s="114" t="s">
        <v>299</v>
      </c>
      <c r="C259" s="114" t="s">
        <v>1446</v>
      </c>
      <c r="D259" s="114" t="s">
        <v>56</v>
      </c>
      <c r="E259" s="114" t="s">
        <v>300</v>
      </c>
      <c r="F259" s="116">
        <v>3845.56</v>
      </c>
      <c r="G259" s="121">
        <v>4.2977719467374143E-4</v>
      </c>
      <c r="H259" s="121">
        <v>0.96793129612405937</v>
      </c>
      <c r="I259" s="114" t="s">
        <v>1293</v>
      </c>
      <c r="J259" s="114" t="s">
        <v>1323</v>
      </c>
      <c r="K259" s="129" t="s">
        <v>2314</v>
      </c>
    </row>
    <row r="260" spans="1:11" ht="38.25" x14ac:dyDescent="0.2">
      <c r="A260" s="120">
        <v>258</v>
      </c>
      <c r="B260" s="114" t="s">
        <v>240</v>
      </c>
      <c r="C260" s="114" t="s">
        <v>1417</v>
      </c>
      <c r="D260" s="114" t="s">
        <v>56</v>
      </c>
      <c r="E260" s="114" t="s">
        <v>241</v>
      </c>
      <c r="F260" s="116">
        <v>3763.15</v>
      </c>
      <c r="G260" s="121">
        <v>4.205671085970548E-4</v>
      </c>
      <c r="H260" s="121">
        <v>0.96835186323265654</v>
      </c>
      <c r="I260" s="114" t="s">
        <v>1293</v>
      </c>
      <c r="J260" s="114" t="s">
        <v>1323</v>
      </c>
      <c r="K260" s="129" t="s">
        <v>2314</v>
      </c>
    </row>
    <row r="261" spans="1:11" ht="38.25" x14ac:dyDescent="0.2">
      <c r="A261" s="120">
        <v>259</v>
      </c>
      <c r="B261" s="114" t="s">
        <v>1927</v>
      </c>
      <c r="C261" s="114" t="s">
        <v>876</v>
      </c>
      <c r="D261" s="114" t="s">
        <v>209</v>
      </c>
      <c r="E261" s="114" t="s">
        <v>877</v>
      </c>
      <c r="F261" s="116">
        <v>3745.98</v>
      </c>
      <c r="G261" s="121">
        <v>4.1864820096525391E-4</v>
      </c>
      <c r="H261" s="121">
        <v>0.96877051143362181</v>
      </c>
      <c r="I261" s="114" t="s">
        <v>1293</v>
      </c>
      <c r="J261" s="114" t="s">
        <v>1319</v>
      </c>
      <c r="K261" s="129" t="s">
        <v>2315</v>
      </c>
    </row>
    <row r="262" spans="1:11" ht="51" x14ac:dyDescent="0.2">
      <c r="A262" s="120">
        <v>260</v>
      </c>
      <c r="B262" s="114" t="s">
        <v>1430</v>
      </c>
      <c r="C262" s="114" t="s">
        <v>1977</v>
      </c>
      <c r="D262" s="114" t="s">
        <v>56</v>
      </c>
      <c r="E262" s="114" t="s">
        <v>925</v>
      </c>
      <c r="F262" s="116">
        <v>3717.12</v>
      </c>
      <c r="G262" s="121">
        <v>4.1542282680953038E-4</v>
      </c>
      <c r="H262" s="121">
        <v>0.97624373129226427</v>
      </c>
      <c r="I262" s="114" t="s">
        <v>1293</v>
      </c>
      <c r="J262" s="114" t="s">
        <v>1323</v>
      </c>
      <c r="K262" s="129" t="s">
        <v>2314</v>
      </c>
    </row>
    <row r="263" spans="1:11" ht="38.25" x14ac:dyDescent="0.2">
      <c r="A263" s="120">
        <v>261</v>
      </c>
      <c r="B263" s="114" t="s">
        <v>183</v>
      </c>
      <c r="C263" s="114" t="s">
        <v>1383</v>
      </c>
      <c r="D263" s="114" t="s">
        <v>56</v>
      </c>
      <c r="E263" s="114" t="s">
        <v>184</v>
      </c>
      <c r="F263" s="116">
        <v>3713.4</v>
      </c>
      <c r="G263" s="121">
        <v>4.1500708211586126E-4</v>
      </c>
      <c r="H263" s="121">
        <v>0.96960094134254715</v>
      </c>
      <c r="I263" s="114" t="s">
        <v>1293</v>
      </c>
      <c r="J263" s="114" t="s">
        <v>1323</v>
      </c>
      <c r="K263" s="129" t="s">
        <v>2314</v>
      </c>
    </row>
    <row r="264" spans="1:11" ht="76.5" x14ac:dyDescent="0.2">
      <c r="A264" s="120">
        <v>262</v>
      </c>
      <c r="B264" s="114" t="s">
        <v>1914</v>
      </c>
      <c r="C264" s="114" t="s">
        <v>1915</v>
      </c>
      <c r="D264" s="114" t="s">
        <v>24</v>
      </c>
      <c r="E264" s="114" t="s">
        <v>865</v>
      </c>
      <c r="F264" s="116">
        <v>3689.93</v>
      </c>
      <c r="G264" s="121">
        <v>4.1238409072865296E-4</v>
      </c>
      <c r="H264" s="121">
        <v>0.97001332543327579</v>
      </c>
      <c r="I264" s="114" t="s">
        <v>1293</v>
      </c>
      <c r="J264" s="114" t="s">
        <v>1323</v>
      </c>
      <c r="K264" s="129" t="s">
        <v>2314</v>
      </c>
    </row>
    <row r="265" spans="1:11" ht="38.25" x14ac:dyDescent="0.2">
      <c r="A265" s="120">
        <v>263</v>
      </c>
      <c r="B265" s="114" t="s">
        <v>1928</v>
      </c>
      <c r="C265" s="114" t="s">
        <v>1929</v>
      </c>
      <c r="D265" s="114" t="s">
        <v>209</v>
      </c>
      <c r="E265" s="114" t="s">
        <v>1930</v>
      </c>
      <c r="F265" s="116">
        <v>3634.51</v>
      </c>
      <c r="G265" s="121">
        <v>4.0619038886759276E-4</v>
      </c>
      <c r="H265" s="121">
        <v>0.97041951582214336</v>
      </c>
      <c r="I265" s="114" t="s">
        <v>1293</v>
      </c>
      <c r="J265" s="114" t="s">
        <v>1319</v>
      </c>
      <c r="K265" s="129" t="s">
        <v>2315</v>
      </c>
    </row>
    <row r="266" spans="1:11" ht="38.25" x14ac:dyDescent="0.2">
      <c r="A266" s="120">
        <v>264</v>
      </c>
      <c r="B266" s="114" t="s">
        <v>609</v>
      </c>
      <c r="C266" s="114" t="s">
        <v>1571</v>
      </c>
      <c r="D266" s="114" t="s">
        <v>56</v>
      </c>
      <c r="E266" s="114" t="s">
        <v>575</v>
      </c>
      <c r="F266" s="116">
        <v>3627.85</v>
      </c>
      <c r="G266" s="121">
        <v>4.0544607175473346E-4</v>
      </c>
      <c r="H266" s="121">
        <v>0.970824961893898</v>
      </c>
      <c r="I266" s="114" t="s">
        <v>1293</v>
      </c>
      <c r="J266" s="114" t="s">
        <v>1323</v>
      </c>
      <c r="K266" s="129" t="s">
        <v>2314</v>
      </c>
    </row>
    <row r="267" spans="1:11" ht="38.25" x14ac:dyDescent="0.2">
      <c r="A267" s="120">
        <v>265</v>
      </c>
      <c r="B267" s="114" t="s">
        <v>85</v>
      </c>
      <c r="C267" s="114" t="s">
        <v>1344</v>
      </c>
      <c r="D267" s="114" t="s">
        <v>56</v>
      </c>
      <c r="E267" s="114" t="s">
        <v>86</v>
      </c>
      <c r="F267" s="116">
        <v>3528.36</v>
      </c>
      <c r="G267" s="121">
        <v>3.9432713638560895E-4</v>
      </c>
      <c r="H267" s="121">
        <v>0.97121928903028354</v>
      </c>
      <c r="I267" s="114" t="s">
        <v>1293</v>
      </c>
      <c r="J267" s="114" t="s">
        <v>1323</v>
      </c>
      <c r="K267" s="129" t="s">
        <v>2314</v>
      </c>
    </row>
    <row r="268" spans="1:11" ht="38.25" x14ac:dyDescent="0.2">
      <c r="A268" s="120">
        <v>266</v>
      </c>
      <c r="B268" s="114" t="s">
        <v>1926</v>
      </c>
      <c r="C268" s="114" t="s">
        <v>874</v>
      </c>
      <c r="D268" s="114" t="s">
        <v>209</v>
      </c>
      <c r="E268" s="114" t="s">
        <v>875</v>
      </c>
      <c r="F268" s="116">
        <v>3495.03</v>
      </c>
      <c r="G268" s="121">
        <v>3.906021980415249E-4</v>
      </c>
      <c r="H268" s="121">
        <v>0.97160989122832497</v>
      </c>
      <c r="I268" s="114" t="s">
        <v>1293</v>
      </c>
      <c r="J268" s="114" t="s">
        <v>1319</v>
      </c>
      <c r="K268" s="129" t="s">
        <v>2315</v>
      </c>
    </row>
    <row r="269" spans="1:11" ht="51" x14ac:dyDescent="0.2">
      <c r="A269" s="120">
        <v>267</v>
      </c>
      <c r="B269" s="114" t="s">
        <v>1895</v>
      </c>
      <c r="C269" s="114" t="s">
        <v>1896</v>
      </c>
      <c r="D269" s="114" t="s">
        <v>56</v>
      </c>
      <c r="E269" s="114" t="s">
        <v>1897</v>
      </c>
      <c r="F269" s="116">
        <v>3436.2</v>
      </c>
      <c r="G269" s="121">
        <v>3.840273968779346E-4</v>
      </c>
      <c r="H269" s="121">
        <v>0.9719939186252029</v>
      </c>
      <c r="I269" s="114" t="s">
        <v>1293</v>
      </c>
      <c r="J269" s="114" t="s">
        <v>1323</v>
      </c>
      <c r="K269" s="129" t="s">
        <v>2314</v>
      </c>
    </row>
    <row r="270" spans="1:11" ht="38.25" x14ac:dyDescent="0.2">
      <c r="A270" s="120">
        <v>268</v>
      </c>
      <c r="B270" s="114" t="s">
        <v>167</v>
      </c>
      <c r="C270" s="114" t="s">
        <v>1374</v>
      </c>
      <c r="D270" s="114" t="s">
        <v>56</v>
      </c>
      <c r="E270" s="114" t="s">
        <v>1375</v>
      </c>
      <c r="F270" s="116">
        <v>3410.62</v>
      </c>
      <c r="G270" s="121">
        <v>3.8116859331232796E-4</v>
      </c>
      <c r="H270" s="121">
        <v>0.97237508721851507</v>
      </c>
      <c r="I270" s="114" t="s">
        <v>1293</v>
      </c>
      <c r="J270" s="114" t="s">
        <v>1323</v>
      </c>
      <c r="K270" s="129" t="s">
        <v>2314</v>
      </c>
    </row>
    <row r="271" spans="1:11" ht="102" x14ac:dyDescent="0.2">
      <c r="A271" s="120">
        <v>269</v>
      </c>
      <c r="B271" s="114" t="s">
        <v>49</v>
      </c>
      <c r="C271" s="114" t="s">
        <v>1330</v>
      </c>
      <c r="D271" s="114" t="s">
        <v>24</v>
      </c>
      <c r="E271" s="114" t="s">
        <v>51</v>
      </c>
      <c r="F271" s="116">
        <v>3328.8</v>
      </c>
      <c r="G271" s="121">
        <v>3.7202444523813189E-4</v>
      </c>
      <c r="H271" s="121">
        <v>0.97274711166375338</v>
      </c>
      <c r="I271" s="114" t="s">
        <v>1293</v>
      </c>
      <c r="J271" s="114" t="s">
        <v>1323</v>
      </c>
      <c r="K271" s="129" t="s">
        <v>2314</v>
      </c>
    </row>
    <row r="272" spans="1:11" ht="38.25" x14ac:dyDescent="0.2">
      <c r="A272" s="120">
        <v>270</v>
      </c>
      <c r="B272" s="114" t="s">
        <v>379</v>
      </c>
      <c r="C272" s="114" t="s">
        <v>1477</v>
      </c>
      <c r="D272" s="114" t="s">
        <v>56</v>
      </c>
      <c r="E272" s="114" t="s">
        <v>380</v>
      </c>
      <c r="F272" s="116">
        <v>3273.89</v>
      </c>
      <c r="G272" s="121">
        <v>3.6588774063346175E-4</v>
      </c>
      <c r="H272" s="121">
        <v>0.97311299940438689</v>
      </c>
      <c r="I272" s="114" t="s">
        <v>1293</v>
      </c>
      <c r="J272" s="114" t="s">
        <v>1323</v>
      </c>
      <c r="K272" s="129" t="s">
        <v>2314</v>
      </c>
    </row>
    <row r="273" spans="1:11" ht="38.25" x14ac:dyDescent="0.2">
      <c r="A273" s="120">
        <v>271</v>
      </c>
      <c r="B273" s="114" t="s">
        <v>1925</v>
      </c>
      <c r="C273" s="114" t="s">
        <v>872</v>
      </c>
      <c r="D273" s="114" t="s">
        <v>209</v>
      </c>
      <c r="E273" s="114" t="s">
        <v>873</v>
      </c>
      <c r="F273" s="116">
        <v>3267.6</v>
      </c>
      <c r="G273" s="121">
        <v>3.6518477447131689E-4</v>
      </c>
      <c r="H273" s="121">
        <v>0.97347818417885812</v>
      </c>
      <c r="I273" s="114" t="s">
        <v>1293</v>
      </c>
      <c r="J273" s="114" t="s">
        <v>1319</v>
      </c>
      <c r="K273" s="129" t="s">
        <v>2315</v>
      </c>
    </row>
    <row r="274" spans="1:11" ht="38.25" x14ac:dyDescent="0.2">
      <c r="A274" s="120">
        <v>272</v>
      </c>
      <c r="B274" s="114" t="s">
        <v>2255</v>
      </c>
      <c r="C274" s="114" t="s">
        <v>2256</v>
      </c>
      <c r="D274" s="114" t="s">
        <v>56</v>
      </c>
      <c r="E274" s="114" t="s">
        <v>1115</v>
      </c>
      <c r="F274" s="116">
        <v>3264.29</v>
      </c>
      <c r="G274" s="121">
        <v>3.6481485110141236E-4</v>
      </c>
      <c r="H274" s="121">
        <v>0.97384299902995941</v>
      </c>
      <c r="I274" s="114" t="s">
        <v>1293</v>
      </c>
      <c r="J274" s="114" t="s">
        <v>1323</v>
      </c>
      <c r="K274" s="129" t="s">
        <v>2314</v>
      </c>
    </row>
    <row r="275" spans="1:11" ht="76.5" x14ac:dyDescent="0.2">
      <c r="A275" s="120">
        <v>273</v>
      </c>
      <c r="B275" s="114" t="s">
        <v>2257</v>
      </c>
      <c r="C275" s="114" t="s">
        <v>2258</v>
      </c>
      <c r="D275" s="114" t="s">
        <v>56</v>
      </c>
      <c r="E275" s="114" t="s">
        <v>1116</v>
      </c>
      <c r="F275" s="116">
        <v>3200.19</v>
      </c>
      <c r="G275" s="121">
        <v>3.5765107828845749E-4</v>
      </c>
      <c r="H275" s="121">
        <v>0.97420065010824786</v>
      </c>
      <c r="I275" s="114" t="s">
        <v>1293</v>
      </c>
      <c r="J275" s="114" t="s">
        <v>1323</v>
      </c>
      <c r="K275" s="129" t="s">
        <v>2314</v>
      </c>
    </row>
    <row r="276" spans="1:11" ht="51" x14ac:dyDescent="0.2">
      <c r="A276" s="120">
        <v>274</v>
      </c>
      <c r="B276" s="114" t="s">
        <v>2129</v>
      </c>
      <c r="C276" s="114" t="s">
        <v>2130</v>
      </c>
      <c r="D276" s="114" t="s">
        <v>56</v>
      </c>
      <c r="E276" s="114" t="s">
        <v>1019</v>
      </c>
      <c r="F276" s="116">
        <v>3180.46</v>
      </c>
      <c r="G276" s="121">
        <v>3.5544606678144342E-4</v>
      </c>
      <c r="H276" s="121">
        <v>0.98144344570561082</v>
      </c>
      <c r="I276" s="114" t="s">
        <v>1293</v>
      </c>
      <c r="J276" s="114" t="s">
        <v>1323</v>
      </c>
      <c r="K276" s="129" t="s">
        <v>2314</v>
      </c>
    </row>
    <row r="277" spans="1:11" ht="63.75" x14ac:dyDescent="0.2">
      <c r="A277" s="120">
        <v>275</v>
      </c>
      <c r="B277" s="114" t="s">
        <v>1912</v>
      </c>
      <c r="C277" s="114" t="s">
        <v>860</v>
      </c>
      <c r="D277" s="114" t="s">
        <v>209</v>
      </c>
      <c r="E277" s="114" t="s">
        <v>861</v>
      </c>
      <c r="F277" s="116">
        <v>3170.47</v>
      </c>
      <c r="G277" s="121">
        <v>3.5432959111215452E-4</v>
      </c>
      <c r="H277" s="121">
        <v>0.99497238265556021</v>
      </c>
      <c r="I277" s="114" t="s">
        <v>1293</v>
      </c>
      <c r="J277" s="114" t="s">
        <v>1323</v>
      </c>
      <c r="K277" s="129" t="s">
        <v>2314</v>
      </c>
    </row>
    <row r="278" spans="1:11" ht="38.25" x14ac:dyDescent="0.2">
      <c r="A278" s="120">
        <v>276</v>
      </c>
      <c r="B278" s="114" t="s">
        <v>648</v>
      </c>
      <c r="C278" s="114" t="s">
        <v>1575</v>
      </c>
      <c r="D278" s="114" t="s">
        <v>56</v>
      </c>
      <c r="E278" s="114" t="s">
        <v>577</v>
      </c>
      <c r="F278" s="116">
        <v>3010.08</v>
      </c>
      <c r="G278" s="121">
        <v>3.3640451277409158E-4</v>
      </c>
      <c r="H278" s="121">
        <v>0.97524683027891568</v>
      </c>
      <c r="I278" s="114" t="s">
        <v>1293</v>
      </c>
      <c r="J278" s="114" t="s">
        <v>1323</v>
      </c>
      <c r="K278" s="129" t="s">
        <v>2314</v>
      </c>
    </row>
    <row r="279" spans="1:11" ht="38.25" x14ac:dyDescent="0.2">
      <c r="A279" s="120">
        <v>277</v>
      </c>
      <c r="B279" s="114" t="s">
        <v>565</v>
      </c>
      <c r="C279" s="114" t="s">
        <v>1563</v>
      </c>
      <c r="D279" s="114" t="s">
        <v>56</v>
      </c>
      <c r="E279" s="114" t="s">
        <v>566</v>
      </c>
      <c r="F279" s="116">
        <v>3006.33</v>
      </c>
      <c r="G279" s="121">
        <v>3.3598541530063477E-4</v>
      </c>
      <c r="H279" s="121">
        <v>0.97558281569421634</v>
      </c>
      <c r="I279" s="114" t="s">
        <v>1293</v>
      </c>
      <c r="J279" s="114" t="s">
        <v>1323</v>
      </c>
      <c r="K279" s="129" t="s">
        <v>2314</v>
      </c>
    </row>
    <row r="280" spans="1:11" ht="25.5" x14ac:dyDescent="0.2">
      <c r="A280" s="120">
        <v>278</v>
      </c>
      <c r="B280" s="114" t="s">
        <v>435</v>
      </c>
      <c r="C280" s="114" t="s">
        <v>1504</v>
      </c>
      <c r="D280" s="114" t="s">
        <v>56</v>
      </c>
      <c r="E280" s="114" t="s">
        <v>436</v>
      </c>
      <c r="F280" s="116">
        <v>2965.7</v>
      </c>
      <c r="G280" s="121">
        <v>3.3144463387488815E-4</v>
      </c>
      <c r="H280" s="121">
        <v>0.97591426032809114</v>
      </c>
      <c r="I280" s="114" t="s">
        <v>1293</v>
      </c>
      <c r="J280" s="114" t="s">
        <v>1323</v>
      </c>
      <c r="K280" s="129" t="s">
        <v>2314</v>
      </c>
    </row>
    <row r="281" spans="1:11" ht="38.25" x14ac:dyDescent="0.2">
      <c r="A281" s="120">
        <v>279</v>
      </c>
      <c r="B281" s="114" t="s">
        <v>1430</v>
      </c>
      <c r="C281" s="114" t="s">
        <v>1431</v>
      </c>
      <c r="D281" s="114" t="s">
        <v>56</v>
      </c>
      <c r="E281" s="114" t="s">
        <v>269</v>
      </c>
      <c r="F281" s="116">
        <v>2948.04</v>
      </c>
      <c r="G281" s="121">
        <v>3.2947096417322227E-4</v>
      </c>
      <c r="H281" s="121">
        <v>0.97624373129226427</v>
      </c>
      <c r="I281" s="114" t="s">
        <v>1293</v>
      </c>
      <c r="J281" s="114" t="s">
        <v>1323</v>
      </c>
      <c r="K281" s="129" t="s">
        <v>2314</v>
      </c>
    </row>
    <row r="282" spans="1:11" ht="38.25" x14ac:dyDescent="0.2">
      <c r="A282" s="120">
        <v>280</v>
      </c>
      <c r="B282" s="114" t="s">
        <v>1692</v>
      </c>
      <c r="C282" s="114" t="s">
        <v>1971</v>
      </c>
      <c r="D282" s="114" t="s">
        <v>56</v>
      </c>
      <c r="E282" s="114" t="s">
        <v>921</v>
      </c>
      <c r="F282" s="116">
        <v>2755.14</v>
      </c>
      <c r="G282" s="121">
        <v>3.0791259013860452E-4</v>
      </c>
      <c r="H282" s="121">
        <v>0.99976510871844915</v>
      </c>
      <c r="I282" s="114" t="s">
        <v>1293</v>
      </c>
      <c r="J282" s="114" t="s">
        <v>1323</v>
      </c>
      <c r="K282" s="129" t="s">
        <v>2314</v>
      </c>
    </row>
    <row r="283" spans="1:11" ht="38.25" x14ac:dyDescent="0.2">
      <c r="A283" s="120">
        <v>281</v>
      </c>
      <c r="B283" s="114" t="s">
        <v>828</v>
      </c>
      <c r="C283" s="114" t="s">
        <v>1871</v>
      </c>
      <c r="D283" s="114" t="s">
        <v>56</v>
      </c>
      <c r="E283" s="114" t="s">
        <v>1872</v>
      </c>
      <c r="F283" s="116">
        <v>2721.99</v>
      </c>
      <c r="G283" s="121">
        <v>3.0420776847324638E-4</v>
      </c>
      <c r="H283" s="121">
        <v>0.97685585165087618</v>
      </c>
      <c r="I283" s="114" t="s">
        <v>1293</v>
      </c>
      <c r="J283" s="114" t="s">
        <v>1323</v>
      </c>
      <c r="K283" s="129" t="s">
        <v>2314</v>
      </c>
    </row>
    <row r="284" spans="1:11" ht="102" x14ac:dyDescent="0.2">
      <c r="A284" s="120">
        <v>282</v>
      </c>
      <c r="B284" s="114" t="s">
        <v>497</v>
      </c>
      <c r="C284" s="114" t="s">
        <v>1537</v>
      </c>
      <c r="D284" s="114" t="s">
        <v>24</v>
      </c>
      <c r="E284" s="114" t="s">
        <v>499</v>
      </c>
      <c r="F284" s="116">
        <v>2683.97</v>
      </c>
      <c r="G284" s="121">
        <v>2.9995867888902569E-4</v>
      </c>
      <c r="H284" s="121">
        <v>0.97715581032976528</v>
      </c>
      <c r="I284" s="114" t="s">
        <v>1293</v>
      </c>
      <c r="J284" s="114" t="s">
        <v>1323</v>
      </c>
      <c r="K284" s="129" t="s">
        <v>2314</v>
      </c>
    </row>
    <row r="285" spans="1:11" ht="25.5" x14ac:dyDescent="0.2">
      <c r="A285" s="120">
        <v>283</v>
      </c>
      <c r="B285" s="114" t="s">
        <v>301</v>
      </c>
      <c r="C285" s="114" t="s">
        <v>1447</v>
      </c>
      <c r="D285" s="114" t="s">
        <v>56</v>
      </c>
      <c r="E285" s="114" t="s">
        <v>1448</v>
      </c>
      <c r="F285" s="116">
        <v>2640.04</v>
      </c>
      <c r="G285" s="121">
        <v>2.9504909168663715E-4</v>
      </c>
      <c r="H285" s="121">
        <v>0.97745085942145182</v>
      </c>
      <c r="I285" s="114" t="s">
        <v>1293</v>
      </c>
      <c r="J285" s="114" t="s">
        <v>1323</v>
      </c>
      <c r="K285" s="129" t="s">
        <v>2314</v>
      </c>
    </row>
    <row r="286" spans="1:11" ht="51" x14ac:dyDescent="0.2">
      <c r="A286" s="120">
        <v>284</v>
      </c>
      <c r="B286" s="114" t="s">
        <v>1570</v>
      </c>
      <c r="C286" s="114" t="s">
        <v>2137</v>
      </c>
      <c r="D286" s="114" t="s">
        <v>56</v>
      </c>
      <c r="E286" s="114" t="s">
        <v>1025</v>
      </c>
      <c r="F286" s="116">
        <v>2504.1</v>
      </c>
      <c r="G286" s="121">
        <v>2.7985652887551249E-4</v>
      </c>
      <c r="H286" s="121">
        <v>0.99999869353347615</v>
      </c>
      <c r="I286" s="114" t="s">
        <v>1293</v>
      </c>
      <c r="J286" s="114" t="s">
        <v>1323</v>
      </c>
      <c r="K286" s="129" t="s">
        <v>2314</v>
      </c>
    </row>
    <row r="287" spans="1:11" ht="38.25" x14ac:dyDescent="0.2">
      <c r="A287" s="120">
        <v>285</v>
      </c>
      <c r="B287" s="114" t="s">
        <v>2118</v>
      </c>
      <c r="C287" s="114" t="s">
        <v>2119</v>
      </c>
      <c r="D287" s="114" t="s">
        <v>56</v>
      </c>
      <c r="E287" s="114" t="s">
        <v>1013</v>
      </c>
      <c r="F287" s="116">
        <v>2490.54</v>
      </c>
      <c r="G287" s="121">
        <v>2.7834107241149275E-4</v>
      </c>
      <c r="H287" s="121">
        <v>0.97800905702273877</v>
      </c>
      <c r="I287" s="114" t="s">
        <v>1293</v>
      </c>
      <c r="J287" s="114" t="s">
        <v>1323</v>
      </c>
      <c r="K287" s="129" t="s">
        <v>2314</v>
      </c>
    </row>
    <row r="288" spans="1:11" ht="51" x14ac:dyDescent="0.2">
      <c r="A288" s="120">
        <v>286</v>
      </c>
      <c r="B288" s="114" t="s">
        <v>2071</v>
      </c>
      <c r="C288" s="114" t="s">
        <v>984</v>
      </c>
      <c r="D288" s="114" t="s">
        <v>209</v>
      </c>
      <c r="E288" s="114" t="s">
        <v>985</v>
      </c>
      <c r="F288" s="116">
        <v>2477.3200000000002</v>
      </c>
      <c r="G288" s="121">
        <v>2.7686361411839971E-4</v>
      </c>
      <c r="H288" s="121">
        <v>0.97828592063685715</v>
      </c>
      <c r="I288" s="114" t="s">
        <v>1293</v>
      </c>
      <c r="J288" s="114" t="s">
        <v>1319</v>
      </c>
      <c r="K288" s="129" t="s">
        <v>2315</v>
      </c>
    </row>
    <row r="289" spans="1:11" ht="38.25" x14ac:dyDescent="0.2">
      <c r="A289" s="120">
        <v>287</v>
      </c>
      <c r="B289" s="114" t="s">
        <v>1972</v>
      </c>
      <c r="C289" s="114" t="s">
        <v>1973</v>
      </c>
      <c r="D289" s="114" t="s">
        <v>56</v>
      </c>
      <c r="E289" s="114" t="s">
        <v>922</v>
      </c>
      <c r="F289" s="116">
        <v>2474.94</v>
      </c>
      <c r="G289" s="121">
        <v>2.7659762692191245E-4</v>
      </c>
      <c r="H289" s="121">
        <v>0.97856251826377905</v>
      </c>
      <c r="I289" s="114" t="s">
        <v>1293</v>
      </c>
      <c r="J289" s="114" t="s">
        <v>1323</v>
      </c>
      <c r="K289" s="129" t="s">
        <v>2314</v>
      </c>
    </row>
    <row r="290" spans="1:11" ht="38.25" x14ac:dyDescent="0.2">
      <c r="A290" s="120">
        <v>288</v>
      </c>
      <c r="B290" s="114" t="s">
        <v>250</v>
      </c>
      <c r="C290" s="114" t="s">
        <v>1425</v>
      </c>
      <c r="D290" s="114" t="s">
        <v>56</v>
      </c>
      <c r="E290" s="114" t="s">
        <v>251</v>
      </c>
      <c r="F290" s="116">
        <v>2426.83</v>
      </c>
      <c r="G290" s="121">
        <v>2.7122088573577733E-4</v>
      </c>
      <c r="H290" s="121">
        <v>0.97883373914951477</v>
      </c>
      <c r="I290" s="114" t="s">
        <v>1293</v>
      </c>
      <c r="J290" s="114" t="s">
        <v>1323</v>
      </c>
      <c r="K290" s="129" t="s">
        <v>2314</v>
      </c>
    </row>
    <row r="291" spans="1:11" ht="25.5" x14ac:dyDescent="0.2">
      <c r="A291" s="120">
        <v>289</v>
      </c>
      <c r="B291" s="114" t="s">
        <v>2162</v>
      </c>
      <c r="C291" s="114" t="s">
        <v>2163</v>
      </c>
      <c r="D291" s="114" t="s">
        <v>335</v>
      </c>
      <c r="E291" s="114" t="s">
        <v>1049</v>
      </c>
      <c r="F291" s="116">
        <v>2423.04</v>
      </c>
      <c r="G291" s="121">
        <v>2.7079731788927033E-4</v>
      </c>
      <c r="H291" s="121">
        <v>0.97910453646740403</v>
      </c>
      <c r="I291" s="114" t="s">
        <v>1293</v>
      </c>
      <c r="J291" s="114" t="s">
        <v>1323</v>
      </c>
      <c r="K291" s="129" t="s">
        <v>2314</v>
      </c>
    </row>
    <row r="292" spans="1:11" ht="76.5" x14ac:dyDescent="0.2">
      <c r="A292" s="120">
        <v>290</v>
      </c>
      <c r="B292" s="114" t="s">
        <v>90</v>
      </c>
      <c r="C292" s="114" t="s">
        <v>1346</v>
      </c>
      <c r="D292" s="114" t="s">
        <v>24</v>
      </c>
      <c r="E292" s="114" t="s">
        <v>92</v>
      </c>
      <c r="F292" s="116">
        <v>2417.08</v>
      </c>
      <c r="G292" s="121">
        <v>2.7013123230478967E-4</v>
      </c>
      <c r="H292" s="121">
        <v>0.97937466769970882</v>
      </c>
      <c r="I292" s="114" t="s">
        <v>1293</v>
      </c>
      <c r="J292" s="114" t="s">
        <v>1323</v>
      </c>
      <c r="K292" s="129" t="s">
        <v>2314</v>
      </c>
    </row>
    <row r="293" spans="1:11" ht="51" x14ac:dyDescent="0.2">
      <c r="A293" s="120">
        <v>291</v>
      </c>
      <c r="B293" s="114" t="s">
        <v>2233</v>
      </c>
      <c r="C293" s="114" t="s">
        <v>2234</v>
      </c>
      <c r="D293" s="114" t="s">
        <v>56</v>
      </c>
      <c r="E293" s="114" t="s">
        <v>1105</v>
      </c>
      <c r="F293" s="116">
        <v>2395.35</v>
      </c>
      <c r="G293" s="121">
        <v>2.677027021452653E-4</v>
      </c>
      <c r="H293" s="121">
        <v>0.97964237040185398</v>
      </c>
      <c r="I293" s="114" t="s">
        <v>1293</v>
      </c>
      <c r="J293" s="114" t="s">
        <v>1323</v>
      </c>
      <c r="K293" s="129" t="s">
        <v>2314</v>
      </c>
    </row>
    <row r="294" spans="1:11" ht="38.25" x14ac:dyDescent="0.2">
      <c r="A294" s="120">
        <v>292</v>
      </c>
      <c r="B294" s="114" t="s">
        <v>121</v>
      </c>
      <c r="C294" s="114" t="s">
        <v>1355</v>
      </c>
      <c r="D294" s="114" t="s">
        <v>24</v>
      </c>
      <c r="E294" s="114" t="s">
        <v>1356</v>
      </c>
      <c r="F294" s="116">
        <v>2364.3200000000002</v>
      </c>
      <c r="G294" s="121">
        <v>2.6423481025156817E-4</v>
      </c>
      <c r="H294" s="121">
        <v>0.9799066052121056</v>
      </c>
      <c r="I294" s="114" t="s">
        <v>1293</v>
      </c>
      <c r="J294" s="114" t="s">
        <v>1323</v>
      </c>
      <c r="K294" s="129" t="s">
        <v>2314</v>
      </c>
    </row>
    <row r="295" spans="1:11" ht="38.25" x14ac:dyDescent="0.2">
      <c r="A295" s="120">
        <v>293</v>
      </c>
      <c r="B295" s="114" t="s">
        <v>1995</v>
      </c>
      <c r="C295" s="114" t="s">
        <v>1996</v>
      </c>
      <c r="D295" s="114" t="s">
        <v>56</v>
      </c>
      <c r="E295" s="114" t="s">
        <v>943</v>
      </c>
      <c r="F295" s="116">
        <v>2363.5500000000002</v>
      </c>
      <c r="G295" s="121">
        <v>2.6414875557035169E-4</v>
      </c>
      <c r="H295" s="121">
        <v>0.98017075396767606</v>
      </c>
      <c r="I295" s="114" t="s">
        <v>1293</v>
      </c>
      <c r="J295" s="114" t="s">
        <v>1323</v>
      </c>
      <c r="K295" s="129" t="s">
        <v>2314</v>
      </c>
    </row>
    <row r="296" spans="1:11" ht="38.25" x14ac:dyDescent="0.2">
      <c r="A296" s="120">
        <v>294</v>
      </c>
      <c r="B296" s="114" t="s">
        <v>358</v>
      </c>
      <c r="C296" s="114" t="s">
        <v>1466</v>
      </c>
      <c r="D296" s="114" t="s">
        <v>56</v>
      </c>
      <c r="E296" s="114" t="s">
        <v>359</v>
      </c>
      <c r="F296" s="116">
        <v>2321.29</v>
      </c>
      <c r="G296" s="121">
        <v>2.5942580644280916E-4</v>
      </c>
      <c r="H296" s="121">
        <v>0.98043017977411873</v>
      </c>
      <c r="I296" s="114" t="s">
        <v>1293</v>
      </c>
      <c r="J296" s="114" t="s">
        <v>1323</v>
      </c>
      <c r="K296" s="129" t="s">
        <v>2314</v>
      </c>
    </row>
    <row r="297" spans="1:11" ht="51" x14ac:dyDescent="0.2">
      <c r="A297" s="120">
        <v>295</v>
      </c>
      <c r="B297" s="114" t="s">
        <v>263</v>
      </c>
      <c r="C297" s="114" t="s">
        <v>1413</v>
      </c>
      <c r="D297" s="114" t="s">
        <v>56</v>
      </c>
      <c r="E297" s="114" t="s">
        <v>234</v>
      </c>
      <c r="F297" s="116">
        <v>2289.54</v>
      </c>
      <c r="G297" s="121">
        <v>2.5587744783420825E-4</v>
      </c>
      <c r="H297" s="121">
        <v>0.9806860572219529</v>
      </c>
      <c r="I297" s="114" t="s">
        <v>1293</v>
      </c>
      <c r="J297" s="114" t="s">
        <v>1323</v>
      </c>
      <c r="K297" s="129" t="s">
        <v>2314</v>
      </c>
    </row>
    <row r="298" spans="1:11" ht="25.5" x14ac:dyDescent="0.2">
      <c r="A298" s="120">
        <v>296</v>
      </c>
      <c r="B298" s="114" t="s">
        <v>1958</v>
      </c>
      <c r="C298" s="114" t="s">
        <v>1959</v>
      </c>
      <c r="D298" s="114" t="s">
        <v>335</v>
      </c>
      <c r="E298" s="114" t="s">
        <v>910</v>
      </c>
      <c r="F298" s="116">
        <v>2268.94</v>
      </c>
      <c r="G298" s="121">
        <v>2.5357520571335225E-4</v>
      </c>
      <c r="H298" s="121">
        <v>0.98093963242766613</v>
      </c>
      <c r="I298" s="114" t="s">
        <v>1293</v>
      </c>
      <c r="J298" s="114" t="s">
        <v>1323</v>
      </c>
      <c r="K298" s="129" t="s">
        <v>2314</v>
      </c>
    </row>
    <row r="299" spans="1:11" ht="38.25" x14ac:dyDescent="0.2">
      <c r="A299" s="120">
        <v>297</v>
      </c>
      <c r="B299" s="114" t="s">
        <v>810</v>
      </c>
      <c r="C299" s="114" t="s">
        <v>1715</v>
      </c>
      <c r="D299" s="114" t="s">
        <v>56</v>
      </c>
      <c r="E299" s="114" t="s">
        <v>1716</v>
      </c>
      <c r="F299" s="116">
        <v>2256.6</v>
      </c>
      <c r="G299" s="121">
        <v>2.5219609562736372E-4</v>
      </c>
      <c r="H299" s="121">
        <v>0.98119182852329345</v>
      </c>
      <c r="I299" s="114" t="s">
        <v>1293</v>
      </c>
      <c r="J299" s="114" t="s">
        <v>1323</v>
      </c>
      <c r="K299" s="129" t="s">
        <v>2314</v>
      </c>
    </row>
    <row r="300" spans="1:11" ht="63.75" x14ac:dyDescent="0.2">
      <c r="A300" s="120">
        <v>298</v>
      </c>
      <c r="B300" s="114" t="s">
        <v>2129</v>
      </c>
      <c r="C300" s="114" t="s">
        <v>2179</v>
      </c>
      <c r="D300" s="114" t="s">
        <v>24</v>
      </c>
      <c r="E300" s="114" t="s">
        <v>1064</v>
      </c>
      <c r="F300" s="116">
        <v>2251.42</v>
      </c>
      <c r="G300" s="121">
        <v>2.5161718231736209E-4</v>
      </c>
      <c r="H300" s="121">
        <v>0.98144344570561082</v>
      </c>
      <c r="I300" s="114" t="s">
        <v>1293</v>
      </c>
      <c r="J300" s="114" t="s">
        <v>1323</v>
      </c>
      <c r="K300" s="129" t="s">
        <v>2314</v>
      </c>
    </row>
    <row r="301" spans="1:11" ht="76.5" x14ac:dyDescent="0.2">
      <c r="A301" s="120">
        <v>299</v>
      </c>
      <c r="B301" s="114" t="s">
        <v>452</v>
      </c>
      <c r="C301" s="114" t="s">
        <v>1512</v>
      </c>
      <c r="D301" s="114" t="s">
        <v>56</v>
      </c>
      <c r="E301" s="114" t="s">
        <v>453</v>
      </c>
      <c r="F301" s="116">
        <v>2232.61</v>
      </c>
      <c r="G301" s="121">
        <v>2.4951498939050279E-4</v>
      </c>
      <c r="H301" s="121">
        <v>0.98169296069500123</v>
      </c>
      <c r="I301" s="114" t="s">
        <v>1293</v>
      </c>
      <c r="J301" s="114" t="s">
        <v>1323</v>
      </c>
      <c r="K301" s="129" t="s">
        <v>2314</v>
      </c>
    </row>
    <row r="302" spans="1:11" ht="38.25" x14ac:dyDescent="0.2">
      <c r="A302" s="120">
        <v>300</v>
      </c>
      <c r="B302" s="114" t="s">
        <v>718</v>
      </c>
      <c r="C302" s="114" t="s">
        <v>1785</v>
      </c>
      <c r="D302" s="114" t="s">
        <v>56</v>
      </c>
      <c r="E302" s="114" t="s">
        <v>1786</v>
      </c>
      <c r="F302" s="116">
        <v>2181.92</v>
      </c>
      <c r="G302" s="121">
        <v>2.438499091426294E-4</v>
      </c>
      <c r="H302" s="121">
        <v>0.98193681060414384</v>
      </c>
      <c r="I302" s="114" t="s">
        <v>1293</v>
      </c>
      <c r="J302" s="114" t="s">
        <v>1323</v>
      </c>
      <c r="K302" s="129" t="s">
        <v>2314</v>
      </c>
    </row>
    <row r="303" spans="1:11" ht="38.25" x14ac:dyDescent="0.2">
      <c r="A303" s="120">
        <v>301</v>
      </c>
      <c r="B303" s="114" t="s">
        <v>2120</v>
      </c>
      <c r="C303" s="114" t="s">
        <v>2121</v>
      </c>
      <c r="D303" s="114" t="s">
        <v>56</v>
      </c>
      <c r="E303" s="114" t="s">
        <v>1014</v>
      </c>
      <c r="F303" s="116">
        <v>2135.62</v>
      </c>
      <c r="G303" s="121">
        <v>2.3867545233701608E-4</v>
      </c>
      <c r="H303" s="121">
        <v>0.98217548605648075</v>
      </c>
      <c r="I303" s="114" t="s">
        <v>1293</v>
      </c>
      <c r="J303" s="114" t="s">
        <v>1323</v>
      </c>
      <c r="K303" s="129" t="s">
        <v>2314</v>
      </c>
    </row>
    <row r="304" spans="1:11" ht="51" x14ac:dyDescent="0.2">
      <c r="A304" s="120">
        <v>302</v>
      </c>
      <c r="B304" s="114" t="s">
        <v>2242</v>
      </c>
      <c r="C304" s="114" t="s">
        <v>2243</v>
      </c>
      <c r="D304" s="114" t="s">
        <v>56</v>
      </c>
      <c r="E304" s="114" t="s">
        <v>1109</v>
      </c>
      <c r="F304" s="116">
        <v>2098.7199999999998</v>
      </c>
      <c r="G304" s="121">
        <v>2.3455153319820117E-4</v>
      </c>
      <c r="H304" s="121">
        <v>0.98241003758967904</v>
      </c>
      <c r="I304" s="114" t="s">
        <v>1293</v>
      </c>
      <c r="J304" s="114" t="s">
        <v>1323</v>
      </c>
      <c r="K304" s="129" t="s">
        <v>2314</v>
      </c>
    </row>
    <row r="305" spans="1:11" ht="38.25" x14ac:dyDescent="0.2">
      <c r="A305" s="120">
        <v>303</v>
      </c>
      <c r="B305" s="114" t="s">
        <v>614</v>
      </c>
      <c r="C305" s="114" t="s">
        <v>1636</v>
      </c>
      <c r="D305" s="114" t="s">
        <v>56</v>
      </c>
      <c r="E305" s="114" t="s">
        <v>1637</v>
      </c>
      <c r="F305" s="116">
        <v>2089.29</v>
      </c>
      <c r="G305" s="121">
        <v>2.3349764275161516E-4</v>
      </c>
      <c r="H305" s="121">
        <v>0.98264353523243064</v>
      </c>
      <c r="I305" s="114" t="s">
        <v>1293</v>
      </c>
      <c r="J305" s="114" t="s">
        <v>1323</v>
      </c>
      <c r="K305" s="129" t="s">
        <v>2314</v>
      </c>
    </row>
    <row r="306" spans="1:11" ht="51" x14ac:dyDescent="0.2">
      <c r="A306" s="120">
        <v>304</v>
      </c>
      <c r="B306" s="114" t="s">
        <v>1893</v>
      </c>
      <c r="C306" s="114" t="s">
        <v>1894</v>
      </c>
      <c r="D306" s="114" t="s">
        <v>56</v>
      </c>
      <c r="E306" s="114" t="s">
        <v>847</v>
      </c>
      <c r="F306" s="116">
        <v>2083.8000000000002</v>
      </c>
      <c r="G306" s="121">
        <v>2.3288408405047444E-4</v>
      </c>
      <c r="H306" s="121">
        <v>0.98287641931648118</v>
      </c>
      <c r="I306" s="114" t="s">
        <v>1293</v>
      </c>
      <c r="J306" s="114" t="s">
        <v>1323</v>
      </c>
      <c r="K306" s="129" t="s">
        <v>2314</v>
      </c>
    </row>
    <row r="307" spans="1:11" ht="51" x14ac:dyDescent="0.2">
      <c r="A307" s="120">
        <v>305</v>
      </c>
      <c r="B307" s="114" t="s">
        <v>1687</v>
      </c>
      <c r="C307" s="114" t="s">
        <v>1688</v>
      </c>
      <c r="D307" s="114" t="s">
        <v>56</v>
      </c>
      <c r="E307" s="114" t="s">
        <v>1689</v>
      </c>
      <c r="F307" s="116">
        <v>2025.85</v>
      </c>
      <c r="G307" s="121">
        <v>2.2640763109398865E-4</v>
      </c>
      <c r="H307" s="121">
        <v>0.98310282694757511</v>
      </c>
      <c r="I307" s="114" t="s">
        <v>1293</v>
      </c>
      <c r="J307" s="114" t="s">
        <v>1323</v>
      </c>
      <c r="K307" s="129" t="s">
        <v>2314</v>
      </c>
    </row>
    <row r="308" spans="1:11" ht="38.25" x14ac:dyDescent="0.2">
      <c r="A308" s="120">
        <v>306</v>
      </c>
      <c r="B308" s="114" t="s">
        <v>2040</v>
      </c>
      <c r="C308" s="114" t="s">
        <v>2041</v>
      </c>
      <c r="D308" s="114" t="s">
        <v>56</v>
      </c>
      <c r="E308" s="114" t="s">
        <v>967</v>
      </c>
      <c r="F308" s="116">
        <v>1985.26</v>
      </c>
      <c r="G308" s="121">
        <v>2.2187132004129227E-4</v>
      </c>
      <c r="H308" s="121">
        <v>0.98332469826761637</v>
      </c>
      <c r="I308" s="114" t="s">
        <v>1293</v>
      </c>
      <c r="J308" s="114" t="s">
        <v>1323</v>
      </c>
      <c r="K308" s="129" t="s">
        <v>2314</v>
      </c>
    </row>
    <row r="309" spans="1:11" ht="63.75" x14ac:dyDescent="0.2">
      <c r="A309" s="120">
        <v>307</v>
      </c>
      <c r="B309" s="114" t="s">
        <v>1851</v>
      </c>
      <c r="C309" s="114" t="s">
        <v>779</v>
      </c>
      <c r="D309" s="114" t="s">
        <v>774</v>
      </c>
      <c r="E309" s="114" t="s">
        <v>780</v>
      </c>
      <c r="F309" s="116">
        <v>1970.95</v>
      </c>
      <c r="G309" s="121">
        <v>2.2027204408258113E-4</v>
      </c>
      <c r="H309" s="121">
        <v>0.98354497031169885</v>
      </c>
      <c r="I309" s="114" t="s">
        <v>1293</v>
      </c>
      <c r="J309" s="114" t="s">
        <v>1323</v>
      </c>
      <c r="K309" s="129" t="s">
        <v>2314</v>
      </c>
    </row>
    <row r="310" spans="1:11" ht="51" x14ac:dyDescent="0.2">
      <c r="A310" s="120">
        <v>308</v>
      </c>
      <c r="B310" s="114" t="s">
        <v>2244</v>
      </c>
      <c r="C310" s="114" t="s">
        <v>2245</v>
      </c>
      <c r="D310" s="114" t="s">
        <v>56</v>
      </c>
      <c r="E310" s="114" t="s">
        <v>1110</v>
      </c>
      <c r="F310" s="116">
        <v>1959.05</v>
      </c>
      <c r="G310" s="121">
        <v>2.1894210810014488E-4</v>
      </c>
      <c r="H310" s="121">
        <v>0.9837639124197991</v>
      </c>
      <c r="I310" s="114" t="s">
        <v>1293</v>
      </c>
      <c r="J310" s="114" t="s">
        <v>1323</v>
      </c>
      <c r="K310" s="129" t="s">
        <v>2314</v>
      </c>
    </row>
    <row r="311" spans="1:11" ht="51" x14ac:dyDescent="0.2">
      <c r="A311" s="120">
        <v>309</v>
      </c>
      <c r="B311" s="114" t="s">
        <v>2059</v>
      </c>
      <c r="C311" s="114" t="s">
        <v>2060</v>
      </c>
      <c r="D311" s="114" t="s">
        <v>56</v>
      </c>
      <c r="E311" s="114" t="s">
        <v>975</v>
      </c>
      <c r="F311" s="116">
        <v>1927.28</v>
      </c>
      <c r="G311" s="121">
        <v>2.1539151430501887E-4</v>
      </c>
      <c r="H311" s="121">
        <v>0.99927352749876364</v>
      </c>
      <c r="I311" s="114" t="s">
        <v>1293</v>
      </c>
      <c r="J311" s="114" t="s">
        <v>1323</v>
      </c>
      <c r="K311" s="129" t="s">
        <v>2314</v>
      </c>
    </row>
    <row r="312" spans="1:11" ht="38.25" x14ac:dyDescent="0.2">
      <c r="A312" s="120">
        <v>310</v>
      </c>
      <c r="B312" s="114" t="s">
        <v>259</v>
      </c>
      <c r="C312" s="114" t="s">
        <v>1401</v>
      </c>
      <c r="D312" s="114" t="s">
        <v>56</v>
      </c>
      <c r="E312" s="114" t="s">
        <v>218</v>
      </c>
      <c r="F312" s="116">
        <v>1909</v>
      </c>
      <c r="G312" s="121">
        <v>2.1334855382107478E-4</v>
      </c>
      <c r="H312" s="121">
        <v>0.98419265248792509</v>
      </c>
      <c r="I312" s="114" t="s">
        <v>1293</v>
      </c>
      <c r="J312" s="114" t="s">
        <v>1323</v>
      </c>
      <c r="K312" s="129" t="s">
        <v>2314</v>
      </c>
    </row>
    <row r="313" spans="1:11" ht="63.75" x14ac:dyDescent="0.2">
      <c r="A313" s="120">
        <v>311</v>
      </c>
      <c r="B313" s="114" t="s">
        <v>815</v>
      </c>
      <c r="C313" s="114" t="s">
        <v>816</v>
      </c>
      <c r="D313" s="114" t="s">
        <v>209</v>
      </c>
      <c r="E313" s="114" t="s">
        <v>1868</v>
      </c>
      <c r="F313" s="116">
        <v>1840.66</v>
      </c>
      <c r="G313" s="121">
        <v>2.0571092146479808E-4</v>
      </c>
      <c r="H313" s="121">
        <v>0.98439836340938991</v>
      </c>
      <c r="I313" s="114" t="s">
        <v>1293</v>
      </c>
      <c r="J313" s="114" t="s">
        <v>1319</v>
      </c>
      <c r="K313" s="129" t="s">
        <v>2315</v>
      </c>
    </row>
    <row r="314" spans="1:11" ht="38.25" x14ac:dyDescent="0.2">
      <c r="A314" s="120">
        <v>312</v>
      </c>
      <c r="B314" s="114" t="s">
        <v>437</v>
      </c>
      <c r="C314" s="114" t="s">
        <v>1505</v>
      </c>
      <c r="D314" s="114" t="s">
        <v>56</v>
      </c>
      <c r="E314" s="114" t="s">
        <v>438</v>
      </c>
      <c r="F314" s="116">
        <v>1832.42</v>
      </c>
      <c r="G314" s="121">
        <v>2.0479002461645568E-4</v>
      </c>
      <c r="H314" s="121">
        <v>0.9846031534340064</v>
      </c>
      <c r="I314" s="114" t="s">
        <v>1293</v>
      </c>
      <c r="J314" s="114" t="s">
        <v>1323</v>
      </c>
      <c r="K314" s="129" t="s">
        <v>2314</v>
      </c>
    </row>
    <row r="315" spans="1:11" ht="63.75" x14ac:dyDescent="0.2">
      <c r="A315" s="120">
        <v>313</v>
      </c>
      <c r="B315" s="114" t="s">
        <v>826</v>
      </c>
      <c r="C315" s="114" t="s">
        <v>1870</v>
      </c>
      <c r="D315" s="114" t="s">
        <v>56</v>
      </c>
      <c r="E315" s="114" t="s">
        <v>827</v>
      </c>
      <c r="F315" s="116">
        <v>1820.23</v>
      </c>
      <c r="G315" s="121">
        <v>2.0342767842940543E-4</v>
      </c>
      <c r="H315" s="121">
        <v>0.9848065811124358</v>
      </c>
      <c r="I315" s="114" t="s">
        <v>1293</v>
      </c>
      <c r="J315" s="114" t="s">
        <v>1323</v>
      </c>
      <c r="K315" s="129" t="s">
        <v>2314</v>
      </c>
    </row>
    <row r="316" spans="1:11" ht="38.25" x14ac:dyDescent="0.2">
      <c r="A316" s="120">
        <v>314</v>
      </c>
      <c r="B316" s="114" t="s">
        <v>789</v>
      </c>
      <c r="C316" s="114" t="s">
        <v>1855</v>
      </c>
      <c r="D316" s="114" t="s">
        <v>56</v>
      </c>
      <c r="E316" s="114" t="s">
        <v>790</v>
      </c>
      <c r="F316" s="116">
        <v>1805.1</v>
      </c>
      <c r="G316" s="121">
        <v>2.0173675982316505E-4</v>
      </c>
      <c r="H316" s="121">
        <v>0.98500831787225895</v>
      </c>
      <c r="I316" s="114" t="s">
        <v>1293</v>
      </c>
      <c r="J316" s="114" t="s">
        <v>1323</v>
      </c>
      <c r="K316" s="129" t="s">
        <v>2314</v>
      </c>
    </row>
    <row r="317" spans="1:11" ht="38.25" x14ac:dyDescent="0.2">
      <c r="A317" s="120">
        <v>315</v>
      </c>
      <c r="B317" s="114" t="s">
        <v>1523</v>
      </c>
      <c r="C317" s="114" t="s">
        <v>2113</v>
      </c>
      <c r="D317" s="114" t="s">
        <v>56</v>
      </c>
      <c r="E317" s="114" t="s">
        <v>1009</v>
      </c>
      <c r="F317" s="116">
        <v>1783.21</v>
      </c>
      <c r="G317" s="121">
        <v>1.9929034817143992E-4</v>
      </c>
      <c r="H317" s="121">
        <v>0.98520760822043052</v>
      </c>
      <c r="I317" s="114" t="s">
        <v>1293</v>
      </c>
      <c r="J317" s="114" t="s">
        <v>1323</v>
      </c>
      <c r="K317" s="129" t="s">
        <v>2314</v>
      </c>
    </row>
    <row r="318" spans="1:11" ht="25.5" x14ac:dyDescent="0.2">
      <c r="A318" s="120">
        <v>316</v>
      </c>
      <c r="B318" s="114" t="s">
        <v>461</v>
      </c>
      <c r="C318" s="114" t="s">
        <v>1516</v>
      </c>
      <c r="D318" s="114" t="s">
        <v>56</v>
      </c>
      <c r="E318" s="114" t="s">
        <v>1517</v>
      </c>
      <c r="F318" s="116">
        <v>1767.52</v>
      </c>
      <c r="G318" s="121">
        <v>1.9753684434249666E-4</v>
      </c>
      <c r="H318" s="121">
        <v>0.98540514506477295</v>
      </c>
      <c r="I318" s="114" t="s">
        <v>1293</v>
      </c>
      <c r="J318" s="114" t="s">
        <v>1323</v>
      </c>
      <c r="K318" s="129" t="s">
        <v>2314</v>
      </c>
    </row>
    <row r="319" spans="1:11" ht="38.25" x14ac:dyDescent="0.2">
      <c r="A319" s="120">
        <v>317</v>
      </c>
      <c r="B319" s="114" t="s">
        <v>2105</v>
      </c>
      <c r="C319" s="114" t="s">
        <v>2106</v>
      </c>
      <c r="D319" s="114" t="s">
        <v>56</v>
      </c>
      <c r="E319" s="114" t="s">
        <v>2107</v>
      </c>
      <c r="F319" s="116">
        <v>1737.99</v>
      </c>
      <c r="G319" s="121">
        <v>1.9423659143818218E-4</v>
      </c>
      <c r="H319" s="121">
        <v>0.98559938165621119</v>
      </c>
      <c r="I319" s="114" t="s">
        <v>1293</v>
      </c>
      <c r="J319" s="114" t="s">
        <v>1323</v>
      </c>
      <c r="K319" s="129" t="s">
        <v>2314</v>
      </c>
    </row>
    <row r="320" spans="1:11" ht="25.5" x14ac:dyDescent="0.2">
      <c r="A320" s="120">
        <v>318</v>
      </c>
      <c r="B320" s="114" t="s">
        <v>2281</v>
      </c>
      <c r="C320" s="114" t="s">
        <v>2282</v>
      </c>
      <c r="D320" s="114" t="s">
        <v>335</v>
      </c>
      <c r="E320" s="114" t="s">
        <v>1141</v>
      </c>
      <c r="F320" s="116">
        <v>1719.97</v>
      </c>
      <c r="G320" s="121">
        <v>1.9222268837906445E-4</v>
      </c>
      <c r="H320" s="121">
        <v>0.98579160434459023</v>
      </c>
      <c r="I320" s="114" t="s">
        <v>1293</v>
      </c>
      <c r="J320" s="114" t="s">
        <v>1323</v>
      </c>
      <c r="K320" s="129" t="s">
        <v>2314</v>
      </c>
    </row>
    <row r="321" spans="1:11" ht="38.25" x14ac:dyDescent="0.2">
      <c r="A321" s="120">
        <v>319</v>
      </c>
      <c r="B321" s="114" t="s">
        <v>1885</v>
      </c>
      <c r="C321" s="114" t="s">
        <v>1886</v>
      </c>
      <c r="D321" s="114" t="s">
        <v>56</v>
      </c>
      <c r="E321" s="114" t="s">
        <v>840</v>
      </c>
      <c r="F321" s="116">
        <v>1662.57</v>
      </c>
      <c r="G321" s="121">
        <v>1.8580770305201902E-4</v>
      </c>
      <c r="H321" s="121">
        <v>0.98597741204764233</v>
      </c>
      <c r="I321" s="114" t="s">
        <v>1293</v>
      </c>
      <c r="J321" s="114" t="s">
        <v>1323</v>
      </c>
      <c r="K321" s="129" t="s">
        <v>2314</v>
      </c>
    </row>
    <row r="322" spans="1:11" ht="51" x14ac:dyDescent="0.2">
      <c r="A322" s="120">
        <v>320</v>
      </c>
      <c r="B322" s="114" t="s">
        <v>172</v>
      </c>
      <c r="C322" s="114" t="s">
        <v>1376</v>
      </c>
      <c r="D322" s="114" t="s">
        <v>56</v>
      </c>
      <c r="E322" s="114" t="s">
        <v>1377</v>
      </c>
      <c r="F322" s="116">
        <v>1646.41</v>
      </c>
      <c r="G322" s="121">
        <v>1.8400167233973588E-4</v>
      </c>
      <c r="H322" s="121">
        <v>0.98616141371998212</v>
      </c>
      <c r="I322" s="114" t="s">
        <v>1293</v>
      </c>
      <c r="J322" s="114" t="s">
        <v>1323</v>
      </c>
      <c r="K322" s="129" t="s">
        <v>2314</v>
      </c>
    </row>
    <row r="323" spans="1:11" ht="127.5" x14ac:dyDescent="0.2">
      <c r="A323" s="120">
        <v>321</v>
      </c>
      <c r="B323" s="114" t="s">
        <v>2290</v>
      </c>
      <c r="C323" s="114" t="s">
        <v>2291</v>
      </c>
      <c r="D323" s="114" t="s">
        <v>24</v>
      </c>
      <c r="E323" s="114" t="s">
        <v>1150</v>
      </c>
      <c r="F323" s="116">
        <v>1628.43</v>
      </c>
      <c r="G323" s="121">
        <v>1.8199223965366832E-4</v>
      </c>
      <c r="H323" s="121">
        <v>0.98634340595963577</v>
      </c>
      <c r="I323" s="114" t="s">
        <v>1293</v>
      </c>
      <c r="J323" s="114" t="s">
        <v>1323</v>
      </c>
      <c r="K323" s="129" t="s">
        <v>2314</v>
      </c>
    </row>
    <row r="324" spans="1:11" ht="25.5" x14ac:dyDescent="0.2">
      <c r="A324" s="120">
        <v>322</v>
      </c>
      <c r="B324" s="114" t="s">
        <v>2133</v>
      </c>
      <c r="C324" s="114" t="s">
        <v>2134</v>
      </c>
      <c r="D324" s="114" t="s">
        <v>335</v>
      </c>
      <c r="E324" s="114" t="s">
        <v>1021</v>
      </c>
      <c r="F324" s="116">
        <v>1570.57</v>
      </c>
      <c r="G324" s="121">
        <v>1.7552584503654554E-4</v>
      </c>
      <c r="H324" s="121">
        <v>0.98651893180467232</v>
      </c>
      <c r="I324" s="114" t="s">
        <v>1293</v>
      </c>
      <c r="J324" s="114" t="s">
        <v>1323</v>
      </c>
      <c r="K324" s="129" t="s">
        <v>2314</v>
      </c>
    </row>
    <row r="325" spans="1:11" ht="38.25" x14ac:dyDescent="0.2">
      <c r="A325" s="120">
        <v>323</v>
      </c>
      <c r="B325" s="114" t="s">
        <v>1887</v>
      </c>
      <c r="C325" s="114" t="s">
        <v>1888</v>
      </c>
      <c r="D325" s="114" t="s">
        <v>56</v>
      </c>
      <c r="E325" s="114" t="s">
        <v>841</v>
      </c>
      <c r="F325" s="116">
        <v>1562.73</v>
      </c>
      <c r="G325" s="121">
        <v>1.7464965191870519E-4</v>
      </c>
      <c r="H325" s="121">
        <v>0.98669358145659103</v>
      </c>
      <c r="I325" s="114" t="s">
        <v>1293</v>
      </c>
      <c r="J325" s="114" t="s">
        <v>1323</v>
      </c>
      <c r="K325" s="129" t="s">
        <v>2314</v>
      </c>
    </row>
    <row r="326" spans="1:11" ht="51" x14ac:dyDescent="0.2">
      <c r="A326" s="120">
        <v>324</v>
      </c>
      <c r="B326" s="114" t="s">
        <v>1833</v>
      </c>
      <c r="C326" s="114" t="s">
        <v>1834</v>
      </c>
      <c r="D326" s="114" t="s">
        <v>56</v>
      </c>
      <c r="E326" s="114" t="s">
        <v>1835</v>
      </c>
      <c r="F326" s="116">
        <v>1555.99</v>
      </c>
      <c r="G326" s="121">
        <v>1.7389639405974552E-4</v>
      </c>
      <c r="H326" s="121">
        <v>0.98686747785065088</v>
      </c>
      <c r="I326" s="114" t="s">
        <v>1293</v>
      </c>
      <c r="J326" s="114" t="s">
        <v>1323</v>
      </c>
      <c r="K326" s="129" t="s">
        <v>2314</v>
      </c>
    </row>
    <row r="327" spans="1:11" ht="38.25" x14ac:dyDescent="0.2">
      <c r="A327" s="120">
        <v>325</v>
      </c>
      <c r="B327" s="114" t="s">
        <v>785</v>
      </c>
      <c r="C327" s="114" t="s">
        <v>1853</v>
      </c>
      <c r="D327" s="114" t="s">
        <v>56</v>
      </c>
      <c r="E327" s="114" t="s">
        <v>786</v>
      </c>
      <c r="F327" s="116">
        <v>1521.15</v>
      </c>
      <c r="G327" s="121">
        <v>1.700026991330162E-4</v>
      </c>
      <c r="H327" s="121">
        <v>0.98703748054978391</v>
      </c>
      <c r="I327" s="114" t="s">
        <v>1293</v>
      </c>
      <c r="J327" s="114" t="s">
        <v>1323</v>
      </c>
      <c r="K327" s="129" t="s">
        <v>2314</v>
      </c>
    </row>
    <row r="328" spans="1:11" ht="102" x14ac:dyDescent="0.2">
      <c r="A328" s="120">
        <v>326</v>
      </c>
      <c r="B328" s="114" t="s">
        <v>1950</v>
      </c>
      <c r="C328" s="114" t="s">
        <v>1951</v>
      </c>
      <c r="D328" s="114" t="s">
        <v>24</v>
      </c>
      <c r="E328" s="114" t="s">
        <v>902</v>
      </c>
      <c r="F328" s="116">
        <v>1499.17</v>
      </c>
      <c r="G328" s="121">
        <v>1.6754622914192809E-4</v>
      </c>
      <c r="H328" s="121">
        <v>0.98720502677892585</v>
      </c>
      <c r="I328" s="114" t="s">
        <v>1293</v>
      </c>
      <c r="J328" s="114" t="s">
        <v>1323</v>
      </c>
      <c r="K328" s="129" t="s">
        <v>2314</v>
      </c>
    </row>
    <row r="329" spans="1:11" ht="51" x14ac:dyDescent="0.2">
      <c r="A329" s="120">
        <v>327</v>
      </c>
      <c r="B329" s="114" t="s">
        <v>1414</v>
      </c>
      <c r="C329" s="114" t="s">
        <v>1415</v>
      </c>
      <c r="D329" s="114" t="s">
        <v>56</v>
      </c>
      <c r="E329" s="114" t="s">
        <v>235</v>
      </c>
      <c r="F329" s="116">
        <v>1492.66</v>
      </c>
      <c r="G329" s="121">
        <v>1.6681867592800709E-4</v>
      </c>
      <c r="H329" s="121">
        <v>0.98737184545485379</v>
      </c>
      <c r="I329" s="114" t="s">
        <v>1293</v>
      </c>
      <c r="J329" s="114" t="s">
        <v>1323</v>
      </c>
      <c r="K329" s="129" t="s">
        <v>2314</v>
      </c>
    </row>
    <row r="330" spans="1:11" ht="38.25" x14ac:dyDescent="0.2">
      <c r="A330" s="120">
        <v>328</v>
      </c>
      <c r="B330" s="114" t="s">
        <v>2098</v>
      </c>
      <c r="C330" s="114" t="s">
        <v>2099</v>
      </c>
      <c r="D330" s="114" t="s">
        <v>56</v>
      </c>
      <c r="E330" s="114" t="s">
        <v>2100</v>
      </c>
      <c r="F330" s="116">
        <v>1472.58</v>
      </c>
      <c r="G330" s="121">
        <v>1.6457454865680373E-4</v>
      </c>
      <c r="H330" s="121">
        <v>0.98753642000351061</v>
      </c>
      <c r="I330" s="114" t="s">
        <v>1293</v>
      </c>
      <c r="J330" s="114" t="s">
        <v>1323</v>
      </c>
      <c r="K330" s="129" t="s">
        <v>2314</v>
      </c>
    </row>
    <row r="331" spans="1:11" ht="51" x14ac:dyDescent="0.2">
      <c r="A331" s="120">
        <v>329</v>
      </c>
      <c r="B331" s="114" t="s">
        <v>2170</v>
      </c>
      <c r="C331" s="114" t="s">
        <v>2171</v>
      </c>
      <c r="D331" s="114" t="s">
        <v>24</v>
      </c>
      <c r="E331" s="114" t="s">
        <v>1058</v>
      </c>
      <c r="F331" s="116">
        <v>1468.35</v>
      </c>
      <c r="G331" s="121">
        <v>1.6410180670674445E-4</v>
      </c>
      <c r="H331" s="121">
        <v>0.98770052181021739</v>
      </c>
      <c r="I331" s="114" t="s">
        <v>1293</v>
      </c>
      <c r="J331" s="114" t="s">
        <v>1323</v>
      </c>
      <c r="K331" s="129" t="s">
        <v>2314</v>
      </c>
    </row>
    <row r="332" spans="1:11" ht="76.5" x14ac:dyDescent="0.2">
      <c r="A332" s="120">
        <v>330</v>
      </c>
      <c r="B332" s="114" t="s">
        <v>2285</v>
      </c>
      <c r="C332" s="114" t="s">
        <v>2286</v>
      </c>
      <c r="D332" s="114" t="s">
        <v>24</v>
      </c>
      <c r="E332" s="114" t="s">
        <v>1144</v>
      </c>
      <c r="F332" s="116">
        <v>1442.88</v>
      </c>
      <c r="G332" s="121">
        <v>1.6125529666702589E-4</v>
      </c>
      <c r="H332" s="121">
        <v>0.9878617771068845</v>
      </c>
      <c r="I332" s="114" t="s">
        <v>1293</v>
      </c>
      <c r="J332" s="114" t="s">
        <v>1323</v>
      </c>
      <c r="K332" s="129" t="s">
        <v>2314</v>
      </c>
    </row>
    <row r="333" spans="1:11" ht="51" x14ac:dyDescent="0.2">
      <c r="A333" s="120">
        <v>331</v>
      </c>
      <c r="B333" s="114" t="s">
        <v>1992</v>
      </c>
      <c r="C333" s="114" t="s">
        <v>938</v>
      </c>
      <c r="D333" s="114" t="s">
        <v>209</v>
      </c>
      <c r="E333" s="114" t="s">
        <v>939</v>
      </c>
      <c r="F333" s="116">
        <v>1441.63</v>
      </c>
      <c r="G333" s="121">
        <v>1.6111559750920697E-4</v>
      </c>
      <c r="H333" s="121">
        <v>0.98802289270439381</v>
      </c>
      <c r="I333" s="114" t="s">
        <v>1293</v>
      </c>
      <c r="J333" s="114" t="s">
        <v>1319</v>
      </c>
      <c r="K333" s="129" t="s">
        <v>2315</v>
      </c>
    </row>
    <row r="334" spans="1:11" ht="25.5" x14ac:dyDescent="0.2">
      <c r="A334" s="120">
        <v>332</v>
      </c>
      <c r="B334" s="114" t="s">
        <v>150</v>
      </c>
      <c r="C334" s="114" t="s">
        <v>1369</v>
      </c>
      <c r="D334" s="114" t="s">
        <v>56</v>
      </c>
      <c r="E334" s="114" t="s">
        <v>151</v>
      </c>
      <c r="F334" s="116">
        <v>1440.08</v>
      </c>
      <c r="G334" s="121">
        <v>1.6094237055351145E-4</v>
      </c>
      <c r="H334" s="121">
        <v>0.98818383507494734</v>
      </c>
      <c r="I334" s="114" t="s">
        <v>1293</v>
      </c>
      <c r="J334" s="114" t="s">
        <v>1323</v>
      </c>
      <c r="K334" s="129" t="s">
        <v>2314</v>
      </c>
    </row>
    <row r="335" spans="1:11" ht="38.25" x14ac:dyDescent="0.2">
      <c r="A335" s="120">
        <v>333</v>
      </c>
      <c r="B335" s="114" t="s">
        <v>2164</v>
      </c>
      <c r="C335" s="114" t="s">
        <v>2165</v>
      </c>
      <c r="D335" s="114" t="s">
        <v>56</v>
      </c>
      <c r="E335" s="114" t="s">
        <v>2166</v>
      </c>
      <c r="F335" s="116">
        <v>1433.35</v>
      </c>
      <c r="G335" s="121">
        <v>1.6019023028781431E-4</v>
      </c>
      <c r="H335" s="121">
        <v>0.98834402530523502</v>
      </c>
      <c r="I335" s="114" t="s">
        <v>1293</v>
      </c>
      <c r="J335" s="114" t="s">
        <v>1323</v>
      </c>
      <c r="K335" s="129" t="s">
        <v>2314</v>
      </c>
    </row>
    <row r="336" spans="1:11" ht="25.5" x14ac:dyDescent="0.2">
      <c r="A336" s="120">
        <v>334</v>
      </c>
      <c r="B336" s="114" t="s">
        <v>360</v>
      </c>
      <c r="C336" s="114" t="s">
        <v>1467</v>
      </c>
      <c r="D336" s="114" t="s">
        <v>56</v>
      </c>
      <c r="E336" s="114" t="s">
        <v>1468</v>
      </c>
      <c r="F336" s="116">
        <v>1430.85</v>
      </c>
      <c r="G336" s="121">
        <v>1.5991083197217646E-4</v>
      </c>
      <c r="H336" s="121">
        <v>0.98850393613720722</v>
      </c>
      <c r="I336" s="114" t="s">
        <v>1293</v>
      </c>
      <c r="J336" s="114" t="s">
        <v>1323</v>
      </c>
      <c r="K336" s="129" t="s">
        <v>2314</v>
      </c>
    </row>
    <row r="337" spans="1:11" ht="38.25" x14ac:dyDescent="0.2">
      <c r="A337" s="120">
        <v>335</v>
      </c>
      <c r="B337" s="114" t="s">
        <v>2111</v>
      </c>
      <c r="C337" s="114" t="s">
        <v>2112</v>
      </c>
      <c r="D337" s="114" t="s">
        <v>56</v>
      </c>
      <c r="E337" s="114" t="s">
        <v>1006</v>
      </c>
      <c r="F337" s="116">
        <v>1415.67</v>
      </c>
      <c r="G337" s="121">
        <v>1.5821432539962334E-4</v>
      </c>
      <c r="H337" s="121">
        <v>0.98866215046260686</v>
      </c>
      <c r="I337" s="114" t="s">
        <v>1293</v>
      </c>
      <c r="J337" s="114" t="s">
        <v>1323</v>
      </c>
      <c r="K337" s="129" t="s">
        <v>2314</v>
      </c>
    </row>
    <row r="338" spans="1:11" ht="38.25" x14ac:dyDescent="0.2">
      <c r="A338" s="120">
        <v>336</v>
      </c>
      <c r="B338" s="114" t="s">
        <v>2301</v>
      </c>
      <c r="C338" s="114" t="s">
        <v>2302</v>
      </c>
      <c r="D338" s="114" t="s">
        <v>56</v>
      </c>
      <c r="E338" s="114" t="s">
        <v>1159</v>
      </c>
      <c r="F338" s="116">
        <v>1407.6</v>
      </c>
      <c r="G338" s="121">
        <v>1.5731242763674429E-4</v>
      </c>
      <c r="H338" s="121">
        <v>0.98881946289024347</v>
      </c>
      <c r="I338" s="114" t="s">
        <v>1293</v>
      </c>
      <c r="J338" s="114" t="s">
        <v>1323</v>
      </c>
      <c r="K338" s="129" t="s">
        <v>2314</v>
      </c>
    </row>
    <row r="339" spans="1:11" ht="51" x14ac:dyDescent="0.2">
      <c r="A339" s="120">
        <v>337</v>
      </c>
      <c r="B339" s="114" t="s">
        <v>2240</v>
      </c>
      <c r="C339" s="114" t="s">
        <v>2241</v>
      </c>
      <c r="D339" s="114" t="s">
        <v>56</v>
      </c>
      <c r="E339" s="114" t="s">
        <v>1108</v>
      </c>
      <c r="F339" s="116">
        <v>1403.53</v>
      </c>
      <c r="G339" s="121">
        <v>1.5685756717888585E-4</v>
      </c>
      <c r="H339" s="121">
        <v>0.98897632045742234</v>
      </c>
      <c r="I339" s="114" t="s">
        <v>1293</v>
      </c>
      <c r="J339" s="114" t="s">
        <v>1323</v>
      </c>
      <c r="K339" s="129" t="s">
        <v>2314</v>
      </c>
    </row>
    <row r="340" spans="1:11" ht="76.5" x14ac:dyDescent="0.2">
      <c r="A340" s="120">
        <v>338</v>
      </c>
      <c r="B340" s="114" t="s">
        <v>2144</v>
      </c>
      <c r="C340" s="114" t="s">
        <v>2145</v>
      </c>
      <c r="D340" s="114" t="s">
        <v>24</v>
      </c>
      <c r="E340" s="114" t="s">
        <v>2146</v>
      </c>
      <c r="F340" s="116">
        <v>1349.06</v>
      </c>
      <c r="G340" s="121">
        <v>1.5077003667776802E-4</v>
      </c>
      <c r="H340" s="121">
        <v>0.98912709049410019</v>
      </c>
      <c r="I340" s="114" t="s">
        <v>1293</v>
      </c>
      <c r="J340" s="114" t="s">
        <v>1323</v>
      </c>
      <c r="K340" s="129" t="s">
        <v>2314</v>
      </c>
    </row>
    <row r="341" spans="1:11" ht="25.5" x14ac:dyDescent="0.2">
      <c r="A341" s="120">
        <v>339</v>
      </c>
      <c r="B341" s="114" t="s">
        <v>2230</v>
      </c>
      <c r="C341" s="114" t="s">
        <v>2231</v>
      </c>
      <c r="D341" s="114" t="s">
        <v>56</v>
      </c>
      <c r="E341" s="114" t="s">
        <v>2232</v>
      </c>
      <c r="F341" s="116">
        <v>1339.15</v>
      </c>
      <c r="G341" s="121">
        <v>1.4966250175457954E-4</v>
      </c>
      <c r="H341" s="121">
        <v>0.98927675299585471</v>
      </c>
      <c r="I341" s="114" t="s">
        <v>1293</v>
      </c>
      <c r="J341" s="114" t="s">
        <v>1323</v>
      </c>
      <c r="K341" s="129" t="s">
        <v>2314</v>
      </c>
    </row>
    <row r="342" spans="1:11" ht="140.25" x14ac:dyDescent="0.2">
      <c r="A342" s="120">
        <v>340</v>
      </c>
      <c r="B342" s="114" t="s">
        <v>820</v>
      </c>
      <c r="C342" s="114" t="s">
        <v>821</v>
      </c>
      <c r="D342" s="114" t="s">
        <v>209</v>
      </c>
      <c r="E342" s="114" t="s">
        <v>822</v>
      </c>
      <c r="F342" s="116">
        <v>1333.9</v>
      </c>
      <c r="G342" s="121">
        <v>1.4907576529174E-4</v>
      </c>
      <c r="H342" s="121">
        <v>0.9894258287611466</v>
      </c>
      <c r="I342" s="114" t="s">
        <v>1293</v>
      </c>
      <c r="J342" s="114" t="s">
        <v>1319</v>
      </c>
      <c r="K342" s="129" t="s">
        <v>2315</v>
      </c>
    </row>
    <row r="343" spans="1:11" ht="51" x14ac:dyDescent="0.2">
      <c r="A343" s="120">
        <v>341</v>
      </c>
      <c r="B343" s="114" t="s">
        <v>676</v>
      </c>
      <c r="C343" s="114" t="s">
        <v>1719</v>
      </c>
      <c r="D343" s="114" t="s">
        <v>56</v>
      </c>
      <c r="E343" s="114" t="s">
        <v>677</v>
      </c>
      <c r="F343" s="116">
        <v>1299.3699999999999</v>
      </c>
      <c r="G343" s="121">
        <v>1.4521671575614978E-4</v>
      </c>
      <c r="H343" s="121">
        <v>0.98957104547690256</v>
      </c>
      <c r="I343" s="114" t="s">
        <v>1293</v>
      </c>
      <c r="J343" s="114" t="s">
        <v>1323</v>
      </c>
      <c r="K343" s="129" t="s">
        <v>2314</v>
      </c>
    </row>
    <row r="344" spans="1:11" ht="38.25" x14ac:dyDescent="0.2">
      <c r="A344" s="120">
        <v>342</v>
      </c>
      <c r="B344" s="114" t="s">
        <v>1641</v>
      </c>
      <c r="C344" s="114" t="s">
        <v>2138</v>
      </c>
      <c r="D344" s="114" t="s">
        <v>56</v>
      </c>
      <c r="E344" s="114" t="s">
        <v>1026</v>
      </c>
      <c r="F344" s="116">
        <v>1239.9000000000001</v>
      </c>
      <c r="G344" s="121">
        <v>1.3857038862375625E-4</v>
      </c>
      <c r="H344" s="121">
        <v>0.9927137434358424</v>
      </c>
      <c r="I344" s="114" t="s">
        <v>1293</v>
      </c>
      <c r="J344" s="114" t="s">
        <v>1323</v>
      </c>
      <c r="K344" s="129" t="s">
        <v>2314</v>
      </c>
    </row>
    <row r="345" spans="1:11" ht="63.75" x14ac:dyDescent="0.2">
      <c r="A345" s="120">
        <v>343</v>
      </c>
      <c r="B345" s="114" t="s">
        <v>2069</v>
      </c>
      <c r="C345" s="114" t="s">
        <v>2070</v>
      </c>
      <c r="D345" s="114" t="s">
        <v>56</v>
      </c>
      <c r="E345" s="114" t="s">
        <v>983</v>
      </c>
      <c r="F345" s="116">
        <v>1227.3599999999999</v>
      </c>
      <c r="G345" s="121">
        <v>1.3716892667251667E-4</v>
      </c>
      <c r="H345" s="121">
        <v>0.9898467847921989</v>
      </c>
      <c r="I345" s="114" t="s">
        <v>1293</v>
      </c>
      <c r="J345" s="114" t="s">
        <v>1323</v>
      </c>
      <c r="K345" s="129" t="s">
        <v>2314</v>
      </c>
    </row>
    <row r="346" spans="1:11" ht="38.25" x14ac:dyDescent="0.2">
      <c r="A346" s="120">
        <v>344</v>
      </c>
      <c r="B346" s="114" t="s">
        <v>443</v>
      </c>
      <c r="C346" s="114" t="s">
        <v>1508</v>
      </c>
      <c r="D346" s="114" t="s">
        <v>56</v>
      </c>
      <c r="E346" s="114" t="s">
        <v>1509</v>
      </c>
      <c r="F346" s="116">
        <v>1208.19</v>
      </c>
      <c r="G346" s="121">
        <v>1.3502650038820554E-4</v>
      </c>
      <c r="H346" s="121">
        <v>0.989981811292587</v>
      </c>
      <c r="I346" s="114" t="s">
        <v>1293</v>
      </c>
      <c r="J346" s="114" t="s">
        <v>1323</v>
      </c>
      <c r="K346" s="129" t="s">
        <v>2314</v>
      </c>
    </row>
    <row r="347" spans="1:11" ht="25.5" x14ac:dyDescent="0.2">
      <c r="A347" s="120">
        <v>345</v>
      </c>
      <c r="B347" s="114" t="s">
        <v>1552</v>
      </c>
      <c r="C347" s="114" t="s">
        <v>1553</v>
      </c>
      <c r="D347" s="114" t="s">
        <v>335</v>
      </c>
      <c r="E347" s="114" t="s">
        <v>532</v>
      </c>
      <c r="F347" s="116">
        <v>1203.04</v>
      </c>
      <c r="G347" s="121">
        <v>1.3445093985799152E-4</v>
      </c>
      <c r="H347" s="121">
        <v>0.99011626223244487</v>
      </c>
      <c r="I347" s="114" t="s">
        <v>1293</v>
      </c>
      <c r="J347" s="114" t="s">
        <v>1323</v>
      </c>
      <c r="K347" s="129" t="s">
        <v>2314</v>
      </c>
    </row>
    <row r="348" spans="1:11" ht="25.5" x14ac:dyDescent="0.2">
      <c r="A348" s="120">
        <v>346</v>
      </c>
      <c r="B348" s="114" t="s">
        <v>1829</v>
      </c>
      <c r="C348" s="114" t="s">
        <v>1830</v>
      </c>
      <c r="D348" s="114" t="s">
        <v>335</v>
      </c>
      <c r="E348" s="114" t="s">
        <v>764</v>
      </c>
      <c r="F348" s="116">
        <v>1185.03</v>
      </c>
      <c r="G348" s="121">
        <v>1.3243815439213633E-4</v>
      </c>
      <c r="H348" s="121">
        <v>0.99024870038683699</v>
      </c>
      <c r="I348" s="114" t="s">
        <v>1293</v>
      </c>
      <c r="J348" s="114" t="s">
        <v>1323</v>
      </c>
      <c r="K348" s="129" t="s">
        <v>2314</v>
      </c>
    </row>
    <row r="349" spans="1:11" ht="38.25" x14ac:dyDescent="0.2">
      <c r="A349" s="120">
        <v>347</v>
      </c>
      <c r="B349" s="114" t="s">
        <v>608</v>
      </c>
      <c r="C349" s="114" t="s">
        <v>1569</v>
      </c>
      <c r="D349" s="114" t="s">
        <v>56</v>
      </c>
      <c r="E349" s="114" t="s">
        <v>574</v>
      </c>
      <c r="F349" s="116">
        <v>1175.5999999999999</v>
      </c>
      <c r="G349" s="121">
        <v>1.313842639455503E-4</v>
      </c>
      <c r="H349" s="121">
        <v>0.99038008465078242</v>
      </c>
      <c r="I349" s="114" t="s">
        <v>1293</v>
      </c>
      <c r="J349" s="114" t="s">
        <v>1323</v>
      </c>
      <c r="K349" s="129" t="s">
        <v>2314</v>
      </c>
    </row>
    <row r="350" spans="1:11" ht="25.5" x14ac:dyDescent="0.2">
      <c r="A350" s="120">
        <v>348</v>
      </c>
      <c r="B350" s="114" t="s">
        <v>1483</v>
      </c>
      <c r="C350" s="114" t="s">
        <v>1484</v>
      </c>
      <c r="D350" s="114" t="s">
        <v>335</v>
      </c>
      <c r="E350" s="114" t="s">
        <v>389</v>
      </c>
      <c r="F350" s="116">
        <v>1172.9000000000001</v>
      </c>
      <c r="G350" s="121">
        <v>1.3108251376466141E-4</v>
      </c>
      <c r="H350" s="121">
        <v>0.99051116716454712</v>
      </c>
      <c r="I350" s="114" t="s">
        <v>1293</v>
      </c>
      <c r="J350" s="114" t="s">
        <v>1323</v>
      </c>
      <c r="K350" s="129" t="s">
        <v>2314</v>
      </c>
    </row>
    <row r="351" spans="1:11" ht="51" x14ac:dyDescent="0.2">
      <c r="A351" s="120">
        <v>349</v>
      </c>
      <c r="B351" s="114" t="s">
        <v>682</v>
      </c>
      <c r="C351" s="114" t="s">
        <v>1722</v>
      </c>
      <c r="D351" s="114" t="s">
        <v>56</v>
      </c>
      <c r="E351" s="114" t="s">
        <v>683</v>
      </c>
      <c r="F351" s="116">
        <v>1169.58</v>
      </c>
      <c r="G351" s="121">
        <v>1.3071147280149432E-4</v>
      </c>
      <c r="H351" s="121">
        <v>0.99064187863734865</v>
      </c>
      <c r="I351" s="114" t="s">
        <v>1293</v>
      </c>
      <c r="J351" s="114" t="s">
        <v>1323</v>
      </c>
      <c r="K351" s="129" t="s">
        <v>2314</v>
      </c>
    </row>
    <row r="352" spans="1:11" ht="25.5" x14ac:dyDescent="0.2">
      <c r="A352" s="120">
        <v>350</v>
      </c>
      <c r="B352" s="114" t="s">
        <v>1727</v>
      </c>
      <c r="C352" s="114" t="s">
        <v>1728</v>
      </c>
      <c r="D352" s="114" t="s">
        <v>56</v>
      </c>
      <c r="E352" s="114" t="s">
        <v>1729</v>
      </c>
      <c r="F352" s="116">
        <v>1165.32</v>
      </c>
      <c r="G352" s="121">
        <v>1.302353780716474E-4</v>
      </c>
      <c r="H352" s="121">
        <v>0.99993646147024384</v>
      </c>
      <c r="I352" s="114" t="s">
        <v>1293</v>
      </c>
      <c r="J352" s="114" t="s">
        <v>1323</v>
      </c>
      <c r="K352" s="129" t="s">
        <v>2314</v>
      </c>
    </row>
    <row r="353" spans="1:11" ht="38.25" x14ac:dyDescent="0.2">
      <c r="A353" s="120">
        <v>351</v>
      </c>
      <c r="B353" s="114" t="s">
        <v>1574</v>
      </c>
      <c r="C353" s="114" t="s">
        <v>1575</v>
      </c>
      <c r="D353" s="114" t="s">
        <v>56</v>
      </c>
      <c r="E353" s="114" t="s">
        <v>577</v>
      </c>
      <c r="F353" s="116">
        <v>1157.94</v>
      </c>
      <c r="G353" s="121">
        <v>1.2941059424388443E-4</v>
      </c>
      <c r="H353" s="121">
        <v>0.99090152460966419</v>
      </c>
      <c r="I353" s="114" t="s">
        <v>1293</v>
      </c>
      <c r="J353" s="114" t="s">
        <v>1323</v>
      </c>
      <c r="K353" s="129" t="s">
        <v>2314</v>
      </c>
    </row>
    <row r="354" spans="1:11" ht="51" x14ac:dyDescent="0.2">
      <c r="A354" s="120">
        <v>352</v>
      </c>
      <c r="B354" s="114" t="s">
        <v>339</v>
      </c>
      <c r="C354" s="114" t="s">
        <v>340</v>
      </c>
      <c r="D354" s="114" t="s">
        <v>317</v>
      </c>
      <c r="E354" s="114" t="s">
        <v>1461</v>
      </c>
      <c r="F354" s="116">
        <v>1149.43</v>
      </c>
      <c r="G354" s="121">
        <v>1.2845952237745313E-4</v>
      </c>
      <c r="H354" s="121">
        <v>0.99102998413204157</v>
      </c>
      <c r="I354" s="114" t="s">
        <v>1293</v>
      </c>
      <c r="J354" s="114" t="s">
        <v>1323</v>
      </c>
      <c r="K354" s="129" t="s">
        <v>2314</v>
      </c>
    </row>
    <row r="355" spans="1:11" ht="38.25" x14ac:dyDescent="0.2">
      <c r="A355" s="120">
        <v>353</v>
      </c>
      <c r="B355" s="114" t="s">
        <v>1850</v>
      </c>
      <c r="C355" s="114" t="s">
        <v>777</v>
      </c>
      <c r="D355" s="114" t="s">
        <v>774</v>
      </c>
      <c r="E355" s="114" t="s">
        <v>778</v>
      </c>
      <c r="F355" s="116">
        <v>1141.32</v>
      </c>
      <c r="G355" s="121">
        <v>1.2755315424152388E-4</v>
      </c>
      <c r="H355" s="121">
        <v>0.9911575372862832</v>
      </c>
      <c r="I355" s="114" t="s">
        <v>1293</v>
      </c>
      <c r="J355" s="114" t="s">
        <v>1323</v>
      </c>
      <c r="K355" s="129" t="s">
        <v>2314</v>
      </c>
    </row>
    <row r="356" spans="1:11" ht="63.75" x14ac:dyDescent="0.2">
      <c r="A356" s="120">
        <v>354</v>
      </c>
      <c r="B356" s="114" t="s">
        <v>1754</v>
      </c>
      <c r="C356" s="114" t="s">
        <v>1755</v>
      </c>
      <c r="D356" s="114" t="s">
        <v>56</v>
      </c>
      <c r="E356" s="114" t="s">
        <v>701</v>
      </c>
      <c r="F356" s="116">
        <v>1132.1099999999999</v>
      </c>
      <c r="G356" s="121">
        <v>1.2652385084671396E-4</v>
      </c>
      <c r="H356" s="121">
        <v>0.99128406113712975</v>
      </c>
      <c r="I356" s="114" t="s">
        <v>1293</v>
      </c>
      <c r="J356" s="114" t="s">
        <v>1323</v>
      </c>
      <c r="K356" s="129" t="s">
        <v>2314</v>
      </c>
    </row>
    <row r="357" spans="1:11" ht="38.25" x14ac:dyDescent="0.2">
      <c r="A357" s="120">
        <v>355</v>
      </c>
      <c r="B357" s="114" t="s">
        <v>1714</v>
      </c>
      <c r="C357" s="114" t="s">
        <v>1715</v>
      </c>
      <c r="D357" s="114" t="s">
        <v>56</v>
      </c>
      <c r="E357" s="114" t="s">
        <v>1716</v>
      </c>
      <c r="F357" s="116">
        <v>1128.3</v>
      </c>
      <c r="G357" s="121">
        <v>1.2609804781368186E-4</v>
      </c>
      <c r="H357" s="121">
        <v>0.99141015918494357</v>
      </c>
      <c r="I357" s="114" t="s">
        <v>1293</v>
      </c>
      <c r="J357" s="114" t="s">
        <v>1323</v>
      </c>
      <c r="K357" s="129" t="s">
        <v>2314</v>
      </c>
    </row>
    <row r="358" spans="1:11" ht="25.5" x14ac:dyDescent="0.2">
      <c r="A358" s="120">
        <v>356</v>
      </c>
      <c r="B358" s="114" t="s">
        <v>818</v>
      </c>
      <c r="C358" s="114" t="s">
        <v>1869</v>
      </c>
      <c r="D358" s="114" t="s">
        <v>56</v>
      </c>
      <c r="E358" s="114" t="s">
        <v>819</v>
      </c>
      <c r="F358" s="116">
        <v>1126.5</v>
      </c>
      <c r="G358" s="121">
        <v>1.258968810264226E-4</v>
      </c>
      <c r="H358" s="121">
        <v>0.99153605606596995</v>
      </c>
      <c r="I358" s="114" t="s">
        <v>1293</v>
      </c>
      <c r="J358" s="114" t="s">
        <v>1323</v>
      </c>
      <c r="K358" s="129" t="s">
        <v>2314</v>
      </c>
    </row>
    <row r="359" spans="1:11" ht="38.25" x14ac:dyDescent="0.2">
      <c r="A359" s="120">
        <v>357</v>
      </c>
      <c r="B359" s="114" t="s">
        <v>2103</v>
      </c>
      <c r="C359" s="114" t="s">
        <v>2104</v>
      </c>
      <c r="D359" s="114" t="s">
        <v>56</v>
      </c>
      <c r="E359" s="114" t="s">
        <v>1003</v>
      </c>
      <c r="F359" s="116">
        <v>1101.93</v>
      </c>
      <c r="G359" s="121">
        <v>1.2315095438033367E-4</v>
      </c>
      <c r="H359" s="121">
        <v>0.99165920702035026</v>
      </c>
      <c r="I359" s="114" t="s">
        <v>1293</v>
      </c>
      <c r="J359" s="114" t="s">
        <v>1323</v>
      </c>
      <c r="K359" s="129" t="s">
        <v>2314</v>
      </c>
    </row>
    <row r="360" spans="1:11" ht="51" x14ac:dyDescent="0.2">
      <c r="A360" s="120">
        <v>358</v>
      </c>
      <c r="B360" s="114" t="s">
        <v>680</v>
      </c>
      <c r="C360" s="114" t="s">
        <v>1721</v>
      </c>
      <c r="D360" s="114" t="s">
        <v>56</v>
      </c>
      <c r="E360" s="114" t="s">
        <v>681</v>
      </c>
      <c r="F360" s="116">
        <v>1100.47</v>
      </c>
      <c r="G360" s="121">
        <v>1.2298778576400114E-4</v>
      </c>
      <c r="H360" s="121">
        <v>0.9917821948061144</v>
      </c>
      <c r="I360" s="114" t="s">
        <v>1293</v>
      </c>
      <c r="J360" s="114" t="s">
        <v>1323</v>
      </c>
      <c r="K360" s="129" t="s">
        <v>2314</v>
      </c>
    </row>
    <row r="361" spans="1:11" ht="38.25" x14ac:dyDescent="0.2">
      <c r="A361" s="120">
        <v>359</v>
      </c>
      <c r="B361" s="114" t="s">
        <v>2218</v>
      </c>
      <c r="C361" s="114" t="s">
        <v>2219</v>
      </c>
      <c r="D361" s="114" t="s">
        <v>24</v>
      </c>
      <c r="E361" s="114" t="s">
        <v>1098</v>
      </c>
      <c r="F361" s="116">
        <v>1095.48</v>
      </c>
      <c r="G361" s="121">
        <v>1.2243010672598797E-4</v>
      </c>
      <c r="H361" s="121">
        <v>0.99190462491284037</v>
      </c>
      <c r="I361" s="114" t="s">
        <v>1293</v>
      </c>
      <c r="J361" s="114" t="s">
        <v>1323</v>
      </c>
      <c r="K361" s="129" t="s">
        <v>2314</v>
      </c>
    </row>
    <row r="362" spans="1:11" ht="38.25" x14ac:dyDescent="0.2">
      <c r="A362" s="120">
        <v>360</v>
      </c>
      <c r="B362" s="114" t="s">
        <v>787</v>
      </c>
      <c r="C362" s="114" t="s">
        <v>1854</v>
      </c>
      <c r="D362" s="114" t="s">
        <v>56</v>
      </c>
      <c r="E362" s="114" t="s">
        <v>788</v>
      </c>
      <c r="F362" s="116">
        <v>1090.6199999999999</v>
      </c>
      <c r="G362" s="121">
        <v>1.2188695640038794E-4</v>
      </c>
      <c r="H362" s="121">
        <v>0.99202651186924073</v>
      </c>
      <c r="I362" s="114" t="s">
        <v>1293</v>
      </c>
      <c r="J362" s="114" t="s">
        <v>1323</v>
      </c>
      <c r="K362" s="129" t="s">
        <v>2314</v>
      </c>
    </row>
    <row r="363" spans="1:11" ht="38.25" x14ac:dyDescent="0.2">
      <c r="A363" s="120">
        <v>361</v>
      </c>
      <c r="B363" s="114" t="s">
        <v>411</v>
      </c>
      <c r="C363" s="114" t="s">
        <v>1495</v>
      </c>
      <c r="D363" s="114" t="s">
        <v>56</v>
      </c>
      <c r="E363" s="114" t="s">
        <v>412</v>
      </c>
      <c r="F363" s="116">
        <v>1081.4000000000001</v>
      </c>
      <c r="G363" s="121">
        <v>1.208565354123155E-4</v>
      </c>
      <c r="H363" s="121">
        <v>0.99214736840465301</v>
      </c>
      <c r="I363" s="114" t="s">
        <v>1293</v>
      </c>
      <c r="J363" s="114" t="s">
        <v>1323</v>
      </c>
      <c r="K363" s="129" t="s">
        <v>2314</v>
      </c>
    </row>
    <row r="364" spans="1:11" ht="51" x14ac:dyDescent="0.2">
      <c r="A364" s="120">
        <v>362</v>
      </c>
      <c r="B364" s="114" t="s">
        <v>246</v>
      </c>
      <c r="C364" s="114" t="s">
        <v>1421</v>
      </c>
      <c r="D364" s="114" t="s">
        <v>56</v>
      </c>
      <c r="E364" s="114" t="s">
        <v>1422</v>
      </c>
      <c r="F364" s="116">
        <v>1036.8900000000001</v>
      </c>
      <c r="G364" s="121">
        <v>1.1588212780069894E-4</v>
      </c>
      <c r="H364" s="121">
        <v>0.99226325053245379</v>
      </c>
      <c r="I364" s="114" t="s">
        <v>1293</v>
      </c>
      <c r="J364" s="114" t="s">
        <v>1323</v>
      </c>
      <c r="K364" s="129" t="s">
        <v>2314</v>
      </c>
    </row>
    <row r="365" spans="1:11" ht="25.5" x14ac:dyDescent="0.2">
      <c r="A365" s="120">
        <v>363</v>
      </c>
      <c r="B365" s="114" t="s">
        <v>1836</v>
      </c>
      <c r="C365" s="114" t="s">
        <v>1837</v>
      </c>
      <c r="D365" s="114" t="s">
        <v>335</v>
      </c>
      <c r="E365" s="114" t="s">
        <v>767</v>
      </c>
      <c r="F365" s="116">
        <v>1033.72</v>
      </c>
      <c r="G365" s="121">
        <v>1.1552785073647011E-4</v>
      </c>
      <c r="H365" s="121">
        <v>0.99237877838319033</v>
      </c>
      <c r="I365" s="114" t="s">
        <v>1293</v>
      </c>
      <c r="J365" s="114" t="s">
        <v>1323</v>
      </c>
      <c r="K365" s="129" t="s">
        <v>2314</v>
      </c>
    </row>
    <row r="366" spans="1:11" ht="25.5" x14ac:dyDescent="0.2">
      <c r="A366" s="120">
        <v>364</v>
      </c>
      <c r="B366" s="114" t="s">
        <v>1889</v>
      </c>
      <c r="C366" s="114" t="s">
        <v>1890</v>
      </c>
      <c r="D366" s="114" t="s">
        <v>56</v>
      </c>
      <c r="E366" s="114" t="s">
        <v>842</v>
      </c>
      <c r="F366" s="116">
        <v>1033.6500000000001</v>
      </c>
      <c r="G366" s="121">
        <v>1.1552002758363226E-4</v>
      </c>
      <c r="H366" s="121">
        <v>0.99249429841077408</v>
      </c>
      <c r="I366" s="114" t="s">
        <v>1293</v>
      </c>
      <c r="J366" s="114" t="s">
        <v>1323</v>
      </c>
      <c r="K366" s="129" t="s">
        <v>2314</v>
      </c>
    </row>
    <row r="367" spans="1:11" ht="51" x14ac:dyDescent="0.2">
      <c r="A367" s="120">
        <v>365</v>
      </c>
      <c r="B367" s="114" t="s">
        <v>1861</v>
      </c>
      <c r="C367" s="114" t="s">
        <v>1862</v>
      </c>
      <c r="D367" s="114" t="s">
        <v>56</v>
      </c>
      <c r="E367" s="114" t="s">
        <v>1863</v>
      </c>
      <c r="F367" s="116">
        <v>1000.46</v>
      </c>
      <c r="G367" s="121">
        <v>1.1181073554522393E-4</v>
      </c>
      <c r="H367" s="121">
        <v>0.99260610914631942</v>
      </c>
      <c r="I367" s="114" t="s">
        <v>1293</v>
      </c>
      <c r="J367" s="114" t="s">
        <v>1323</v>
      </c>
      <c r="K367" s="129" t="s">
        <v>2314</v>
      </c>
    </row>
    <row r="368" spans="1:11" ht="38.25" x14ac:dyDescent="0.2">
      <c r="A368" s="120">
        <v>366</v>
      </c>
      <c r="B368" s="114" t="s">
        <v>1641</v>
      </c>
      <c r="C368" s="114" t="s">
        <v>1597</v>
      </c>
      <c r="D368" s="114" t="s">
        <v>56</v>
      </c>
      <c r="E368" s="114" t="s">
        <v>587</v>
      </c>
      <c r="F368" s="116">
        <v>963.09</v>
      </c>
      <c r="G368" s="121">
        <v>1.0763428952306911E-4</v>
      </c>
      <c r="H368" s="121">
        <v>0.9927137434358424</v>
      </c>
      <c r="I368" s="114" t="s">
        <v>1293</v>
      </c>
      <c r="J368" s="114" t="s">
        <v>1323</v>
      </c>
      <c r="K368" s="129" t="s">
        <v>2314</v>
      </c>
    </row>
    <row r="369" spans="1:11" ht="25.5" x14ac:dyDescent="0.2">
      <c r="A369" s="120">
        <v>367</v>
      </c>
      <c r="B369" s="114" t="s">
        <v>1794</v>
      </c>
      <c r="C369" s="114" t="s">
        <v>1028</v>
      </c>
      <c r="D369" s="114" t="s">
        <v>1029</v>
      </c>
      <c r="E369" s="114" t="s">
        <v>1030</v>
      </c>
      <c r="F369" s="116">
        <v>918.82</v>
      </c>
      <c r="G369" s="121">
        <v>1.0268670414975378E-4</v>
      </c>
      <c r="H369" s="121">
        <v>0.9999784427435584</v>
      </c>
      <c r="I369" s="114" t="s">
        <v>1293</v>
      </c>
      <c r="J369" s="114" t="s">
        <v>1323</v>
      </c>
      <c r="K369" s="129" t="s">
        <v>2314</v>
      </c>
    </row>
    <row r="370" spans="1:11" ht="51" x14ac:dyDescent="0.2">
      <c r="A370" s="120">
        <v>368</v>
      </c>
      <c r="B370" s="114" t="s">
        <v>1684</v>
      </c>
      <c r="C370" s="114" t="s">
        <v>1685</v>
      </c>
      <c r="D370" s="114" t="s">
        <v>56</v>
      </c>
      <c r="E370" s="114" t="s">
        <v>1686</v>
      </c>
      <c r="F370" s="116">
        <v>904.96</v>
      </c>
      <c r="G370" s="121">
        <v>1.0113771988785745E-4</v>
      </c>
      <c r="H370" s="121">
        <v>0.99291756785988017</v>
      </c>
      <c r="I370" s="114" t="s">
        <v>1293</v>
      </c>
      <c r="J370" s="114" t="s">
        <v>1323</v>
      </c>
      <c r="K370" s="129" t="s">
        <v>2314</v>
      </c>
    </row>
    <row r="371" spans="1:11" ht="38.25" x14ac:dyDescent="0.2">
      <c r="A371" s="120">
        <v>369</v>
      </c>
      <c r="B371" s="114" t="s">
        <v>2077</v>
      </c>
      <c r="C371" s="114" t="s">
        <v>2078</v>
      </c>
      <c r="D371" s="114" t="s">
        <v>56</v>
      </c>
      <c r="E371" s="114" t="s">
        <v>991</v>
      </c>
      <c r="F371" s="116">
        <v>885.48</v>
      </c>
      <c r="G371" s="121">
        <v>9.8960648212407186E-5</v>
      </c>
      <c r="H371" s="121">
        <v>0.99301652850809263</v>
      </c>
      <c r="I371" s="114" t="s">
        <v>1293</v>
      </c>
      <c r="J371" s="114" t="s">
        <v>1323</v>
      </c>
      <c r="K371" s="129" t="s">
        <v>2314</v>
      </c>
    </row>
    <row r="372" spans="1:11" ht="63.75" x14ac:dyDescent="0.2">
      <c r="A372" s="120">
        <v>370</v>
      </c>
      <c r="B372" s="114" t="s">
        <v>1756</v>
      </c>
      <c r="C372" s="114" t="s">
        <v>1757</v>
      </c>
      <c r="D372" s="114" t="s">
        <v>56</v>
      </c>
      <c r="E372" s="114" t="s">
        <v>1758</v>
      </c>
      <c r="F372" s="116">
        <v>859.84</v>
      </c>
      <c r="G372" s="121">
        <v>9.6095139087225224E-5</v>
      </c>
      <c r="H372" s="121">
        <v>0.99311262364717978</v>
      </c>
      <c r="I372" s="114" t="s">
        <v>1293</v>
      </c>
      <c r="J372" s="114" t="s">
        <v>1323</v>
      </c>
      <c r="K372" s="129" t="s">
        <v>2314</v>
      </c>
    </row>
    <row r="373" spans="1:11" ht="38.25" x14ac:dyDescent="0.2">
      <c r="A373" s="120">
        <v>371</v>
      </c>
      <c r="B373" s="114" t="s">
        <v>2226</v>
      </c>
      <c r="C373" s="114" t="s">
        <v>2227</v>
      </c>
      <c r="D373" s="114" t="s">
        <v>56</v>
      </c>
      <c r="E373" s="114" t="s">
        <v>1102</v>
      </c>
      <c r="F373" s="116">
        <v>837.25</v>
      </c>
      <c r="G373" s="121">
        <v>9.3570495907121466E-5</v>
      </c>
      <c r="H373" s="121">
        <v>0.99320619414308697</v>
      </c>
      <c r="I373" s="114" t="s">
        <v>1293</v>
      </c>
      <c r="J373" s="114" t="s">
        <v>1323</v>
      </c>
      <c r="K373" s="129" t="s">
        <v>2314</v>
      </c>
    </row>
    <row r="374" spans="1:11" ht="51" x14ac:dyDescent="0.2">
      <c r="A374" s="120">
        <v>372</v>
      </c>
      <c r="B374" s="114" t="s">
        <v>1740</v>
      </c>
      <c r="C374" s="114" t="s">
        <v>1741</v>
      </c>
      <c r="D374" s="114" t="s">
        <v>56</v>
      </c>
      <c r="E374" s="114" t="s">
        <v>694</v>
      </c>
      <c r="F374" s="116">
        <v>828.66</v>
      </c>
      <c r="G374" s="121">
        <v>9.2610483294589755E-5</v>
      </c>
      <c r="H374" s="121">
        <v>0.99329880462638154</v>
      </c>
      <c r="I374" s="114" t="s">
        <v>1293</v>
      </c>
      <c r="J374" s="114" t="s">
        <v>1323</v>
      </c>
      <c r="K374" s="129" t="s">
        <v>2314</v>
      </c>
    </row>
    <row r="375" spans="1:11" ht="63.75" x14ac:dyDescent="0.2">
      <c r="A375" s="120">
        <v>373</v>
      </c>
      <c r="B375" s="114" t="s">
        <v>1881</v>
      </c>
      <c r="C375" s="114" t="s">
        <v>1882</v>
      </c>
      <c r="D375" s="114" t="s">
        <v>24</v>
      </c>
      <c r="E375" s="114" t="s">
        <v>837</v>
      </c>
      <c r="F375" s="116">
        <v>816.09</v>
      </c>
      <c r="G375" s="121">
        <v>9.1205668563562562E-5</v>
      </c>
      <c r="H375" s="121">
        <v>0.99339001029494511</v>
      </c>
      <c r="I375" s="114" t="s">
        <v>1293</v>
      </c>
      <c r="J375" s="114" t="s">
        <v>1323</v>
      </c>
      <c r="K375" s="129" t="s">
        <v>2314</v>
      </c>
    </row>
    <row r="376" spans="1:11" ht="76.5" x14ac:dyDescent="0.2">
      <c r="A376" s="120">
        <v>374</v>
      </c>
      <c r="B376" s="114" t="s">
        <v>2265</v>
      </c>
      <c r="C376" s="114" t="s">
        <v>2266</v>
      </c>
      <c r="D376" s="114" t="s">
        <v>24</v>
      </c>
      <c r="E376" s="114" t="s">
        <v>1123</v>
      </c>
      <c r="F376" s="116">
        <v>805.69</v>
      </c>
      <c r="G376" s="121">
        <v>9.004337157050904E-5</v>
      </c>
      <c r="H376" s="121">
        <v>0.99348005366651559</v>
      </c>
      <c r="I376" s="114" t="s">
        <v>1293</v>
      </c>
      <c r="J376" s="114" t="s">
        <v>1323</v>
      </c>
      <c r="K376" s="129" t="s">
        <v>2314</v>
      </c>
    </row>
    <row r="377" spans="1:11" ht="63.75" x14ac:dyDescent="0.2">
      <c r="A377" s="120">
        <v>375</v>
      </c>
      <c r="B377" s="114" t="s">
        <v>1746</v>
      </c>
      <c r="C377" s="114" t="s">
        <v>1747</v>
      </c>
      <c r="D377" s="114" t="s">
        <v>56</v>
      </c>
      <c r="E377" s="114" t="s">
        <v>697</v>
      </c>
      <c r="F377" s="116">
        <v>804.19</v>
      </c>
      <c r="G377" s="121">
        <v>8.9875732581126325E-5</v>
      </c>
      <c r="H377" s="121">
        <v>0.99356992939909661</v>
      </c>
      <c r="I377" s="114" t="s">
        <v>1293</v>
      </c>
      <c r="J377" s="114" t="s">
        <v>1323</v>
      </c>
      <c r="K377" s="129" t="s">
        <v>2314</v>
      </c>
    </row>
    <row r="378" spans="1:11" ht="51" x14ac:dyDescent="0.2">
      <c r="A378" s="120">
        <v>376</v>
      </c>
      <c r="B378" s="114" t="s">
        <v>678</v>
      </c>
      <c r="C378" s="114" t="s">
        <v>1720</v>
      </c>
      <c r="D378" s="114" t="s">
        <v>56</v>
      </c>
      <c r="E378" s="114" t="s">
        <v>679</v>
      </c>
      <c r="F378" s="116">
        <v>786.01</v>
      </c>
      <c r="G378" s="121">
        <v>8.7843948029807752E-5</v>
      </c>
      <c r="H378" s="121">
        <v>0.99365777334712635</v>
      </c>
      <c r="I378" s="114" t="s">
        <v>1293</v>
      </c>
      <c r="J378" s="114" t="s">
        <v>1323</v>
      </c>
      <c r="K378" s="129" t="s">
        <v>2314</v>
      </c>
    </row>
    <row r="379" spans="1:11" ht="25.5" x14ac:dyDescent="0.2">
      <c r="A379" s="120">
        <v>377</v>
      </c>
      <c r="B379" s="114" t="s">
        <v>2135</v>
      </c>
      <c r="C379" s="114" t="s">
        <v>2136</v>
      </c>
      <c r="D379" s="114" t="s">
        <v>335</v>
      </c>
      <c r="E379" s="114" t="s">
        <v>1022</v>
      </c>
      <c r="F379" s="116">
        <v>761.85</v>
      </c>
      <c r="G379" s="121">
        <v>8.5143842707483406E-5</v>
      </c>
      <c r="H379" s="121">
        <v>0.99374291718983387</v>
      </c>
      <c r="I379" s="114" t="s">
        <v>1293</v>
      </c>
      <c r="J379" s="114" t="s">
        <v>1323</v>
      </c>
      <c r="K379" s="129" t="s">
        <v>2314</v>
      </c>
    </row>
    <row r="380" spans="1:11" ht="25.5" x14ac:dyDescent="0.2">
      <c r="A380" s="120">
        <v>378</v>
      </c>
      <c r="B380" s="114" t="s">
        <v>2108</v>
      </c>
      <c r="C380" s="114" t="s">
        <v>2109</v>
      </c>
      <c r="D380" s="114" t="s">
        <v>56</v>
      </c>
      <c r="E380" s="114" t="s">
        <v>2110</v>
      </c>
      <c r="F380" s="116">
        <v>755.26</v>
      </c>
      <c r="G380" s="121">
        <v>8.4407348747462E-5</v>
      </c>
      <c r="H380" s="121">
        <v>0.99382732453858125</v>
      </c>
      <c r="I380" s="114" t="s">
        <v>1293</v>
      </c>
      <c r="J380" s="114" t="s">
        <v>1323</v>
      </c>
      <c r="K380" s="129" t="s">
        <v>2314</v>
      </c>
    </row>
    <row r="381" spans="1:11" ht="63.75" x14ac:dyDescent="0.2">
      <c r="A381" s="120">
        <v>379</v>
      </c>
      <c r="B381" s="114" t="s">
        <v>2259</v>
      </c>
      <c r="C381" s="114" t="s">
        <v>2260</v>
      </c>
      <c r="D381" s="114" t="s">
        <v>56</v>
      </c>
      <c r="E381" s="114" t="s">
        <v>1117</v>
      </c>
      <c r="F381" s="116">
        <v>751.87</v>
      </c>
      <c r="G381" s="121">
        <v>8.4028484631457051E-5</v>
      </c>
      <c r="H381" s="121">
        <v>0.99391135302321265</v>
      </c>
      <c r="I381" s="114" t="s">
        <v>1293</v>
      </c>
      <c r="J381" s="114" t="s">
        <v>1323</v>
      </c>
      <c r="K381" s="129" t="s">
        <v>2314</v>
      </c>
    </row>
    <row r="382" spans="1:11" ht="51" x14ac:dyDescent="0.2">
      <c r="A382" s="120">
        <v>380</v>
      </c>
      <c r="B382" s="114" t="s">
        <v>1677</v>
      </c>
      <c r="C382" s="114" t="s">
        <v>1678</v>
      </c>
      <c r="D382" s="114" t="s">
        <v>56</v>
      </c>
      <c r="E382" s="114" t="s">
        <v>1679</v>
      </c>
      <c r="F382" s="116">
        <v>747.4</v>
      </c>
      <c r="G382" s="121">
        <v>8.3528920443096542E-5</v>
      </c>
      <c r="H382" s="121">
        <v>0.99399488194365582</v>
      </c>
      <c r="I382" s="114" t="s">
        <v>1293</v>
      </c>
      <c r="J382" s="114" t="s">
        <v>1323</v>
      </c>
      <c r="K382" s="129" t="s">
        <v>2314</v>
      </c>
    </row>
    <row r="383" spans="1:11" ht="38.25" x14ac:dyDescent="0.2">
      <c r="A383" s="120">
        <v>381</v>
      </c>
      <c r="B383" s="114" t="s">
        <v>2269</v>
      </c>
      <c r="C383" s="114" t="s">
        <v>2270</v>
      </c>
      <c r="D383" s="114" t="s">
        <v>56</v>
      </c>
      <c r="E383" s="114" t="s">
        <v>1128</v>
      </c>
      <c r="F383" s="116">
        <v>741.75</v>
      </c>
      <c r="G383" s="121">
        <v>8.2897480249754965E-5</v>
      </c>
      <c r="H383" s="121">
        <v>0.99407777942390552</v>
      </c>
      <c r="I383" s="114" t="s">
        <v>1293</v>
      </c>
      <c r="J383" s="114" t="s">
        <v>1323</v>
      </c>
      <c r="K383" s="129" t="s">
        <v>2314</v>
      </c>
    </row>
    <row r="384" spans="1:11" ht="51" x14ac:dyDescent="0.2">
      <c r="A384" s="120">
        <v>382</v>
      </c>
      <c r="B384" s="114" t="s">
        <v>248</v>
      </c>
      <c r="C384" s="114" t="s">
        <v>1423</v>
      </c>
      <c r="D384" s="114" t="s">
        <v>56</v>
      </c>
      <c r="E384" s="114" t="s">
        <v>1424</v>
      </c>
      <c r="F384" s="116">
        <v>739.3</v>
      </c>
      <c r="G384" s="121">
        <v>8.2623669900429845E-5</v>
      </c>
      <c r="H384" s="121">
        <v>0.99416040309380604</v>
      </c>
      <c r="I384" s="114" t="s">
        <v>1293</v>
      </c>
      <c r="J384" s="114" t="s">
        <v>1323</v>
      </c>
      <c r="K384" s="129" t="s">
        <v>2314</v>
      </c>
    </row>
    <row r="385" spans="1:11" ht="25.5" x14ac:dyDescent="0.2">
      <c r="A385" s="120">
        <v>383</v>
      </c>
      <c r="B385" s="114" t="s">
        <v>2160</v>
      </c>
      <c r="C385" s="114" t="s">
        <v>2161</v>
      </c>
      <c r="D385" s="114" t="s">
        <v>1047</v>
      </c>
      <c r="E385" s="114" t="s">
        <v>1048</v>
      </c>
      <c r="F385" s="116">
        <v>705.66</v>
      </c>
      <c r="G385" s="121">
        <v>7.886408616520672E-5</v>
      </c>
      <c r="H385" s="121">
        <v>0.99423926717997124</v>
      </c>
      <c r="I385" s="114" t="s">
        <v>1293</v>
      </c>
      <c r="J385" s="114" t="s">
        <v>1323</v>
      </c>
      <c r="K385" s="129" t="s">
        <v>2314</v>
      </c>
    </row>
    <row r="386" spans="1:11" ht="63.75" x14ac:dyDescent="0.2">
      <c r="A386" s="120">
        <v>384</v>
      </c>
      <c r="B386" s="114" t="s">
        <v>481</v>
      </c>
      <c r="C386" s="114" t="s">
        <v>1529</v>
      </c>
      <c r="D386" s="114" t="s">
        <v>24</v>
      </c>
      <c r="E386" s="114" t="s">
        <v>1530</v>
      </c>
      <c r="F386" s="116">
        <v>690.33</v>
      </c>
      <c r="G386" s="121">
        <v>7.7150815693715336E-5</v>
      </c>
      <c r="H386" s="121">
        <v>0.99431641799566495</v>
      </c>
      <c r="I386" s="114" t="s">
        <v>1293</v>
      </c>
      <c r="J386" s="114" t="s">
        <v>1323</v>
      </c>
      <c r="K386" s="129" t="s">
        <v>2314</v>
      </c>
    </row>
    <row r="387" spans="1:11" ht="25.5" x14ac:dyDescent="0.2">
      <c r="A387" s="120">
        <v>385</v>
      </c>
      <c r="B387" s="114" t="s">
        <v>2283</v>
      </c>
      <c r="C387" s="114" t="s">
        <v>2284</v>
      </c>
      <c r="D387" s="114" t="s">
        <v>335</v>
      </c>
      <c r="E387" s="114" t="s">
        <v>1142</v>
      </c>
      <c r="F387" s="116">
        <v>682.71</v>
      </c>
      <c r="G387" s="121">
        <v>7.6299209627651117E-5</v>
      </c>
      <c r="H387" s="121">
        <v>0.99439271720529276</v>
      </c>
      <c r="I387" s="114" t="s">
        <v>1293</v>
      </c>
      <c r="J387" s="114" t="s">
        <v>1323</v>
      </c>
      <c r="K387" s="129" t="s">
        <v>2314</v>
      </c>
    </row>
    <row r="388" spans="1:11" ht="102" x14ac:dyDescent="0.2">
      <c r="A388" s="120">
        <v>386</v>
      </c>
      <c r="B388" s="114" t="s">
        <v>1948</v>
      </c>
      <c r="C388" s="114" t="s">
        <v>1949</v>
      </c>
      <c r="D388" s="114" t="s">
        <v>24</v>
      </c>
      <c r="E388" s="114" t="s">
        <v>900</v>
      </c>
      <c r="F388" s="116">
        <v>661.36</v>
      </c>
      <c r="G388" s="121">
        <v>7.3913148012103735E-5</v>
      </c>
      <c r="H388" s="121">
        <v>0.99446663035330474</v>
      </c>
      <c r="I388" s="114" t="s">
        <v>1293</v>
      </c>
      <c r="J388" s="114" t="s">
        <v>1323</v>
      </c>
      <c r="K388" s="129" t="s">
        <v>2314</v>
      </c>
    </row>
    <row r="389" spans="1:11" ht="76.5" x14ac:dyDescent="0.2">
      <c r="A389" s="120">
        <v>387</v>
      </c>
      <c r="B389" s="114" t="s">
        <v>2261</v>
      </c>
      <c r="C389" s="114" t="s">
        <v>2262</v>
      </c>
      <c r="D389" s="114" t="s">
        <v>56</v>
      </c>
      <c r="E389" s="114" t="s">
        <v>1118</v>
      </c>
      <c r="F389" s="116">
        <v>657.05</v>
      </c>
      <c r="G389" s="121">
        <v>7.3431465315944042E-5</v>
      </c>
      <c r="H389" s="121">
        <v>0.99454006181862087</v>
      </c>
      <c r="I389" s="114" t="s">
        <v>1293</v>
      </c>
      <c r="J389" s="114" t="s">
        <v>1323</v>
      </c>
      <c r="K389" s="129" t="s">
        <v>2314</v>
      </c>
    </row>
    <row r="390" spans="1:11" ht="38.25" x14ac:dyDescent="0.2">
      <c r="A390" s="120">
        <v>388</v>
      </c>
      <c r="B390" s="114" t="s">
        <v>2228</v>
      </c>
      <c r="C390" s="114" t="s">
        <v>2229</v>
      </c>
      <c r="D390" s="114" t="s">
        <v>56</v>
      </c>
      <c r="E390" s="114" t="s">
        <v>1103</v>
      </c>
      <c r="F390" s="116">
        <v>656.36</v>
      </c>
      <c r="G390" s="121">
        <v>7.3354351380828001E-5</v>
      </c>
      <c r="H390" s="121">
        <v>0.99461341617000154</v>
      </c>
      <c r="I390" s="114" t="s">
        <v>1293</v>
      </c>
      <c r="J390" s="114" t="s">
        <v>1323</v>
      </c>
      <c r="K390" s="129" t="s">
        <v>2314</v>
      </c>
    </row>
    <row r="391" spans="1:11" ht="51" x14ac:dyDescent="0.2">
      <c r="A391" s="120">
        <v>389</v>
      </c>
      <c r="B391" s="114" t="s">
        <v>1796</v>
      </c>
      <c r="C391" s="114" t="s">
        <v>1797</v>
      </c>
      <c r="D391" s="114" t="s">
        <v>56</v>
      </c>
      <c r="E391" s="114" t="s">
        <v>1798</v>
      </c>
      <c r="F391" s="116">
        <v>655.21</v>
      </c>
      <c r="G391" s="121">
        <v>7.3225828155634582E-5</v>
      </c>
      <c r="H391" s="121">
        <v>0.99468664199815726</v>
      </c>
      <c r="I391" s="114" t="s">
        <v>1293</v>
      </c>
      <c r="J391" s="114" t="s">
        <v>1323</v>
      </c>
      <c r="K391" s="129" t="s">
        <v>2314</v>
      </c>
    </row>
    <row r="392" spans="1:11" ht="25.5" x14ac:dyDescent="0.2">
      <c r="A392" s="120">
        <v>390</v>
      </c>
      <c r="B392" s="114" t="s">
        <v>2294</v>
      </c>
      <c r="C392" s="114" t="s">
        <v>2295</v>
      </c>
      <c r="D392" s="114" t="s">
        <v>56</v>
      </c>
      <c r="E392" s="114" t="s">
        <v>1152</v>
      </c>
      <c r="F392" s="116">
        <v>651.39</v>
      </c>
      <c r="G392" s="121">
        <v>7.2798907529339916E-5</v>
      </c>
      <c r="H392" s="121">
        <v>0.99475944090568669</v>
      </c>
      <c r="I392" s="114" t="s">
        <v>1293</v>
      </c>
      <c r="J392" s="114" t="s">
        <v>1323</v>
      </c>
      <c r="K392" s="129" t="s">
        <v>2314</v>
      </c>
    </row>
    <row r="393" spans="1:11" ht="63.75" x14ac:dyDescent="0.2">
      <c r="A393" s="120">
        <v>391</v>
      </c>
      <c r="B393" s="114" t="s">
        <v>2289</v>
      </c>
      <c r="C393" s="114" t="s">
        <v>2155</v>
      </c>
      <c r="D393" s="114" t="s">
        <v>56</v>
      </c>
      <c r="E393" s="114" t="s">
        <v>1044</v>
      </c>
      <c r="F393" s="116">
        <v>642.69000000000005</v>
      </c>
      <c r="G393" s="121">
        <v>7.1826601390920149E-5</v>
      </c>
      <c r="H393" s="121">
        <v>0.99483126750707762</v>
      </c>
      <c r="I393" s="114" t="s">
        <v>1293</v>
      </c>
      <c r="J393" s="114" t="s">
        <v>1323</v>
      </c>
      <c r="K393" s="129" t="s">
        <v>2314</v>
      </c>
    </row>
    <row r="394" spans="1:11" ht="51" x14ac:dyDescent="0.2">
      <c r="A394" s="120">
        <v>392</v>
      </c>
      <c r="B394" s="114" t="s">
        <v>1841</v>
      </c>
      <c r="C394" s="114" t="s">
        <v>1842</v>
      </c>
      <c r="D394" s="114" t="s">
        <v>56</v>
      </c>
      <c r="E394" s="114" t="s">
        <v>1843</v>
      </c>
      <c r="F394" s="116">
        <v>637.44000000000005</v>
      </c>
      <c r="G394" s="121">
        <v>7.1239864928080628E-5</v>
      </c>
      <c r="H394" s="121">
        <v>0.99490250737200558</v>
      </c>
      <c r="I394" s="114" t="s">
        <v>1293</v>
      </c>
      <c r="J394" s="114" t="s">
        <v>1323</v>
      </c>
      <c r="K394" s="129" t="s">
        <v>2314</v>
      </c>
    </row>
    <row r="395" spans="1:11" ht="38.25" x14ac:dyDescent="0.2">
      <c r="A395" s="120">
        <v>393</v>
      </c>
      <c r="B395" s="114" t="s">
        <v>1912</v>
      </c>
      <c r="C395" s="114" t="s">
        <v>1976</v>
      </c>
      <c r="D395" s="114" t="s">
        <v>56</v>
      </c>
      <c r="E395" s="114" t="s">
        <v>924</v>
      </c>
      <c r="F395" s="116">
        <v>625.23</v>
      </c>
      <c r="G395" s="121">
        <v>6.9875283554505293E-5</v>
      </c>
      <c r="H395" s="121">
        <v>0.99497238265556021</v>
      </c>
      <c r="I395" s="114" t="s">
        <v>1293</v>
      </c>
      <c r="J395" s="114" t="s">
        <v>1323</v>
      </c>
      <c r="K395" s="129" t="s">
        <v>2314</v>
      </c>
    </row>
    <row r="396" spans="1:11" ht="51" x14ac:dyDescent="0.2">
      <c r="A396" s="120">
        <v>394</v>
      </c>
      <c r="B396" s="114" t="s">
        <v>244</v>
      </c>
      <c r="C396" s="114" t="s">
        <v>1419</v>
      </c>
      <c r="D396" s="114" t="s">
        <v>56</v>
      </c>
      <c r="E396" s="114" t="s">
        <v>1420</v>
      </c>
      <c r="F396" s="116">
        <v>608.41999999999996</v>
      </c>
      <c r="G396" s="121">
        <v>6.7996609280156266E-5</v>
      </c>
      <c r="H396" s="121">
        <v>0.99504037926484035</v>
      </c>
      <c r="I396" s="114" t="s">
        <v>1293</v>
      </c>
      <c r="J396" s="114" t="s">
        <v>1323</v>
      </c>
      <c r="K396" s="129" t="s">
        <v>2314</v>
      </c>
    </row>
    <row r="397" spans="1:11" ht="25.5" x14ac:dyDescent="0.2">
      <c r="A397" s="120">
        <v>395</v>
      </c>
      <c r="B397" s="114" t="s">
        <v>2287</v>
      </c>
      <c r="C397" s="114" t="s">
        <v>2288</v>
      </c>
      <c r="D397" s="114" t="s">
        <v>335</v>
      </c>
      <c r="E397" s="114" t="s">
        <v>1145</v>
      </c>
      <c r="F397" s="116">
        <v>607.70000000000005</v>
      </c>
      <c r="G397" s="121">
        <v>6.7916142565252577E-5</v>
      </c>
      <c r="H397" s="121">
        <v>0.99510829540740542</v>
      </c>
      <c r="I397" s="114" t="s">
        <v>1293</v>
      </c>
      <c r="J397" s="114" t="s">
        <v>1323</v>
      </c>
      <c r="K397" s="129" t="s">
        <v>2314</v>
      </c>
    </row>
    <row r="398" spans="1:11" ht="76.5" x14ac:dyDescent="0.2">
      <c r="A398" s="120">
        <v>396</v>
      </c>
      <c r="B398" s="114" t="s">
        <v>146</v>
      </c>
      <c r="C398" s="114" t="s">
        <v>1367</v>
      </c>
      <c r="D398" s="114" t="s">
        <v>56</v>
      </c>
      <c r="E398" s="114" t="s">
        <v>147</v>
      </c>
      <c r="F398" s="116">
        <v>604.27</v>
      </c>
      <c r="G398" s="121">
        <v>6.7532808076197417E-5</v>
      </c>
      <c r="H398" s="121">
        <v>0.99517582821548167</v>
      </c>
      <c r="I398" s="114" t="s">
        <v>1293</v>
      </c>
      <c r="J398" s="114" t="s">
        <v>1323</v>
      </c>
      <c r="K398" s="129" t="s">
        <v>2314</v>
      </c>
    </row>
    <row r="399" spans="1:11" ht="38.25" x14ac:dyDescent="0.2">
      <c r="A399" s="120">
        <v>397</v>
      </c>
      <c r="B399" s="114" t="s">
        <v>2186</v>
      </c>
      <c r="C399" s="114" t="s">
        <v>1069</v>
      </c>
      <c r="D399" s="114" t="s">
        <v>209</v>
      </c>
      <c r="E399" s="114" t="s">
        <v>1070</v>
      </c>
      <c r="F399" s="116">
        <v>594.17999999999995</v>
      </c>
      <c r="G399" s="121">
        <v>6.6405156474282979E-5</v>
      </c>
      <c r="H399" s="121">
        <v>0.99524223337195583</v>
      </c>
      <c r="I399" s="114" t="s">
        <v>1293</v>
      </c>
      <c r="J399" s="114" t="s">
        <v>1319</v>
      </c>
      <c r="K399" s="129" t="s">
        <v>2315</v>
      </c>
    </row>
    <row r="400" spans="1:11" ht="51" x14ac:dyDescent="0.2">
      <c r="A400" s="120">
        <v>398</v>
      </c>
      <c r="B400" s="114" t="s">
        <v>2015</v>
      </c>
      <c r="C400" s="114" t="s">
        <v>2016</v>
      </c>
      <c r="D400" s="114" t="s">
        <v>56</v>
      </c>
      <c r="E400" s="114" t="s">
        <v>951</v>
      </c>
      <c r="F400" s="116">
        <v>580.79</v>
      </c>
      <c r="G400" s="121">
        <v>6.4908699095726576E-5</v>
      </c>
      <c r="H400" s="121">
        <v>0.99530714207105153</v>
      </c>
      <c r="I400" s="114" t="s">
        <v>1293</v>
      </c>
      <c r="J400" s="114" t="s">
        <v>1323</v>
      </c>
      <c r="K400" s="129" t="s">
        <v>2314</v>
      </c>
    </row>
    <row r="401" spans="1:11" ht="38.25" x14ac:dyDescent="0.2">
      <c r="A401" s="120">
        <v>399</v>
      </c>
      <c r="B401" s="114" t="s">
        <v>1994</v>
      </c>
      <c r="C401" s="114" t="s">
        <v>1634</v>
      </c>
      <c r="D401" s="114" t="s">
        <v>56</v>
      </c>
      <c r="E401" s="114" t="s">
        <v>942</v>
      </c>
      <c r="F401" s="116">
        <v>578.76</v>
      </c>
      <c r="G401" s="121">
        <v>6.4681827663428624E-5</v>
      </c>
      <c r="H401" s="121">
        <v>0.99537182389871492</v>
      </c>
      <c r="I401" s="114" t="s">
        <v>1293</v>
      </c>
      <c r="J401" s="114" t="s">
        <v>1323</v>
      </c>
      <c r="K401" s="129" t="s">
        <v>2314</v>
      </c>
    </row>
    <row r="402" spans="1:11" ht="38.25" x14ac:dyDescent="0.2">
      <c r="A402" s="120">
        <v>400</v>
      </c>
      <c r="B402" s="114" t="s">
        <v>1931</v>
      </c>
      <c r="C402" s="114" t="s">
        <v>1932</v>
      </c>
      <c r="D402" s="114" t="s">
        <v>209</v>
      </c>
      <c r="E402" s="114" t="s">
        <v>1933</v>
      </c>
      <c r="F402" s="116">
        <v>570.52</v>
      </c>
      <c r="G402" s="121">
        <v>6.3760930815086222E-5</v>
      </c>
      <c r="H402" s="121">
        <v>0.99543558482952998</v>
      </c>
      <c r="I402" s="114" t="s">
        <v>1293</v>
      </c>
      <c r="J402" s="114" t="s">
        <v>1319</v>
      </c>
      <c r="K402" s="129" t="s">
        <v>2315</v>
      </c>
    </row>
    <row r="403" spans="1:11" ht="38.25" x14ac:dyDescent="0.2">
      <c r="A403" s="120">
        <v>401</v>
      </c>
      <c r="B403" s="114" t="s">
        <v>1847</v>
      </c>
      <c r="C403" s="114" t="s">
        <v>1848</v>
      </c>
      <c r="D403" s="114" t="s">
        <v>24</v>
      </c>
      <c r="E403" s="114" t="s">
        <v>772</v>
      </c>
      <c r="F403" s="116">
        <v>558.6</v>
      </c>
      <c r="G403" s="121">
        <v>6.2428759646124873E-5</v>
      </c>
      <c r="H403" s="121">
        <v>0.995498013589176</v>
      </c>
      <c r="I403" s="114" t="s">
        <v>1293</v>
      </c>
      <c r="J403" s="114" t="s">
        <v>1323</v>
      </c>
      <c r="K403" s="129" t="s">
        <v>2314</v>
      </c>
    </row>
    <row r="404" spans="1:11" ht="38.25" x14ac:dyDescent="0.2">
      <c r="A404" s="120">
        <v>402</v>
      </c>
      <c r="B404" s="114" t="s">
        <v>2148</v>
      </c>
      <c r="C404" s="114" t="s">
        <v>2149</v>
      </c>
      <c r="D404" s="114" t="s">
        <v>24</v>
      </c>
      <c r="E404" s="114" t="s">
        <v>1040</v>
      </c>
      <c r="F404" s="116">
        <v>549.59</v>
      </c>
      <c r="G404" s="121">
        <v>6.1421808116566008E-5</v>
      </c>
      <c r="H404" s="121">
        <v>0.99555943539729252</v>
      </c>
      <c r="I404" s="114" t="s">
        <v>1293</v>
      </c>
      <c r="J404" s="114" t="s">
        <v>1323</v>
      </c>
      <c r="K404" s="129" t="s">
        <v>2314</v>
      </c>
    </row>
    <row r="405" spans="1:11" ht="51" x14ac:dyDescent="0.2">
      <c r="A405" s="120">
        <v>403</v>
      </c>
      <c r="B405" s="114" t="s">
        <v>2006</v>
      </c>
      <c r="C405" s="114" t="s">
        <v>2007</v>
      </c>
      <c r="D405" s="114" t="s">
        <v>56</v>
      </c>
      <c r="E405" s="114" t="s">
        <v>947</v>
      </c>
      <c r="F405" s="116">
        <v>545.28</v>
      </c>
      <c r="G405" s="121">
        <v>6.0940125420406316E-5</v>
      </c>
      <c r="H405" s="121">
        <v>0.99562037552271287</v>
      </c>
      <c r="I405" s="114" t="s">
        <v>1293</v>
      </c>
      <c r="J405" s="114" t="s">
        <v>1323</v>
      </c>
      <c r="K405" s="129" t="s">
        <v>2314</v>
      </c>
    </row>
    <row r="406" spans="1:11" ht="25.5" x14ac:dyDescent="0.2">
      <c r="A406" s="120">
        <v>404</v>
      </c>
      <c r="B406" s="114" t="s">
        <v>445</v>
      </c>
      <c r="C406" s="114" t="s">
        <v>1510</v>
      </c>
      <c r="D406" s="114" t="s">
        <v>56</v>
      </c>
      <c r="E406" s="114" t="s">
        <v>446</v>
      </c>
      <c r="F406" s="116">
        <v>544.32000000000005</v>
      </c>
      <c r="G406" s="121">
        <v>6.0832836467201381E-5</v>
      </c>
      <c r="H406" s="121">
        <v>0.99568120835918017</v>
      </c>
      <c r="I406" s="114" t="s">
        <v>1293</v>
      </c>
      <c r="J406" s="114" t="s">
        <v>1323</v>
      </c>
      <c r="K406" s="129" t="s">
        <v>2314</v>
      </c>
    </row>
    <row r="407" spans="1:11" ht="63.75" x14ac:dyDescent="0.2">
      <c r="A407" s="120">
        <v>405</v>
      </c>
      <c r="B407" s="114" t="s">
        <v>1752</v>
      </c>
      <c r="C407" s="114" t="s">
        <v>1753</v>
      </c>
      <c r="D407" s="114" t="s">
        <v>56</v>
      </c>
      <c r="E407" s="114" t="s">
        <v>700</v>
      </c>
      <c r="F407" s="116">
        <v>544.32000000000005</v>
      </c>
      <c r="G407" s="121">
        <v>6.0832836467201381E-5</v>
      </c>
      <c r="H407" s="121">
        <v>0.99574204119564735</v>
      </c>
      <c r="I407" s="114" t="s">
        <v>1293</v>
      </c>
      <c r="J407" s="114" t="s">
        <v>1323</v>
      </c>
      <c r="K407" s="129" t="s">
        <v>2314</v>
      </c>
    </row>
    <row r="408" spans="1:11" ht="127.5" x14ac:dyDescent="0.2">
      <c r="A408" s="120">
        <v>406</v>
      </c>
      <c r="B408" s="114" t="s">
        <v>560</v>
      </c>
      <c r="C408" s="114" t="s">
        <v>1561</v>
      </c>
      <c r="D408" s="114" t="s">
        <v>24</v>
      </c>
      <c r="E408" s="114" t="s">
        <v>562</v>
      </c>
      <c r="F408" s="116">
        <v>540.63</v>
      </c>
      <c r="G408" s="121">
        <v>6.0420444553319884E-5</v>
      </c>
      <c r="H408" s="121">
        <v>0.99580246164020081</v>
      </c>
      <c r="I408" s="114" t="s">
        <v>1293</v>
      </c>
      <c r="J408" s="114" t="s">
        <v>1323</v>
      </c>
      <c r="K408" s="129" t="s">
        <v>2314</v>
      </c>
    </row>
    <row r="409" spans="1:11" ht="51" x14ac:dyDescent="0.2">
      <c r="A409" s="120">
        <v>407</v>
      </c>
      <c r="B409" s="114" t="s">
        <v>1680</v>
      </c>
      <c r="C409" s="114" t="s">
        <v>1681</v>
      </c>
      <c r="D409" s="114" t="s">
        <v>56</v>
      </c>
      <c r="E409" s="114" t="s">
        <v>639</v>
      </c>
      <c r="F409" s="116">
        <v>538.55999999999995</v>
      </c>
      <c r="G409" s="121">
        <v>6.0189102747971727E-5</v>
      </c>
      <c r="H409" s="121">
        <v>0.99586265074294877</v>
      </c>
      <c r="I409" s="114" t="s">
        <v>1293</v>
      </c>
      <c r="J409" s="114" t="s">
        <v>1323</v>
      </c>
      <c r="K409" s="129" t="s">
        <v>2314</v>
      </c>
    </row>
    <row r="410" spans="1:11" ht="51" x14ac:dyDescent="0.2">
      <c r="A410" s="120">
        <v>408</v>
      </c>
      <c r="B410" s="114" t="s">
        <v>2055</v>
      </c>
      <c r="C410" s="114" t="s">
        <v>2056</v>
      </c>
      <c r="D410" s="114" t="s">
        <v>56</v>
      </c>
      <c r="E410" s="114" t="s">
        <v>973</v>
      </c>
      <c r="F410" s="116">
        <v>536.66</v>
      </c>
      <c r="G410" s="121">
        <v>5.9976760028086951E-5</v>
      </c>
      <c r="H410" s="121">
        <v>0.99592262750297689</v>
      </c>
      <c r="I410" s="114" t="s">
        <v>1293</v>
      </c>
      <c r="J410" s="114" t="s">
        <v>1323</v>
      </c>
      <c r="K410" s="129" t="s">
        <v>2314</v>
      </c>
    </row>
    <row r="411" spans="1:11" ht="25.5" x14ac:dyDescent="0.2">
      <c r="A411" s="120">
        <v>409</v>
      </c>
      <c r="B411" s="114" t="s">
        <v>748</v>
      </c>
      <c r="C411" s="114" t="s">
        <v>1809</v>
      </c>
      <c r="D411" s="114" t="s">
        <v>335</v>
      </c>
      <c r="E411" s="114" t="s">
        <v>749</v>
      </c>
      <c r="F411" s="116">
        <v>530.59</v>
      </c>
      <c r="G411" s="121">
        <v>5.9298380917718219E-5</v>
      </c>
      <c r="H411" s="121">
        <v>0.99598192588389467</v>
      </c>
      <c r="I411" s="114" t="s">
        <v>1293</v>
      </c>
      <c r="J411" s="114" t="s">
        <v>1323</v>
      </c>
      <c r="K411" s="129" t="s">
        <v>2314</v>
      </c>
    </row>
    <row r="412" spans="1:11" ht="25.5" x14ac:dyDescent="0.2">
      <c r="A412" s="120">
        <v>410</v>
      </c>
      <c r="B412" s="114" t="s">
        <v>2087</v>
      </c>
      <c r="C412" s="114" t="s">
        <v>2178</v>
      </c>
      <c r="D412" s="114" t="s">
        <v>335</v>
      </c>
      <c r="E412" s="114" t="s">
        <v>1062</v>
      </c>
      <c r="F412" s="116">
        <v>528.41999999999996</v>
      </c>
      <c r="G412" s="121">
        <v>5.9055863179744542E-5</v>
      </c>
      <c r="H412" s="121">
        <v>0.99885969053679358</v>
      </c>
      <c r="I412" s="114" t="s">
        <v>1293</v>
      </c>
      <c r="J412" s="114" t="s">
        <v>1323</v>
      </c>
      <c r="K412" s="129" t="s">
        <v>2314</v>
      </c>
    </row>
    <row r="413" spans="1:11" ht="51" x14ac:dyDescent="0.2">
      <c r="A413" s="120">
        <v>411</v>
      </c>
      <c r="B413" s="114" t="s">
        <v>1822</v>
      </c>
      <c r="C413" s="114" t="s">
        <v>1823</v>
      </c>
      <c r="D413" s="114" t="s">
        <v>56</v>
      </c>
      <c r="E413" s="114" t="s">
        <v>1824</v>
      </c>
      <c r="F413" s="116">
        <v>525.21</v>
      </c>
      <c r="G413" s="121">
        <v>5.8697115742465529E-5</v>
      </c>
      <c r="H413" s="121">
        <v>0.99609967886281692</v>
      </c>
      <c r="I413" s="114" t="s">
        <v>1293</v>
      </c>
      <c r="J413" s="114" t="s">
        <v>1323</v>
      </c>
      <c r="K413" s="129" t="s">
        <v>2314</v>
      </c>
    </row>
    <row r="414" spans="1:11" ht="25.5" x14ac:dyDescent="0.2">
      <c r="A414" s="120">
        <v>412</v>
      </c>
      <c r="B414" s="114" t="s">
        <v>1631</v>
      </c>
      <c r="C414" s="114" t="s">
        <v>1632</v>
      </c>
      <c r="D414" s="114" t="s">
        <v>335</v>
      </c>
      <c r="E414" s="114" t="s">
        <v>604</v>
      </c>
      <c r="F414" s="116">
        <v>522.79</v>
      </c>
      <c r="G414" s="121">
        <v>5.8426658172928071E-5</v>
      </c>
      <c r="H414" s="121">
        <v>0.99615810552098971</v>
      </c>
      <c r="I414" s="114" t="s">
        <v>1293</v>
      </c>
      <c r="J414" s="114" t="s">
        <v>1323</v>
      </c>
      <c r="K414" s="129" t="s">
        <v>2314</v>
      </c>
    </row>
    <row r="415" spans="1:11" ht="51" x14ac:dyDescent="0.2">
      <c r="A415" s="120">
        <v>413</v>
      </c>
      <c r="B415" s="114" t="s">
        <v>830</v>
      </c>
      <c r="C415" s="114" t="s">
        <v>1873</v>
      </c>
      <c r="D415" s="114" t="s">
        <v>56</v>
      </c>
      <c r="E415" s="114" t="s">
        <v>1874</v>
      </c>
      <c r="F415" s="116">
        <v>501.89</v>
      </c>
      <c r="G415" s="121">
        <v>5.6090888254195505E-5</v>
      </c>
      <c r="H415" s="121">
        <v>0.99621419640924402</v>
      </c>
      <c r="I415" s="114" t="s">
        <v>1293</v>
      </c>
      <c r="J415" s="114" t="s">
        <v>1323</v>
      </c>
      <c r="K415" s="129" t="s">
        <v>2314</v>
      </c>
    </row>
    <row r="416" spans="1:11" ht="38.25" x14ac:dyDescent="0.2">
      <c r="A416" s="120">
        <v>414</v>
      </c>
      <c r="B416" s="114" t="s">
        <v>189</v>
      </c>
      <c r="C416" s="114" t="s">
        <v>1386</v>
      </c>
      <c r="D416" s="114" t="s">
        <v>56</v>
      </c>
      <c r="E416" s="114" t="s">
        <v>190</v>
      </c>
      <c r="F416" s="116">
        <v>500.43</v>
      </c>
      <c r="G416" s="121">
        <v>5.5927719637862994E-5</v>
      </c>
      <c r="H416" s="121">
        <v>0.99627012412888183</v>
      </c>
      <c r="I416" s="114" t="s">
        <v>1293</v>
      </c>
      <c r="J416" s="114" t="s">
        <v>1323</v>
      </c>
      <c r="K416" s="129" t="s">
        <v>2314</v>
      </c>
    </row>
    <row r="417" spans="1:11" ht="25.5" x14ac:dyDescent="0.2">
      <c r="A417" s="120">
        <v>415</v>
      </c>
      <c r="B417" s="114" t="s">
        <v>424</v>
      </c>
      <c r="C417" s="114" t="s">
        <v>1501</v>
      </c>
      <c r="D417" s="114" t="s">
        <v>56</v>
      </c>
      <c r="E417" s="114" t="s">
        <v>425</v>
      </c>
      <c r="F417" s="116">
        <v>499.83</v>
      </c>
      <c r="G417" s="121">
        <v>5.5860664042109904E-5</v>
      </c>
      <c r="H417" s="121">
        <v>0.996325984792924</v>
      </c>
      <c r="I417" s="114" t="s">
        <v>1293</v>
      </c>
      <c r="J417" s="114" t="s">
        <v>1323</v>
      </c>
      <c r="K417" s="129" t="s">
        <v>2314</v>
      </c>
    </row>
    <row r="418" spans="1:11" ht="38.25" x14ac:dyDescent="0.2">
      <c r="A418" s="120">
        <v>416</v>
      </c>
      <c r="B418" s="114" t="s">
        <v>1581</v>
      </c>
      <c r="C418" s="114" t="s">
        <v>1582</v>
      </c>
      <c r="D418" s="114" t="s">
        <v>56</v>
      </c>
      <c r="E418" s="114" t="s">
        <v>580</v>
      </c>
      <c r="F418" s="116">
        <v>488.76</v>
      </c>
      <c r="G418" s="121">
        <v>5.4623488300465433E-5</v>
      </c>
      <c r="H418" s="121">
        <v>0.99638060828122443</v>
      </c>
      <c r="I418" s="114" t="s">
        <v>1293</v>
      </c>
      <c r="J418" s="114" t="s">
        <v>1323</v>
      </c>
      <c r="K418" s="129" t="s">
        <v>2314</v>
      </c>
    </row>
    <row r="419" spans="1:11" ht="25.5" x14ac:dyDescent="0.2">
      <c r="A419" s="120">
        <v>417</v>
      </c>
      <c r="B419" s="114" t="s">
        <v>1540</v>
      </c>
      <c r="C419" s="114" t="s">
        <v>1541</v>
      </c>
      <c r="D419" s="114" t="s">
        <v>335</v>
      </c>
      <c r="E419" s="114" t="s">
        <v>503</v>
      </c>
      <c r="F419" s="116">
        <v>486.15</v>
      </c>
      <c r="G419" s="121">
        <v>5.4331796458939503E-5</v>
      </c>
      <c r="H419" s="121">
        <v>0.99980704752321969</v>
      </c>
      <c r="I419" s="114" t="s">
        <v>1293</v>
      </c>
      <c r="J419" s="114" t="s">
        <v>1323</v>
      </c>
      <c r="K419" s="129" t="s">
        <v>2314</v>
      </c>
    </row>
    <row r="420" spans="1:11" ht="38.25" x14ac:dyDescent="0.2">
      <c r="A420" s="120">
        <v>418</v>
      </c>
      <c r="B420" s="114" t="s">
        <v>140</v>
      </c>
      <c r="C420" s="114" t="s">
        <v>1363</v>
      </c>
      <c r="D420" s="114" t="s">
        <v>56</v>
      </c>
      <c r="E420" s="114" t="s">
        <v>141</v>
      </c>
      <c r="F420" s="116">
        <v>478.86</v>
      </c>
      <c r="G420" s="121">
        <v>5.3517070970539486E-5</v>
      </c>
      <c r="H420" s="121">
        <v>0.99648845714865386</v>
      </c>
      <c r="I420" s="114" t="s">
        <v>1293</v>
      </c>
      <c r="J420" s="114" t="s">
        <v>1323</v>
      </c>
      <c r="K420" s="129" t="s">
        <v>2314</v>
      </c>
    </row>
    <row r="421" spans="1:11" ht="38.25" x14ac:dyDescent="0.2">
      <c r="A421" s="120">
        <v>419</v>
      </c>
      <c r="B421" s="114" t="s">
        <v>2089</v>
      </c>
      <c r="C421" s="114" t="s">
        <v>2090</v>
      </c>
      <c r="D421" s="114" t="s">
        <v>56</v>
      </c>
      <c r="E421" s="114" t="s">
        <v>2091</v>
      </c>
      <c r="F421" s="116">
        <v>475.92</v>
      </c>
      <c r="G421" s="121">
        <v>5.3188498551349353E-5</v>
      </c>
      <c r="H421" s="121">
        <v>0.99654164564720515</v>
      </c>
      <c r="I421" s="114" t="s">
        <v>1293</v>
      </c>
      <c r="J421" s="114" t="s">
        <v>1323</v>
      </c>
      <c r="K421" s="129" t="s">
        <v>2314</v>
      </c>
    </row>
    <row r="422" spans="1:11" ht="51" x14ac:dyDescent="0.2">
      <c r="A422" s="120">
        <v>420</v>
      </c>
      <c r="B422" s="114" t="s">
        <v>2292</v>
      </c>
      <c r="C422" s="114" t="s">
        <v>2293</v>
      </c>
      <c r="D422" s="114" t="s">
        <v>56</v>
      </c>
      <c r="E422" s="114" t="s">
        <v>1151</v>
      </c>
      <c r="F422" s="116">
        <v>475.63</v>
      </c>
      <c r="G422" s="121">
        <v>5.3156088346735361E-5</v>
      </c>
      <c r="H422" s="121">
        <v>0.99659480173555204</v>
      </c>
      <c r="I422" s="114" t="s">
        <v>1293</v>
      </c>
      <c r="J422" s="114" t="s">
        <v>1323</v>
      </c>
      <c r="K422" s="129" t="s">
        <v>2314</v>
      </c>
    </row>
    <row r="423" spans="1:11" ht="38.25" x14ac:dyDescent="0.2">
      <c r="A423" s="120">
        <v>421</v>
      </c>
      <c r="B423" s="114" t="s">
        <v>1432</v>
      </c>
      <c r="C423" s="114" t="s">
        <v>1433</v>
      </c>
      <c r="D423" s="114" t="s">
        <v>56</v>
      </c>
      <c r="E423" s="114" t="s">
        <v>270</v>
      </c>
      <c r="F423" s="116">
        <v>475.25</v>
      </c>
      <c r="G423" s="121">
        <v>5.3113619802758404E-5</v>
      </c>
      <c r="H423" s="121">
        <v>0.9966479153553548</v>
      </c>
      <c r="I423" s="114" t="s">
        <v>1293</v>
      </c>
      <c r="J423" s="114" t="s">
        <v>1323</v>
      </c>
      <c r="K423" s="129" t="s">
        <v>2314</v>
      </c>
    </row>
    <row r="424" spans="1:11" ht="76.5" x14ac:dyDescent="0.2">
      <c r="A424" s="120">
        <v>422</v>
      </c>
      <c r="B424" s="114" t="s">
        <v>2271</v>
      </c>
      <c r="C424" s="114" t="s">
        <v>2272</v>
      </c>
      <c r="D424" s="114" t="s">
        <v>24</v>
      </c>
      <c r="E424" s="114" t="s">
        <v>1130</v>
      </c>
      <c r="F424" s="116">
        <v>463.71</v>
      </c>
      <c r="G424" s="121">
        <v>5.1823917177774011E-5</v>
      </c>
      <c r="H424" s="121">
        <v>0.99669973927253264</v>
      </c>
      <c r="I424" s="114" t="s">
        <v>1293</v>
      </c>
      <c r="J424" s="114" t="s">
        <v>1323</v>
      </c>
      <c r="K424" s="129" t="s">
        <v>2314</v>
      </c>
    </row>
    <row r="425" spans="1:11" ht="51" x14ac:dyDescent="0.2">
      <c r="A425" s="120">
        <v>423</v>
      </c>
      <c r="B425" s="114" t="s">
        <v>383</v>
      </c>
      <c r="C425" s="114" t="s">
        <v>384</v>
      </c>
      <c r="D425" s="114" t="s">
        <v>317</v>
      </c>
      <c r="E425" s="114" t="s">
        <v>1479</v>
      </c>
      <c r="F425" s="116">
        <v>456.61</v>
      </c>
      <c r="G425" s="121">
        <v>5.1030425961362473E-5</v>
      </c>
      <c r="H425" s="121">
        <v>0.99675076969849397</v>
      </c>
      <c r="I425" s="114" t="s">
        <v>1293</v>
      </c>
      <c r="J425" s="114" t="s">
        <v>1323</v>
      </c>
      <c r="K425" s="129" t="s">
        <v>2314</v>
      </c>
    </row>
    <row r="426" spans="1:11" ht="38.25" x14ac:dyDescent="0.2">
      <c r="A426" s="120">
        <v>424</v>
      </c>
      <c r="B426" s="114" t="s">
        <v>2216</v>
      </c>
      <c r="C426" s="114" t="s">
        <v>1096</v>
      </c>
      <c r="D426" s="114" t="s">
        <v>24</v>
      </c>
      <c r="E426" s="114" t="s">
        <v>2217</v>
      </c>
      <c r="F426" s="116">
        <v>452.67</v>
      </c>
      <c r="G426" s="121">
        <v>5.0590094215917195E-5</v>
      </c>
      <c r="H426" s="121">
        <v>0.9968013597927099</v>
      </c>
      <c r="I426" s="114" t="s">
        <v>1293</v>
      </c>
      <c r="J426" s="114" t="s">
        <v>1323</v>
      </c>
      <c r="K426" s="129" t="s">
        <v>2314</v>
      </c>
    </row>
    <row r="427" spans="1:11" ht="51" x14ac:dyDescent="0.2">
      <c r="A427" s="120">
        <v>425</v>
      </c>
      <c r="B427" s="114" t="s">
        <v>1673</v>
      </c>
      <c r="C427" s="114" t="s">
        <v>1674</v>
      </c>
      <c r="D427" s="114" t="s">
        <v>56</v>
      </c>
      <c r="E427" s="114" t="s">
        <v>636</v>
      </c>
      <c r="F427" s="116">
        <v>446.46</v>
      </c>
      <c r="G427" s="121">
        <v>4.9896068799872732E-5</v>
      </c>
      <c r="H427" s="121">
        <v>0.9968512558615098</v>
      </c>
      <c r="I427" s="114" t="s">
        <v>1293</v>
      </c>
      <c r="J427" s="114" t="s">
        <v>1323</v>
      </c>
      <c r="K427" s="129" t="s">
        <v>2314</v>
      </c>
    </row>
    <row r="428" spans="1:11" ht="51" x14ac:dyDescent="0.2">
      <c r="A428" s="120">
        <v>426</v>
      </c>
      <c r="B428" s="114" t="s">
        <v>724</v>
      </c>
      <c r="C428" s="114" t="s">
        <v>1789</v>
      </c>
      <c r="D428" s="114" t="s">
        <v>56</v>
      </c>
      <c r="E428" s="114" t="s">
        <v>725</v>
      </c>
      <c r="F428" s="116">
        <v>440.1</v>
      </c>
      <c r="G428" s="121">
        <v>4.9185279484890008E-5</v>
      </c>
      <c r="H428" s="121">
        <v>0.99690044114099463</v>
      </c>
      <c r="I428" s="114" t="s">
        <v>1293</v>
      </c>
      <c r="J428" s="114" t="s">
        <v>1323</v>
      </c>
      <c r="K428" s="129" t="s">
        <v>2314</v>
      </c>
    </row>
    <row r="429" spans="1:11" ht="51" x14ac:dyDescent="0.2">
      <c r="A429" s="120">
        <v>427</v>
      </c>
      <c r="B429" s="114" t="s">
        <v>1744</v>
      </c>
      <c r="C429" s="114" t="s">
        <v>1745</v>
      </c>
      <c r="D429" s="114" t="s">
        <v>56</v>
      </c>
      <c r="E429" s="114" t="s">
        <v>696</v>
      </c>
      <c r="F429" s="116">
        <v>439.02</v>
      </c>
      <c r="G429" s="121">
        <v>4.9064579412534441E-5</v>
      </c>
      <c r="H429" s="121">
        <v>0.99694950572040719</v>
      </c>
      <c r="I429" s="114" t="s">
        <v>1293</v>
      </c>
      <c r="J429" s="114" t="s">
        <v>1323</v>
      </c>
      <c r="K429" s="129" t="s">
        <v>2314</v>
      </c>
    </row>
    <row r="430" spans="1:11" ht="51" x14ac:dyDescent="0.2">
      <c r="A430" s="120">
        <v>428</v>
      </c>
      <c r="B430" s="114" t="s">
        <v>726</v>
      </c>
      <c r="C430" s="114" t="s">
        <v>1790</v>
      </c>
      <c r="D430" s="114" t="s">
        <v>56</v>
      </c>
      <c r="E430" s="114" t="s">
        <v>727</v>
      </c>
      <c r="F430" s="116">
        <v>438.12</v>
      </c>
      <c r="G430" s="121">
        <v>4.8963996018904816E-5</v>
      </c>
      <c r="H430" s="121">
        <v>0.99699846971642603</v>
      </c>
      <c r="I430" s="114" t="s">
        <v>1293</v>
      </c>
      <c r="J430" s="114" t="s">
        <v>1323</v>
      </c>
      <c r="K430" s="129" t="s">
        <v>2314</v>
      </c>
    </row>
    <row r="431" spans="1:11" ht="38.25" x14ac:dyDescent="0.2">
      <c r="A431" s="120">
        <v>429</v>
      </c>
      <c r="B431" s="114" t="s">
        <v>1633</v>
      </c>
      <c r="C431" s="114" t="s">
        <v>1634</v>
      </c>
      <c r="D431" s="114" t="s">
        <v>56</v>
      </c>
      <c r="E431" s="114" t="s">
        <v>942</v>
      </c>
      <c r="F431" s="116">
        <v>434.07</v>
      </c>
      <c r="G431" s="121">
        <v>4.8511370747571468E-5</v>
      </c>
      <c r="H431" s="121">
        <v>0.9970469810871736</v>
      </c>
      <c r="I431" s="114" t="s">
        <v>1293</v>
      </c>
      <c r="J431" s="114" t="s">
        <v>1323</v>
      </c>
      <c r="K431" s="129" t="s">
        <v>2314</v>
      </c>
    </row>
    <row r="432" spans="1:11" ht="51" x14ac:dyDescent="0.2">
      <c r="A432" s="120">
        <v>430</v>
      </c>
      <c r="B432" s="114" t="s">
        <v>201</v>
      </c>
      <c r="C432" s="114" t="s">
        <v>1396</v>
      </c>
      <c r="D432" s="114" t="s">
        <v>56</v>
      </c>
      <c r="E432" s="114" t="s">
        <v>202</v>
      </c>
      <c r="F432" s="116">
        <v>431.45</v>
      </c>
      <c r="G432" s="121">
        <v>4.8218561312782982E-5</v>
      </c>
      <c r="H432" s="121">
        <v>0.99709519964848625</v>
      </c>
      <c r="I432" s="114" t="s">
        <v>1293</v>
      </c>
      <c r="J432" s="114" t="s">
        <v>1323</v>
      </c>
      <c r="K432" s="129" t="s">
        <v>2314</v>
      </c>
    </row>
    <row r="433" spans="1:11" ht="51" x14ac:dyDescent="0.2">
      <c r="A433" s="120">
        <v>431</v>
      </c>
      <c r="B433" s="114" t="s">
        <v>722</v>
      </c>
      <c r="C433" s="114" t="s">
        <v>1788</v>
      </c>
      <c r="D433" s="114" t="s">
        <v>56</v>
      </c>
      <c r="E433" s="114" t="s">
        <v>723</v>
      </c>
      <c r="F433" s="116">
        <v>430.8</v>
      </c>
      <c r="G433" s="121">
        <v>4.8145917750717138E-5</v>
      </c>
      <c r="H433" s="121">
        <v>0.99714334556623707</v>
      </c>
      <c r="I433" s="114" t="s">
        <v>1293</v>
      </c>
      <c r="J433" s="114" t="s">
        <v>1323</v>
      </c>
      <c r="K433" s="129" t="s">
        <v>2314</v>
      </c>
    </row>
    <row r="434" spans="1:11" ht="38.25" x14ac:dyDescent="0.2">
      <c r="A434" s="120">
        <v>432</v>
      </c>
      <c r="B434" s="114" t="s">
        <v>1730</v>
      </c>
      <c r="C434" s="114" t="s">
        <v>1731</v>
      </c>
      <c r="D434" s="114" t="s">
        <v>56</v>
      </c>
      <c r="E434" s="114" t="s">
        <v>689</v>
      </c>
      <c r="F434" s="116">
        <v>427.86</v>
      </c>
      <c r="G434" s="121">
        <v>4.7817345331527012E-5</v>
      </c>
      <c r="H434" s="121">
        <v>0.99719116291156851</v>
      </c>
      <c r="I434" s="114" t="s">
        <v>1293</v>
      </c>
      <c r="J434" s="114" t="s">
        <v>1323</v>
      </c>
      <c r="K434" s="129" t="s">
        <v>2314</v>
      </c>
    </row>
    <row r="435" spans="1:11" ht="38.25" x14ac:dyDescent="0.2">
      <c r="A435" s="120">
        <v>433</v>
      </c>
      <c r="B435" s="114" t="s">
        <v>613</v>
      </c>
      <c r="C435" s="114" t="s">
        <v>1584</v>
      </c>
      <c r="D435" s="114" t="s">
        <v>56</v>
      </c>
      <c r="E435" s="114" t="s">
        <v>654</v>
      </c>
      <c r="F435" s="116">
        <v>426.82</v>
      </c>
      <c r="G435" s="121">
        <v>4.7701115632221655E-5</v>
      </c>
      <c r="H435" s="121">
        <v>0.99723886402720074</v>
      </c>
      <c r="I435" s="114" t="s">
        <v>1293</v>
      </c>
      <c r="J435" s="114" t="s">
        <v>1323</v>
      </c>
      <c r="K435" s="129" t="s">
        <v>2314</v>
      </c>
    </row>
    <row r="436" spans="1:11" ht="51" x14ac:dyDescent="0.2">
      <c r="A436" s="120">
        <v>434</v>
      </c>
      <c r="B436" s="114" t="s">
        <v>1732</v>
      </c>
      <c r="C436" s="114" t="s">
        <v>1733</v>
      </c>
      <c r="D436" s="114" t="s">
        <v>56</v>
      </c>
      <c r="E436" s="114" t="s">
        <v>690</v>
      </c>
      <c r="F436" s="116">
        <v>426.19</v>
      </c>
      <c r="G436" s="121">
        <v>4.7630707256680918E-5</v>
      </c>
      <c r="H436" s="121">
        <v>0.99728649473445741</v>
      </c>
      <c r="I436" s="114" t="s">
        <v>1293</v>
      </c>
      <c r="J436" s="114" t="s">
        <v>1323</v>
      </c>
      <c r="K436" s="129" t="s">
        <v>2314</v>
      </c>
    </row>
    <row r="437" spans="1:11" ht="38.25" x14ac:dyDescent="0.2">
      <c r="A437" s="120">
        <v>435</v>
      </c>
      <c r="B437" s="114" t="s">
        <v>1660</v>
      </c>
      <c r="C437" s="114" t="s">
        <v>1661</v>
      </c>
      <c r="D437" s="114" t="s">
        <v>56</v>
      </c>
      <c r="E437" s="114" t="s">
        <v>630</v>
      </c>
      <c r="F437" s="116">
        <v>425.21</v>
      </c>
      <c r="G437" s="121">
        <v>4.7521183116950871E-5</v>
      </c>
      <c r="H437" s="121">
        <v>0.99733401591757442</v>
      </c>
      <c r="I437" s="114" t="s">
        <v>1293</v>
      </c>
      <c r="J437" s="114" t="s">
        <v>1323</v>
      </c>
      <c r="K437" s="129" t="s">
        <v>2314</v>
      </c>
    </row>
    <row r="438" spans="1:11" ht="38.25" x14ac:dyDescent="0.2">
      <c r="A438" s="120">
        <v>436</v>
      </c>
      <c r="B438" s="114" t="s">
        <v>645</v>
      </c>
      <c r="C438" s="114" t="s">
        <v>1569</v>
      </c>
      <c r="D438" s="114" t="s">
        <v>56</v>
      </c>
      <c r="E438" s="114" t="s">
        <v>574</v>
      </c>
      <c r="F438" s="116">
        <v>419.38</v>
      </c>
      <c r="G438" s="121">
        <v>4.6869626244883365E-5</v>
      </c>
      <c r="H438" s="121">
        <v>0.99738088554381943</v>
      </c>
      <c r="I438" s="114" t="s">
        <v>1293</v>
      </c>
      <c r="J438" s="114" t="s">
        <v>1323</v>
      </c>
      <c r="K438" s="129" t="s">
        <v>2314</v>
      </c>
    </row>
    <row r="439" spans="1:11" ht="38.25" x14ac:dyDescent="0.2">
      <c r="A439" s="120">
        <v>437</v>
      </c>
      <c r="B439" s="114" t="s">
        <v>1879</v>
      </c>
      <c r="C439" s="114" t="s">
        <v>1880</v>
      </c>
      <c r="D439" s="114" t="s">
        <v>56</v>
      </c>
      <c r="E439" s="114" t="s">
        <v>835</v>
      </c>
      <c r="F439" s="116">
        <v>411.09</v>
      </c>
      <c r="G439" s="121">
        <v>4.5943141430228196E-5</v>
      </c>
      <c r="H439" s="121">
        <v>0.99742682868524968</v>
      </c>
      <c r="I439" s="114" t="s">
        <v>1293</v>
      </c>
      <c r="J439" s="114" t="s">
        <v>1323</v>
      </c>
      <c r="K439" s="129" t="s">
        <v>2314</v>
      </c>
    </row>
    <row r="440" spans="1:11" ht="38.25" x14ac:dyDescent="0.2">
      <c r="A440" s="120">
        <v>438</v>
      </c>
      <c r="B440" s="114" t="s">
        <v>1598</v>
      </c>
      <c r="C440" s="114" t="s">
        <v>1599</v>
      </c>
      <c r="D440" s="114" t="s">
        <v>56</v>
      </c>
      <c r="E440" s="114" t="s">
        <v>588</v>
      </c>
      <c r="F440" s="116">
        <v>407.55</v>
      </c>
      <c r="G440" s="121">
        <v>4.5547513415284987E-5</v>
      </c>
      <c r="H440" s="121">
        <v>0.99747237619866502</v>
      </c>
      <c r="I440" s="114" t="s">
        <v>1293</v>
      </c>
      <c r="J440" s="114" t="s">
        <v>1323</v>
      </c>
      <c r="K440" s="129" t="s">
        <v>2314</v>
      </c>
    </row>
    <row r="441" spans="1:11" ht="51" x14ac:dyDescent="0.2">
      <c r="A441" s="120">
        <v>439</v>
      </c>
      <c r="B441" s="114" t="s">
        <v>2150</v>
      </c>
      <c r="C441" s="114" t="s">
        <v>1991</v>
      </c>
      <c r="D441" s="114" t="s">
        <v>56</v>
      </c>
      <c r="E441" s="114" t="s">
        <v>937</v>
      </c>
      <c r="F441" s="116">
        <v>406.87</v>
      </c>
      <c r="G441" s="121">
        <v>4.5471517073431481E-5</v>
      </c>
      <c r="H441" s="121">
        <v>0.99751784771573837</v>
      </c>
      <c r="I441" s="114" t="s">
        <v>1293</v>
      </c>
      <c r="J441" s="114" t="s">
        <v>1323</v>
      </c>
      <c r="K441" s="129" t="s">
        <v>2314</v>
      </c>
    </row>
    <row r="442" spans="1:11" ht="38.25" x14ac:dyDescent="0.2">
      <c r="A442" s="120">
        <v>440</v>
      </c>
      <c r="B442" s="114" t="s">
        <v>573</v>
      </c>
      <c r="C442" s="114" t="s">
        <v>1569</v>
      </c>
      <c r="D442" s="114" t="s">
        <v>56</v>
      </c>
      <c r="E442" s="114" t="s">
        <v>574</v>
      </c>
      <c r="F442" s="116">
        <v>399.57</v>
      </c>
      <c r="G442" s="121">
        <v>4.4655673991768909E-5</v>
      </c>
      <c r="H442" s="121">
        <v>0.99756250338973018</v>
      </c>
      <c r="I442" s="114" t="s">
        <v>1293</v>
      </c>
      <c r="J442" s="114" t="s">
        <v>1323</v>
      </c>
      <c r="K442" s="129" t="s">
        <v>2314</v>
      </c>
    </row>
    <row r="443" spans="1:11" ht="51" x14ac:dyDescent="0.2">
      <c r="A443" s="120">
        <v>441</v>
      </c>
      <c r="B443" s="114" t="s">
        <v>1736</v>
      </c>
      <c r="C443" s="114" t="s">
        <v>1737</v>
      </c>
      <c r="D443" s="114" t="s">
        <v>56</v>
      </c>
      <c r="E443" s="114" t="s">
        <v>692</v>
      </c>
      <c r="F443" s="116">
        <v>397.61</v>
      </c>
      <c r="G443" s="121">
        <v>4.4436625712308829E-5</v>
      </c>
      <c r="H443" s="121">
        <v>0.99760694001544237</v>
      </c>
      <c r="I443" s="114" t="s">
        <v>1293</v>
      </c>
      <c r="J443" s="114" t="s">
        <v>1323</v>
      </c>
      <c r="K443" s="129" t="s">
        <v>2314</v>
      </c>
    </row>
    <row r="444" spans="1:11" ht="38.25" x14ac:dyDescent="0.2">
      <c r="A444" s="120">
        <v>442</v>
      </c>
      <c r="B444" s="114" t="s">
        <v>798</v>
      </c>
      <c r="C444" s="114" t="s">
        <v>1859</v>
      </c>
      <c r="D444" s="114" t="s">
        <v>56</v>
      </c>
      <c r="E444" s="114" t="s">
        <v>799</v>
      </c>
      <c r="F444" s="116">
        <v>386.1</v>
      </c>
      <c r="G444" s="121">
        <v>4.3150275867112091E-5</v>
      </c>
      <c r="H444" s="121">
        <v>0.99765009029130947</v>
      </c>
      <c r="I444" s="114" t="s">
        <v>1293</v>
      </c>
      <c r="J444" s="114" t="s">
        <v>1323</v>
      </c>
      <c r="K444" s="129" t="s">
        <v>2314</v>
      </c>
    </row>
    <row r="445" spans="1:11" ht="51" x14ac:dyDescent="0.2">
      <c r="A445" s="120">
        <v>443</v>
      </c>
      <c r="B445" s="114" t="s">
        <v>465</v>
      </c>
      <c r="C445" s="114" t="s">
        <v>1520</v>
      </c>
      <c r="D445" s="114" t="s">
        <v>56</v>
      </c>
      <c r="E445" s="114" t="s">
        <v>1521</v>
      </c>
      <c r="F445" s="116">
        <v>385.53</v>
      </c>
      <c r="G445" s="121">
        <v>4.3086573051146649E-5</v>
      </c>
      <c r="H445" s="121">
        <v>0.99769317686436054</v>
      </c>
      <c r="I445" s="114" t="s">
        <v>1293</v>
      </c>
      <c r="J445" s="114" t="s">
        <v>1323</v>
      </c>
      <c r="K445" s="129" t="s">
        <v>2314</v>
      </c>
    </row>
    <row r="446" spans="1:11" ht="25.5" x14ac:dyDescent="0.2">
      <c r="A446" s="120">
        <v>444</v>
      </c>
      <c r="B446" s="114" t="s">
        <v>2224</v>
      </c>
      <c r="C446" s="114" t="s">
        <v>2225</v>
      </c>
      <c r="D446" s="114" t="s">
        <v>335</v>
      </c>
      <c r="E446" s="114" t="s">
        <v>1101</v>
      </c>
      <c r="F446" s="116">
        <v>380.34</v>
      </c>
      <c r="G446" s="121">
        <v>4.2506542147882444E-5</v>
      </c>
      <c r="H446" s="121">
        <v>0.99773568340650842</v>
      </c>
      <c r="I446" s="114" t="s">
        <v>1293</v>
      </c>
      <c r="J446" s="114" t="s">
        <v>1323</v>
      </c>
      <c r="K446" s="129" t="s">
        <v>2314</v>
      </c>
    </row>
    <row r="447" spans="1:11" ht="51" x14ac:dyDescent="0.2">
      <c r="A447" s="120">
        <v>445</v>
      </c>
      <c r="B447" s="114" t="s">
        <v>148</v>
      </c>
      <c r="C447" s="114" t="s">
        <v>1368</v>
      </c>
      <c r="D447" s="114" t="s">
        <v>56</v>
      </c>
      <c r="E447" s="114" t="s">
        <v>149</v>
      </c>
      <c r="F447" s="116">
        <v>378.12</v>
      </c>
      <c r="G447" s="121">
        <v>4.225843644359602E-5</v>
      </c>
      <c r="H447" s="121">
        <v>0.99777794184295188</v>
      </c>
      <c r="I447" s="114" t="s">
        <v>1293</v>
      </c>
      <c r="J447" s="114" t="s">
        <v>1323</v>
      </c>
      <c r="K447" s="129" t="s">
        <v>2314</v>
      </c>
    </row>
    <row r="448" spans="1:11" ht="38.25" x14ac:dyDescent="0.2">
      <c r="A448" s="120">
        <v>446</v>
      </c>
      <c r="B448" s="114" t="s">
        <v>1624</v>
      </c>
      <c r="C448" s="114" t="s">
        <v>600</v>
      </c>
      <c r="D448" s="114" t="s">
        <v>209</v>
      </c>
      <c r="E448" s="114" t="s">
        <v>601</v>
      </c>
      <c r="F448" s="116">
        <v>374.67</v>
      </c>
      <c r="G448" s="121">
        <v>4.1872866768015768E-5</v>
      </c>
      <c r="H448" s="121">
        <v>0.99781981470971992</v>
      </c>
      <c r="I448" s="114" t="s">
        <v>1293</v>
      </c>
      <c r="J448" s="114" t="s">
        <v>1319</v>
      </c>
      <c r="K448" s="129" t="s">
        <v>2315</v>
      </c>
    </row>
    <row r="449" spans="1:11" ht="51" x14ac:dyDescent="0.2">
      <c r="A449" s="120">
        <v>447</v>
      </c>
      <c r="B449" s="114" t="s">
        <v>1838</v>
      </c>
      <c r="C449" s="114" t="s">
        <v>1839</v>
      </c>
      <c r="D449" s="114" t="s">
        <v>56</v>
      </c>
      <c r="E449" s="114" t="s">
        <v>1840</v>
      </c>
      <c r="F449" s="116">
        <v>374.07</v>
      </c>
      <c r="G449" s="121">
        <v>4.1805811172262672E-5</v>
      </c>
      <c r="H449" s="121">
        <v>0.99786162052089222</v>
      </c>
      <c r="I449" s="114" t="s">
        <v>1293</v>
      </c>
      <c r="J449" s="114" t="s">
        <v>1323</v>
      </c>
      <c r="K449" s="129" t="s">
        <v>2314</v>
      </c>
    </row>
    <row r="450" spans="1:11" ht="25.5" x14ac:dyDescent="0.2">
      <c r="A450" s="120">
        <v>448</v>
      </c>
      <c r="B450" s="114" t="s">
        <v>1962</v>
      </c>
      <c r="C450" s="114" t="s">
        <v>1963</v>
      </c>
      <c r="D450" s="114" t="s">
        <v>335</v>
      </c>
      <c r="E450" s="114" t="s">
        <v>912</v>
      </c>
      <c r="F450" s="116">
        <v>371.25</v>
      </c>
      <c r="G450" s="121">
        <v>4.1490649872223165E-5</v>
      </c>
      <c r="H450" s="121">
        <v>0.99790311117076447</v>
      </c>
      <c r="I450" s="114" t="s">
        <v>1293</v>
      </c>
      <c r="J450" s="114" t="s">
        <v>1323</v>
      </c>
      <c r="K450" s="129" t="s">
        <v>2314</v>
      </c>
    </row>
    <row r="451" spans="1:11" ht="51" x14ac:dyDescent="0.2">
      <c r="A451" s="120">
        <v>449</v>
      </c>
      <c r="B451" s="114" t="s">
        <v>133</v>
      </c>
      <c r="C451" s="114" t="s">
        <v>1361</v>
      </c>
      <c r="D451" s="114" t="s">
        <v>24</v>
      </c>
      <c r="E451" s="114" t="s">
        <v>135</v>
      </c>
      <c r="F451" s="116">
        <v>359.19</v>
      </c>
      <c r="G451" s="121">
        <v>4.0142832397586097E-5</v>
      </c>
      <c r="H451" s="121">
        <v>0.99794325400316197</v>
      </c>
      <c r="I451" s="114" t="s">
        <v>1293</v>
      </c>
      <c r="J451" s="114" t="s">
        <v>1323</v>
      </c>
      <c r="K451" s="129" t="s">
        <v>2314</v>
      </c>
    </row>
    <row r="452" spans="1:11" ht="51" x14ac:dyDescent="0.2">
      <c r="A452" s="120">
        <v>450</v>
      </c>
      <c r="B452" s="114" t="s">
        <v>2101</v>
      </c>
      <c r="C452" s="114" t="s">
        <v>2102</v>
      </c>
      <c r="D452" s="114" t="s">
        <v>24</v>
      </c>
      <c r="E452" s="114" t="s">
        <v>1002</v>
      </c>
      <c r="F452" s="116">
        <v>358.41</v>
      </c>
      <c r="G452" s="121">
        <v>4.0055660123107085E-5</v>
      </c>
      <c r="H452" s="121">
        <v>0.99798330966328508</v>
      </c>
      <c r="I452" s="114" t="s">
        <v>1293</v>
      </c>
      <c r="J452" s="114" t="s">
        <v>1323</v>
      </c>
      <c r="K452" s="129" t="s">
        <v>2314</v>
      </c>
    </row>
    <row r="453" spans="1:11" ht="51" x14ac:dyDescent="0.2">
      <c r="A453" s="120">
        <v>451</v>
      </c>
      <c r="B453" s="114" t="s">
        <v>2238</v>
      </c>
      <c r="C453" s="114" t="s">
        <v>2239</v>
      </c>
      <c r="D453" s="114" t="s">
        <v>56</v>
      </c>
      <c r="E453" s="114" t="s">
        <v>1107</v>
      </c>
      <c r="F453" s="116">
        <v>330.21</v>
      </c>
      <c r="G453" s="121">
        <v>3.6904047122711946E-5</v>
      </c>
      <c r="H453" s="121">
        <v>0.99802021371040794</v>
      </c>
      <c r="I453" s="114" t="s">
        <v>1293</v>
      </c>
      <c r="J453" s="114" t="s">
        <v>1323</v>
      </c>
      <c r="K453" s="129" t="s">
        <v>2314</v>
      </c>
    </row>
    <row r="454" spans="1:11" ht="38.25" x14ac:dyDescent="0.2">
      <c r="A454" s="120">
        <v>452</v>
      </c>
      <c r="B454" s="114" t="s">
        <v>1653</v>
      </c>
      <c r="C454" s="114" t="s">
        <v>1654</v>
      </c>
      <c r="D454" s="114" t="s">
        <v>56</v>
      </c>
      <c r="E454" s="114" t="s">
        <v>627</v>
      </c>
      <c r="F454" s="116">
        <v>329.64</v>
      </c>
      <c r="G454" s="121">
        <v>3.6840344306746511E-5</v>
      </c>
      <c r="H454" s="121">
        <v>0.99805705405471468</v>
      </c>
      <c r="I454" s="114" t="s">
        <v>1293</v>
      </c>
      <c r="J454" s="114" t="s">
        <v>1323</v>
      </c>
      <c r="K454" s="129" t="s">
        <v>2314</v>
      </c>
    </row>
    <row r="455" spans="1:11" ht="38.25" x14ac:dyDescent="0.2">
      <c r="A455" s="120">
        <v>453</v>
      </c>
      <c r="B455" s="114" t="s">
        <v>1658</v>
      </c>
      <c r="C455" s="114" t="s">
        <v>1659</v>
      </c>
      <c r="D455" s="114" t="s">
        <v>56</v>
      </c>
      <c r="E455" s="114" t="s">
        <v>629</v>
      </c>
      <c r="F455" s="116">
        <v>325.32</v>
      </c>
      <c r="G455" s="121">
        <v>3.6357544017324283E-5</v>
      </c>
      <c r="H455" s="121">
        <v>0.99809341159873211</v>
      </c>
      <c r="I455" s="114" t="s">
        <v>1293</v>
      </c>
      <c r="J455" s="114" t="s">
        <v>1323</v>
      </c>
      <c r="K455" s="129" t="s">
        <v>2314</v>
      </c>
    </row>
    <row r="456" spans="1:11" ht="51" x14ac:dyDescent="0.2">
      <c r="A456" s="120">
        <v>454</v>
      </c>
      <c r="B456" s="114" t="s">
        <v>2235</v>
      </c>
      <c r="C456" s="114" t="s">
        <v>2236</v>
      </c>
      <c r="D456" s="114" t="s">
        <v>56</v>
      </c>
      <c r="E456" s="114" t="s">
        <v>2237</v>
      </c>
      <c r="F456" s="116">
        <v>318.69</v>
      </c>
      <c r="G456" s="121">
        <v>3.5616579684252659E-5</v>
      </c>
      <c r="H456" s="121">
        <v>0.99812902817841631</v>
      </c>
      <c r="I456" s="114" t="s">
        <v>1293</v>
      </c>
      <c r="J456" s="114" t="s">
        <v>1323</v>
      </c>
      <c r="K456" s="129" t="s">
        <v>2314</v>
      </c>
    </row>
    <row r="457" spans="1:11" ht="38.25" x14ac:dyDescent="0.2">
      <c r="A457" s="120">
        <v>455</v>
      </c>
      <c r="B457" s="114" t="s">
        <v>1975</v>
      </c>
      <c r="C457" s="114" t="s">
        <v>1976</v>
      </c>
      <c r="D457" s="114" t="s">
        <v>56</v>
      </c>
      <c r="E457" s="114" t="s">
        <v>924</v>
      </c>
      <c r="F457" s="116">
        <v>312.61</v>
      </c>
      <c r="G457" s="121">
        <v>3.4937082980621372E-5</v>
      </c>
      <c r="H457" s="121">
        <v>0.99816396526139683</v>
      </c>
      <c r="I457" s="114" t="s">
        <v>1293</v>
      </c>
      <c r="J457" s="114" t="s">
        <v>1323</v>
      </c>
      <c r="K457" s="129" t="s">
        <v>2314</v>
      </c>
    </row>
    <row r="458" spans="1:11" ht="51" x14ac:dyDescent="0.2">
      <c r="A458" s="120">
        <v>456</v>
      </c>
      <c r="B458" s="114" t="s">
        <v>556</v>
      </c>
      <c r="C458" s="114" t="s">
        <v>1559</v>
      </c>
      <c r="D458" s="114" t="s">
        <v>56</v>
      </c>
      <c r="E458" s="114" t="s">
        <v>557</v>
      </c>
      <c r="F458" s="116">
        <v>309.26</v>
      </c>
      <c r="G458" s="121">
        <v>3.4562689237666627E-5</v>
      </c>
      <c r="H458" s="121">
        <v>0.99819852795063446</v>
      </c>
      <c r="I458" s="114" t="s">
        <v>1293</v>
      </c>
      <c r="J458" s="114" t="s">
        <v>1323</v>
      </c>
      <c r="K458" s="129" t="s">
        <v>2314</v>
      </c>
    </row>
    <row r="459" spans="1:11" ht="38.25" x14ac:dyDescent="0.2">
      <c r="A459" s="120">
        <v>457</v>
      </c>
      <c r="B459" s="114" t="s">
        <v>796</v>
      </c>
      <c r="C459" s="114" t="s">
        <v>1858</v>
      </c>
      <c r="D459" s="114" t="s">
        <v>56</v>
      </c>
      <c r="E459" s="114" t="s">
        <v>797</v>
      </c>
      <c r="F459" s="116">
        <v>306.45</v>
      </c>
      <c r="G459" s="121">
        <v>3.4248645530889662E-5</v>
      </c>
      <c r="H459" s="121">
        <v>0.99823277659616527</v>
      </c>
      <c r="I459" s="114" t="s">
        <v>1293</v>
      </c>
      <c r="J459" s="114" t="s">
        <v>1323</v>
      </c>
      <c r="K459" s="129" t="s">
        <v>2314</v>
      </c>
    </row>
    <row r="460" spans="1:11" ht="51" x14ac:dyDescent="0.2">
      <c r="A460" s="120">
        <v>458</v>
      </c>
      <c r="B460" s="114" t="s">
        <v>1990</v>
      </c>
      <c r="C460" s="114" t="s">
        <v>1991</v>
      </c>
      <c r="D460" s="114" t="s">
        <v>56</v>
      </c>
      <c r="E460" s="114" t="s">
        <v>937</v>
      </c>
      <c r="F460" s="116">
        <v>303.18</v>
      </c>
      <c r="G460" s="121">
        <v>3.388319253403534E-5</v>
      </c>
      <c r="H460" s="121">
        <v>0.99826665978869933</v>
      </c>
      <c r="I460" s="114" t="s">
        <v>1293</v>
      </c>
      <c r="J460" s="114" t="s">
        <v>1323</v>
      </c>
      <c r="K460" s="129" t="s">
        <v>2314</v>
      </c>
    </row>
    <row r="461" spans="1:11" ht="38.25" x14ac:dyDescent="0.2">
      <c r="A461" s="120">
        <v>459</v>
      </c>
      <c r="B461" s="114" t="s">
        <v>2151</v>
      </c>
      <c r="C461" s="114" t="s">
        <v>2152</v>
      </c>
      <c r="D461" s="114" t="s">
        <v>56</v>
      </c>
      <c r="E461" s="114" t="s">
        <v>1042</v>
      </c>
      <c r="F461" s="116">
        <v>299.14</v>
      </c>
      <c r="G461" s="121">
        <v>3.343168485596454E-5</v>
      </c>
      <c r="H461" s="121">
        <v>0.99830009147355536</v>
      </c>
      <c r="I461" s="114" t="s">
        <v>1293</v>
      </c>
      <c r="J461" s="114" t="s">
        <v>1323</v>
      </c>
      <c r="K461" s="129" t="s">
        <v>2314</v>
      </c>
    </row>
    <row r="462" spans="1:11" ht="51" x14ac:dyDescent="0.2">
      <c r="A462" s="120">
        <v>460</v>
      </c>
      <c r="B462" s="114" t="s">
        <v>1667</v>
      </c>
      <c r="C462" s="114" t="s">
        <v>1668</v>
      </c>
      <c r="D462" s="114" t="s">
        <v>56</v>
      </c>
      <c r="E462" s="114" t="s">
        <v>1669</v>
      </c>
      <c r="F462" s="116">
        <v>291.24</v>
      </c>
      <c r="G462" s="121">
        <v>3.2548786178548885E-5</v>
      </c>
      <c r="H462" s="121">
        <v>0.99833264025973389</v>
      </c>
      <c r="I462" s="114" t="s">
        <v>1293</v>
      </c>
      <c r="J462" s="114" t="s">
        <v>1323</v>
      </c>
      <c r="K462" s="129" t="s">
        <v>2314</v>
      </c>
    </row>
    <row r="463" spans="1:11" ht="38.25" x14ac:dyDescent="0.2">
      <c r="A463" s="120">
        <v>461</v>
      </c>
      <c r="B463" s="114" t="s">
        <v>616</v>
      </c>
      <c r="C463" s="114" t="s">
        <v>1638</v>
      </c>
      <c r="D463" s="114" t="s">
        <v>56</v>
      </c>
      <c r="E463" s="114" t="s">
        <v>1639</v>
      </c>
      <c r="F463" s="116">
        <v>284.79000000000002</v>
      </c>
      <c r="G463" s="121">
        <v>3.182793852420319E-5</v>
      </c>
      <c r="H463" s="121">
        <v>0.99836446819825797</v>
      </c>
      <c r="I463" s="114" t="s">
        <v>1293</v>
      </c>
      <c r="J463" s="114" t="s">
        <v>1323</v>
      </c>
      <c r="K463" s="129" t="s">
        <v>2314</v>
      </c>
    </row>
    <row r="464" spans="1:11" ht="51" x14ac:dyDescent="0.2">
      <c r="A464" s="120">
        <v>462</v>
      </c>
      <c r="B464" s="114" t="s">
        <v>2008</v>
      </c>
      <c r="C464" s="114" t="s">
        <v>2009</v>
      </c>
      <c r="D464" s="114" t="s">
        <v>56</v>
      </c>
      <c r="E464" s="114" t="s">
        <v>948</v>
      </c>
      <c r="F464" s="116">
        <v>283.69</v>
      </c>
      <c r="G464" s="121">
        <v>3.1705003265322531E-5</v>
      </c>
      <c r="H464" s="121">
        <v>0.9983961732015233</v>
      </c>
      <c r="I464" s="114" t="s">
        <v>1293</v>
      </c>
      <c r="J464" s="114" t="s">
        <v>1323</v>
      </c>
      <c r="K464" s="129" t="s">
        <v>2314</v>
      </c>
    </row>
    <row r="465" spans="1:11" ht="25.5" x14ac:dyDescent="0.2">
      <c r="A465" s="120">
        <v>463</v>
      </c>
      <c r="B465" s="114" t="s">
        <v>2017</v>
      </c>
      <c r="C465" s="114" t="s">
        <v>2018</v>
      </c>
      <c r="D465" s="114" t="s">
        <v>335</v>
      </c>
      <c r="E465" s="114" t="s">
        <v>952</v>
      </c>
      <c r="F465" s="116">
        <v>268.14</v>
      </c>
      <c r="G465" s="121">
        <v>2.9967145742054997E-5</v>
      </c>
      <c r="H465" s="121">
        <v>0.9984261403472654</v>
      </c>
      <c r="I465" s="114" t="s">
        <v>1293</v>
      </c>
      <c r="J465" s="114" t="s">
        <v>1323</v>
      </c>
      <c r="K465" s="129" t="s">
        <v>2314</v>
      </c>
    </row>
    <row r="466" spans="1:11" ht="38.25" x14ac:dyDescent="0.2">
      <c r="A466" s="120">
        <v>464</v>
      </c>
      <c r="B466" s="114" t="s">
        <v>569</v>
      </c>
      <c r="C466" s="114" t="s">
        <v>1566</v>
      </c>
      <c r="D466" s="114" t="s">
        <v>56</v>
      </c>
      <c r="E466" s="114" t="s">
        <v>1567</v>
      </c>
      <c r="F466" s="116">
        <v>264.97000000000003</v>
      </c>
      <c r="G466" s="121">
        <v>2.9612868677826188E-5</v>
      </c>
      <c r="H466" s="121">
        <v>0.99845575321594326</v>
      </c>
      <c r="I466" s="114" t="s">
        <v>1293</v>
      </c>
      <c r="J466" s="114" t="s">
        <v>1323</v>
      </c>
      <c r="K466" s="129" t="s">
        <v>2314</v>
      </c>
    </row>
    <row r="467" spans="1:11" ht="51" x14ac:dyDescent="0.2">
      <c r="A467" s="120">
        <v>465</v>
      </c>
      <c r="B467" s="114" t="s">
        <v>1844</v>
      </c>
      <c r="C467" s="114" t="s">
        <v>1845</v>
      </c>
      <c r="D467" s="114" t="s">
        <v>56</v>
      </c>
      <c r="E467" s="114" t="s">
        <v>1846</v>
      </c>
      <c r="F467" s="116">
        <v>251.39</v>
      </c>
      <c r="G467" s="121">
        <v>2.8095177027281293E-5</v>
      </c>
      <c r="H467" s="121">
        <v>0.99848384839297066</v>
      </c>
      <c r="I467" s="114" t="s">
        <v>1293</v>
      </c>
      <c r="J467" s="114" t="s">
        <v>1323</v>
      </c>
      <c r="K467" s="129" t="s">
        <v>2314</v>
      </c>
    </row>
    <row r="468" spans="1:11" ht="38.25" x14ac:dyDescent="0.2">
      <c r="A468" s="120">
        <v>466</v>
      </c>
      <c r="B468" s="114" t="s">
        <v>2124</v>
      </c>
      <c r="C468" s="114" t="s">
        <v>2125</v>
      </c>
      <c r="D468" s="114" t="s">
        <v>56</v>
      </c>
      <c r="E468" s="114" t="s">
        <v>1016</v>
      </c>
      <c r="F468" s="116">
        <v>247.09</v>
      </c>
      <c r="G468" s="121">
        <v>2.7614611924384164E-5</v>
      </c>
      <c r="H468" s="121">
        <v>0.99851146300489502</v>
      </c>
      <c r="I468" s="114" t="s">
        <v>1293</v>
      </c>
      <c r="J468" s="114" t="s">
        <v>1323</v>
      </c>
      <c r="K468" s="129" t="s">
        <v>2314</v>
      </c>
    </row>
    <row r="469" spans="1:11" ht="38.25" x14ac:dyDescent="0.2">
      <c r="A469" s="120">
        <v>467</v>
      </c>
      <c r="B469" s="114" t="s">
        <v>1655</v>
      </c>
      <c r="C469" s="114" t="s">
        <v>1656</v>
      </c>
      <c r="D469" s="114" t="s">
        <v>56</v>
      </c>
      <c r="E469" s="114" t="s">
        <v>628</v>
      </c>
      <c r="F469" s="116">
        <v>238.35</v>
      </c>
      <c r="G469" s="121">
        <v>2.6637835412914183E-5</v>
      </c>
      <c r="H469" s="121">
        <v>0.99853810084030781</v>
      </c>
      <c r="I469" s="114" t="s">
        <v>1293</v>
      </c>
      <c r="J469" s="114" t="s">
        <v>1323</v>
      </c>
      <c r="K469" s="129" t="s">
        <v>2314</v>
      </c>
    </row>
    <row r="470" spans="1:11" ht="38.25" x14ac:dyDescent="0.2">
      <c r="A470" s="120">
        <v>468</v>
      </c>
      <c r="B470" s="114" t="s">
        <v>1657</v>
      </c>
      <c r="C470" s="114" t="s">
        <v>1614</v>
      </c>
      <c r="D470" s="114" t="s">
        <v>56</v>
      </c>
      <c r="E470" s="114" t="s">
        <v>595</v>
      </c>
      <c r="F470" s="116">
        <v>234.3</v>
      </c>
      <c r="G470" s="121">
        <v>2.6185210141580841E-5</v>
      </c>
      <c r="H470" s="121">
        <v>0.99856428605044956</v>
      </c>
      <c r="I470" s="114" t="s">
        <v>1293</v>
      </c>
      <c r="J470" s="114" t="s">
        <v>1323</v>
      </c>
      <c r="K470" s="129" t="s">
        <v>2314</v>
      </c>
    </row>
    <row r="471" spans="1:11" ht="25.5" x14ac:dyDescent="0.2">
      <c r="A471" s="120">
        <v>469</v>
      </c>
      <c r="B471" s="114" t="s">
        <v>1827</v>
      </c>
      <c r="C471" s="114" t="s">
        <v>1828</v>
      </c>
      <c r="D471" s="114" t="s">
        <v>335</v>
      </c>
      <c r="E471" s="114" t="s">
        <v>763</v>
      </c>
      <c r="F471" s="116">
        <v>231.48</v>
      </c>
      <c r="G471" s="121">
        <v>2.5870048841541327E-5</v>
      </c>
      <c r="H471" s="121">
        <v>0.99859015609929114</v>
      </c>
      <c r="I471" s="114" t="s">
        <v>1293</v>
      </c>
      <c r="J471" s="114" t="s">
        <v>1323</v>
      </c>
      <c r="K471" s="129" t="s">
        <v>2314</v>
      </c>
    </row>
    <row r="472" spans="1:11" ht="51" x14ac:dyDescent="0.2">
      <c r="A472" s="120">
        <v>470</v>
      </c>
      <c r="B472" s="114" t="s">
        <v>558</v>
      </c>
      <c r="C472" s="114" t="s">
        <v>1560</v>
      </c>
      <c r="D472" s="114" t="s">
        <v>56</v>
      </c>
      <c r="E472" s="114" t="s">
        <v>559</v>
      </c>
      <c r="F472" s="116">
        <v>231.45</v>
      </c>
      <c r="G472" s="121">
        <v>2.5866696061753672E-5</v>
      </c>
      <c r="H472" s="121">
        <v>0.99861602279535278</v>
      </c>
      <c r="I472" s="114" t="s">
        <v>1293</v>
      </c>
      <c r="J472" s="114" t="s">
        <v>1323</v>
      </c>
      <c r="K472" s="129" t="s">
        <v>2314</v>
      </c>
    </row>
    <row r="473" spans="1:11" ht="89.25" x14ac:dyDescent="0.2">
      <c r="A473" s="120">
        <v>471</v>
      </c>
      <c r="B473" s="114" t="s">
        <v>2273</v>
      </c>
      <c r="C473" s="114" t="s">
        <v>2274</v>
      </c>
      <c r="D473" s="114" t="s">
        <v>24</v>
      </c>
      <c r="E473" s="114" t="s">
        <v>1132</v>
      </c>
      <c r="F473" s="116">
        <v>230.73</v>
      </c>
      <c r="G473" s="121">
        <v>2.5786229346849966E-5</v>
      </c>
      <c r="H473" s="121">
        <v>0.99864180902469968</v>
      </c>
      <c r="I473" s="114" t="s">
        <v>1293</v>
      </c>
      <c r="J473" s="114" t="s">
        <v>1323</v>
      </c>
      <c r="K473" s="129" t="s">
        <v>2314</v>
      </c>
    </row>
    <row r="474" spans="1:11" ht="51" x14ac:dyDescent="0.2">
      <c r="A474" s="120">
        <v>472</v>
      </c>
      <c r="B474" s="114" t="s">
        <v>2168</v>
      </c>
      <c r="C474" s="114" t="s">
        <v>2169</v>
      </c>
      <c r="D474" s="114" t="s">
        <v>56</v>
      </c>
      <c r="E474" s="114" t="s">
        <v>1056</v>
      </c>
      <c r="F474" s="116">
        <v>230.5</v>
      </c>
      <c r="G474" s="121">
        <v>2.5760524701811284E-5</v>
      </c>
      <c r="H474" s="121">
        <v>0.9986675695494015</v>
      </c>
      <c r="I474" s="114" t="s">
        <v>1293</v>
      </c>
      <c r="J474" s="114" t="s">
        <v>1323</v>
      </c>
      <c r="K474" s="129" t="s">
        <v>2314</v>
      </c>
    </row>
    <row r="475" spans="1:11" ht="25.5" x14ac:dyDescent="0.2">
      <c r="A475" s="120">
        <v>473</v>
      </c>
      <c r="B475" s="114" t="s">
        <v>1831</v>
      </c>
      <c r="C475" s="114" t="s">
        <v>1832</v>
      </c>
      <c r="D475" s="114" t="s">
        <v>335</v>
      </c>
      <c r="E475" s="114" t="s">
        <v>765</v>
      </c>
      <c r="F475" s="116">
        <v>225.45</v>
      </c>
      <c r="G475" s="121">
        <v>2.5196140104222793E-5</v>
      </c>
      <c r="H475" s="121">
        <v>0.9986927656895056</v>
      </c>
      <c r="I475" s="114" t="s">
        <v>1293</v>
      </c>
      <c r="J475" s="114" t="s">
        <v>1323</v>
      </c>
      <c r="K475" s="129" t="s">
        <v>2314</v>
      </c>
    </row>
    <row r="476" spans="1:11" ht="51" x14ac:dyDescent="0.2">
      <c r="A476" s="120">
        <v>474</v>
      </c>
      <c r="B476" s="114" t="s">
        <v>2246</v>
      </c>
      <c r="C476" s="114" t="s">
        <v>2247</v>
      </c>
      <c r="D476" s="114" t="s">
        <v>56</v>
      </c>
      <c r="E476" s="114" t="s">
        <v>2248</v>
      </c>
      <c r="F476" s="116">
        <v>223.98</v>
      </c>
      <c r="G476" s="121">
        <v>2.5031853894627727E-5</v>
      </c>
      <c r="H476" s="121">
        <v>0.99871779754340029</v>
      </c>
      <c r="I476" s="114" t="s">
        <v>1293</v>
      </c>
      <c r="J476" s="114" t="s">
        <v>1323</v>
      </c>
      <c r="K476" s="129" t="s">
        <v>2314</v>
      </c>
    </row>
    <row r="477" spans="1:11" ht="38.25" x14ac:dyDescent="0.2">
      <c r="A477" s="120">
        <v>475</v>
      </c>
      <c r="B477" s="114" t="s">
        <v>2079</v>
      </c>
      <c r="C477" s="114" t="s">
        <v>2080</v>
      </c>
      <c r="D477" s="114" t="s">
        <v>56</v>
      </c>
      <c r="E477" s="114" t="s">
        <v>992</v>
      </c>
      <c r="F477" s="116">
        <v>218.76</v>
      </c>
      <c r="G477" s="121">
        <v>2.444847021157586E-5</v>
      </c>
      <c r="H477" s="121">
        <v>0.99874224601361183</v>
      </c>
      <c r="I477" s="114" t="s">
        <v>1293</v>
      </c>
      <c r="J477" s="114" t="s">
        <v>1323</v>
      </c>
      <c r="K477" s="129" t="s">
        <v>2314</v>
      </c>
    </row>
    <row r="478" spans="1:11" ht="51" x14ac:dyDescent="0.2">
      <c r="A478" s="120">
        <v>476</v>
      </c>
      <c r="B478" s="114" t="s">
        <v>264</v>
      </c>
      <c r="C478" s="114" t="s">
        <v>1415</v>
      </c>
      <c r="D478" s="114" t="s">
        <v>56</v>
      </c>
      <c r="E478" s="114" t="s">
        <v>235</v>
      </c>
      <c r="F478" s="116">
        <v>212.33</v>
      </c>
      <c r="G478" s="121">
        <v>2.3729857743755271E-5</v>
      </c>
      <c r="H478" s="121">
        <v>0.99876597587135563</v>
      </c>
      <c r="I478" s="114" t="s">
        <v>1293</v>
      </c>
      <c r="J478" s="114" t="s">
        <v>1323</v>
      </c>
      <c r="K478" s="129" t="s">
        <v>2314</v>
      </c>
    </row>
    <row r="479" spans="1:11" ht="38.25" x14ac:dyDescent="0.2">
      <c r="A479" s="120">
        <v>477</v>
      </c>
      <c r="B479" s="114" t="s">
        <v>567</v>
      </c>
      <c r="C479" s="114" t="s">
        <v>1564</v>
      </c>
      <c r="D479" s="114" t="s">
        <v>56</v>
      </c>
      <c r="E479" s="114" t="s">
        <v>1565</v>
      </c>
      <c r="F479" s="116">
        <v>212.29</v>
      </c>
      <c r="G479" s="121">
        <v>2.3725387370705063E-5</v>
      </c>
      <c r="H479" s="121">
        <v>0.99878970125872624</v>
      </c>
      <c r="I479" s="114" t="s">
        <v>1293</v>
      </c>
      <c r="J479" s="114" t="s">
        <v>1323</v>
      </c>
      <c r="K479" s="129" t="s">
        <v>2314</v>
      </c>
    </row>
    <row r="480" spans="1:11" ht="51" x14ac:dyDescent="0.2">
      <c r="A480" s="120">
        <v>478</v>
      </c>
      <c r="B480" s="114" t="s">
        <v>684</v>
      </c>
      <c r="C480" s="114" t="s">
        <v>1723</v>
      </c>
      <c r="D480" s="114" t="s">
        <v>56</v>
      </c>
      <c r="E480" s="114" t="s">
        <v>1724</v>
      </c>
      <c r="F480" s="116">
        <v>211.5</v>
      </c>
      <c r="G480" s="121">
        <v>2.3637097502963498E-5</v>
      </c>
      <c r="H480" s="121">
        <v>0.99881333835622921</v>
      </c>
      <c r="I480" s="114" t="s">
        <v>1293</v>
      </c>
      <c r="J480" s="114" t="s">
        <v>1323</v>
      </c>
      <c r="K480" s="129" t="s">
        <v>2314</v>
      </c>
    </row>
    <row r="481" spans="1:11" ht="63.75" x14ac:dyDescent="0.2">
      <c r="A481" s="120">
        <v>479</v>
      </c>
      <c r="B481" s="114" t="s">
        <v>467</v>
      </c>
      <c r="C481" s="114" t="s">
        <v>1522</v>
      </c>
      <c r="D481" s="114" t="s">
        <v>24</v>
      </c>
      <c r="E481" s="114" t="s">
        <v>469</v>
      </c>
      <c r="F481" s="116">
        <v>208.68</v>
      </c>
      <c r="G481" s="121">
        <v>2.3321936202923984E-5</v>
      </c>
      <c r="H481" s="121">
        <v>0.99883666029243212</v>
      </c>
      <c r="I481" s="114" t="s">
        <v>1293</v>
      </c>
      <c r="J481" s="114" t="s">
        <v>1323</v>
      </c>
      <c r="K481" s="129" t="s">
        <v>2314</v>
      </c>
    </row>
    <row r="482" spans="1:11" ht="38.25" x14ac:dyDescent="0.2">
      <c r="A482" s="120">
        <v>480</v>
      </c>
      <c r="B482" s="114" t="s">
        <v>2087</v>
      </c>
      <c r="C482" s="114" t="s">
        <v>2088</v>
      </c>
      <c r="D482" s="114" t="s">
        <v>56</v>
      </c>
      <c r="E482" s="114" t="s">
        <v>995</v>
      </c>
      <c r="F482" s="116">
        <v>206.07</v>
      </c>
      <c r="G482" s="121">
        <v>2.3030244361398051E-5</v>
      </c>
      <c r="H482" s="121">
        <v>0.99885969053679358</v>
      </c>
      <c r="I482" s="114" t="s">
        <v>1293</v>
      </c>
      <c r="J482" s="114" t="s">
        <v>1323</v>
      </c>
      <c r="K482" s="129" t="s">
        <v>2314</v>
      </c>
    </row>
    <row r="483" spans="1:11" ht="38.25" x14ac:dyDescent="0.2">
      <c r="A483" s="120">
        <v>481</v>
      </c>
      <c r="B483" s="114" t="s">
        <v>671</v>
      </c>
      <c r="C483" s="114" t="s">
        <v>1717</v>
      </c>
      <c r="D483" s="114" t="s">
        <v>56</v>
      </c>
      <c r="E483" s="114" t="s">
        <v>672</v>
      </c>
      <c r="F483" s="116">
        <v>200.97</v>
      </c>
      <c r="G483" s="121">
        <v>2.2460271797496803E-5</v>
      </c>
      <c r="H483" s="121">
        <v>0.99888215080859111</v>
      </c>
      <c r="I483" s="114" t="s">
        <v>1293</v>
      </c>
      <c r="J483" s="114" t="s">
        <v>1323</v>
      </c>
      <c r="K483" s="129" t="s">
        <v>2314</v>
      </c>
    </row>
    <row r="484" spans="1:11" ht="51" x14ac:dyDescent="0.2">
      <c r="A484" s="120">
        <v>482</v>
      </c>
      <c r="B484" s="114" t="s">
        <v>1738</v>
      </c>
      <c r="C484" s="114" t="s">
        <v>1739</v>
      </c>
      <c r="D484" s="114" t="s">
        <v>56</v>
      </c>
      <c r="E484" s="114" t="s">
        <v>693</v>
      </c>
      <c r="F484" s="116">
        <v>198.84</v>
      </c>
      <c r="G484" s="121">
        <v>2.2222224432573344E-5</v>
      </c>
      <c r="H484" s="121">
        <v>0.9989043730330236</v>
      </c>
      <c r="I484" s="114" t="s">
        <v>1293</v>
      </c>
      <c r="J484" s="114" t="s">
        <v>1323</v>
      </c>
      <c r="K484" s="129" t="s">
        <v>2314</v>
      </c>
    </row>
    <row r="485" spans="1:11" ht="25.5" x14ac:dyDescent="0.2">
      <c r="A485" s="120">
        <v>483</v>
      </c>
      <c r="B485" s="114" t="s">
        <v>441</v>
      </c>
      <c r="C485" s="114" t="s">
        <v>1506</v>
      </c>
      <c r="D485" s="114" t="s">
        <v>56</v>
      </c>
      <c r="E485" s="114" t="s">
        <v>1507</v>
      </c>
      <c r="F485" s="116">
        <v>186.37</v>
      </c>
      <c r="G485" s="121">
        <v>2.0828585634171665E-5</v>
      </c>
      <c r="H485" s="121">
        <v>0.99892520161865772</v>
      </c>
      <c r="I485" s="114" t="s">
        <v>1293</v>
      </c>
      <c r="J485" s="114" t="s">
        <v>1323</v>
      </c>
      <c r="K485" s="129" t="s">
        <v>2314</v>
      </c>
    </row>
    <row r="486" spans="1:11" ht="38.25" x14ac:dyDescent="0.2">
      <c r="A486" s="120">
        <v>484</v>
      </c>
      <c r="B486" s="114" t="s">
        <v>1662</v>
      </c>
      <c r="C486" s="114" t="s">
        <v>1616</v>
      </c>
      <c r="D486" s="114" t="s">
        <v>56</v>
      </c>
      <c r="E486" s="114" t="s">
        <v>596</v>
      </c>
      <c r="F486" s="116">
        <v>185.35</v>
      </c>
      <c r="G486" s="121">
        <v>2.0714591121391414E-5</v>
      </c>
      <c r="H486" s="121">
        <v>0.99894591620977913</v>
      </c>
      <c r="I486" s="114" t="s">
        <v>1293</v>
      </c>
      <c r="J486" s="114" t="s">
        <v>1323</v>
      </c>
      <c r="K486" s="129" t="s">
        <v>2314</v>
      </c>
    </row>
    <row r="487" spans="1:11" ht="38.25" x14ac:dyDescent="0.2">
      <c r="A487" s="120">
        <v>485</v>
      </c>
      <c r="B487" s="114" t="s">
        <v>1602</v>
      </c>
      <c r="C487" s="114" t="s">
        <v>1603</v>
      </c>
      <c r="D487" s="114" t="s">
        <v>56</v>
      </c>
      <c r="E487" s="114" t="s">
        <v>656</v>
      </c>
      <c r="F487" s="116">
        <v>180.9</v>
      </c>
      <c r="G487" s="121">
        <v>2.0217262119556013E-5</v>
      </c>
      <c r="H487" s="121">
        <v>0.99896613347189867</v>
      </c>
      <c r="I487" s="114" t="s">
        <v>1293</v>
      </c>
      <c r="J487" s="114" t="s">
        <v>1323</v>
      </c>
      <c r="K487" s="129" t="s">
        <v>2314</v>
      </c>
    </row>
    <row r="488" spans="1:11" ht="51" x14ac:dyDescent="0.2">
      <c r="A488" s="120">
        <v>486</v>
      </c>
      <c r="B488" s="114" t="s">
        <v>1988</v>
      </c>
      <c r="C488" s="114" t="s">
        <v>1989</v>
      </c>
      <c r="D488" s="114" t="s">
        <v>56</v>
      </c>
      <c r="E488" s="114" t="s">
        <v>936</v>
      </c>
      <c r="F488" s="116">
        <v>178.04</v>
      </c>
      <c r="G488" s="121">
        <v>1.9897630446466292E-5</v>
      </c>
      <c r="H488" s="121">
        <v>0.99898603110234507</v>
      </c>
      <c r="I488" s="114" t="s">
        <v>1293</v>
      </c>
      <c r="J488" s="114" t="s">
        <v>1323</v>
      </c>
      <c r="K488" s="129" t="s">
        <v>2314</v>
      </c>
    </row>
    <row r="489" spans="1:11" ht="25.5" x14ac:dyDescent="0.2">
      <c r="A489" s="120">
        <v>487</v>
      </c>
      <c r="B489" s="114" t="s">
        <v>2222</v>
      </c>
      <c r="C489" s="114" t="s">
        <v>2223</v>
      </c>
      <c r="D489" s="114" t="s">
        <v>56</v>
      </c>
      <c r="E489" s="114" t="s">
        <v>1100</v>
      </c>
      <c r="F489" s="116">
        <v>172.5</v>
      </c>
      <c r="G489" s="121">
        <v>1.9278483779012782E-5</v>
      </c>
      <c r="H489" s="121">
        <v>0.9990053095861241</v>
      </c>
      <c r="I489" s="114" t="s">
        <v>1293</v>
      </c>
      <c r="J489" s="114" t="s">
        <v>1323</v>
      </c>
      <c r="K489" s="129" t="s">
        <v>2314</v>
      </c>
    </row>
    <row r="490" spans="1:11" ht="38.25" x14ac:dyDescent="0.2">
      <c r="A490" s="120">
        <v>488</v>
      </c>
      <c r="B490" s="114" t="s">
        <v>1583</v>
      </c>
      <c r="C490" s="114" t="s">
        <v>1584</v>
      </c>
      <c r="D490" s="114" t="s">
        <v>56</v>
      </c>
      <c r="E490" s="114" t="s">
        <v>654</v>
      </c>
      <c r="F490" s="116">
        <v>170.73</v>
      </c>
      <c r="G490" s="121">
        <v>1.9080669771541173E-5</v>
      </c>
      <c r="H490" s="121">
        <v>0.99902439025589562</v>
      </c>
      <c r="I490" s="114" t="s">
        <v>1293</v>
      </c>
      <c r="J490" s="114" t="s">
        <v>1323</v>
      </c>
      <c r="K490" s="129" t="s">
        <v>2314</v>
      </c>
    </row>
    <row r="491" spans="1:11" ht="38.25" x14ac:dyDescent="0.2">
      <c r="A491" s="120">
        <v>489</v>
      </c>
      <c r="B491" s="114" t="s">
        <v>653</v>
      </c>
      <c r="C491" s="114" t="s">
        <v>1584</v>
      </c>
      <c r="D491" s="114" t="s">
        <v>56</v>
      </c>
      <c r="E491" s="114" t="s">
        <v>654</v>
      </c>
      <c r="F491" s="116">
        <v>170.73</v>
      </c>
      <c r="G491" s="121">
        <v>1.9080669771541173E-5</v>
      </c>
      <c r="H491" s="121">
        <v>0.99904347092566725</v>
      </c>
      <c r="I491" s="114" t="s">
        <v>1293</v>
      </c>
      <c r="J491" s="114" t="s">
        <v>1323</v>
      </c>
      <c r="K491" s="129" t="s">
        <v>2314</v>
      </c>
    </row>
    <row r="492" spans="1:11" ht="38.25" x14ac:dyDescent="0.2">
      <c r="A492" s="120">
        <v>490</v>
      </c>
      <c r="B492" s="114" t="s">
        <v>611</v>
      </c>
      <c r="C492" s="114" t="s">
        <v>1635</v>
      </c>
      <c r="D492" s="114" t="s">
        <v>56</v>
      </c>
      <c r="E492" s="114" t="s">
        <v>612</v>
      </c>
      <c r="F492" s="116">
        <v>165.96</v>
      </c>
      <c r="G492" s="121">
        <v>1.8547577785304126E-5</v>
      </c>
      <c r="H492" s="121">
        <v>0.99906201850345266</v>
      </c>
      <c r="I492" s="114" t="s">
        <v>1293</v>
      </c>
      <c r="J492" s="114" t="s">
        <v>1323</v>
      </c>
      <c r="K492" s="129" t="s">
        <v>2314</v>
      </c>
    </row>
    <row r="493" spans="1:11" ht="38.25" x14ac:dyDescent="0.2">
      <c r="A493" s="120">
        <v>491</v>
      </c>
      <c r="B493" s="114" t="s">
        <v>716</v>
      </c>
      <c r="C493" s="114" t="s">
        <v>1783</v>
      </c>
      <c r="D493" s="114" t="s">
        <v>56</v>
      </c>
      <c r="E493" s="114" t="s">
        <v>1784</v>
      </c>
      <c r="F493" s="116">
        <v>164.34</v>
      </c>
      <c r="G493" s="121">
        <v>1.8366527676770788E-5</v>
      </c>
      <c r="H493" s="121">
        <v>0.99908038503112939</v>
      </c>
      <c r="I493" s="114" t="s">
        <v>1293</v>
      </c>
      <c r="J493" s="114" t="s">
        <v>1323</v>
      </c>
      <c r="K493" s="129" t="s">
        <v>2314</v>
      </c>
    </row>
    <row r="494" spans="1:11" ht="25.5" x14ac:dyDescent="0.2">
      <c r="A494" s="120">
        <v>492</v>
      </c>
      <c r="B494" s="114" t="s">
        <v>2220</v>
      </c>
      <c r="C494" s="114" t="s">
        <v>2221</v>
      </c>
      <c r="D494" s="114" t="s">
        <v>335</v>
      </c>
      <c r="E494" s="114" t="s">
        <v>1099</v>
      </c>
      <c r="F494" s="116">
        <v>159.02000000000001</v>
      </c>
      <c r="G494" s="121">
        <v>1.7771968061093408E-5</v>
      </c>
      <c r="H494" s="121">
        <v>0.99909815699919047</v>
      </c>
      <c r="I494" s="114" t="s">
        <v>1293</v>
      </c>
      <c r="J494" s="114" t="s">
        <v>1323</v>
      </c>
      <c r="K494" s="129" t="s">
        <v>2314</v>
      </c>
    </row>
    <row r="495" spans="1:11" ht="38.25" x14ac:dyDescent="0.2">
      <c r="A495" s="120">
        <v>493</v>
      </c>
      <c r="B495" s="114" t="s">
        <v>618</v>
      </c>
      <c r="C495" s="114" t="s">
        <v>1603</v>
      </c>
      <c r="D495" s="114" t="s">
        <v>56</v>
      </c>
      <c r="E495" s="114" t="s">
        <v>656</v>
      </c>
      <c r="F495" s="116">
        <v>158.28</v>
      </c>
      <c r="G495" s="121">
        <v>1.76892661596646E-5</v>
      </c>
      <c r="H495" s="121">
        <v>0.99911584626534999</v>
      </c>
      <c r="I495" s="114" t="s">
        <v>1293</v>
      </c>
      <c r="J495" s="114" t="s">
        <v>1323</v>
      </c>
      <c r="K495" s="129" t="s">
        <v>2314</v>
      </c>
    </row>
    <row r="496" spans="1:11" ht="51" x14ac:dyDescent="0.2">
      <c r="A496" s="120">
        <v>494</v>
      </c>
      <c r="B496" s="114" t="s">
        <v>2279</v>
      </c>
      <c r="C496" s="114" t="s">
        <v>2280</v>
      </c>
      <c r="D496" s="114" t="s">
        <v>24</v>
      </c>
      <c r="E496" s="114" t="s">
        <v>1140</v>
      </c>
      <c r="F496" s="116">
        <v>155.35</v>
      </c>
      <c r="G496" s="121">
        <v>1.7361811333737019E-5</v>
      </c>
      <c r="H496" s="121">
        <v>0.99913320807668371</v>
      </c>
      <c r="I496" s="114" t="s">
        <v>1293</v>
      </c>
      <c r="J496" s="114" t="s">
        <v>1323</v>
      </c>
      <c r="K496" s="129" t="s">
        <v>2314</v>
      </c>
    </row>
    <row r="497" spans="1:11" ht="25.5" x14ac:dyDescent="0.2">
      <c r="A497" s="120">
        <v>495</v>
      </c>
      <c r="B497" s="114" t="s">
        <v>1985</v>
      </c>
      <c r="C497" s="114" t="s">
        <v>2174</v>
      </c>
      <c r="D497" s="114" t="s">
        <v>56</v>
      </c>
      <c r="E497" s="114" t="s">
        <v>2175</v>
      </c>
      <c r="F497" s="116">
        <v>146.41999999999999</v>
      </c>
      <c r="G497" s="121">
        <v>1.636380055027856E-5</v>
      </c>
      <c r="H497" s="121">
        <v>0.99954533288577563</v>
      </c>
      <c r="I497" s="114" t="s">
        <v>1293</v>
      </c>
      <c r="J497" s="114" t="s">
        <v>1323</v>
      </c>
      <c r="K497" s="129" t="s">
        <v>2314</v>
      </c>
    </row>
    <row r="498" spans="1:11" ht="51" x14ac:dyDescent="0.2">
      <c r="A498" s="120">
        <v>496</v>
      </c>
      <c r="B498" s="114" t="s">
        <v>2153</v>
      </c>
      <c r="C498" s="114" t="s">
        <v>2011</v>
      </c>
      <c r="D498" s="114" t="s">
        <v>56</v>
      </c>
      <c r="E498" s="114" t="s">
        <v>2012</v>
      </c>
      <c r="F498" s="116">
        <v>143.21</v>
      </c>
      <c r="G498" s="121">
        <v>1.600505311299954E-5</v>
      </c>
      <c r="H498" s="121">
        <v>0.99916557693034713</v>
      </c>
      <c r="I498" s="114" t="s">
        <v>1293</v>
      </c>
      <c r="J498" s="114" t="s">
        <v>1323</v>
      </c>
      <c r="K498" s="129" t="s">
        <v>2314</v>
      </c>
    </row>
    <row r="499" spans="1:11" ht="38.25" x14ac:dyDescent="0.2">
      <c r="A499" s="120">
        <v>497</v>
      </c>
      <c r="B499" s="114" t="s">
        <v>1644</v>
      </c>
      <c r="C499" s="114" t="s">
        <v>1645</v>
      </c>
      <c r="D499" s="114" t="s">
        <v>56</v>
      </c>
      <c r="E499" s="114" t="s">
        <v>623</v>
      </c>
      <c r="F499" s="116">
        <v>141.06</v>
      </c>
      <c r="G499" s="121">
        <v>1.5764770561550975E-5</v>
      </c>
      <c r="H499" s="121">
        <v>0.99918134170090867</v>
      </c>
      <c r="I499" s="114" t="s">
        <v>1293</v>
      </c>
      <c r="J499" s="114" t="s">
        <v>1323</v>
      </c>
      <c r="K499" s="129" t="s">
        <v>2314</v>
      </c>
    </row>
    <row r="500" spans="1:11" ht="51" x14ac:dyDescent="0.2">
      <c r="A500" s="120">
        <v>498</v>
      </c>
      <c r="B500" s="114" t="s">
        <v>1979</v>
      </c>
      <c r="C500" s="114" t="s">
        <v>1980</v>
      </c>
      <c r="D500" s="114" t="s">
        <v>24</v>
      </c>
      <c r="E500" s="114" t="s">
        <v>929</v>
      </c>
      <c r="F500" s="116">
        <v>140.71</v>
      </c>
      <c r="G500" s="121">
        <v>1.5725654797361673E-5</v>
      </c>
      <c r="H500" s="121">
        <v>0.99919706735570613</v>
      </c>
      <c r="I500" s="114" t="s">
        <v>1293</v>
      </c>
      <c r="J500" s="114" t="s">
        <v>1323</v>
      </c>
      <c r="K500" s="129" t="s">
        <v>2314</v>
      </c>
    </row>
    <row r="501" spans="1:11" ht="25.5" x14ac:dyDescent="0.2">
      <c r="A501" s="120">
        <v>499</v>
      </c>
      <c r="B501" s="114" t="s">
        <v>1770</v>
      </c>
      <c r="C501" s="114" t="s">
        <v>1771</v>
      </c>
      <c r="D501" s="114" t="s">
        <v>335</v>
      </c>
      <c r="E501" s="114" t="s">
        <v>708</v>
      </c>
      <c r="F501" s="116">
        <v>140.43</v>
      </c>
      <c r="G501" s="121">
        <v>1.5694362186010234E-5</v>
      </c>
      <c r="H501" s="121">
        <v>0.9992127617178922</v>
      </c>
      <c r="I501" s="114" t="s">
        <v>1293</v>
      </c>
      <c r="J501" s="114" t="s">
        <v>1323</v>
      </c>
      <c r="K501" s="129" t="s">
        <v>2314</v>
      </c>
    </row>
    <row r="502" spans="1:11" ht="51" x14ac:dyDescent="0.2">
      <c r="A502" s="120">
        <v>500</v>
      </c>
      <c r="B502" s="114" t="s">
        <v>1761</v>
      </c>
      <c r="C502" s="114" t="s">
        <v>1762</v>
      </c>
      <c r="D502" s="114" t="s">
        <v>56</v>
      </c>
      <c r="E502" s="114" t="s">
        <v>704</v>
      </c>
      <c r="F502" s="116">
        <v>140.4</v>
      </c>
      <c r="G502" s="121">
        <v>1.5691009406222579E-5</v>
      </c>
      <c r="H502" s="121">
        <v>0.99922845272729843</v>
      </c>
      <c r="I502" s="114" t="s">
        <v>1293</v>
      </c>
      <c r="J502" s="114" t="s">
        <v>1323</v>
      </c>
      <c r="K502" s="129" t="s">
        <v>2314</v>
      </c>
    </row>
    <row r="503" spans="1:11" ht="38.25" x14ac:dyDescent="0.2">
      <c r="A503" s="120">
        <v>501</v>
      </c>
      <c r="B503" s="114" t="s">
        <v>655</v>
      </c>
      <c r="C503" s="114" t="s">
        <v>1603</v>
      </c>
      <c r="D503" s="114" t="s">
        <v>56</v>
      </c>
      <c r="E503" s="114" t="s">
        <v>656</v>
      </c>
      <c r="F503" s="116">
        <v>135.66999999999999</v>
      </c>
      <c r="G503" s="121">
        <v>1.5162387793035734E-5</v>
      </c>
      <c r="H503" s="121">
        <v>0.99924361511509141</v>
      </c>
      <c r="I503" s="114" t="s">
        <v>1293</v>
      </c>
      <c r="J503" s="114" t="s">
        <v>1323</v>
      </c>
      <c r="K503" s="129" t="s">
        <v>2314</v>
      </c>
    </row>
    <row r="504" spans="1:11" ht="38.25" x14ac:dyDescent="0.2">
      <c r="A504" s="120">
        <v>502</v>
      </c>
      <c r="B504" s="114" t="s">
        <v>1883</v>
      </c>
      <c r="C504" s="114" t="s">
        <v>838</v>
      </c>
      <c r="D504" s="114" t="s">
        <v>24</v>
      </c>
      <c r="E504" s="114" t="s">
        <v>1884</v>
      </c>
      <c r="F504" s="116">
        <v>134.06</v>
      </c>
      <c r="G504" s="121">
        <v>1.4982455277764949E-5</v>
      </c>
      <c r="H504" s="121">
        <v>0.99925859757036928</v>
      </c>
      <c r="I504" s="114" t="s">
        <v>1293</v>
      </c>
      <c r="J504" s="114" t="s">
        <v>1323</v>
      </c>
      <c r="K504" s="129" t="s">
        <v>2314</v>
      </c>
    </row>
    <row r="505" spans="1:11" ht="25.5" x14ac:dyDescent="0.2">
      <c r="A505" s="120">
        <v>503</v>
      </c>
      <c r="B505" s="114" t="s">
        <v>2059</v>
      </c>
      <c r="C505" s="114" t="s">
        <v>2176</v>
      </c>
      <c r="D505" s="114" t="s">
        <v>56</v>
      </c>
      <c r="E505" s="114" t="s">
        <v>2177</v>
      </c>
      <c r="F505" s="116">
        <v>133.59</v>
      </c>
      <c r="G505" s="121">
        <v>1.492992839442503E-5</v>
      </c>
      <c r="H505" s="121">
        <v>0.99927352749876364</v>
      </c>
      <c r="I505" s="114" t="s">
        <v>1293</v>
      </c>
      <c r="J505" s="114" t="s">
        <v>1323</v>
      </c>
      <c r="K505" s="129" t="s">
        <v>2314</v>
      </c>
    </row>
    <row r="506" spans="1:11" ht="51" x14ac:dyDescent="0.2">
      <c r="A506" s="120">
        <v>504</v>
      </c>
      <c r="B506" s="114" t="s">
        <v>1776</v>
      </c>
      <c r="C506" s="114" t="s">
        <v>1777</v>
      </c>
      <c r="D506" s="114" t="s">
        <v>56</v>
      </c>
      <c r="E506" s="114" t="s">
        <v>711</v>
      </c>
      <c r="F506" s="116">
        <v>129.53</v>
      </c>
      <c r="G506" s="121">
        <v>1.4476185529829135E-5</v>
      </c>
      <c r="H506" s="121">
        <v>0.99928800368429338</v>
      </c>
      <c r="I506" s="114" t="s">
        <v>1293</v>
      </c>
      <c r="J506" s="114" t="s">
        <v>1323</v>
      </c>
      <c r="K506" s="129" t="s">
        <v>2314</v>
      </c>
    </row>
    <row r="507" spans="1:11" ht="38.25" x14ac:dyDescent="0.2">
      <c r="A507" s="120">
        <v>505</v>
      </c>
      <c r="B507" s="114" t="s">
        <v>1387</v>
      </c>
      <c r="C507" s="114" t="s">
        <v>1383</v>
      </c>
      <c r="D507" s="114" t="s">
        <v>56</v>
      </c>
      <c r="E507" s="114" t="s">
        <v>184</v>
      </c>
      <c r="F507" s="116">
        <v>127.64</v>
      </c>
      <c r="G507" s="121">
        <v>1.4264960403206908E-5</v>
      </c>
      <c r="H507" s="121">
        <v>0.99930226864469673</v>
      </c>
      <c r="I507" s="114" t="s">
        <v>1293</v>
      </c>
      <c r="J507" s="114" t="s">
        <v>1323</v>
      </c>
      <c r="K507" s="129" t="s">
        <v>2314</v>
      </c>
    </row>
    <row r="508" spans="1:11" ht="51" x14ac:dyDescent="0.2">
      <c r="A508" s="120">
        <v>506</v>
      </c>
      <c r="B508" s="114" t="s">
        <v>832</v>
      </c>
      <c r="C508" s="114" t="s">
        <v>1875</v>
      </c>
      <c r="D508" s="114" t="s">
        <v>56</v>
      </c>
      <c r="E508" s="114" t="s">
        <v>1876</v>
      </c>
      <c r="F508" s="116">
        <v>127.37</v>
      </c>
      <c r="G508" s="121">
        <v>1.4234785385118019E-5</v>
      </c>
      <c r="H508" s="121">
        <v>0.99931650343008172</v>
      </c>
      <c r="I508" s="114" t="s">
        <v>1293</v>
      </c>
      <c r="J508" s="114" t="s">
        <v>1323</v>
      </c>
      <c r="K508" s="129" t="s">
        <v>2314</v>
      </c>
    </row>
    <row r="509" spans="1:11" ht="25.5" x14ac:dyDescent="0.2">
      <c r="A509" s="120">
        <v>507</v>
      </c>
      <c r="B509" s="114" t="s">
        <v>2025</v>
      </c>
      <c r="C509" s="114" t="s">
        <v>2026</v>
      </c>
      <c r="D509" s="114" t="s">
        <v>335</v>
      </c>
      <c r="E509" s="114" t="s">
        <v>958</v>
      </c>
      <c r="F509" s="116">
        <v>124.54</v>
      </c>
      <c r="G509" s="121">
        <v>1.3918506491815954E-5</v>
      </c>
      <c r="H509" s="121">
        <v>0.9993304219365734</v>
      </c>
      <c r="I509" s="114" t="s">
        <v>1293</v>
      </c>
      <c r="J509" s="114" t="s">
        <v>1323</v>
      </c>
      <c r="K509" s="129" t="s">
        <v>2314</v>
      </c>
    </row>
    <row r="510" spans="1:11" ht="51" x14ac:dyDescent="0.2">
      <c r="A510" s="120">
        <v>508</v>
      </c>
      <c r="B510" s="114" t="s">
        <v>2249</v>
      </c>
      <c r="C510" s="114" t="s">
        <v>2250</v>
      </c>
      <c r="D510" s="114" t="s">
        <v>56</v>
      </c>
      <c r="E510" s="114" t="s">
        <v>1112</v>
      </c>
      <c r="F510" s="116">
        <v>123.6</v>
      </c>
      <c r="G510" s="121">
        <v>1.3813452725136115E-5</v>
      </c>
      <c r="H510" s="121">
        <v>0.99934423538929851</v>
      </c>
      <c r="I510" s="114" t="s">
        <v>1293</v>
      </c>
      <c r="J510" s="114" t="s">
        <v>1323</v>
      </c>
      <c r="K510" s="129" t="s">
        <v>2314</v>
      </c>
    </row>
    <row r="511" spans="1:11" ht="51" x14ac:dyDescent="0.2">
      <c r="A511" s="120">
        <v>509</v>
      </c>
      <c r="B511" s="114" t="s">
        <v>2013</v>
      </c>
      <c r="C511" s="114" t="s">
        <v>2014</v>
      </c>
      <c r="D511" s="114" t="s">
        <v>56</v>
      </c>
      <c r="E511" s="114" t="s">
        <v>950</v>
      </c>
      <c r="F511" s="116">
        <v>122.51</v>
      </c>
      <c r="G511" s="121">
        <v>1.3691635059518007E-5</v>
      </c>
      <c r="H511" s="121">
        <v>0.99935792702435799</v>
      </c>
      <c r="I511" s="114" t="s">
        <v>1293</v>
      </c>
      <c r="J511" s="114" t="s">
        <v>1323</v>
      </c>
      <c r="K511" s="129" t="s">
        <v>2314</v>
      </c>
    </row>
    <row r="512" spans="1:11" ht="25.5" x14ac:dyDescent="0.2">
      <c r="A512" s="120">
        <v>510</v>
      </c>
      <c r="B512" s="114" t="s">
        <v>2172</v>
      </c>
      <c r="C512" s="114" t="s">
        <v>2173</v>
      </c>
      <c r="D512" s="114" t="s">
        <v>56</v>
      </c>
      <c r="E512" s="114" t="s">
        <v>1059</v>
      </c>
      <c r="F512" s="116">
        <v>122.46</v>
      </c>
      <c r="G512" s="121">
        <v>1.3686047093205248E-5</v>
      </c>
      <c r="H512" s="121">
        <v>0.99937161307145128</v>
      </c>
      <c r="I512" s="114" t="s">
        <v>1293</v>
      </c>
      <c r="J512" s="114" t="s">
        <v>1323</v>
      </c>
      <c r="K512" s="129" t="s">
        <v>2314</v>
      </c>
    </row>
    <row r="513" spans="1:11" ht="38.25" x14ac:dyDescent="0.2">
      <c r="A513" s="120">
        <v>511</v>
      </c>
      <c r="B513" s="114" t="s">
        <v>651</v>
      </c>
      <c r="C513" s="114" t="s">
        <v>1582</v>
      </c>
      <c r="D513" s="114" t="s">
        <v>56</v>
      </c>
      <c r="E513" s="114" t="s">
        <v>580</v>
      </c>
      <c r="F513" s="116">
        <v>122.19</v>
      </c>
      <c r="G513" s="121">
        <v>1.3655872075116358E-5</v>
      </c>
      <c r="H513" s="121">
        <v>0.99938526894352642</v>
      </c>
      <c r="I513" s="114" t="s">
        <v>1293</v>
      </c>
      <c r="J513" s="114" t="s">
        <v>1323</v>
      </c>
      <c r="K513" s="129" t="s">
        <v>2314</v>
      </c>
    </row>
    <row r="514" spans="1:11" ht="51" x14ac:dyDescent="0.2">
      <c r="A514" s="120">
        <v>512</v>
      </c>
      <c r="B514" s="114" t="s">
        <v>1825</v>
      </c>
      <c r="C514" s="114" t="s">
        <v>1826</v>
      </c>
      <c r="D514" s="114" t="s">
        <v>56</v>
      </c>
      <c r="E514" s="114" t="s">
        <v>762</v>
      </c>
      <c r="F514" s="116">
        <v>121.56</v>
      </c>
      <c r="G514" s="121">
        <v>1.3585463699575617E-5</v>
      </c>
      <c r="H514" s="121">
        <v>0.99939885440722598</v>
      </c>
      <c r="I514" s="114" t="s">
        <v>1293</v>
      </c>
      <c r="J514" s="114" t="s">
        <v>1323</v>
      </c>
      <c r="K514" s="129" t="s">
        <v>2314</v>
      </c>
    </row>
    <row r="515" spans="1:11" ht="51" x14ac:dyDescent="0.2">
      <c r="A515" s="120">
        <v>513</v>
      </c>
      <c r="B515" s="114" t="s">
        <v>1819</v>
      </c>
      <c r="C515" s="114" t="s">
        <v>1820</v>
      </c>
      <c r="D515" s="114" t="s">
        <v>56</v>
      </c>
      <c r="E515" s="114" t="s">
        <v>1821</v>
      </c>
      <c r="F515" s="116">
        <v>118.41</v>
      </c>
      <c r="G515" s="121">
        <v>1.3233421821871905E-5</v>
      </c>
      <c r="H515" s="121">
        <v>0.99941208782904789</v>
      </c>
      <c r="I515" s="114" t="s">
        <v>1293</v>
      </c>
      <c r="J515" s="114" t="s">
        <v>1323</v>
      </c>
      <c r="K515" s="129" t="s">
        <v>2314</v>
      </c>
    </row>
    <row r="516" spans="1:11" ht="51" x14ac:dyDescent="0.2">
      <c r="A516" s="120">
        <v>514</v>
      </c>
      <c r="B516" s="114" t="s">
        <v>728</v>
      </c>
      <c r="C516" s="114" t="s">
        <v>1791</v>
      </c>
      <c r="D516" s="114" t="s">
        <v>56</v>
      </c>
      <c r="E516" s="114" t="s">
        <v>729</v>
      </c>
      <c r="F516" s="116">
        <v>116.82</v>
      </c>
      <c r="G516" s="121">
        <v>1.3055724493126221E-5</v>
      </c>
      <c r="H516" s="121">
        <v>0.99942514355354106</v>
      </c>
      <c r="I516" s="114" t="s">
        <v>1293</v>
      </c>
      <c r="J516" s="114" t="s">
        <v>1323</v>
      </c>
      <c r="K516" s="129" t="s">
        <v>2314</v>
      </c>
    </row>
    <row r="517" spans="1:11" ht="38.25" x14ac:dyDescent="0.2">
      <c r="A517" s="120">
        <v>515</v>
      </c>
      <c r="B517" s="114" t="s">
        <v>620</v>
      </c>
      <c r="C517" s="114" t="s">
        <v>1640</v>
      </c>
      <c r="D517" s="114" t="s">
        <v>56</v>
      </c>
      <c r="E517" s="114" t="s">
        <v>621</v>
      </c>
      <c r="F517" s="116">
        <v>114.66</v>
      </c>
      <c r="G517" s="121">
        <v>1.2814324348415105E-5</v>
      </c>
      <c r="H517" s="121">
        <v>0.99943795787788947</v>
      </c>
      <c r="I517" s="114" t="s">
        <v>1293</v>
      </c>
      <c r="J517" s="114" t="s">
        <v>1323</v>
      </c>
      <c r="K517" s="129" t="s">
        <v>2314</v>
      </c>
    </row>
    <row r="518" spans="1:11" ht="38.25" x14ac:dyDescent="0.2">
      <c r="A518" s="120">
        <v>516</v>
      </c>
      <c r="B518" s="114" t="s">
        <v>2277</v>
      </c>
      <c r="C518" s="114" t="s">
        <v>2278</v>
      </c>
      <c r="D518" s="114" t="s">
        <v>24</v>
      </c>
      <c r="E518" s="114" t="s">
        <v>1138</v>
      </c>
      <c r="F518" s="116">
        <v>113.61</v>
      </c>
      <c r="G518" s="121">
        <v>1.2696977055847201E-5</v>
      </c>
      <c r="H518" s="121">
        <v>0.99945065485494533</v>
      </c>
      <c r="I518" s="114" t="s">
        <v>1293</v>
      </c>
      <c r="J518" s="114" t="s">
        <v>1323</v>
      </c>
      <c r="K518" s="129" t="s">
        <v>2314</v>
      </c>
    </row>
    <row r="519" spans="1:11" ht="38.25" x14ac:dyDescent="0.2">
      <c r="A519" s="120">
        <v>517</v>
      </c>
      <c r="B519" s="114" t="s">
        <v>791</v>
      </c>
      <c r="C519" s="114" t="s">
        <v>1856</v>
      </c>
      <c r="D519" s="114" t="s">
        <v>56</v>
      </c>
      <c r="E519" s="114" t="s">
        <v>792</v>
      </c>
      <c r="F519" s="116">
        <v>112.86</v>
      </c>
      <c r="G519" s="121">
        <v>1.2613157561155842E-5</v>
      </c>
      <c r="H519" s="121">
        <v>0.9994632680125064</v>
      </c>
      <c r="I519" s="114" t="s">
        <v>1293</v>
      </c>
      <c r="J519" s="114" t="s">
        <v>1323</v>
      </c>
      <c r="K519" s="129" t="s">
        <v>2314</v>
      </c>
    </row>
    <row r="520" spans="1:11" ht="38.25" x14ac:dyDescent="0.2">
      <c r="A520" s="120">
        <v>518</v>
      </c>
      <c r="B520" s="114" t="s">
        <v>1628</v>
      </c>
      <c r="C520" s="114" t="s">
        <v>1629</v>
      </c>
      <c r="D520" s="114" t="s">
        <v>56</v>
      </c>
      <c r="E520" s="114" t="s">
        <v>1630</v>
      </c>
      <c r="F520" s="116">
        <v>112.09</v>
      </c>
      <c r="G520" s="121">
        <v>1.2527102879939379E-5</v>
      </c>
      <c r="H520" s="121">
        <v>0.99947579511538631</v>
      </c>
      <c r="I520" s="114" t="s">
        <v>1293</v>
      </c>
      <c r="J520" s="114" t="s">
        <v>1323</v>
      </c>
      <c r="K520" s="129" t="s">
        <v>2314</v>
      </c>
    </row>
    <row r="521" spans="1:11" ht="38.25" x14ac:dyDescent="0.2">
      <c r="A521" s="120">
        <v>519</v>
      </c>
      <c r="B521" s="114" t="s">
        <v>2131</v>
      </c>
      <c r="C521" s="114" t="s">
        <v>2132</v>
      </c>
      <c r="D521" s="114" t="s">
        <v>56</v>
      </c>
      <c r="E521" s="114" t="s">
        <v>1020</v>
      </c>
      <c r="F521" s="116">
        <v>108.56</v>
      </c>
      <c r="G521" s="121">
        <v>1.2132592458258712E-5</v>
      </c>
      <c r="H521" s="121">
        <v>0.99948792770784456</v>
      </c>
      <c r="I521" s="114" t="s">
        <v>1293</v>
      </c>
      <c r="J521" s="114" t="s">
        <v>1323</v>
      </c>
      <c r="K521" s="129" t="s">
        <v>2314</v>
      </c>
    </row>
    <row r="522" spans="1:11" ht="51" x14ac:dyDescent="0.2">
      <c r="A522" s="120">
        <v>520</v>
      </c>
      <c r="B522" s="114" t="s">
        <v>1981</v>
      </c>
      <c r="C522" s="114" t="s">
        <v>1982</v>
      </c>
      <c r="D522" s="114" t="s">
        <v>24</v>
      </c>
      <c r="E522" s="114" t="s">
        <v>931</v>
      </c>
      <c r="F522" s="116">
        <v>106.39</v>
      </c>
      <c r="G522" s="121">
        <v>1.1890074720285043E-5</v>
      </c>
      <c r="H522" s="121">
        <v>0.99949981778256491</v>
      </c>
      <c r="I522" s="114" t="s">
        <v>1293</v>
      </c>
      <c r="J522" s="114" t="s">
        <v>1323</v>
      </c>
      <c r="K522" s="129" t="s">
        <v>2314</v>
      </c>
    </row>
    <row r="523" spans="1:11" ht="51" x14ac:dyDescent="0.2">
      <c r="A523" s="120">
        <v>521</v>
      </c>
      <c r="B523" s="114" t="s">
        <v>1439</v>
      </c>
      <c r="C523" s="114" t="s">
        <v>1978</v>
      </c>
      <c r="D523" s="114" t="s">
        <v>24</v>
      </c>
      <c r="E523" s="114" t="s">
        <v>927</v>
      </c>
      <c r="F523" s="116">
        <v>104.01</v>
      </c>
      <c r="G523" s="121">
        <v>1.1624087523797794E-5</v>
      </c>
      <c r="H523" s="121">
        <v>0.99951144187008878</v>
      </c>
      <c r="I523" s="114" t="s">
        <v>1293</v>
      </c>
      <c r="J523" s="114" t="s">
        <v>1323</v>
      </c>
      <c r="K523" s="129" t="s">
        <v>2314</v>
      </c>
    </row>
    <row r="524" spans="1:11" ht="38.25" x14ac:dyDescent="0.2">
      <c r="A524" s="120">
        <v>522</v>
      </c>
      <c r="B524" s="114" t="s">
        <v>1650</v>
      </c>
      <c r="C524" s="114" t="s">
        <v>1610</v>
      </c>
      <c r="D524" s="114" t="s">
        <v>56</v>
      </c>
      <c r="E524" s="114" t="s">
        <v>593</v>
      </c>
      <c r="F524" s="116">
        <v>102.06</v>
      </c>
      <c r="G524" s="121">
        <v>1.1406156837600259E-5</v>
      </c>
      <c r="H524" s="121">
        <v>0.99952284802692637</v>
      </c>
      <c r="I524" s="114" t="s">
        <v>1293</v>
      </c>
      <c r="J524" s="114" t="s">
        <v>1323</v>
      </c>
      <c r="K524" s="129" t="s">
        <v>2314</v>
      </c>
    </row>
    <row r="525" spans="1:11" ht="38.25" x14ac:dyDescent="0.2">
      <c r="A525" s="120">
        <v>523</v>
      </c>
      <c r="B525" s="114" t="s">
        <v>1860</v>
      </c>
      <c r="C525" s="114" t="s">
        <v>1659</v>
      </c>
      <c r="D525" s="114" t="s">
        <v>56</v>
      </c>
      <c r="E525" s="114" t="s">
        <v>629</v>
      </c>
      <c r="F525" s="116">
        <v>101.66</v>
      </c>
      <c r="G525" s="121">
        <v>1.13614531070982E-5</v>
      </c>
      <c r="H525" s="121">
        <v>0.99953420948003346</v>
      </c>
      <c r="I525" s="114" t="s">
        <v>1293</v>
      </c>
      <c r="J525" s="114" t="s">
        <v>1323</v>
      </c>
      <c r="K525" s="129" t="s">
        <v>2314</v>
      </c>
    </row>
    <row r="526" spans="1:11" ht="51" x14ac:dyDescent="0.2">
      <c r="A526" s="120">
        <v>524</v>
      </c>
      <c r="B526" s="114" t="s">
        <v>1985</v>
      </c>
      <c r="C526" s="114" t="s">
        <v>1986</v>
      </c>
      <c r="D526" s="114" t="s">
        <v>24</v>
      </c>
      <c r="E526" s="114" t="s">
        <v>1987</v>
      </c>
      <c r="F526" s="116">
        <v>99.53</v>
      </c>
      <c r="G526" s="121">
        <v>1.1123405742174737E-5</v>
      </c>
      <c r="H526" s="121">
        <v>0.99954533288577563</v>
      </c>
      <c r="I526" s="114" t="s">
        <v>1293</v>
      </c>
      <c r="J526" s="114" t="s">
        <v>1323</v>
      </c>
      <c r="K526" s="129" t="s">
        <v>2314</v>
      </c>
    </row>
    <row r="527" spans="1:11" ht="51" x14ac:dyDescent="0.2">
      <c r="A527" s="120">
        <v>525</v>
      </c>
      <c r="B527" s="114" t="s">
        <v>2010</v>
      </c>
      <c r="C527" s="114" t="s">
        <v>2011</v>
      </c>
      <c r="D527" s="114" t="s">
        <v>56</v>
      </c>
      <c r="E527" s="114" t="s">
        <v>2012</v>
      </c>
      <c r="F527" s="116">
        <v>97.28</v>
      </c>
      <c r="G527" s="121">
        <v>1.0871947258100658E-5</v>
      </c>
      <c r="H527" s="121">
        <v>0.99955620483303365</v>
      </c>
      <c r="I527" s="114" t="s">
        <v>1293</v>
      </c>
      <c r="J527" s="114" t="s">
        <v>1323</v>
      </c>
      <c r="K527" s="129" t="s">
        <v>2314</v>
      </c>
    </row>
    <row r="528" spans="1:11" ht="51" x14ac:dyDescent="0.2">
      <c r="A528" s="120">
        <v>526</v>
      </c>
      <c r="B528" s="114" t="s">
        <v>2029</v>
      </c>
      <c r="C528" s="114" t="s">
        <v>2030</v>
      </c>
      <c r="D528" s="114" t="s">
        <v>56</v>
      </c>
      <c r="E528" s="114" t="s">
        <v>960</v>
      </c>
      <c r="F528" s="116">
        <v>97.12</v>
      </c>
      <c r="G528" s="121">
        <v>1.0854065765899835E-5</v>
      </c>
      <c r="H528" s="121">
        <v>0.99956705889879949</v>
      </c>
      <c r="I528" s="114" t="s">
        <v>1293</v>
      </c>
      <c r="J528" s="114" t="s">
        <v>1323</v>
      </c>
      <c r="K528" s="129" t="s">
        <v>2314</v>
      </c>
    </row>
    <row r="529" spans="1:11" ht="38.25" x14ac:dyDescent="0.2">
      <c r="A529" s="120">
        <v>527</v>
      </c>
      <c r="B529" s="114" t="s">
        <v>794</v>
      </c>
      <c r="C529" s="114" t="s">
        <v>1857</v>
      </c>
      <c r="D529" s="114" t="s">
        <v>56</v>
      </c>
      <c r="E529" s="114" t="s">
        <v>795</v>
      </c>
      <c r="F529" s="116">
        <v>94.77</v>
      </c>
      <c r="G529" s="121">
        <v>1.059143134920024E-5</v>
      </c>
      <c r="H529" s="121">
        <v>0.99957765033014856</v>
      </c>
      <c r="I529" s="114" t="s">
        <v>1293</v>
      </c>
      <c r="J529" s="114" t="s">
        <v>1323</v>
      </c>
      <c r="K529" s="129" t="s">
        <v>2314</v>
      </c>
    </row>
    <row r="530" spans="1:11" ht="25.5" x14ac:dyDescent="0.2">
      <c r="A530" s="120">
        <v>528</v>
      </c>
      <c r="B530" s="114" t="s">
        <v>2034</v>
      </c>
      <c r="C530" s="114" t="s">
        <v>2035</v>
      </c>
      <c r="D530" s="114" t="s">
        <v>335</v>
      </c>
      <c r="E530" s="114" t="s">
        <v>962</v>
      </c>
      <c r="F530" s="116">
        <v>94.2</v>
      </c>
      <c r="G530" s="121">
        <v>1.0527728533234807E-5</v>
      </c>
      <c r="H530" s="121">
        <v>0.99958817805868172</v>
      </c>
      <c r="I530" s="114" t="s">
        <v>1293</v>
      </c>
      <c r="J530" s="114" t="s">
        <v>1323</v>
      </c>
      <c r="K530" s="129" t="s">
        <v>2314</v>
      </c>
    </row>
    <row r="531" spans="1:11" ht="63.75" x14ac:dyDescent="0.2">
      <c r="A531" s="120">
        <v>529</v>
      </c>
      <c r="B531" s="114" t="s">
        <v>732</v>
      </c>
      <c r="C531" s="114" t="s">
        <v>1793</v>
      </c>
      <c r="D531" s="114" t="s">
        <v>56</v>
      </c>
      <c r="E531" s="114" t="s">
        <v>733</v>
      </c>
      <c r="F531" s="116">
        <v>92.56</v>
      </c>
      <c r="G531" s="121">
        <v>1.0344443238176366E-5</v>
      </c>
      <c r="H531" s="121">
        <v>0.99959852250191994</v>
      </c>
      <c r="I531" s="114" t="s">
        <v>1293</v>
      </c>
      <c r="J531" s="114" t="s">
        <v>1323</v>
      </c>
      <c r="K531" s="129" t="s">
        <v>2314</v>
      </c>
    </row>
    <row r="532" spans="1:11" ht="38.25" x14ac:dyDescent="0.2">
      <c r="A532" s="120">
        <v>530</v>
      </c>
      <c r="B532" s="114" t="s">
        <v>1554</v>
      </c>
      <c r="C532" s="114" t="s">
        <v>533</v>
      </c>
      <c r="D532" s="114" t="s">
        <v>24</v>
      </c>
      <c r="E532" s="114" t="s">
        <v>1555</v>
      </c>
      <c r="F532" s="116">
        <v>91.9</v>
      </c>
      <c r="G532" s="121">
        <v>1.027068208284797E-5</v>
      </c>
      <c r="H532" s="121">
        <v>0.99960879318400286</v>
      </c>
      <c r="I532" s="114" t="s">
        <v>1293</v>
      </c>
      <c r="J532" s="114" t="s">
        <v>1323</v>
      </c>
      <c r="K532" s="129" t="s">
        <v>2314</v>
      </c>
    </row>
    <row r="533" spans="1:11" ht="38.25" x14ac:dyDescent="0.2">
      <c r="A533" s="120">
        <v>531</v>
      </c>
      <c r="B533" s="114" t="s">
        <v>1617</v>
      </c>
      <c r="C533" s="114" t="s">
        <v>1618</v>
      </c>
      <c r="D533" s="114" t="s">
        <v>56</v>
      </c>
      <c r="E533" s="114" t="s">
        <v>597</v>
      </c>
      <c r="F533" s="116">
        <v>90.45</v>
      </c>
      <c r="G533" s="121">
        <v>1.0108631059778007E-5</v>
      </c>
      <c r="H533" s="121">
        <v>0.99961890181506252</v>
      </c>
      <c r="I533" s="114" t="s">
        <v>1293</v>
      </c>
      <c r="J533" s="114" t="s">
        <v>1323</v>
      </c>
      <c r="K533" s="129" t="s">
        <v>2314</v>
      </c>
    </row>
    <row r="534" spans="1:11" ht="38.25" x14ac:dyDescent="0.2">
      <c r="A534" s="120">
        <v>532</v>
      </c>
      <c r="B534" s="114" t="s">
        <v>1611</v>
      </c>
      <c r="C534" s="114" t="s">
        <v>1612</v>
      </c>
      <c r="D534" s="114" t="s">
        <v>56</v>
      </c>
      <c r="E534" s="114" t="s">
        <v>594</v>
      </c>
      <c r="F534" s="116">
        <v>86.7</v>
      </c>
      <c r="G534" s="121">
        <v>9.6895335863212082E-6</v>
      </c>
      <c r="H534" s="121">
        <v>0.99962859134864879</v>
      </c>
      <c r="I534" s="114" t="s">
        <v>1293</v>
      </c>
      <c r="J534" s="114" t="s">
        <v>1323</v>
      </c>
      <c r="K534" s="129" t="s">
        <v>2314</v>
      </c>
    </row>
    <row r="535" spans="1:11" ht="38.25" x14ac:dyDescent="0.2">
      <c r="A535" s="120">
        <v>533</v>
      </c>
      <c r="B535" s="114" t="s">
        <v>649</v>
      </c>
      <c r="C535" s="114" t="s">
        <v>1580</v>
      </c>
      <c r="D535" s="114" t="s">
        <v>56</v>
      </c>
      <c r="E535" s="114" t="s">
        <v>579</v>
      </c>
      <c r="F535" s="116">
        <v>81.96</v>
      </c>
      <c r="G535" s="121">
        <v>9.159794379871812E-6</v>
      </c>
      <c r="H535" s="121">
        <v>0.99963775114302877</v>
      </c>
      <c r="I535" s="114" t="s">
        <v>1293</v>
      </c>
      <c r="J535" s="114" t="s">
        <v>1323</v>
      </c>
      <c r="K535" s="129" t="s">
        <v>2314</v>
      </c>
    </row>
    <row r="536" spans="1:11" ht="25.5" x14ac:dyDescent="0.2">
      <c r="A536" s="120">
        <v>534</v>
      </c>
      <c r="B536" s="114" t="s">
        <v>178</v>
      </c>
      <c r="C536" s="114" t="s">
        <v>1380</v>
      </c>
      <c r="D536" s="114" t="s">
        <v>56</v>
      </c>
      <c r="E536" s="114" t="s">
        <v>179</v>
      </c>
      <c r="F536" s="116">
        <v>79.27</v>
      </c>
      <c r="G536" s="121">
        <v>8.8591617922454686E-6</v>
      </c>
      <c r="H536" s="121">
        <v>0.99964661030482094</v>
      </c>
      <c r="I536" s="114" t="s">
        <v>1293</v>
      </c>
      <c r="J536" s="114" t="s">
        <v>1323</v>
      </c>
      <c r="K536" s="129" t="s">
        <v>2314</v>
      </c>
    </row>
    <row r="537" spans="1:11" ht="51" x14ac:dyDescent="0.2">
      <c r="A537" s="120">
        <v>535</v>
      </c>
      <c r="B537" s="114" t="s">
        <v>1804</v>
      </c>
      <c r="C537" s="114" t="s">
        <v>1805</v>
      </c>
      <c r="D537" s="114" t="s">
        <v>56</v>
      </c>
      <c r="E537" s="114" t="s">
        <v>739</v>
      </c>
      <c r="F537" s="116">
        <v>78.540000000000006</v>
      </c>
      <c r="G537" s="121">
        <v>8.7775774840792117E-6</v>
      </c>
      <c r="H537" s="121">
        <v>0.9996553878823049</v>
      </c>
      <c r="I537" s="114" t="s">
        <v>1293</v>
      </c>
      <c r="J537" s="114" t="s">
        <v>1323</v>
      </c>
      <c r="K537" s="129" t="s">
        <v>2314</v>
      </c>
    </row>
    <row r="538" spans="1:11" ht="51" x14ac:dyDescent="0.2">
      <c r="A538" s="120">
        <v>536</v>
      </c>
      <c r="B538" s="114" t="s">
        <v>1709</v>
      </c>
      <c r="C538" s="114" t="s">
        <v>1710</v>
      </c>
      <c r="D538" s="114" t="s">
        <v>56</v>
      </c>
      <c r="E538" s="114" t="s">
        <v>1711</v>
      </c>
      <c r="F538" s="116">
        <v>72.92</v>
      </c>
      <c r="G538" s="121">
        <v>8.1494900705252877E-6</v>
      </c>
      <c r="H538" s="121">
        <v>0.99966353737237545</v>
      </c>
      <c r="I538" s="114" t="s">
        <v>1293</v>
      </c>
      <c r="J538" s="114" t="s">
        <v>1323</v>
      </c>
      <c r="K538" s="129" t="s">
        <v>2314</v>
      </c>
    </row>
    <row r="539" spans="1:11" ht="51" x14ac:dyDescent="0.2">
      <c r="A539" s="120">
        <v>537</v>
      </c>
      <c r="B539" s="114" t="s">
        <v>1671</v>
      </c>
      <c r="C539" s="114" t="s">
        <v>1672</v>
      </c>
      <c r="D539" s="114" t="s">
        <v>56</v>
      </c>
      <c r="E539" s="114" t="s">
        <v>635</v>
      </c>
      <c r="F539" s="116">
        <v>72.12</v>
      </c>
      <c r="G539" s="121">
        <v>8.0600826095211701E-6</v>
      </c>
      <c r="H539" s="121">
        <v>0.99967159745498491</v>
      </c>
      <c r="I539" s="114" t="s">
        <v>1293</v>
      </c>
      <c r="J539" s="114" t="s">
        <v>1323</v>
      </c>
      <c r="K539" s="129" t="s">
        <v>2314</v>
      </c>
    </row>
    <row r="540" spans="1:11" ht="51" x14ac:dyDescent="0.2">
      <c r="A540" s="120">
        <v>538</v>
      </c>
      <c r="B540" s="114" t="s">
        <v>1763</v>
      </c>
      <c r="C540" s="114" t="s">
        <v>1764</v>
      </c>
      <c r="D540" s="114" t="s">
        <v>56</v>
      </c>
      <c r="E540" s="114" t="s">
        <v>705</v>
      </c>
      <c r="F540" s="116">
        <v>71.19</v>
      </c>
      <c r="G540" s="121">
        <v>7.9561464361038838E-6</v>
      </c>
      <c r="H540" s="121">
        <v>0.99967955360142091</v>
      </c>
      <c r="I540" s="114" t="s">
        <v>1293</v>
      </c>
      <c r="J540" s="114" t="s">
        <v>1323</v>
      </c>
      <c r="K540" s="129" t="s">
        <v>2314</v>
      </c>
    </row>
    <row r="541" spans="1:11" ht="51" x14ac:dyDescent="0.2">
      <c r="A541" s="120">
        <v>539</v>
      </c>
      <c r="B541" s="114" t="s">
        <v>1802</v>
      </c>
      <c r="C541" s="114" t="s">
        <v>1803</v>
      </c>
      <c r="D541" s="114" t="s">
        <v>56</v>
      </c>
      <c r="E541" s="114" t="s">
        <v>738</v>
      </c>
      <c r="F541" s="116">
        <v>70.42</v>
      </c>
      <c r="G541" s="121">
        <v>7.8700917548874209E-6</v>
      </c>
      <c r="H541" s="121">
        <v>0.99968742369317587</v>
      </c>
      <c r="I541" s="114" t="s">
        <v>1293</v>
      </c>
      <c r="J541" s="114" t="s">
        <v>1323</v>
      </c>
      <c r="K541" s="129" t="s">
        <v>2314</v>
      </c>
    </row>
    <row r="542" spans="1:11" ht="38.25" x14ac:dyDescent="0.2">
      <c r="A542" s="120">
        <v>540</v>
      </c>
      <c r="B542" s="114" t="s">
        <v>1712</v>
      </c>
      <c r="C542" s="114" t="s">
        <v>1623</v>
      </c>
      <c r="D542" s="114" t="s">
        <v>56</v>
      </c>
      <c r="E542" s="114" t="s">
        <v>666</v>
      </c>
      <c r="F542" s="116">
        <v>69.42</v>
      </c>
      <c r="G542" s="121">
        <v>7.7583324286322739E-6</v>
      </c>
      <c r="H542" s="121">
        <v>0.99969518202560448</v>
      </c>
      <c r="I542" s="114" t="s">
        <v>1293</v>
      </c>
      <c r="J542" s="114" t="s">
        <v>1323</v>
      </c>
      <c r="K542" s="129" t="s">
        <v>2314</v>
      </c>
    </row>
    <row r="543" spans="1:11" ht="38.25" x14ac:dyDescent="0.2">
      <c r="A543" s="120">
        <v>541</v>
      </c>
      <c r="B543" s="114" t="s">
        <v>1550</v>
      </c>
      <c r="C543" s="114" t="s">
        <v>2115</v>
      </c>
      <c r="D543" s="114" t="s">
        <v>56</v>
      </c>
      <c r="E543" s="114" t="s">
        <v>1011</v>
      </c>
      <c r="F543" s="116">
        <v>66.569999999999993</v>
      </c>
      <c r="G543" s="121">
        <v>7.4398183488051061E-6</v>
      </c>
      <c r="H543" s="121">
        <v>0.99970262184395331</v>
      </c>
      <c r="I543" s="114" t="s">
        <v>1293</v>
      </c>
      <c r="J543" s="114" t="s">
        <v>1323</v>
      </c>
      <c r="K543" s="129" t="s">
        <v>2314</v>
      </c>
    </row>
    <row r="544" spans="1:11" ht="25.5" x14ac:dyDescent="0.2">
      <c r="A544" s="120">
        <v>542</v>
      </c>
      <c r="B544" s="114" t="s">
        <v>1964</v>
      </c>
      <c r="C544" s="114" t="s">
        <v>1965</v>
      </c>
      <c r="D544" s="114" t="s">
        <v>335</v>
      </c>
      <c r="E544" s="114" t="s">
        <v>1966</v>
      </c>
      <c r="F544" s="116">
        <v>66</v>
      </c>
      <c r="G544" s="121">
        <v>7.3761155328396735E-6</v>
      </c>
      <c r="H544" s="121">
        <v>0.99970999795948612</v>
      </c>
      <c r="I544" s="114" t="s">
        <v>1293</v>
      </c>
      <c r="J544" s="114" t="s">
        <v>1323</v>
      </c>
      <c r="K544" s="129" t="s">
        <v>2314</v>
      </c>
    </row>
    <row r="545" spans="1:11" ht="51" x14ac:dyDescent="0.2">
      <c r="A545" s="120">
        <v>543</v>
      </c>
      <c r="B545" s="114" t="s">
        <v>2267</v>
      </c>
      <c r="C545" s="114" t="s">
        <v>2268</v>
      </c>
      <c r="D545" s="114" t="s">
        <v>24</v>
      </c>
      <c r="E545" s="114" t="s">
        <v>1125</v>
      </c>
      <c r="F545" s="116">
        <v>65.94</v>
      </c>
      <c r="G545" s="121">
        <v>7.3694099732643638E-6</v>
      </c>
      <c r="H545" s="121">
        <v>0.99971736736945938</v>
      </c>
      <c r="I545" s="114" t="s">
        <v>1293</v>
      </c>
      <c r="J545" s="114" t="s">
        <v>1323</v>
      </c>
      <c r="K545" s="129" t="s">
        <v>2314</v>
      </c>
    </row>
    <row r="546" spans="1:11" ht="51" x14ac:dyDescent="0.2">
      <c r="A546" s="120">
        <v>544</v>
      </c>
      <c r="B546" s="114" t="s">
        <v>1765</v>
      </c>
      <c r="C546" s="114" t="s">
        <v>1766</v>
      </c>
      <c r="D546" s="114" t="s">
        <v>56</v>
      </c>
      <c r="E546" s="114" t="s">
        <v>706</v>
      </c>
      <c r="F546" s="116">
        <v>65.34</v>
      </c>
      <c r="G546" s="121">
        <v>7.3023543775112773E-6</v>
      </c>
      <c r="H546" s="121">
        <v>0.99972466972383678</v>
      </c>
      <c r="I546" s="114" t="s">
        <v>1293</v>
      </c>
      <c r="J546" s="114" t="s">
        <v>1323</v>
      </c>
      <c r="K546" s="129" t="s">
        <v>2314</v>
      </c>
    </row>
    <row r="547" spans="1:11" ht="38.25" x14ac:dyDescent="0.2">
      <c r="A547" s="120">
        <v>545</v>
      </c>
      <c r="B547" s="114" t="s">
        <v>1642</v>
      </c>
      <c r="C547" s="114" t="s">
        <v>1643</v>
      </c>
      <c r="D547" s="114" t="s">
        <v>56</v>
      </c>
      <c r="E547" s="114" t="s">
        <v>622</v>
      </c>
      <c r="F547" s="116">
        <v>62.4</v>
      </c>
      <c r="G547" s="121">
        <v>6.9737819583211458E-6</v>
      </c>
      <c r="H547" s="121">
        <v>0.99973164350579513</v>
      </c>
      <c r="I547" s="114" t="s">
        <v>1293</v>
      </c>
      <c r="J547" s="114" t="s">
        <v>1323</v>
      </c>
      <c r="K547" s="129" t="s">
        <v>2314</v>
      </c>
    </row>
    <row r="548" spans="1:11" ht="38.25" x14ac:dyDescent="0.2">
      <c r="A548" s="120">
        <v>546</v>
      </c>
      <c r="B548" s="114" t="s">
        <v>1619</v>
      </c>
      <c r="C548" s="114" t="s">
        <v>1620</v>
      </c>
      <c r="D548" s="114" t="s">
        <v>56</v>
      </c>
      <c r="E548" s="114" t="s">
        <v>1621</v>
      </c>
      <c r="F548" s="116">
        <v>62.23</v>
      </c>
      <c r="G548" s="121">
        <v>6.9547828728577704E-6</v>
      </c>
      <c r="H548" s="121">
        <v>0.99973859828866807</v>
      </c>
      <c r="I548" s="114" t="s">
        <v>1293</v>
      </c>
      <c r="J548" s="114" t="s">
        <v>1323</v>
      </c>
      <c r="K548" s="129" t="s">
        <v>2314</v>
      </c>
    </row>
    <row r="549" spans="1:11" ht="51" x14ac:dyDescent="0.2">
      <c r="A549" s="120">
        <v>547</v>
      </c>
      <c r="B549" s="114" t="s">
        <v>1670</v>
      </c>
      <c r="C549" s="114" t="s">
        <v>1592</v>
      </c>
      <c r="D549" s="114" t="s">
        <v>56</v>
      </c>
      <c r="E549" s="114" t="s">
        <v>1593</v>
      </c>
      <c r="F549" s="116">
        <v>60.21</v>
      </c>
      <c r="G549" s="121">
        <v>6.729029033822375E-6</v>
      </c>
      <c r="H549" s="121">
        <v>0.99974532731770205</v>
      </c>
      <c r="I549" s="114" t="s">
        <v>1293</v>
      </c>
      <c r="J549" s="114" t="s">
        <v>1323</v>
      </c>
      <c r="K549" s="129" t="s">
        <v>2314</v>
      </c>
    </row>
    <row r="550" spans="1:11" ht="38.25" x14ac:dyDescent="0.2">
      <c r="A550" s="120">
        <v>548</v>
      </c>
      <c r="B550" s="114" t="s">
        <v>2092</v>
      </c>
      <c r="C550" s="114" t="s">
        <v>2093</v>
      </c>
      <c r="D550" s="114" t="s">
        <v>56</v>
      </c>
      <c r="E550" s="114" t="s">
        <v>2094</v>
      </c>
      <c r="F550" s="116">
        <v>59.49</v>
      </c>
      <c r="G550" s="121">
        <v>6.6485623189186691E-6</v>
      </c>
      <c r="H550" s="121">
        <v>0.99975197588002096</v>
      </c>
      <c r="I550" s="114" t="s">
        <v>1293</v>
      </c>
      <c r="J550" s="114" t="s">
        <v>1323</v>
      </c>
      <c r="K550" s="129" t="s">
        <v>2314</v>
      </c>
    </row>
    <row r="551" spans="1:11" ht="51" x14ac:dyDescent="0.2">
      <c r="A551" s="120">
        <v>549</v>
      </c>
      <c r="B551" s="114" t="s">
        <v>730</v>
      </c>
      <c r="C551" s="114" t="s">
        <v>1792</v>
      </c>
      <c r="D551" s="114" t="s">
        <v>56</v>
      </c>
      <c r="E551" s="114" t="s">
        <v>731</v>
      </c>
      <c r="F551" s="116">
        <v>58.79</v>
      </c>
      <c r="G551" s="121">
        <v>6.5703307905400662E-6</v>
      </c>
      <c r="H551" s="121">
        <v>0.99975854621081139</v>
      </c>
      <c r="I551" s="114" t="s">
        <v>1293</v>
      </c>
      <c r="J551" s="114" t="s">
        <v>1323</v>
      </c>
      <c r="K551" s="129" t="s">
        <v>2314</v>
      </c>
    </row>
    <row r="552" spans="1:11" ht="38.25" x14ac:dyDescent="0.2">
      <c r="A552" s="120">
        <v>550</v>
      </c>
      <c r="B552" s="114" t="s">
        <v>1692</v>
      </c>
      <c r="C552" s="114" t="s">
        <v>1597</v>
      </c>
      <c r="D552" s="114" t="s">
        <v>56</v>
      </c>
      <c r="E552" s="114" t="s">
        <v>587</v>
      </c>
      <c r="F552" s="116">
        <v>58.72</v>
      </c>
      <c r="G552" s="121">
        <v>6.5625076377022063E-6</v>
      </c>
      <c r="H552" s="121">
        <v>0.99976510871844915</v>
      </c>
      <c r="I552" s="114" t="s">
        <v>1293</v>
      </c>
      <c r="J552" s="114" t="s">
        <v>1323</v>
      </c>
      <c r="K552" s="129" t="s">
        <v>2314</v>
      </c>
    </row>
    <row r="553" spans="1:11" ht="102" x14ac:dyDescent="0.2">
      <c r="A553" s="120">
        <v>551</v>
      </c>
      <c r="B553" s="114" t="s">
        <v>2275</v>
      </c>
      <c r="C553" s="114" t="s">
        <v>2276</v>
      </c>
      <c r="D553" s="114" t="s">
        <v>24</v>
      </c>
      <c r="E553" s="114" t="s">
        <v>1134</v>
      </c>
      <c r="F553" s="116">
        <v>57.18</v>
      </c>
      <c r="G553" s="121">
        <v>6.3903982752692807E-6</v>
      </c>
      <c r="H553" s="121">
        <v>0.99977149911672436</v>
      </c>
      <c r="I553" s="114" t="s">
        <v>1293</v>
      </c>
      <c r="J553" s="114" t="s">
        <v>1323</v>
      </c>
      <c r="K553" s="129" t="s">
        <v>2314</v>
      </c>
    </row>
    <row r="554" spans="1:11" ht="51" x14ac:dyDescent="0.2">
      <c r="A554" s="120">
        <v>552</v>
      </c>
      <c r="B554" s="114" t="s">
        <v>1801</v>
      </c>
      <c r="C554" s="114" t="s">
        <v>1773</v>
      </c>
      <c r="D554" s="114" t="s">
        <v>56</v>
      </c>
      <c r="E554" s="114" t="s">
        <v>737</v>
      </c>
      <c r="F554" s="116">
        <v>56.85</v>
      </c>
      <c r="G554" s="121">
        <v>6.3535176976050826E-6</v>
      </c>
      <c r="H554" s="121">
        <v>0.99977785263442198</v>
      </c>
      <c r="I554" s="114" t="s">
        <v>1293</v>
      </c>
      <c r="J554" s="114" t="s">
        <v>1323</v>
      </c>
      <c r="K554" s="129" t="s">
        <v>2314</v>
      </c>
    </row>
    <row r="555" spans="1:11" ht="51" x14ac:dyDescent="0.2">
      <c r="A555" s="120">
        <v>553</v>
      </c>
      <c r="B555" s="114" t="s">
        <v>2116</v>
      </c>
      <c r="C555" s="114" t="s">
        <v>2117</v>
      </c>
      <c r="D555" s="114" t="s">
        <v>56</v>
      </c>
      <c r="E555" s="114" t="s">
        <v>1012</v>
      </c>
      <c r="F555" s="116">
        <v>56.23</v>
      </c>
      <c r="G555" s="121">
        <v>6.2842269153268906E-6</v>
      </c>
      <c r="H555" s="121">
        <v>0.99978413686133738</v>
      </c>
      <c r="I555" s="114" t="s">
        <v>1293</v>
      </c>
      <c r="J555" s="114" t="s">
        <v>1323</v>
      </c>
      <c r="K555" s="129" t="s">
        <v>2314</v>
      </c>
    </row>
    <row r="556" spans="1:11" ht="38.25" x14ac:dyDescent="0.2">
      <c r="A556" s="120">
        <v>554</v>
      </c>
      <c r="B556" s="114" t="s">
        <v>1648</v>
      </c>
      <c r="C556" s="114" t="s">
        <v>1649</v>
      </c>
      <c r="D556" s="114" t="s">
        <v>56</v>
      </c>
      <c r="E556" s="114" t="s">
        <v>625</v>
      </c>
      <c r="F556" s="116">
        <v>53.4</v>
      </c>
      <c r="G556" s="121">
        <v>5.9679480220248265E-6</v>
      </c>
      <c r="H556" s="121">
        <v>0.99979010480935937</v>
      </c>
      <c r="I556" s="114" t="s">
        <v>1293</v>
      </c>
      <c r="J556" s="114" t="s">
        <v>1323</v>
      </c>
      <c r="K556" s="129" t="s">
        <v>2314</v>
      </c>
    </row>
    <row r="557" spans="1:11" ht="38.25" x14ac:dyDescent="0.2">
      <c r="A557" s="120">
        <v>555</v>
      </c>
      <c r="B557" s="114" t="s">
        <v>1609</v>
      </c>
      <c r="C557" s="114" t="s">
        <v>1610</v>
      </c>
      <c r="D557" s="114" t="s">
        <v>56</v>
      </c>
      <c r="E557" s="114" t="s">
        <v>593</v>
      </c>
      <c r="F557" s="116">
        <v>51.03</v>
      </c>
      <c r="G557" s="121">
        <v>5.7030784188001293E-6</v>
      </c>
      <c r="H557" s="121">
        <v>0.99979580788777811</v>
      </c>
      <c r="I557" s="114" t="s">
        <v>1293</v>
      </c>
      <c r="J557" s="114" t="s">
        <v>1323</v>
      </c>
      <c r="K557" s="129" t="s">
        <v>2314</v>
      </c>
    </row>
    <row r="558" spans="1:11" ht="51" x14ac:dyDescent="0.2">
      <c r="A558" s="120">
        <v>556</v>
      </c>
      <c r="B558" s="114" t="s">
        <v>1734</v>
      </c>
      <c r="C558" s="114" t="s">
        <v>1735</v>
      </c>
      <c r="D558" s="114" t="s">
        <v>56</v>
      </c>
      <c r="E558" s="114" t="s">
        <v>691</v>
      </c>
      <c r="F558" s="116">
        <v>50.77</v>
      </c>
      <c r="G558" s="121">
        <v>5.674020993973791E-6</v>
      </c>
      <c r="H558" s="121">
        <v>0.99980148190877205</v>
      </c>
      <c r="I558" s="114" t="s">
        <v>1293</v>
      </c>
      <c r="J558" s="114" t="s">
        <v>1323</v>
      </c>
      <c r="K558" s="129" t="s">
        <v>2314</v>
      </c>
    </row>
    <row r="559" spans="1:11" ht="38.25" x14ac:dyDescent="0.2">
      <c r="A559" s="120">
        <v>557</v>
      </c>
      <c r="B559" s="114" t="s">
        <v>1540</v>
      </c>
      <c r="C559" s="114" t="s">
        <v>2114</v>
      </c>
      <c r="D559" s="114" t="s">
        <v>56</v>
      </c>
      <c r="E559" s="114" t="s">
        <v>1010</v>
      </c>
      <c r="F559" s="116">
        <v>49.8</v>
      </c>
      <c r="G559" s="121">
        <v>5.5656144475062988E-6</v>
      </c>
      <c r="H559" s="121">
        <v>0.99980704752321969</v>
      </c>
      <c r="I559" s="114" t="s">
        <v>1293</v>
      </c>
      <c r="J559" s="114" t="s">
        <v>1323</v>
      </c>
      <c r="K559" s="129" t="s">
        <v>2314</v>
      </c>
    </row>
    <row r="560" spans="1:11" ht="51" x14ac:dyDescent="0.2">
      <c r="A560" s="120">
        <v>558</v>
      </c>
      <c r="B560" s="114" t="s">
        <v>1742</v>
      </c>
      <c r="C560" s="114" t="s">
        <v>1743</v>
      </c>
      <c r="D560" s="114" t="s">
        <v>56</v>
      </c>
      <c r="E560" s="114" t="s">
        <v>695</v>
      </c>
      <c r="F560" s="116">
        <v>49.65</v>
      </c>
      <c r="G560" s="121">
        <v>5.5488505485680272E-6</v>
      </c>
      <c r="H560" s="121">
        <v>0.99981259637376829</v>
      </c>
      <c r="I560" s="114" t="s">
        <v>1293</v>
      </c>
      <c r="J560" s="114" t="s">
        <v>1323</v>
      </c>
      <c r="K560" s="129" t="s">
        <v>2314</v>
      </c>
    </row>
    <row r="561" spans="1:11" ht="38.25" x14ac:dyDescent="0.2">
      <c r="A561" s="120">
        <v>559</v>
      </c>
      <c r="B561" s="114" t="s">
        <v>2084</v>
      </c>
      <c r="C561" s="114" t="s">
        <v>2085</v>
      </c>
      <c r="D561" s="114" t="s">
        <v>56</v>
      </c>
      <c r="E561" s="114" t="s">
        <v>2086</v>
      </c>
      <c r="F561" s="116">
        <v>47</v>
      </c>
      <c r="G561" s="121">
        <v>5.2526883339918888E-6</v>
      </c>
      <c r="H561" s="121">
        <v>0.99981784906210225</v>
      </c>
      <c r="I561" s="114" t="s">
        <v>1293</v>
      </c>
      <c r="J561" s="114" t="s">
        <v>1323</v>
      </c>
      <c r="K561" s="129" t="s">
        <v>2314</v>
      </c>
    </row>
    <row r="562" spans="1:11" ht="38.25" x14ac:dyDescent="0.2">
      <c r="A562" s="120">
        <v>560</v>
      </c>
      <c r="B562" s="114" t="s">
        <v>1596</v>
      </c>
      <c r="C562" s="114" t="s">
        <v>1597</v>
      </c>
      <c r="D562" s="114" t="s">
        <v>56</v>
      </c>
      <c r="E562" s="114" t="s">
        <v>587</v>
      </c>
      <c r="F562" s="116">
        <v>46.98</v>
      </c>
      <c r="G562" s="121">
        <v>5.250453147466785E-6</v>
      </c>
      <c r="H562" s="121">
        <v>0.99982309951524972</v>
      </c>
      <c r="I562" s="114" t="s">
        <v>1293</v>
      </c>
      <c r="J562" s="114" t="s">
        <v>1323</v>
      </c>
      <c r="K562" s="129" t="s">
        <v>2314</v>
      </c>
    </row>
    <row r="563" spans="1:11" ht="51" x14ac:dyDescent="0.2">
      <c r="A563" s="120">
        <v>561</v>
      </c>
      <c r="B563" s="114" t="s">
        <v>1774</v>
      </c>
      <c r="C563" s="114" t="s">
        <v>1775</v>
      </c>
      <c r="D563" s="114" t="s">
        <v>56</v>
      </c>
      <c r="E563" s="114" t="s">
        <v>710</v>
      </c>
      <c r="F563" s="116">
        <v>45.84</v>
      </c>
      <c r="G563" s="121">
        <v>5.123047515535919E-6</v>
      </c>
      <c r="H563" s="121">
        <v>0.99982822256276527</v>
      </c>
      <c r="I563" s="114" t="s">
        <v>1293</v>
      </c>
      <c r="J563" s="114" t="s">
        <v>1323</v>
      </c>
      <c r="K563" s="129" t="s">
        <v>2314</v>
      </c>
    </row>
    <row r="564" spans="1:11" ht="51" x14ac:dyDescent="0.2">
      <c r="A564" s="120">
        <v>562</v>
      </c>
      <c r="B564" s="114" t="s">
        <v>720</v>
      </c>
      <c r="C564" s="114" t="s">
        <v>1787</v>
      </c>
      <c r="D564" s="114" t="s">
        <v>56</v>
      </c>
      <c r="E564" s="114" t="s">
        <v>721</v>
      </c>
      <c r="F564" s="116">
        <v>45.61</v>
      </c>
      <c r="G564" s="121">
        <v>5.0973428704972348E-6</v>
      </c>
      <c r="H564" s="121">
        <v>0.99983331990563573</v>
      </c>
      <c r="I564" s="114" t="s">
        <v>1293</v>
      </c>
      <c r="J564" s="114" t="s">
        <v>1323</v>
      </c>
      <c r="K564" s="129" t="s">
        <v>2314</v>
      </c>
    </row>
    <row r="565" spans="1:11" ht="51" x14ac:dyDescent="0.2">
      <c r="A565" s="120">
        <v>563</v>
      </c>
      <c r="B565" s="114" t="s">
        <v>1983</v>
      </c>
      <c r="C565" s="114" t="s">
        <v>1984</v>
      </c>
      <c r="D565" s="114" t="s">
        <v>24</v>
      </c>
      <c r="E565" s="114" t="s">
        <v>933</v>
      </c>
      <c r="F565" s="116">
        <v>44.63</v>
      </c>
      <c r="G565" s="121">
        <v>4.9878187307671915E-6</v>
      </c>
      <c r="H565" s="121">
        <v>0.99983830772436655</v>
      </c>
      <c r="I565" s="114" t="s">
        <v>1293</v>
      </c>
      <c r="J565" s="114" t="s">
        <v>1323</v>
      </c>
      <c r="K565" s="129" t="s">
        <v>2314</v>
      </c>
    </row>
    <row r="566" spans="1:11" ht="25.5" x14ac:dyDescent="0.2">
      <c r="A566" s="120">
        <v>564</v>
      </c>
      <c r="B566" s="114" t="s">
        <v>2023</v>
      </c>
      <c r="C566" s="114" t="s">
        <v>2024</v>
      </c>
      <c r="D566" s="114" t="s">
        <v>335</v>
      </c>
      <c r="E566" s="114" t="s">
        <v>957</v>
      </c>
      <c r="F566" s="116">
        <v>43.5</v>
      </c>
      <c r="G566" s="121">
        <v>4.8615306920988758E-6</v>
      </c>
      <c r="H566" s="121">
        <v>0.99984316925505867</v>
      </c>
      <c r="I566" s="114" t="s">
        <v>1293</v>
      </c>
      <c r="J566" s="114" t="s">
        <v>1323</v>
      </c>
      <c r="K566" s="129" t="s">
        <v>2314</v>
      </c>
    </row>
    <row r="567" spans="1:11" ht="63.75" x14ac:dyDescent="0.2">
      <c r="A567" s="120">
        <v>565</v>
      </c>
      <c r="B567" s="114" t="s">
        <v>1759</v>
      </c>
      <c r="C567" s="114" t="s">
        <v>1760</v>
      </c>
      <c r="D567" s="114" t="s">
        <v>56</v>
      </c>
      <c r="E567" s="114" t="s">
        <v>703</v>
      </c>
      <c r="F567" s="116">
        <v>43.09</v>
      </c>
      <c r="G567" s="121">
        <v>4.8157093683342659E-6</v>
      </c>
      <c r="H567" s="121">
        <v>0.99984798496442695</v>
      </c>
      <c r="I567" s="114" t="s">
        <v>1293</v>
      </c>
      <c r="J567" s="114" t="s">
        <v>1323</v>
      </c>
      <c r="K567" s="129" t="s">
        <v>2314</v>
      </c>
    </row>
    <row r="568" spans="1:11" ht="38.25" x14ac:dyDescent="0.2">
      <c r="A568" s="120">
        <v>566</v>
      </c>
      <c r="B568" s="114" t="s">
        <v>1703</v>
      </c>
      <c r="C568" s="114" t="s">
        <v>1704</v>
      </c>
      <c r="D568" s="114" t="s">
        <v>56</v>
      </c>
      <c r="E568" s="114" t="s">
        <v>663</v>
      </c>
      <c r="F568" s="116">
        <v>42.48</v>
      </c>
      <c r="G568" s="121">
        <v>4.7475361793186258E-6</v>
      </c>
      <c r="H568" s="121">
        <v>0.99985273250060636</v>
      </c>
      <c r="I568" s="114" t="s">
        <v>1293</v>
      </c>
      <c r="J568" s="114" t="s">
        <v>1323</v>
      </c>
      <c r="K568" s="129" t="s">
        <v>2314</v>
      </c>
    </row>
    <row r="569" spans="1:11" ht="51" x14ac:dyDescent="0.2">
      <c r="A569" s="120">
        <v>567</v>
      </c>
      <c r="B569" s="114" t="s">
        <v>2156</v>
      </c>
      <c r="C569" s="114" t="s">
        <v>2157</v>
      </c>
      <c r="D569" s="114" t="s">
        <v>56</v>
      </c>
      <c r="E569" s="114" t="s">
        <v>1045</v>
      </c>
      <c r="F569" s="116">
        <v>42.4</v>
      </c>
      <c r="G569" s="121">
        <v>4.738595433218214E-6</v>
      </c>
      <c r="H569" s="121">
        <v>0.99985747109603962</v>
      </c>
      <c r="I569" s="114" t="s">
        <v>1293</v>
      </c>
      <c r="J569" s="114" t="s">
        <v>1323</v>
      </c>
      <c r="K569" s="129" t="s">
        <v>2314</v>
      </c>
    </row>
    <row r="570" spans="1:11" ht="38.25" x14ac:dyDescent="0.2">
      <c r="A570" s="120">
        <v>568</v>
      </c>
      <c r="B570" s="114" t="s">
        <v>2095</v>
      </c>
      <c r="C570" s="114" t="s">
        <v>2096</v>
      </c>
      <c r="D570" s="114" t="s">
        <v>24</v>
      </c>
      <c r="E570" s="114" t="s">
        <v>2097</v>
      </c>
      <c r="F570" s="116">
        <v>42.19</v>
      </c>
      <c r="G570" s="121">
        <v>4.7151259747046335E-6</v>
      </c>
      <c r="H570" s="121">
        <v>0.99986218622201428</v>
      </c>
      <c r="I570" s="114" t="s">
        <v>1293</v>
      </c>
      <c r="J570" s="114" t="s">
        <v>1323</v>
      </c>
      <c r="K570" s="129" t="s">
        <v>2314</v>
      </c>
    </row>
    <row r="571" spans="1:11" ht="38.25" x14ac:dyDescent="0.2">
      <c r="A571" s="120">
        <v>569</v>
      </c>
      <c r="B571" s="114" t="s">
        <v>1607</v>
      </c>
      <c r="C571" s="114" t="s">
        <v>1608</v>
      </c>
      <c r="D571" s="114" t="s">
        <v>56</v>
      </c>
      <c r="E571" s="114" t="s">
        <v>592</v>
      </c>
      <c r="F571" s="116">
        <v>41.94</v>
      </c>
      <c r="G571" s="121">
        <v>4.6871861431408463E-6</v>
      </c>
      <c r="H571" s="121">
        <v>0.99986687340815739</v>
      </c>
      <c r="I571" s="114" t="s">
        <v>1293</v>
      </c>
      <c r="J571" s="114" t="s">
        <v>1323</v>
      </c>
      <c r="K571" s="129" t="s">
        <v>2314</v>
      </c>
    </row>
    <row r="572" spans="1:11" ht="51" x14ac:dyDescent="0.2">
      <c r="A572" s="120">
        <v>570</v>
      </c>
      <c r="B572" s="114" t="s">
        <v>1665</v>
      </c>
      <c r="C572" s="114" t="s">
        <v>1666</v>
      </c>
      <c r="D572" s="114" t="s">
        <v>56</v>
      </c>
      <c r="E572" s="114" t="s">
        <v>632</v>
      </c>
      <c r="F572" s="116">
        <v>41.94</v>
      </c>
      <c r="G572" s="121">
        <v>4.6871861431408463E-6</v>
      </c>
      <c r="H572" s="121">
        <v>0.99987156059430049</v>
      </c>
      <c r="I572" s="114" t="s">
        <v>1293</v>
      </c>
      <c r="J572" s="114" t="s">
        <v>1323</v>
      </c>
      <c r="K572" s="129" t="s">
        <v>2314</v>
      </c>
    </row>
    <row r="573" spans="1:11" ht="63.75" x14ac:dyDescent="0.2">
      <c r="A573" s="120">
        <v>571</v>
      </c>
      <c r="B573" s="114" t="s">
        <v>1748</v>
      </c>
      <c r="C573" s="114" t="s">
        <v>1749</v>
      </c>
      <c r="D573" s="114" t="s">
        <v>56</v>
      </c>
      <c r="E573" s="114" t="s">
        <v>698</v>
      </c>
      <c r="F573" s="116">
        <v>41.52</v>
      </c>
      <c r="G573" s="121">
        <v>4.6402472261136854E-6</v>
      </c>
      <c r="H573" s="121">
        <v>0.99987620084152651</v>
      </c>
      <c r="I573" s="114" t="s">
        <v>1293</v>
      </c>
      <c r="J573" s="114" t="s">
        <v>1323</v>
      </c>
      <c r="K573" s="129" t="s">
        <v>2314</v>
      </c>
    </row>
    <row r="574" spans="1:11" ht="38.25" x14ac:dyDescent="0.2">
      <c r="A574" s="120">
        <v>572</v>
      </c>
      <c r="B574" s="114" t="s">
        <v>1579</v>
      </c>
      <c r="C574" s="114" t="s">
        <v>1580</v>
      </c>
      <c r="D574" s="114" t="s">
        <v>56</v>
      </c>
      <c r="E574" s="114" t="s">
        <v>579</v>
      </c>
      <c r="F574" s="116">
        <v>40.98</v>
      </c>
      <c r="G574" s="121">
        <v>4.579897189935906E-6</v>
      </c>
      <c r="H574" s="121">
        <v>0.99988078073871645</v>
      </c>
      <c r="I574" s="114" t="s">
        <v>1293</v>
      </c>
      <c r="J574" s="114" t="s">
        <v>1323</v>
      </c>
      <c r="K574" s="129" t="s">
        <v>2314</v>
      </c>
    </row>
    <row r="575" spans="1:11" ht="25.5" x14ac:dyDescent="0.2">
      <c r="A575" s="120">
        <v>573</v>
      </c>
      <c r="B575" s="114" t="s">
        <v>1799</v>
      </c>
      <c r="C575" s="114" t="s">
        <v>1800</v>
      </c>
      <c r="D575" s="114" t="s">
        <v>335</v>
      </c>
      <c r="E575" s="114" t="s">
        <v>736</v>
      </c>
      <c r="F575" s="116">
        <v>40.229999999999997</v>
      </c>
      <c r="G575" s="121">
        <v>4.4960776952445462E-6</v>
      </c>
      <c r="H575" s="121">
        <v>0.99988527681641182</v>
      </c>
      <c r="I575" s="114" t="s">
        <v>1293</v>
      </c>
      <c r="J575" s="114" t="s">
        <v>1323</v>
      </c>
      <c r="K575" s="129" t="s">
        <v>2314</v>
      </c>
    </row>
    <row r="576" spans="1:11" ht="38.25" x14ac:dyDescent="0.2">
      <c r="A576" s="120">
        <v>574</v>
      </c>
      <c r="B576" s="114" t="s">
        <v>1600</v>
      </c>
      <c r="C576" s="114" t="s">
        <v>1601</v>
      </c>
      <c r="D576" s="114" t="s">
        <v>56</v>
      </c>
      <c r="E576" s="114" t="s">
        <v>589</v>
      </c>
      <c r="F576" s="116">
        <v>40.200000000000003</v>
      </c>
      <c r="G576" s="121">
        <v>4.4927249154568922E-6</v>
      </c>
      <c r="H576" s="121">
        <v>0.99988976954132713</v>
      </c>
      <c r="I576" s="114" t="s">
        <v>1293</v>
      </c>
      <c r="J576" s="114" t="s">
        <v>1323</v>
      </c>
      <c r="K576" s="129" t="s">
        <v>2314</v>
      </c>
    </row>
    <row r="577" spans="1:11" ht="51" x14ac:dyDescent="0.2">
      <c r="A577" s="120">
        <v>575</v>
      </c>
      <c r="B577" s="114" t="s">
        <v>1675</v>
      </c>
      <c r="C577" s="114" t="s">
        <v>1676</v>
      </c>
      <c r="D577" s="114" t="s">
        <v>56</v>
      </c>
      <c r="E577" s="114" t="s">
        <v>637</v>
      </c>
      <c r="F577" s="116">
        <v>39.909999999999997</v>
      </c>
      <c r="G577" s="121">
        <v>4.4603147108428991E-6</v>
      </c>
      <c r="H577" s="121">
        <v>0.99989422985603804</v>
      </c>
      <c r="I577" s="114" t="s">
        <v>1293</v>
      </c>
      <c r="J577" s="114" t="s">
        <v>1323</v>
      </c>
      <c r="K577" s="129" t="s">
        <v>2314</v>
      </c>
    </row>
    <row r="578" spans="1:11" ht="51" x14ac:dyDescent="0.2">
      <c r="A578" s="120">
        <v>576</v>
      </c>
      <c r="B578" s="114" t="s">
        <v>1772</v>
      </c>
      <c r="C578" s="114" t="s">
        <v>1773</v>
      </c>
      <c r="D578" s="114" t="s">
        <v>56</v>
      </c>
      <c r="E578" s="114" t="s">
        <v>737</v>
      </c>
      <c r="F578" s="116">
        <v>37.9</v>
      </c>
      <c r="G578" s="121">
        <v>4.2356784650700548E-6</v>
      </c>
      <c r="H578" s="121">
        <v>0.99989846553450312</v>
      </c>
      <c r="I578" s="114" t="s">
        <v>1293</v>
      </c>
      <c r="J578" s="114" t="s">
        <v>1323</v>
      </c>
      <c r="K578" s="129" t="s">
        <v>2314</v>
      </c>
    </row>
    <row r="579" spans="1:11" ht="38.25" x14ac:dyDescent="0.2">
      <c r="A579" s="120">
        <v>577</v>
      </c>
      <c r="B579" s="114" t="s">
        <v>1651</v>
      </c>
      <c r="C579" s="114" t="s">
        <v>1652</v>
      </c>
      <c r="D579" s="114" t="s">
        <v>56</v>
      </c>
      <c r="E579" s="114" t="s">
        <v>626</v>
      </c>
      <c r="F579" s="116">
        <v>37.33</v>
      </c>
      <c r="G579" s="121">
        <v>4.1719756491046214E-6</v>
      </c>
      <c r="H579" s="121">
        <v>0.99990263751015229</v>
      </c>
      <c r="I579" s="114" t="s">
        <v>1293</v>
      </c>
      <c r="J579" s="114" t="s">
        <v>1323</v>
      </c>
      <c r="K579" s="129" t="s">
        <v>2314</v>
      </c>
    </row>
    <row r="580" spans="1:11" ht="38.25" x14ac:dyDescent="0.2">
      <c r="A580" s="120">
        <v>578</v>
      </c>
      <c r="B580" s="114" t="s">
        <v>793</v>
      </c>
      <c r="C580" s="114" t="s">
        <v>1652</v>
      </c>
      <c r="D580" s="114" t="s">
        <v>56</v>
      </c>
      <c r="E580" s="114" t="s">
        <v>626</v>
      </c>
      <c r="F580" s="116">
        <v>37.33</v>
      </c>
      <c r="G580" s="121">
        <v>4.1719756491046214E-6</v>
      </c>
      <c r="H580" s="121">
        <v>0.99990680948580135</v>
      </c>
      <c r="I580" s="114" t="s">
        <v>1293</v>
      </c>
      <c r="J580" s="114" t="s">
        <v>1323</v>
      </c>
      <c r="K580" s="129" t="s">
        <v>2314</v>
      </c>
    </row>
    <row r="581" spans="1:11" ht="51" x14ac:dyDescent="0.2">
      <c r="A581" s="120">
        <v>579</v>
      </c>
      <c r="B581" s="114" t="s">
        <v>2031</v>
      </c>
      <c r="C581" s="114" t="s">
        <v>2032</v>
      </c>
      <c r="D581" s="114" t="s">
        <v>56</v>
      </c>
      <c r="E581" s="114" t="s">
        <v>2033</v>
      </c>
      <c r="F581" s="116">
        <v>36.69</v>
      </c>
      <c r="G581" s="121">
        <v>4.1004496803013273E-6</v>
      </c>
      <c r="H581" s="121">
        <v>0.9999109099354816</v>
      </c>
      <c r="I581" s="114" t="s">
        <v>1293</v>
      </c>
      <c r="J581" s="114" t="s">
        <v>1323</v>
      </c>
      <c r="K581" s="129" t="s">
        <v>2314</v>
      </c>
    </row>
    <row r="582" spans="1:11" ht="38.25" x14ac:dyDescent="0.2">
      <c r="A582" s="120">
        <v>580</v>
      </c>
      <c r="B582" s="114" t="s">
        <v>1622</v>
      </c>
      <c r="C582" s="114" t="s">
        <v>1623</v>
      </c>
      <c r="D582" s="114" t="s">
        <v>56</v>
      </c>
      <c r="E582" s="114" t="s">
        <v>666</v>
      </c>
      <c r="F582" s="116">
        <v>34.71</v>
      </c>
      <c r="G582" s="121">
        <v>3.8791662143161369E-6</v>
      </c>
      <c r="H582" s="121">
        <v>0.99991478910169607</v>
      </c>
      <c r="I582" s="114" t="s">
        <v>1293</v>
      </c>
      <c r="J582" s="114" t="s">
        <v>1323</v>
      </c>
      <c r="K582" s="129" t="s">
        <v>2314</v>
      </c>
    </row>
    <row r="583" spans="1:11" ht="38.25" x14ac:dyDescent="0.2">
      <c r="A583" s="120">
        <v>581</v>
      </c>
      <c r="B583" s="114" t="s">
        <v>1576</v>
      </c>
      <c r="C583" s="114" t="s">
        <v>1577</v>
      </c>
      <c r="D583" s="114" t="s">
        <v>56</v>
      </c>
      <c r="E583" s="114" t="s">
        <v>1578</v>
      </c>
      <c r="F583" s="116">
        <v>33.96</v>
      </c>
      <c r="G583" s="121">
        <v>3.7953467196247775E-6</v>
      </c>
      <c r="H583" s="121">
        <v>0.99991858444841575</v>
      </c>
      <c r="I583" s="114" t="s">
        <v>1293</v>
      </c>
      <c r="J583" s="114" t="s">
        <v>1323</v>
      </c>
      <c r="K583" s="129" t="s">
        <v>2314</v>
      </c>
    </row>
    <row r="584" spans="1:11" ht="38.25" x14ac:dyDescent="0.2">
      <c r="A584" s="120">
        <v>582</v>
      </c>
      <c r="B584" s="114" t="s">
        <v>1613</v>
      </c>
      <c r="C584" s="114" t="s">
        <v>1614</v>
      </c>
      <c r="D584" s="114" t="s">
        <v>56</v>
      </c>
      <c r="E584" s="114" t="s">
        <v>595</v>
      </c>
      <c r="F584" s="116">
        <v>33.47</v>
      </c>
      <c r="G584" s="121">
        <v>3.7405846497597554E-6</v>
      </c>
      <c r="H584" s="121">
        <v>0.99992232503306555</v>
      </c>
      <c r="I584" s="114" t="s">
        <v>1293</v>
      </c>
      <c r="J584" s="114" t="s">
        <v>1323</v>
      </c>
      <c r="K584" s="129" t="s">
        <v>2314</v>
      </c>
    </row>
    <row r="585" spans="1:11" ht="38.25" x14ac:dyDescent="0.2">
      <c r="A585" s="120">
        <v>583</v>
      </c>
      <c r="B585" s="114" t="s">
        <v>1699</v>
      </c>
      <c r="C585" s="114" t="s">
        <v>1614</v>
      </c>
      <c r="D585" s="114" t="s">
        <v>56</v>
      </c>
      <c r="E585" s="114" t="s">
        <v>595</v>
      </c>
      <c r="F585" s="116">
        <v>33.47</v>
      </c>
      <c r="G585" s="121">
        <v>3.7405846497597554E-6</v>
      </c>
      <c r="H585" s="121">
        <v>0.99992606561771535</v>
      </c>
      <c r="I585" s="114" t="s">
        <v>1293</v>
      </c>
      <c r="J585" s="114" t="s">
        <v>1323</v>
      </c>
      <c r="K585" s="129" t="s">
        <v>2314</v>
      </c>
    </row>
    <row r="586" spans="1:11" ht="51" x14ac:dyDescent="0.2">
      <c r="A586" s="120">
        <v>584</v>
      </c>
      <c r="B586" s="114" t="s">
        <v>1767</v>
      </c>
      <c r="C586" s="114" t="s">
        <v>1768</v>
      </c>
      <c r="D586" s="114" t="s">
        <v>56</v>
      </c>
      <c r="E586" s="114" t="s">
        <v>1769</v>
      </c>
      <c r="F586" s="116">
        <v>31.67</v>
      </c>
      <c r="G586" s="121">
        <v>3.539417862500492E-6</v>
      </c>
      <c r="H586" s="121">
        <v>0.99992960503557793</v>
      </c>
      <c r="I586" s="114" t="s">
        <v>1293</v>
      </c>
      <c r="J586" s="114" t="s">
        <v>1323</v>
      </c>
      <c r="K586" s="129" t="s">
        <v>2314</v>
      </c>
    </row>
    <row r="587" spans="1:11" ht="38.25" x14ac:dyDescent="0.2">
      <c r="A587" s="120">
        <v>585</v>
      </c>
      <c r="B587" s="114" t="s">
        <v>1615</v>
      </c>
      <c r="C587" s="114" t="s">
        <v>1616</v>
      </c>
      <c r="D587" s="114" t="s">
        <v>56</v>
      </c>
      <c r="E587" s="114" t="s">
        <v>596</v>
      </c>
      <c r="F587" s="116">
        <v>30.89</v>
      </c>
      <c r="G587" s="121">
        <v>3.4522455880214773E-6</v>
      </c>
      <c r="H587" s="121">
        <v>0.99993305728116599</v>
      </c>
      <c r="I587" s="114" t="s">
        <v>1293</v>
      </c>
      <c r="J587" s="114" t="s">
        <v>1323</v>
      </c>
      <c r="K587" s="129" t="s">
        <v>2314</v>
      </c>
    </row>
    <row r="588" spans="1:11" ht="38.25" x14ac:dyDescent="0.2">
      <c r="A588" s="120">
        <v>586</v>
      </c>
      <c r="B588" s="114" t="s">
        <v>1727</v>
      </c>
      <c r="C588" s="114" t="s">
        <v>2139</v>
      </c>
      <c r="D588" s="114" t="s">
        <v>56</v>
      </c>
      <c r="E588" s="114" t="s">
        <v>2140</v>
      </c>
      <c r="F588" s="116">
        <v>30.46</v>
      </c>
      <c r="G588" s="121">
        <v>3.4041890777317645E-6</v>
      </c>
      <c r="H588" s="121">
        <v>0.99993646147024384</v>
      </c>
      <c r="I588" s="114" t="s">
        <v>1293</v>
      </c>
      <c r="J588" s="114" t="s">
        <v>1323</v>
      </c>
      <c r="K588" s="129" t="s">
        <v>2314</v>
      </c>
    </row>
    <row r="589" spans="1:11" ht="51" x14ac:dyDescent="0.2">
      <c r="A589" s="120">
        <v>587</v>
      </c>
      <c r="B589" s="114" t="s">
        <v>1591</v>
      </c>
      <c r="C589" s="114" t="s">
        <v>1592</v>
      </c>
      <c r="D589" s="114" t="s">
        <v>56</v>
      </c>
      <c r="E589" s="114" t="s">
        <v>1593</v>
      </c>
      <c r="F589" s="116">
        <v>30.1</v>
      </c>
      <c r="G589" s="121">
        <v>3.3639557202799116E-6</v>
      </c>
      <c r="H589" s="121">
        <v>0.99993982542596405</v>
      </c>
      <c r="I589" s="114" t="s">
        <v>1293</v>
      </c>
      <c r="J589" s="114" t="s">
        <v>1323</v>
      </c>
      <c r="K589" s="129" t="s">
        <v>2314</v>
      </c>
    </row>
    <row r="590" spans="1:11" ht="38.25" x14ac:dyDescent="0.2">
      <c r="A590" s="120">
        <v>588</v>
      </c>
      <c r="B590" s="114" t="s">
        <v>1697</v>
      </c>
      <c r="C590" s="114" t="s">
        <v>1698</v>
      </c>
      <c r="D590" s="114" t="s">
        <v>56</v>
      </c>
      <c r="E590" s="114" t="s">
        <v>661</v>
      </c>
      <c r="F590" s="116">
        <v>29.51</v>
      </c>
      <c r="G590" s="121">
        <v>3.2980177177893752E-6</v>
      </c>
      <c r="H590" s="121">
        <v>0.99994312344368186</v>
      </c>
      <c r="I590" s="114" t="s">
        <v>1293</v>
      </c>
      <c r="J590" s="114" t="s">
        <v>1323</v>
      </c>
      <c r="K590" s="129" t="s">
        <v>2314</v>
      </c>
    </row>
    <row r="591" spans="1:11" ht="51" x14ac:dyDescent="0.2">
      <c r="A591" s="120">
        <v>589</v>
      </c>
      <c r="B591" s="114" t="s">
        <v>1778</v>
      </c>
      <c r="C591" s="114" t="s">
        <v>1779</v>
      </c>
      <c r="D591" s="114" t="s">
        <v>56</v>
      </c>
      <c r="E591" s="114" t="s">
        <v>712</v>
      </c>
      <c r="F591" s="116">
        <v>26.28</v>
      </c>
      <c r="G591" s="121">
        <v>2.9370350939852519E-6</v>
      </c>
      <c r="H591" s="121">
        <v>0.99994606047877577</v>
      </c>
      <c r="I591" s="114" t="s">
        <v>1293</v>
      </c>
      <c r="J591" s="114" t="s">
        <v>1323</v>
      </c>
      <c r="K591" s="129" t="s">
        <v>2314</v>
      </c>
    </row>
    <row r="592" spans="1:11" ht="38.25" x14ac:dyDescent="0.2">
      <c r="A592" s="120">
        <v>590</v>
      </c>
      <c r="B592" s="114" t="s">
        <v>2081</v>
      </c>
      <c r="C592" s="114" t="s">
        <v>2082</v>
      </c>
      <c r="D592" s="114" t="s">
        <v>56</v>
      </c>
      <c r="E592" s="114" t="s">
        <v>2083</v>
      </c>
      <c r="F592" s="116">
        <v>25.35</v>
      </c>
      <c r="G592" s="121">
        <v>2.8330989205679656E-6</v>
      </c>
      <c r="H592" s="121">
        <v>0.99994889357769623</v>
      </c>
      <c r="I592" s="114" t="s">
        <v>1293</v>
      </c>
      <c r="J592" s="114" t="s">
        <v>1323</v>
      </c>
      <c r="K592" s="129" t="s">
        <v>2314</v>
      </c>
    </row>
    <row r="593" spans="1:11" ht="63.75" x14ac:dyDescent="0.2">
      <c r="A593" s="120">
        <v>591</v>
      </c>
      <c r="B593" s="114" t="s">
        <v>1750</v>
      </c>
      <c r="C593" s="114" t="s">
        <v>1751</v>
      </c>
      <c r="D593" s="114" t="s">
        <v>56</v>
      </c>
      <c r="E593" s="114" t="s">
        <v>699</v>
      </c>
      <c r="F593" s="116">
        <v>25.03</v>
      </c>
      <c r="G593" s="121">
        <v>2.7973359361663185E-6</v>
      </c>
      <c r="H593" s="121">
        <v>0.99995169091363234</v>
      </c>
      <c r="I593" s="114" t="s">
        <v>1293</v>
      </c>
      <c r="J593" s="114" t="s">
        <v>1323</v>
      </c>
      <c r="K593" s="129" t="s">
        <v>2314</v>
      </c>
    </row>
    <row r="594" spans="1:11" ht="38.25" x14ac:dyDescent="0.2">
      <c r="A594" s="120">
        <v>592</v>
      </c>
      <c r="B594" s="114" t="s">
        <v>571</v>
      </c>
      <c r="C594" s="114" t="s">
        <v>1568</v>
      </c>
      <c r="D594" s="114" t="s">
        <v>56</v>
      </c>
      <c r="E594" s="114" t="s">
        <v>572</v>
      </c>
      <c r="F594" s="116">
        <v>24.24</v>
      </c>
      <c r="G594" s="121">
        <v>2.7090460684247524E-6</v>
      </c>
      <c r="H594" s="121">
        <v>0.99995439995970081</v>
      </c>
      <c r="I594" s="114" t="s">
        <v>1293</v>
      </c>
      <c r="J594" s="114" t="s">
        <v>1323</v>
      </c>
      <c r="K594" s="129" t="s">
        <v>2314</v>
      </c>
    </row>
    <row r="595" spans="1:11" ht="63.75" x14ac:dyDescent="0.2">
      <c r="A595" s="120">
        <v>593</v>
      </c>
      <c r="B595" s="114" t="s">
        <v>1780</v>
      </c>
      <c r="C595" s="114" t="s">
        <v>1781</v>
      </c>
      <c r="D595" s="114" t="s">
        <v>56</v>
      </c>
      <c r="E595" s="114" t="s">
        <v>1782</v>
      </c>
      <c r="F595" s="116">
        <v>23.97</v>
      </c>
      <c r="G595" s="121">
        <v>2.6788710503358631E-6</v>
      </c>
      <c r="H595" s="121">
        <v>0.99995707883075124</v>
      </c>
      <c r="I595" s="114" t="s">
        <v>1293</v>
      </c>
      <c r="J595" s="114" t="s">
        <v>1323</v>
      </c>
      <c r="K595" s="129" t="s">
        <v>2314</v>
      </c>
    </row>
    <row r="596" spans="1:11" ht="38.25" x14ac:dyDescent="0.2">
      <c r="A596" s="120">
        <v>594</v>
      </c>
      <c r="B596" s="114" t="s">
        <v>646</v>
      </c>
      <c r="C596" s="114" t="s">
        <v>1690</v>
      </c>
      <c r="D596" s="114" t="s">
        <v>56</v>
      </c>
      <c r="E596" s="114" t="s">
        <v>647</v>
      </c>
      <c r="F596" s="116">
        <v>23.55</v>
      </c>
      <c r="G596" s="121">
        <v>2.6319321333087017E-6</v>
      </c>
      <c r="H596" s="121">
        <v>0.99995971076288459</v>
      </c>
      <c r="I596" s="114" t="s">
        <v>1293</v>
      </c>
      <c r="J596" s="114" t="s">
        <v>1323</v>
      </c>
      <c r="K596" s="129" t="s">
        <v>2314</v>
      </c>
    </row>
    <row r="597" spans="1:11" ht="51" x14ac:dyDescent="0.2">
      <c r="A597" s="120">
        <v>595</v>
      </c>
      <c r="B597" s="114" t="s">
        <v>1663</v>
      </c>
      <c r="C597" s="114" t="s">
        <v>1664</v>
      </c>
      <c r="D597" s="114" t="s">
        <v>56</v>
      </c>
      <c r="E597" s="114" t="s">
        <v>631</v>
      </c>
      <c r="F597" s="116">
        <v>22.85</v>
      </c>
      <c r="G597" s="121">
        <v>2.5537006049300992E-6</v>
      </c>
      <c r="H597" s="121">
        <v>0.99996226446348946</v>
      </c>
      <c r="I597" s="114" t="s">
        <v>1293</v>
      </c>
      <c r="J597" s="114" t="s">
        <v>1323</v>
      </c>
      <c r="K597" s="129" t="s">
        <v>2314</v>
      </c>
    </row>
    <row r="598" spans="1:11" ht="51" x14ac:dyDescent="0.2">
      <c r="A598" s="120">
        <v>596</v>
      </c>
      <c r="B598" s="114" t="s">
        <v>1585</v>
      </c>
      <c r="C598" s="114" t="s">
        <v>1586</v>
      </c>
      <c r="D598" s="114" t="s">
        <v>56</v>
      </c>
      <c r="E598" s="114" t="s">
        <v>582</v>
      </c>
      <c r="F598" s="116">
        <v>20.88</v>
      </c>
      <c r="G598" s="121">
        <v>2.3335347322074604E-6</v>
      </c>
      <c r="H598" s="121">
        <v>0.99996459799822179</v>
      </c>
      <c r="I598" s="114" t="s">
        <v>1293</v>
      </c>
      <c r="J598" s="114" t="s">
        <v>1323</v>
      </c>
      <c r="K598" s="129" t="s">
        <v>2314</v>
      </c>
    </row>
    <row r="599" spans="1:11" ht="38.25" x14ac:dyDescent="0.2">
      <c r="A599" s="120">
        <v>597</v>
      </c>
      <c r="B599" s="114" t="s">
        <v>1646</v>
      </c>
      <c r="C599" s="114" t="s">
        <v>1647</v>
      </c>
      <c r="D599" s="114" t="s">
        <v>56</v>
      </c>
      <c r="E599" s="114" t="s">
        <v>624</v>
      </c>
      <c r="F599" s="116">
        <v>18.23</v>
      </c>
      <c r="G599" s="121">
        <v>2.0373725176313219E-6</v>
      </c>
      <c r="H599" s="121">
        <v>0.99996663537073949</v>
      </c>
      <c r="I599" s="114" t="s">
        <v>1293</v>
      </c>
      <c r="J599" s="114" t="s">
        <v>1323</v>
      </c>
      <c r="K599" s="129" t="s">
        <v>2314</v>
      </c>
    </row>
    <row r="600" spans="1:11" ht="38.25" x14ac:dyDescent="0.2">
      <c r="A600" s="120">
        <v>598</v>
      </c>
      <c r="B600" s="114" t="s">
        <v>1693</v>
      </c>
      <c r="C600" s="114" t="s">
        <v>1647</v>
      </c>
      <c r="D600" s="114" t="s">
        <v>56</v>
      </c>
      <c r="E600" s="114" t="s">
        <v>624</v>
      </c>
      <c r="F600" s="116">
        <v>18.23</v>
      </c>
      <c r="G600" s="121">
        <v>2.0373725176313219E-6</v>
      </c>
      <c r="H600" s="121">
        <v>0.99996867274325718</v>
      </c>
      <c r="I600" s="114" t="s">
        <v>1293</v>
      </c>
      <c r="J600" s="114" t="s">
        <v>1323</v>
      </c>
      <c r="K600" s="129" t="s">
        <v>2314</v>
      </c>
    </row>
    <row r="601" spans="1:11" ht="38.25" x14ac:dyDescent="0.2">
      <c r="A601" s="120">
        <v>599</v>
      </c>
      <c r="B601" s="114" t="s">
        <v>1713</v>
      </c>
      <c r="C601" s="114" t="s">
        <v>1618</v>
      </c>
      <c r="D601" s="114" t="s">
        <v>56</v>
      </c>
      <c r="E601" s="114" t="s">
        <v>597</v>
      </c>
      <c r="F601" s="116">
        <v>18.09</v>
      </c>
      <c r="G601" s="121">
        <v>2.0217262119556013E-6</v>
      </c>
      <c r="H601" s="121">
        <v>0.99997069446946907</v>
      </c>
      <c r="I601" s="114" t="s">
        <v>1293</v>
      </c>
      <c r="J601" s="114" t="s">
        <v>1323</v>
      </c>
      <c r="K601" s="129" t="s">
        <v>2314</v>
      </c>
    </row>
    <row r="602" spans="1:11" ht="51" x14ac:dyDescent="0.2">
      <c r="A602" s="120">
        <v>600</v>
      </c>
      <c r="B602" s="114" t="s">
        <v>1705</v>
      </c>
      <c r="C602" s="114" t="s">
        <v>1706</v>
      </c>
      <c r="D602" s="114" t="s">
        <v>56</v>
      </c>
      <c r="E602" s="114" t="s">
        <v>664</v>
      </c>
      <c r="F602" s="116">
        <v>17.43</v>
      </c>
      <c r="G602" s="121">
        <v>1.9479650566272047E-6</v>
      </c>
      <c r="H602" s="121">
        <v>0.99997264243452566</v>
      </c>
      <c r="I602" s="114" t="s">
        <v>1293</v>
      </c>
      <c r="J602" s="114" t="s">
        <v>1323</v>
      </c>
      <c r="K602" s="129" t="s">
        <v>2314</v>
      </c>
    </row>
    <row r="603" spans="1:11" ht="51" x14ac:dyDescent="0.2">
      <c r="A603" s="120">
        <v>601</v>
      </c>
      <c r="B603" s="114" t="s">
        <v>1587</v>
      </c>
      <c r="C603" s="114" t="s">
        <v>1588</v>
      </c>
      <c r="D603" s="114" t="s">
        <v>56</v>
      </c>
      <c r="E603" s="114" t="s">
        <v>583</v>
      </c>
      <c r="F603" s="116">
        <v>17.34</v>
      </c>
      <c r="G603" s="121">
        <v>1.9379067172642415E-6</v>
      </c>
      <c r="H603" s="121">
        <v>0.99997458034124298</v>
      </c>
      <c r="I603" s="114" t="s">
        <v>1293</v>
      </c>
      <c r="J603" s="114" t="s">
        <v>1323</v>
      </c>
      <c r="K603" s="129" t="s">
        <v>2314</v>
      </c>
    </row>
    <row r="604" spans="1:11" ht="38.25" x14ac:dyDescent="0.2">
      <c r="A604" s="120">
        <v>602</v>
      </c>
      <c r="B604" s="114" t="s">
        <v>1594</v>
      </c>
      <c r="C604" s="114" t="s">
        <v>1595</v>
      </c>
      <c r="D604" s="114" t="s">
        <v>56</v>
      </c>
      <c r="E604" s="114" t="s">
        <v>586</v>
      </c>
      <c r="F604" s="116">
        <v>17.309999999999999</v>
      </c>
      <c r="G604" s="121">
        <v>1.9345539374765871E-6</v>
      </c>
      <c r="H604" s="121">
        <v>0.99997651489518047</v>
      </c>
      <c r="I604" s="114" t="s">
        <v>1293</v>
      </c>
      <c r="J604" s="114" t="s">
        <v>1323</v>
      </c>
      <c r="K604" s="129" t="s">
        <v>2314</v>
      </c>
    </row>
    <row r="605" spans="1:11" ht="51" x14ac:dyDescent="0.2">
      <c r="A605" s="120">
        <v>603</v>
      </c>
      <c r="B605" s="114" t="s">
        <v>1794</v>
      </c>
      <c r="C605" s="114" t="s">
        <v>1795</v>
      </c>
      <c r="D605" s="114" t="s">
        <v>56</v>
      </c>
      <c r="E605" s="114" t="s">
        <v>734</v>
      </c>
      <c r="F605" s="116">
        <v>17.25</v>
      </c>
      <c r="G605" s="121">
        <v>1.9278483779012782E-6</v>
      </c>
      <c r="H605" s="121">
        <v>0.9999784427435584</v>
      </c>
      <c r="I605" s="114" t="s">
        <v>1293</v>
      </c>
      <c r="J605" s="114" t="s">
        <v>1323</v>
      </c>
      <c r="K605" s="129" t="s">
        <v>2314</v>
      </c>
    </row>
    <row r="606" spans="1:11" ht="51" x14ac:dyDescent="0.2">
      <c r="A606" s="120">
        <v>604</v>
      </c>
      <c r="B606" s="114" t="s">
        <v>1604</v>
      </c>
      <c r="C606" s="114" t="s">
        <v>1605</v>
      </c>
      <c r="D606" s="114" t="s">
        <v>56</v>
      </c>
      <c r="E606" s="114" t="s">
        <v>1606</v>
      </c>
      <c r="F606" s="116">
        <v>17.16</v>
      </c>
      <c r="G606" s="121">
        <v>1.917790038538315E-6</v>
      </c>
      <c r="H606" s="121">
        <v>0.99998036053359696</v>
      </c>
      <c r="I606" s="114" t="s">
        <v>1293</v>
      </c>
      <c r="J606" s="114" t="s">
        <v>1323</v>
      </c>
      <c r="K606" s="129" t="s">
        <v>2314</v>
      </c>
    </row>
    <row r="607" spans="1:11" ht="51" x14ac:dyDescent="0.2">
      <c r="A607" s="120">
        <v>605</v>
      </c>
      <c r="B607" s="114" t="s">
        <v>1998</v>
      </c>
      <c r="C607" s="114" t="s">
        <v>1999</v>
      </c>
      <c r="D607" s="114" t="s">
        <v>56</v>
      </c>
      <c r="E607" s="114" t="s">
        <v>2000</v>
      </c>
      <c r="F607" s="116">
        <v>16.13</v>
      </c>
      <c r="G607" s="121">
        <v>1.802677932495514E-6</v>
      </c>
      <c r="H607" s="121">
        <v>0.99998216321152955</v>
      </c>
      <c r="I607" s="114" t="s">
        <v>1293</v>
      </c>
      <c r="J607" s="114" t="s">
        <v>1323</v>
      </c>
      <c r="K607" s="129" t="s">
        <v>2314</v>
      </c>
    </row>
    <row r="608" spans="1:11" ht="51" x14ac:dyDescent="0.2">
      <c r="A608" s="120">
        <v>606</v>
      </c>
      <c r="B608" s="114" t="s">
        <v>1707</v>
      </c>
      <c r="C608" s="114" t="s">
        <v>1674</v>
      </c>
      <c r="D608" s="114" t="s">
        <v>56</v>
      </c>
      <c r="E608" s="114" t="s">
        <v>636</v>
      </c>
      <c r="F608" s="116">
        <v>15.94</v>
      </c>
      <c r="G608" s="121">
        <v>1.7814436605070362E-6</v>
      </c>
      <c r="H608" s="121">
        <v>0.99998394465518992</v>
      </c>
      <c r="I608" s="114" t="s">
        <v>1293</v>
      </c>
      <c r="J608" s="114" t="s">
        <v>1323</v>
      </c>
      <c r="K608" s="129" t="s">
        <v>2314</v>
      </c>
    </row>
    <row r="609" spans="1:11" ht="38.25" x14ac:dyDescent="0.2">
      <c r="A609" s="120">
        <v>607</v>
      </c>
      <c r="B609" s="114" t="s">
        <v>1702</v>
      </c>
      <c r="C609" s="114" t="s">
        <v>1661</v>
      </c>
      <c r="D609" s="114" t="s">
        <v>56</v>
      </c>
      <c r="E609" s="114" t="s">
        <v>630</v>
      </c>
      <c r="F609" s="116">
        <v>14.66</v>
      </c>
      <c r="G609" s="121">
        <v>1.6383917229004486E-6</v>
      </c>
      <c r="H609" s="121">
        <v>0.99998558304691287</v>
      </c>
      <c r="I609" s="114" t="s">
        <v>1293</v>
      </c>
      <c r="J609" s="114" t="s">
        <v>1323</v>
      </c>
      <c r="K609" s="129" t="s">
        <v>2314</v>
      </c>
    </row>
    <row r="610" spans="1:11" ht="38.25" x14ac:dyDescent="0.2">
      <c r="A610" s="120">
        <v>608</v>
      </c>
      <c r="B610" s="114" t="s">
        <v>657</v>
      </c>
      <c r="C610" s="114" t="s">
        <v>1691</v>
      </c>
      <c r="D610" s="114" t="s">
        <v>56</v>
      </c>
      <c r="E610" s="114" t="s">
        <v>658</v>
      </c>
      <c r="F610" s="116">
        <v>14.42</v>
      </c>
      <c r="G610" s="121">
        <v>1.6115694845992136E-6</v>
      </c>
      <c r="H610" s="121">
        <v>0.99998719461639751</v>
      </c>
      <c r="I610" s="114" t="s">
        <v>1293</v>
      </c>
      <c r="J610" s="114" t="s">
        <v>1323</v>
      </c>
      <c r="K610" s="129" t="s">
        <v>2314</v>
      </c>
    </row>
    <row r="611" spans="1:11" ht="51" x14ac:dyDescent="0.2">
      <c r="A611" s="120">
        <v>609</v>
      </c>
      <c r="B611" s="114" t="s">
        <v>1708</v>
      </c>
      <c r="C611" s="114" t="s">
        <v>1676</v>
      </c>
      <c r="D611" s="114" t="s">
        <v>56</v>
      </c>
      <c r="E611" s="114" t="s">
        <v>637</v>
      </c>
      <c r="F611" s="116">
        <v>13.3</v>
      </c>
      <c r="G611" s="121">
        <v>1.4863990391934495E-6</v>
      </c>
      <c r="H611" s="121">
        <v>0.9999886810154367</v>
      </c>
      <c r="I611" s="114" t="s">
        <v>1293</v>
      </c>
      <c r="J611" s="114" t="s">
        <v>1323</v>
      </c>
      <c r="K611" s="129" t="s">
        <v>2314</v>
      </c>
    </row>
    <row r="612" spans="1:11" ht="51" x14ac:dyDescent="0.2">
      <c r="A612" s="120">
        <v>610</v>
      </c>
      <c r="B612" s="114" t="s">
        <v>2027</v>
      </c>
      <c r="C612" s="114" t="s">
        <v>2028</v>
      </c>
      <c r="D612" s="114" t="s">
        <v>56</v>
      </c>
      <c r="E612" s="114" t="s">
        <v>959</v>
      </c>
      <c r="F612" s="116">
        <v>12.83</v>
      </c>
      <c r="G612" s="121">
        <v>1.4338721558535304E-6</v>
      </c>
      <c r="H612" s="121">
        <v>0.9999901148875926</v>
      </c>
      <c r="I612" s="114" t="s">
        <v>1293</v>
      </c>
      <c r="J612" s="114" t="s">
        <v>1323</v>
      </c>
      <c r="K612" s="129" t="s">
        <v>2314</v>
      </c>
    </row>
    <row r="613" spans="1:11" ht="38.25" x14ac:dyDescent="0.2">
      <c r="A613" s="120">
        <v>611</v>
      </c>
      <c r="B613" s="114" t="s">
        <v>659</v>
      </c>
      <c r="C613" s="114" t="s">
        <v>1643</v>
      </c>
      <c r="D613" s="114" t="s">
        <v>56</v>
      </c>
      <c r="E613" s="114" t="s">
        <v>622</v>
      </c>
      <c r="F613" s="116">
        <v>12.48</v>
      </c>
      <c r="G613" s="121">
        <v>1.3947563916642291E-6</v>
      </c>
      <c r="H613" s="121">
        <v>0.99999150964398431</v>
      </c>
      <c r="I613" s="114" t="s">
        <v>1293</v>
      </c>
      <c r="J613" s="114" t="s">
        <v>1323</v>
      </c>
      <c r="K613" s="129" t="s">
        <v>2314</v>
      </c>
    </row>
    <row r="614" spans="1:11" ht="38.25" x14ac:dyDescent="0.2">
      <c r="A614" s="120">
        <v>612</v>
      </c>
      <c r="B614" s="114" t="s">
        <v>1700</v>
      </c>
      <c r="C614" s="114" t="s">
        <v>1701</v>
      </c>
      <c r="D614" s="114" t="s">
        <v>56</v>
      </c>
      <c r="E614" s="114" t="s">
        <v>662</v>
      </c>
      <c r="F614" s="116">
        <v>12.33</v>
      </c>
      <c r="G614" s="121">
        <v>1.3779924927259571E-6</v>
      </c>
      <c r="H614" s="121">
        <v>0.99999288763647709</v>
      </c>
      <c r="I614" s="114" t="s">
        <v>1293</v>
      </c>
      <c r="J614" s="114" t="s">
        <v>1323</v>
      </c>
      <c r="K614" s="129" t="s">
        <v>2314</v>
      </c>
    </row>
    <row r="615" spans="1:11" ht="38.25" x14ac:dyDescent="0.2">
      <c r="A615" s="120">
        <v>613</v>
      </c>
      <c r="B615" s="114" t="s">
        <v>1682</v>
      </c>
      <c r="C615" s="114" t="s">
        <v>1683</v>
      </c>
      <c r="D615" s="114" t="s">
        <v>56</v>
      </c>
      <c r="E615" s="114" t="s">
        <v>640</v>
      </c>
      <c r="F615" s="116">
        <v>11.78</v>
      </c>
      <c r="G615" s="121">
        <v>1.3165248632856264E-6</v>
      </c>
      <c r="H615" s="121">
        <v>0.99999420416134022</v>
      </c>
      <c r="I615" s="114" t="s">
        <v>1293</v>
      </c>
      <c r="J615" s="114" t="s">
        <v>1323</v>
      </c>
      <c r="K615" s="129" t="s">
        <v>2314</v>
      </c>
    </row>
    <row r="616" spans="1:11" ht="38.25" x14ac:dyDescent="0.2">
      <c r="A616" s="120">
        <v>614</v>
      </c>
      <c r="B616" s="114" t="s">
        <v>1625</v>
      </c>
      <c r="C616" s="114" t="s">
        <v>1626</v>
      </c>
      <c r="D616" s="114" t="s">
        <v>56</v>
      </c>
      <c r="E616" s="114" t="s">
        <v>1627</v>
      </c>
      <c r="F616" s="116">
        <v>11.55</v>
      </c>
      <c r="G616" s="121">
        <v>1.290820218246943E-6</v>
      </c>
      <c r="H616" s="121">
        <v>0.9999954949815586</v>
      </c>
      <c r="I616" s="114" t="s">
        <v>1293</v>
      </c>
      <c r="J616" s="114" t="s">
        <v>1323</v>
      </c>
      <c r="K616" s="129" t="s">
        <v>2314</v>
      </c>
    </row>
    <row r="617" spans="1:11" ht="38.25" x14ac:dyDescent="0.2">
      <c r="A617" s="120">
        <v>615</v>
      </c>
      <c r="B617" s="114" t="s">
        <v>1694</v>
      </c>
      <c r="C617" s="114" t="s">
        <v>1695</v>
      </c>
      <c r="D617" s="114" t="s">
        <v>56</v>
      </c>
      <c r="E617" s="114" t="s">
        <v>1696</v>
      </c>
      <c r="F617" s="116">
        <v>11.32</v>
      </c>
      <c r="G617" s="121">
        <v>1.2651155732082592E-6</v>
      </c>
      <c r="H617" s="121">
        <v>0.99999676009713179</v>
      </c>
      <c r="I617" s="114" t="s">
        <v>1293</v>
      </c>
      <c r="J617" s="114" t="s">
        <v>1323</v>
      </c>
      <c r="K617" s="129" t="s">
        <v>2314</v>
      </c>
    </row>
    <row r="618" spans="1:11" ht="25.5" x14ac:dyDescent="0.2">
      <c r="A618" s="120">
        <v>616</v>
      </c>
      <c r="B618" s="114" t="s">
        <v>2158</v>
      </c>
      <c r="C618" s="114" t="s">
        <v>2159</v>
      </c>
      <c r="D618" s="114" t="s">
        <v>335</v>
      </c>
      <c r="E618" s="114" t="s">
        <v>1046</v>
      </c>
      <c r="F618" s="116">
        <v>8.67</v>
      </c>
      <c r="G618" s="121">
        <v>9.6895335863212074E-7</v>
      </c>
      <c r="H618" s="121">
        <v>0.99999772905049045</v>
      </c>
      <c r="I618" s="114" t="s">
        <v>1293</v>
      </c>
      <c r="J618" s="114" t="s">
        <v>1323</v>
      </c>
      <c r="K618" s="129" t="s">
        <v>2314</v>
      </c>
    </row>
    <row r="619" spans="1:11" ht="38.25" x14ac:dyDescent="0.2">
      <c r="A619" s="120">
        <v>617</v>
      </c>
      <c r="B619" s="114" t="s">
        <v>1570</v>
      </c>
      <c r="C619" s="114" t="s">
        <v>1571</v>
      </c>
      <c r="D619" s="114" t="s">
        <v>56</v>
      </c>
      <c r="E619" s="114" t="s">
        <v>575</v>
      </c>
      <c r="F619" s="116">
        <v>8.6300000000000008</v>
      </c>
      <c r="G619" s="121">
        <v>9.6448298558191486E-7</v>
      </c>
      <c r="H619" s="121">
        <v>0.99999869353347615</v>
      </c>
      <c r="I619" s="114" t="s">
        <v>1293</v>
      </c>
      <c r="J619" s="114" t="s">
        <v>1323</v>
      </c>
      <c r="K619" s="129" t="s">
        <v>2314</v>
      </c>
    </row>
    <row r="620" spans="1:11" ht="51" x14ac:dyDescent="0.2">
      <c r="A620" s="120">
        <v>618</v>
      </c>
      <c r="B620" s="114" t="s">
        <v>1589</v>
      </c>
      <c r="C620" s="114" t="s">
        <v>1590</v>
      </c>
      <c r="D620" s="114" t="s">
        <v>56</v>
      </c>
      <c r="E620" s="114" t="s">
        <v>584</v>
      </c>
      <c r="F620" s="116">
        <v>7.31</v>
      </c>
      <c r="G620" s="121">
        <v>8.1696067492512138E-7</v>
      </c>
      <c r="H620" s="121">
        <v>0.99999951049415114</v>
      </c>
      <c r="I620" s="114" t="s">
        <v>1293</v>
      </c>
      <c r="J620" s="114" t="s">
        <v>1323</v>
      </c>
      <c r="K620" s="129" t="s">
        <v>2314</v>
      </c>
    </row>
    <row r="621" spans="1:11" ht="63.75" x14ac:dyDescent="0.2">
      <c r="A621" s="123">
        <v>619</v>
      </c>
      <c r="B621" s="124" t="s">
        <v>2253</v>
      </c>
      <c r="C621" s="124" t="s">
        <v>2254</v>
      </c>
      <c r="D621" s="124" t="s">
        <v>56</v>
      </c>
      <c r="E621" s="124" t="s">
        <v>1114</v>
      </c>
      <c r="F621" s="126">
        <v>4.38</v>
      </c>
      <c r="G621" s="127">
        <v>4.8950584899754199E-7</v>
      </c>
      <c r="H621" s="127">
        <v>1.0000000000000002</v>
      </c>
      <c r="I621" s="124" t="s">
        <v>1293</v>
      </c>
      <c r="J621" s="124" t="s">
        <v>1323</v>
      </c>
      <c r="K621" s="130" t="s">
        <v>2314</v>
      </c>
    </row>
  </sheetData>
  <mergeCells count="1">
    <mergeCell ref="A1:C1"/>
  </mergeCells>
  <pageMargins left="0.7" right="0.7" top="0.75" bottom="0.75" header="0.3" footer="0.3"/>
  <drawing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621"/>
  <sheetViews>
    <sheetView topLeftCell="A616" workbookViewId="0">
      <selection activeCell="L625" sqref="L625"/>
    </sheetView>
  </sheetViews>
  <sheetFormatPr defaultRowHeight="12.75" x14ac:dyDescent="0.2"/>
  <cols>
    <col min="5" max="5" width="55" customWidth="1"/>
    <col min="7" max="7" width="15" customWidth="1"/>
    <col min="8" max="8" width="16.83203125" customWidth="1"/>
    <col min="11" max="11" width="17.33203125" customWidth="1"/>
    <col min="12" max="12" width="14.5" customWidth="1"/>
    <col min="13" max="13" width="15.1640625" customWidth="1"/>
    <col min="14" max="14" width="13.83203125" customWidth="1"/>
    <col min="15" max="15" width="16.83203125" customWidth="1"/>
    <col min="16" max="16" width="16.5" customWidth="1"/>
    <col min="17" max="17" width="30" customWidth="1"/>
    <col min="18" max="18" width="30" hidden="1" customWidth="1"/>
    <col min="19" max="19" width="0" hidden="1" customWidth="1"/>
    <col min="20" max="20" width="14" customWidth="1"/>
    <col min="21" max="21" width="13.6640625" customWidth="1"/>
  </cols>
  <sheetData>
    <row r="1" spans="1:21" ht="63" customHeight="1" x14ac:dyDescent="0.2">
      <c r="A1" s="250"/>
      <c r="B1" s="250"/>
      <c r="C1" s="250"/>
      <c r="D1" s="250"/>
    </row>
    <row r="2" spans="1:21" ht="30" customHeight="1" x14ac:dyDescent="0.2">
      <c r="A2" s="117" t="s">
        <v>2316</v>
      </c>
      <c r="B2" s="118" t="s">
        <v>8</v>
      </c>
      <c r="C2" s="118" t="s">
        <v>9</v>
      </c>
      <c r="D2" s="118" t="s">
        <v>10</v>
      </c>
      <c r="E2" s="118" t="s">
        <v>11</v>
      </c>
      <c r="F2" s="118" t="s">
        <v>12</v>
      </c>
      <c r="G2" s="118" t="s">
        <v>2317</v>
      </c>
      <c r="H2" s="118" t="s">
        <v>2318</v>
      </c>
      <c r="I2" s="118" t="s">
        <v>2319</v>
      </c>
      <c r="J2" s="118" t="s">
        <v>2320</v>
      </c>
      <c r="K2" s="118" t="s">
        <v>2321</v>
      </c>
      <c r="L2" s="118" t="s">
        <v>2322</v>
      </c>
      <c r="M2" s="118" t="s">
        <v>2323</v>
      </c>
      <c r="N2" s="118" t="s">
        <v>2324</v>
      </c>
      <c r="O2" s="118" t="s">
        <v>2325</v>
      </c>
      <c r="P2" s="118" t="s">
        <v>2326</v>
      </c>
      <c r="Q2" s="118" t="s">
        <v>2327</v>
      </c>
      <c r="R2" s="118" t="s">
        <v>2328</v>
      </c>
      <c r="S2" s="118" t="s">
        <v>1300</v>
      </c>
      <c r="T2" s="118" t="s">
        <v>2329</v>
      </c>
      <c r="U2" s="119" t="s">
        <v>2330</v>
      </c>
    </row>
    <row r="3" spans="1:21" ht="114.75" x14ac:dyDescent="0.2">
      <c r="A3" s="120" t="s">
        <v>2331</v>
      </c>
      <c r="B3" s="114" t="s">
        <v>22</v>
      </c>
      <c r="C3" s="114" t="s">
        <v>1317</v>
      </c>
      <c r="D3" s="114" t="s">
        <v>24</v>
      </c>
      <c r="E3" s="114" t="s">
        <v>1318</v>
      </c>
      <c r="F3" s="114" t="s">
        <v>26</v>
      </c>
      <c r="G3" s="115">
        <v>1404.56</v>
      </c>
      <c r="H3" s="116">
        <v>64.792500000000004</v>
      </c>
      <c r="I3" s="121">
        <v>0.2223</v>
      </c>
      <c r="J3" s="116">
        <f t="shared" ref="J3:J66" si="0">K3-H3</f>
        <v>14.399999999999991</v>
      </c>
      <c r="K3" s="116">
        <v>79.192499999999995</v>
      </c>
      <c r="L3" s="116">
        <f t="shared" ref="L3:L66" si="1">G3*H3</f>
        <v>91004.953800000003</v>
      </c>
      <c r="M3" s="116">
        <f t="shared" ref="M3:M66" si="2">G3*K3</f>
        <v>111230.61779999999</v>
      </c>
      <c r="N3" s="116">
        <v>105.59</v>
      </c>
      <c r="O3" s="116">
        <f t="shared" ref="O3:O66" si="3">IFERROR(N3-K3,"")</f>
        <v>26.397500000000008</v>
      </c>
      <c r="P3" s="116">
        <f t="shared" ref="P3:P66" si="4">IFERROR(G3*O3,"")</f>
        <v>37076.87260000001</v>
      </c>
      <c r="Q3" s="116" t="s">
        <v>2332</v>
      </c>
      <c r="R3" s="116" t="s">
        <v>2333</v>
      </c>
      <c r="S3" s="116" t="str">
        <f t="shared" ref="S3:S66" si="5">IF(ABS(M3-T3)&lt;=0.05,"OK - FECHA COM PLANILHA","REVISAR")</f>
        <v>OK - FECHA COM PLANILHA</v>
      </c>
      <c r="T3" s="116">
        <v>111230.61</v>
      </c>
      <c r="U3" s="122">
        <f t="shared" ref="U3:U66" si="6">M3-T3</f>
        <v>7.7999999921303242E-3</v>
      </c>
    </row>
    <row r="4" spans="1:21" ht="89.25" x14ac:dyDescent="0.2">
      <c r="A4" s="120" t="s">
        <v>2334</v>
      </c>
      <c r="B4" s="114" t="s">
        <v>27</v>
      </c>
      <c r="C4" s="114" t="s">
        <v>1321</v>
      </c>
      <c r="D4" s="114" t="s">
        <v>24</v>
      </c>
      <c r="E4" s="114" t="s">
        <v>29</v>
      </c>
      <c r="F4" s="114" t="s">
        <v>26</v>
      </c>
      <c r="G4" s="115">
        <v>1404.56</v>
      </c>
      <c r="H4" s="116">
        <v>36.255000000000003</v>
      </c>
      <c r="I4" s="121">
        <v>0.2223</v>
      </c>
      <c r="J4" s="116">
        <f t="shared" si="0"/>
        <v>8.0549999999999997</v>
      </c>
      <c r="K4" s="116">
        <v>44.31</v>
      </c>
      <c r="L4" s="116">
        <f t="shared" si="1"/>
        <v>50922.322800000002</v>
      </c>
      <c r="M4" s="116">
        <f t="shared" si="2"/>
        <v>62236.053599999999</v>
      </c>
      <c r="N4" s="116">
        <v>59.08</v>
      </c>
      <c r="O4" s="116">
        <f t="shared" si="3"/>
        <v>14.769999999999996</v>
      </c>
      <c r="P4" s="116">
        <f t="shared" si="4"/>
        <v>20745.351199999994</v>
      </c>
      <c r="Q4" s="116" t="s">
        <v>2332</v>
      </c>
      <c r="R4" s="116" t="s">
        <v>2335</v>
      </c>
      <c r="S4" s="116" t="str">
        <f t="shared" si="5"/>
        <v>OK - FECHA COM PLANILHA</v>
      </c>
      <c r="T4" s="116">
        <v>62236.05</v>
      </c>
      <c r="U4" s="122">
        <f t="shared" si="6"/>
        <v>3.599999996367842E-3</v>
      </c>
    </row>
    <row r="5" spans="1:21" ht="89.25" x14ac:dyDescent="0.2">
      <c r="A5" s="120" t="s">
        <v>2336</v>
      </c>
      <c r="B5" s="114" t="s">
        <v>32</v>
      </c>
      <c r="C5" s="114" t="s">
        <v>1322</v>
      </c>
      <c r="D5" s="114" t="s">
        <v>24</v>
      </c>
      <c r="E5" s="114" t="s">
        <v>34</v>
      </c>
      <c r="F5" s="114" t="s">
        <v>26</v>
      </c>
      <c r="G5" s="115">
        <v>1404.56</v>
      </c>
      <c r="H5" s="116">
        <v>6.6000000000000005</v>
      </c>
      <c r="I5" s="121">
        <v>0.2223</v>
      </c>
      <c r="J5" s="116">
        <f t="shared" si="0"/>
        <v>1.4624999999999995</v>
      </c>
      <c r="K5" s="116">
        <v>8.0625</v>
      </c>
      <c r="L5" s="116">
        <f t="shared" si="1"/>
        <v>9270.0959999999995</v>
      </c>
      <c r="M5" s="116">
        <f t="shared" si="2"/>
        <v>11324.264999999999</v>
      </c>
      <c r="N5" s="116">
        <v>10.75</v>
      </c>
      <c r="O5" s="116">
        <f t="shared" si="3"/>
        <v>2.6875</v>
      </c>
      <c r="P5" s="116">
        <f t="shared" si="4"/>
        <v>3774.7549999999997</v>
      </c>
      <c r="Q5" s="116" t="s">
        <v>2332</v>
      </c>
      <c r="R5" s="116" t="s">
        <v>2337</v>
      </c>
      <c r="S5" s="116" t="str">
        <f t="shared" si="5"/>
        <v>OK - FECHA COM PLANILHA</v>
      </c>
      <c r="T5" s="116">
        <v>11324.26</v>
      </c>
      <c r="U5" s="122">
        <f t="shared" si="6"/>
        <v>4.9999999991996447E-3</v>
      </c>
    </row>
    <row r="6" spans="1:21" ht="102" x14ac:dyDescent="0.2">
      <c r="A6" s="120" t="s">
        <v>2338</v>
      </c>
      <c r="B6" s="114" t="s">
        <v>36</v>
      </c>
      <c r="C6" s="114" t="s">
        <v>1324</v>
      </c>
      <c r="D6" s="114" t="s">
        <v>24</v>
      </c>
      <c r="E6" s="114" t="s">
        <v>1325</v>
      </c>
      <c r="F6" s="114" t="s">
        <v>26</v>
      </c>
      <c r="G6" s="115">
        <v>1404.56</v>
      </c>
      <c r="H6" s="116">
        <v>3.9375</v>
      </c>
      <c r="I6" s="121">
        <v>0.2223</v>
      </c>
      <c r="J6" s="116">
        <f t="shared" si="0"/>
        <v>0.87000000000000011</v>
      </c>
      <c r="K6" s="116">
        <v>4.8075000000000001</v>
      </c>
      <c r="L6" s="116">
        <f t="shared" si="1"/>
        <v>5530.4549999999999</v>
      </c>
      <c r="M6" s="116">
        <f t="shared" si="2"/>
        <v>6752.4222</v>
      </c>
      <c r="N6" s="116">
        <v>6.41</v>
      </c>
      <c r="O6" s="116">
        <f t="shared" si="3"/>
        <v>1.6025</v>
      </c>
      <c r="P6" s="116">
        <f t="shared" si="4"/>
        <v>2250.8074000000001</v>
      </c>
      <c r="Q6" s="116" t="s">
        <v>2332</v>
      </c>
      <c r="R6" s="116" t="s">
        <v>2339</v>
      </c>
      <c r="S6" s="116" t="str">
        <f t="shared" si="5"/>
        <v>OK - FECHA COM PLANILHA</v>
      </c>
      <c r="T6" s="116">
        <v>6752.42</v>
      </c>
      <c r="U6" s="122">
        <f t="shared" si="6"/>
        <v>2.1999999999025022E-3</v>
      </c>
    </row>
    <row r="7" spans="1:21" ht="89.25" x14ac:dyDescent="0.2">
      <c r="A7" s="120" t="s">
        <v>2340</v>
      </c>
      <c r="B7" s="114" t="s">
        <v>39</v>
      </c>
      <c r="C7" s="114" t="s">
        <v>1326</v>
      </c>
      <c r="D7" s="114" t="s">
        <v>24</v>
      </c>
      <c r="E7" s="114" t="s">
        <v>41</v>
      </c>
      <c r="F7" s="114" t="s">
        <v>26</v>
      </c>
      <c r="G7" s="115">
        <v>1404.56</v>
      </c>
      <c r="H7" s="116">
        <v>7.875</v>
      </c>
      <c r="I7" s="121">
        <v>0.2223</v>
      </c>
      <c r="J7" s="116">
        <f t="shared" si="0"/>
        <v>1.7475000000000005</v>
      </c>
      <c r="K7" s="116">
        <v>9.6225000000000005</v>
      </c>
      <c r="L7" s="116">
        <f t="shared" si="1"/>
        <v>11060.91</v>
      </c>
      <c r="M7" s="116">
        <f t="shared" si="2"/>
        <v>13515.3786</v>
      </c>
      <c r="N7" s="116">
        <v>12.83</v>
      </c>
      <c r="O7" s="116">
        <f t="shared" si="3"/>
        <v>3.2074999999999996</v>
      </c>
      <c r="P7" s="116">
        <f t="shared" si="4"/>
        <v>4505.1261999999988</v>
      </c>
      <c r="Q7" s="116" t="s">
        <v>2332</v>
      </c>
      <c r="R7" s="116" t="s">
        <v>2341</v>
      </c>
      <c r="S7" s="116" t="str">
        <f t="shared" si="5"/>
        <v>OK - FECHA COM PLANILHA</v>
      </c>
      <c r="T7" s="116">
        <v>13515.37</v>
      </c>
      <c r="U7" s="122">
        <f t="shared" si="6"/>
        <v>8.5999999992054654E-3</v>
      </c>
    </row>
    <row r="8" spans="1:21" ht="89.25" x14ac:dyDescent="0.2">
      <c r="A8" s="120" t="s">
        <v>2342</v>
      </c>
      <c r="B8" s="114" t="s">
        <v>42</v>
      </c>
      <c r="C8" s="114" t="s">
        <v>1327</v>
      </c>
      <c r="D8" s="114" t="s">
        <v>24</v>
      </c>
      <c r="E8" s="114" t="s">
        <v>44</v>
      </c>
      <c r="F8" s="114" t="s">
        <v>26</v>
      </c>
      <c r="G8" s="115">
        <v>1404.56</v>
      </c>
      <c r="H8" s="116">
        <v>3.9375</v>
      </c>
      <c r="I8" s="121">
        <v>0.2223</v>
      </c>
      <c r="J8" s="116">
        <f t="shared" si="0"/>
        <v>0.87000000000000011</v>
      </c>
      <c r="K8" s="116">
        <v>4.8075000000000001</v>
      </c>
      <c r="L8" s="116">
        <f t="shared" si="1"/>
        <v>5530.4549999999999</v>
      </c>
      <c r="M8" s="116">
        <f t="shared" si="2"/>
        <v>6752.4222</v>
      </c>
      <c r="N8" s="116">
        <v>6.41</v>
      </c>
      <c r="O8" s="116">
        <f t="shared" si="3"/>
        <v>1.6025</v>
      </c>
      <c r="P8" s="116">
        <f t="shared" si="4"/>
        <v>2250.8074000000001</v>
      </c>
      <c r="Q8" s="116" t="s">
        <v>2332</v>
      </c>
      <c r="R8" s="116" t="s">
        <v>2343</v>
      </c>
      <c r="S8" s="116" t="str">
        <f t="shared" si="5"/>
        <v>OK - FECHA COM PLANILHA</v>
      </c>
      <c r="T8" s="116">
        <v>6752.42</v>
      </c>
      <c r="U8" s="122">
        <f t="shared" si="6"/>
        <v>2.1999999999025022E-3</v>
      </c>
    </row>
    <row r="9" spans="1:21" ht="76.5" x14ac:dyDescent="0.2">
      <c r="A9" s="120" t="s">
        <v>2344</v>
      </c>
      <c r="B9" s="114" t="s">
        <v>46</v>
      </c>
      <c r="C9" s="114" t="s">
        <v>1328</v>
      </c>
      <c r="D9" s="114" t="s">
        <v>24</v>
      </c>
      <c r="E9" s="114" t="s">
        <v>1329</v>
      </c>
      <c r="F9" s="114" t="s">
        <v>26</v>
      </c>
      <c r="G9" s="115">
        <v>1404.56</v>
      </c>
      <c r="H9" s="116">
        <v>6.0299999999999994</v>
      </c>
      <c r="I9" s="121">
        <v>0.2223</v>
      </c>
      <c r="J9" s="116">
        <f t="shared" si="0"/>
        <v>1.3350000000000009</v>
      </c>
      <c r="K9" s="116">
        <v>7.3650000000000002</v>
      </c>
      <c r="L9" s="116">
        <f t="shared" si="1"/>
        <v>8469.496799999999</v>
      </c>
      <c r="M9" s="116">
        <f t="shared" si="2"/>
        <v>10344.5844</v>
      </c>
      <c r="N9" s="116">
        <v>9.82</v>
      </c>
      <c r="O9" s="116">
        <f t="shared" si="3"/>
        <v>2.4550000000000001</v>
      </c>
      <c r="P9" s="116">
        <f t="shared" si="4"/>
        <v>3448.1947999999998</v>
      </c>
      <c r="Q9" s="116" t="s">
        <v>2332</v>
      </c>
      <c r="R9" s="116" t="s">
        <v>2345</v>
      </c>
      <c r="S9" s="116" t="str">
        <f t="shared" si="5"/>
        <v>OK - FECHA COM PLANILHA</v>
      </c>
      <c r="T9" s="116">
        <v>10344.58</v>
      </c>
      <c r="U9" s="122">
        <f t="shared" si="6"/>
        <v>4.3999999998050043E-3</v>
      </c>
    </row>
    <row r="10" spans="1:21" ht="102" x14ac:dyDescent="0.2">
      <c r="A10" s="120" t="s">
        <v>2346</v>
      </c>
      <c r="B10" s="114" t="s">
        <v>49</v>
      </c>
      <c r="C10" s="114" t="s">
        <v>1330</v>
      </c>
      <c r="D10" s="114" t="s">
        <v>24</v>
      </c>
      <c r="E10" s="114" t="s">
        <v>51</v>
      </c>
      <c r="F10" s="114" t="s">
        <v>26</v>
      </c>
      <c r="G10" s="115">
        <v>1404.56</v>
      </c>
      <c r="H10" s="116">
        <v>1.9424999999999999</v>
      </c>
      <c r="I10" s="121">
        <v>0.2223</v>
      </c>
      <c r="J10" s="116">
        <f t="shared" si="0"/>
        <v>0.42750000000000021</v>
      </c>
      <c r="K10" s="116">
        <v>2.37</v>
      </c>
      <c r="L10" s="116">
        <f t="shared" si="1"/>
        <v>2728.3577999999998</v>
      </c>
      <c r="M10" s="116">
        <f t="shared" si="2"/>
        <v>3328.8072000000002</v>
      </c>
      <c r="N10" s="116">
        <v>3.16</v>
      </c>
      <c r="O10" s="116">
        <f t="shared" si="3"/>
        <v>0.79</v>
      </c>
      <c r="P10" s="116">
        <f t="shared" si="4"/>
        <v>1109.6024</v>
      </c>
      <c r="Q10" s="116" t="s">
        <v>2332</v>
      </c>
      <c r="R10" s="116" t="s">
        <v>2347</v>
      </c>
      <c r="S10" s="116" t="str">
        <f t="shared" si="5"/>
        <v>OK - FECHA COM PLANILHA</v>
      </c>
      <c r="T10" s="116">
        <v>3328.8</v>
      </c>
      <c r="U10" s="122">
        <f t="shared" si="6"/>
        <v>7.2000000000116415E-3</v>
      </c>
    </row>
    <row r="11" spans="1:21" ht="63.75" x14ac:dyDescent="0.2">
      <c r="A11" s="120" t="s">
        <v>2348</v>
      </c>
      <c r="B11" s="114" t="s">
        <v>55</v>
      </c>
      <c r="C11" s="114" t="s">
        <v>1331</v>
      </c>
      <c r="D11" s="114" t="s">
        <v>56</v>
      </c>
      <c r="E11" s="114" t="s">
        <v>57</v>
      </c>
      <c r="F11" s="114" t="s">
        <v>58</v>
      </c>
      <c r="G11" s="115">
        <v>15</v>
      </c>
      <c r="H11" s="116">
        <v>7867.7249999999995</v>
      </c>
      <c r="I11" s="121">
        <v>0.2223</v>
      </c>
      <c r="J11" s="116">
        <f t="shared" si="0"/>
        <v>1748.9925000000012</v>
      </c>
      <c r="K11" s="116">
        <v>9616.7175000000007</v>
      </c>
      <c r="L11" s="116">
        <f t="shared" si="1"/>
        <v>118015.87499999999</v>
      </c>
      <c r="M11" s="116">
        <f t="shared" si="2"/>
        <v>144250.76250000001</v>
      </c>
      <c r="N11" s="116">
        <v>12822.29</v>
      </c>
      <c r="O11" s="116">
        <f t="shared" si="3"/>
        <v>3205.5725000000002</v>
      </c>
      <c r="P11" s="116">
        <f t="shared" si="4"/>
        <v>48083.587500000001</v>
      </c>
      <c r="Q11" s="116" t="s">
        <v>2349</v>
      </c>
      <c r="R11" s="116" t="s">
        <v>2350</v>
      </c>
      <c r="S11" s="116" t="str">
        <f t="shared" si="5"/>
        <v>OK - FECHA COM PLANILHA</v>
      </c>
      <c r="T11" s="116">
        <v>144250.76</v>
      </c>
      <c r="U11" s="122">
        <f t="shared" si="6"/>
        <v>2.5000000023283064E-3</v>
      </c>
    </row>
    <row r="12" spans="1:21" ht="63.75" x14ac:dyDescent="0.2">
      <c r="A12" s="120" t="s">
        <v>2351</v>
      </c>
      <c r="B12" s="114" t="s">
        <v>59</v>
      </c>
      <c r="C12" s="114" t="s">
        <v>1332</v>
      </c>
      <c r="D12" s="114" t="s">
        <v>56</v>
      </c>
      <c r="E12" s="114" t="s">
        <v>60</v>
      </c>
      <c r="F12" s="114" t="s">
        <v>61</v>
      </c>
      <c r="G12" s="115">
        <v>1440</v>
      </c>
      <c r="H12" s="116">
        <v>109.58250000000001</v>
      </c>
      <c r="I12" s="121">
        <v>0.2223</v>
      </c>
      <c r="J12" s="116">
        <f t="shared" si="0"/>
        <v>24.359999999999985</v>
      </c>
      <c r="K12" s="116">
        <v>133.9425</v>
      </c>
      <c r="L12" s="116">
        <f t="shared" si="1"/>
        <v>157798.80000000002</v>
      </c>
      <c r="M12" s="116">
        <f t="shared" si="2"/>
        <v>192877.19999999998</v>
      </c>
      <c r="N12" s="116">
        <v>178.59</v>
      </c>
      <c r="O12" s="116">
        <f t="shared" si="3"/>
        <v>44.647500000000008</v>
      </c>
      <c r="P12" s="116">
        <f t="shared" si="4"/>
        <v>64292.400000000009</v>
      </c>
      <c r="Q12" s="116" t="s">
        <v>2349</v>
      </c>
      <c r="R12" s="116" t="s">
        <v>2352</v>
      </c>
      <c r="S12" s="116" t="str">
        <f t="shared" si="5"/>
        <v>OK - FECHA COM PLANILHA</v>
      </c>
      <c r="T12" s="116">
        <v>192877.2</v>
      </c>
      <c r="U12" s="122">
        <f t="shared" si="6"/>
        <v>0</v>
      </c>
    </row>
    <row r="13" spans="1:21" ht="63.75" x14ac:dyDescent="0.2">
      <c r="A13" s="120" t="s">
        <v>2353</v>
      </c>
      <c r="B13" s="114" t="s">
        <v>62</v>
      </c>
      <c r="C13" s="114" t="s">
        <v>1333</v>
      </c>
      <c r="D13" s="114" t="s">
        <v>56</v>
      </c>
      <c r="E13" s="114" t="s">
        <v>1334</v>
      </c>
      <c r="F13" s="114" t="s">
        <v>58</v>
      </c>
      <c r="G13" s="115">
        <v>15</v>
      </c>
      <c r="H13" s="116">
        <v>6406.6875</v>
      </c>
      <c r="I13" s="121">
        <v>0.2223</v>
      </c>
      <c r="J13" s="116">
        <f t="shared" si="0"/>
        <v>1424.2049999999999</v>
      </c>
      <c r="K13" s="116">
        <v>7830.8924999999999</v>
      </c>
      <c r="L13" s="116">
        <f t="shared" si="1"/>
        <v>96100.3125</v>
      </c>
      <c r="M13" s="116">
        <f t="shared" si="2"/>
        <v>117463.3875</v>
      </c>
      <c r="N13" s="116">
        <v>10441.19</v>
      </c>
      <c r="O13" s="116">
        <f t="shared" si="3"/>
        <v>2610.2975000000006</v>
      </c>
      <c r="P13" s="116">
        <f t="shared" si="4"/>
        <v>39154.462500000009</v>
      </c>
      <c r="Q13" s="116" t="s">
        <v>2349</v>
      </c>
      <c r="R13" s="116" t="s">
        <v>2354</v>
      </c>
      <c r="S13" s="116" t="str">
        <f t="shared" si="5"/>
        <v>OK - FECHA COM PLANILHA</v>
      </c>
      <c r="T13" s="116">
        <v>117463.38</v>
      </c>
      <c r="U13" s="122">
        <f t="shared" si="6"/>
        <v>7.4999999924330041E-3</v>
      </c>
    </row>
    <row r="14" spans="1:21" ht="63.75" x14ac:dyDescent="0.2">
      <c r="A14" s="120" t="s">
        <v>2355</v>
      </c>
      <c r="B14" s="114" t="s">
        <v>64</v>
      </c>
      <c r="C14" s="114" t="s">
        <v>1335</v>
      </c>
      <c r="D14" s="114" t="s">
        <v>56</v>
      </c>
      <c r="E14" s="114" t="s">
        <v>1336</v>
      </c>
      <c r="F14" s="114" t="s">
        <v>61</v>
      </c>
      <c r="G14" s="115">
        <v>600</v>
      </c>
      <c r="H14" s="116">
        <v>42.412499999999994</v>
      </c>
      <c r="I14" s="121">
        <v>0.2223</v>
      </c>
      <c r="J14" s="116">
        <f t="shared" si="0"/>
        <v>9.4275000000000091</v>
      </c>
      <c r="K14" s="116">
        <v>51.84</v>
      </c>
      <c r="L14" s="116">
        <f t="shared" si="1"/>
        <v>25447.499999999996</v>
      </c>
      <c r="M14" s="116">
        <f t="shared" si="2"/>
        <v>31104.000000000004</v>
      </c>
      <c r="N14" s="116">
        <v>69.12</v>
      </c>
      <c r="O14" s="116">
        <f t="shared" si="3"/>
        <v>17.28</v>
      </c>
      <c r="P14" s="116">
        <f t="shared" si="4"/>
        <v>10368</v>
      </c>
      <c r="Q14" s="116" t="s">
        <v>2349</v>
      </c>
      <c r="R14" s="116" t="s">
        <v>2356</v>
      </c>
      <c r="S14" s="116" t="str">
        <f t="shared" si="5"/>
        <v>OK - FECHA COM PLANILHA</v>
      </c>
      <c r="T14" s="116">
        <v>31104</v>
      </c>
      <c r="U14" s="122">
        <f t="shared" si="6"/>
        <v>0</v>
      </c>
    </row>
    <row r="15" spans="1:21" ht="63.75" x14ac:dyDescent="0.2">
      <c r="A15" s="120" t="s">
        <v>2357</v>
      </c>
      <c r="B15" s="114" t="s">
        <v>66</v>
      </c>
      <c r="C15" s="114" t="s">
        <v>1337</v>
      </c>
      <c r="D15" s="114" t="s">
        <v>24</v>
      </c>
      <c r="E15" s="114" t="s">
        <v>68</v>
      </c>
      <c r="F15" s="114" t="s">
        <v>58</v>
      </c>
      <c r="G15" s="115">
        <v>15</v>
      </c>
      <c r="H15" s="116">
        <v>10762.275000000001</v>
      </c>
      <c r="I15" s="121">
        <v>0.2223</v>
      </c>
      <c r="J15" s="116">
        <f t="shared" si="0"/>
        <v>2392.4474999999984</v>
      </c>
      <c r="K15" s="116">
        <v>13154.7225</v>
      </c>
      <c r="L15" s="116">
        <f t="shared" si="1"/>
        <v>161434.12500000003</v>
      </c>
      <c r="M15" s="116">
        <f t="shared" si="2"/>
        <v>197320.83749999999</v>
      </c>
      <c r="N15" s="116">
        <v>17539.63</v>
      </c>
      <c r="O15" s="116">
        <f t="shared" si="3"/>
        <v>4384.9075000000012</v>
      </c>
      <c r="P15" s="116">
        <f t="shared" si="4"/>
        <v>65773.612500000017</v>
      </c>
      <c r="Q15" s="116" t="s">
        <v>2332</v>
      </c>
      <c r="R15" s="116" t="s">
        <v>2358</v>
      </c>
      <c r="S15" s="116" t="str">
        <f t="shared" si="5"/>
        <v>OK - FECHA COM PLANILHA</v>
      </c>
      <c r="T15" s="116">
        <v>197320.83</v>
      </c>
      <c r="U15" s="122">
        <f t="shared" si="6"/>
        <v>7.5000000069849193E-3</v>
      </c>
    </row>
    <row r="16" spans="1:21" ht="140.25" x14ac:dyDescent="0.2">
      <c r="A16" s="120" t="s">
        <v>2359</v>
      </c>
      <c r="B16" s="114" t="s">
        <v>69</v>
      </c>
      <c r="C16" s="114" t="s">
        <v>1338</v>
      </c>
      <c r="D16" s="114" t="s">
        <v>24</v>
      </c>
      <c r="E16" s="114" t="s">
        <v>1339</v>
      </c>
      <c r="F16" s="114" t="s">
        <v>72</v>
      </c>
      <c r="G16" s="115">
        <v>427.22754989999999</v>
      </c>
      <c r="H16" s="116">
        <v>27.262500000000003</v>
      </c>
      <c r="I16" s="121">
        <v>0.2223</v>
      </c>
      <c r="J16" s="116">
        <f t="shared" si="0"/>
        <v>6.0599999999999952</v>
      </c>
      <c r="K16" s="116">
        <v>33.322499999999998</v>
      </c>
      <c r="L16" s="116">
        <f t="shared" si="1"/>
        <v>11647.29107914875</v>
      </c>
      <c r="M16" s="116">
        <f t="shared" si="2"/>
        <v>14236.290031542749</v>
      </c>
      <c r="N16" s="116">
        <v>44.43</v>
      </c>
      <c r="O16" s="116">
        <f t="shared" si="3"/>
        <v>11.107500000000002</v>
      </c>
      <c r="P16" s="116">
        <f t="shared" si="4"/>
        <v>4745.4300105142502</v>
      </c>
      <c r="Q16" s="116" t="s">
        <v>2332</v>
      </c>
      <c r="R16" s="116" t="s">
        <v>2360</v>
      </c>
      <c r="S16" s="116" t="str">
        <f t="shared" si="5"/>
        <v>OK - FECHA COM PLANILHA</v>
      </c>
      <c r="T16" s="116">
        <v>14236.29</v>
      </c>
      <c r="U16" s="122">
        <f t="shared" si="6"/>
        <v>3.154274781991262E-5</v>
      </c>
    </row>
    <row r="17" spans="1:21" ht="76.5" x14ac:dyDescent="0.2">
      <c r="A17" s="120" t="s">
        <v>2361</v>
      </c>
      <c r="B17" s="114" t="s">
        <v>75</v>
      </c>
      <c r="C17" s="114" t="s">
        <v>1340</v>
      </c>
      <c r="D17" s="114" t="s">
        <v>24</v>
      </c>
      <c r="E17" s="114" t="s">
        <v>77</v>
      </c>
      <c r="F17" s="114" t="s">
        <v>26</v>
      </c>
      <c r="G17" s="115">
        <v>459.399</v>
      </c>
      <c r="H17" s="116">
        <v>33.547499999999999</v>
      </c>
      <c r="I17" s="121">
        <v>0.2223</v>
      </c>
      <c r="J17" s="116">
        <f t="shared" si="0"/>
        <v>7.4549999999999983</v>
      </c>
      <c r="K17" s="116">
        <v>41.002499999999998</v>
      </c>
      <c r="L17" s="116">
        <f t="shared" si="1"/>
        <v>15411.6879525</v>
      </c>
      <c r="M17" s="116">
        <f t="shared" si="2"/>
        <v>18836.507497499999</v>
      </c>
      <c r="N17" s="116">
        <v>54.67</v>
      </c>
      <c r="O17" s="116">
        <f t="shared" si="3"/>
        <v>13.667500000000004</v>
      </c>
      <c r="P17" s="116">
        <f t="shared" si="4"/>
        <v>6278.8358325000017</v>
      </c>
      <c r="Q17" s="116" t="s">
        <v>2332</v>
      </c>
      <c r="R17" s="116" t="s">
        <v>2362</v>
      </c>
      <c r="S17" s="116" t="str">
        <f t="shared" si="5"/>
        <v>OK - FECHA COM PLANILHA</v>
      </c>
      <c r="T17" s="116">
        <v>18836.5</v>
      </c>
      <c r="U17" s="122">
        <f t="shared" si="6"/>
        <v>7.4974999988626223E-3</v>
      </c>
    </row>
    <row r="18" spans="1:21" ht="127.5" x14ac:dyDescent="0.2">
      <c r="A18" s="120" t="s">
        <v>2363</v>
      </c>
      <c r="B18" s="114" t="s">
        <v>78</v>
      </c>
      <c r="C18" s="114" t="s">
        <v>1341</v>
      </c>
      <c r="D18" s="114" t="s">
        <v>24</v>
      </c>
      <c r="E18" s="114" t="s">
        <v>80</v>
      </c>
      <c r="F18" s="114" t="s">
        <v>26</v>
      </c>
      <c r="G18" s="115">
        <v>42.530999999999999</v>
      </c>
      <c r="H18" s="116">
        <v>428.0625</v>
      </c>
      <c r="I18" s="121">
        <v>0.2223</v>
      </c>
      <c r="J18" s="116">
        <f t="shared" si="0"/>
        <v>95.152500000000032</v>
      </c>
      <c r="K18" s="116">
        <v>523.21500000000003</v>
      </c>
      <c r="L18" s="116">
        <f t="shared" si="1"/>
        <v>18205.926187500001</v>
      </c>
      <c r="M18" s="116">
        <f t="shared" si="2"/>
        <v>22252.857165000001</v>
      </c>
      <c r="N18" s="116">
        <v>697.62</v>
      </c>
      <c r="O18" s="116">
        <f t="shared" si="3"/>
        <v>174.40499999999997</v>
      </c>
      <c r="P18" s="116">
        <f t="shared" si="4"/>
        <v>7417.6190549999983</v>
      </c>
      <c r="Q18" s="116" t="s">
        <v>2332</v>
      </c>
      <c r="R18" s="116" t="s">
        <v>2364</v>
      </c>
      <c r="S18" s="116" t="str">
        <f t="shared" si="5"/>
        <v>OK - FECHA COM PLANILHA</v>
      </c>
      <c r="T18" s="116">
        <v>22252.85</v>
      </c>
      <c r="U18" s="122">
        <f t="shared" si="6"/>
        <v>7.1650000027148053E-3</v>
      </c>
    </row>
    <row r="19" spans="1:21" ht="127.5" x14ac:dyDescent="0.2">
      <c r="A19" s="120" t="s">
        <v>2365</v>
      </c>
      <c r="B19" s="114" t="s">
        <v>81</v>
      </c>
      <c r="C19" s="114" t="s">
        <v>1342</v>
      </c>
      <c r="D19" s="114" t="s">
        <v>24</v>
      </c>
      <c r="E19" s="114" t="s">
        <v>1343</v>
      </c>
      <c r="F19" s="114" t="s">
        <v>84</v>
      </c>
      <c r="G19" s="115">
        <v>2</v>
      </c>
      <c r="H19" s="116">
        <v>3967.1325000000002</v>
      </c>
      <c r="I19" s="121">
        <v>0.2223</v>
      </c>
      <c r="J19" s="116">
        <f t="shared" si="0"/>
        <v>881.88749999999936</v>
      </c>
      <c r="K19" s="116">
        <v>4849.0199999999995</v>
      </c>
      <c r="L19" s="116">
        <f t="shared" si="1"/>
        <v>7934.2650000000003</v>
      </c>
      <c r="M19" s="116">
        <f t="shared" si="2"/>
        <v>9698.0399999999991</v>
      </c>
      <c r="N19" s="116">
        <v>6465.36</v>
      </c>
      <c r="O19" s="116">
        <f t="shared" si="3"/>
        <v>1616.3400000000001</v>
      </c>
      <c r="P19" s="116">
        <f t="shared" si="4"/>
        <v>3232.6800000000003</v>
      </c>
      <c r="Q19" s="116" t="s">
        <v>2332</v>
      </c>
      <c r="R19" s="116" t="s">
        <v>2366</v>
      </c>
      <c r="S19" s="116" t="str">
        <f t="shared" si="5"/>
        <v>OK - FECHA COM PLANILHA</v>
      </c>
      <c r="T19" s="116">
        <v>9698.0400000000009</v>
      </c>
      <c r="U19" s="122">
        <f t="shared" si="6"/>
        <v>0</v>
      </c>
    </row>
    <row r="20" spans="1:21" ht="63.75" x14ac:dyDescent="0.2">
      <c r="A20" s="120" t="s">
        <v>2367</v>
      </c>
      <c r="B20" s="114" t="s">
        <v>85</v>
      </c>
      <c r="C20" s="114" t="s">
        <v>1344</v>
      </c>
      <c r="D20" s="114" t="s">
        <v>56</v>
      </c>
      <c r="E20" s="114" t="s">
        <v>86</v>
      </c>
      <c r="F20" s="114" t="s">
        <v>26</v>
      </c>
      <c r="G20" s="115">
        <v>8</v>
      </c>
      <c r="H20" s="116">
        <v>360.83249999999998</v>
      </c>
      <c r="I20" s="121">
        <v>0.2223</v>
      </c>
      <c r="J20" s="116">
        <f t="shared" si="0"/>
        <v>80.212499999999977</v>
      </c>
      <c r="K20" s="116">
        <v>441.04499999999996</v>
      </c>
      <c r="L20" s="116">
        <f t="shared" si="1"/>
        <v>2886.66</v>
      </c>
      <c r="M20" s="116">
        <f t="shared" si="2"/>
        <v>3528.3599999999997</v>
      </c>
      <c r="N20" s="116">
        <v>588.05999999999995</v>
      </c>
      <c r="O20" s="116">
        <f t="shared" si="3"/>
        <v>147.01499999999999</v>
      </c>
      <c r="P20" s="116">
        <f t="shared" si="4"/>
        <v>1176.1199999999999</v>
      </c>
      <c r="Q20" s="116" t="s">
        <v>2349</v>
      </c>
      <c r="R20" s="116" t="s">
        <v>2368</v>
      </c>
      <c r="S20" s="116" t="str">
        <f t="shared" si="5"/>
        <v>OK - FECHA COM PLANILHA</v>
      </c>
      <c r="T20" s="116">
        <v>3528.36</v>
      </c>
      <c r="U20" s="122">
        <f t="shared" si="6"/>
        <v>0</v>
      </c>
    </row>
    <row r="21" spans="1:21" ht="76.5" x14ac:dyDescent="0.2">
      <c r="A21" s="120" t="s">
        <v>2369</v>
      </c>
      <c r="B21" s="114" t="s">
        <v>87</v>
      </c>
      <c r="C21" s="114" t="s">
        <v>1345</v>
      </c>
      <c r="D21" s="114" t="s">
        <v>24</v>
      </c>
      <c r="E21" s="114" t="s">
        <v>89</v>
      </c>
      <c r="F21" s="114" t="s">
        <v>84</v>
      </c>
      <c r="G21" s="115">
        <v>1</v>
      </c>
      <c r="H21" s="116">
        <v>3668.07</v>
      </c>
      <c r="I21" s="121">
        <v>0.2223</v>
      </c>
      <c r="J21" s="116">
        <f t="shared" si="0"/>
        <v>815.4074999999998</v>
      </c>
      <c r="K21" s="116">
        <v>4483.4775</v>
      </c>
      <c r="L21" s="116">
        <f t="shared" si="1"/>
        <v>3668.07</v>
      </c>
      <c r="M21" s="116">
        <f t="shared" si="2"/>
        <v>4483.4775</v>
      </c>
      <c r="N21" s="116">
        <v>5977.97</v>
      </c>
      <c r="O21" s="116">
        <f t="shared" si="3"/>
        <v>1494.4925000000003</v>
      </c>
      <c r="P21" s="116">
        <f t="shared" si="4"/>
        <v>1494.4925000000003</v>
      </c>
      <c r="Q21" s="116" t="s">
        <v>2332</v>
      </c>
      <c r="R21" s="116" t="s">
        <v>2370</v>
      </c>
      <c r="S21" s="116" t="str">
        <f t="shared" si="5"/>
        <v>OK - FECHA COM PLANILHA</v>
      </c>
      <c r="T21" s="116">
        <v>4483.47</v>
      </c>
      <c r="U21" s="122">
        <f t="shared" si="6"/>
        <v>7.4999999997089617E-3</v>
      </c>
    </row>
    <row r="22" spans="1:21" ht="76.5" x14ac:dyDescent="0.2">
      <c r="A22" s="120" t="s">
        <v>2371</v>
      </c>
      <c r="B22" s="114" t="s">
        <v>90</v>
      </c>
      <c r="C22" s="114" t="s">
        <v>1346</v>
      </c>
      <c r="D22" s="114" t="s">
        <v>24</v>
      </c>
      <c r="E22" s="114" t="s">
        <v>92</v>
      </c>
      <c r="F22" s="114" t="s">
        <v>84</v>
      </c>
      <c r="G22" s="115">
        <v>1</v>
      </c>
      <c r="H22" s="116">
        <v>1977.4949999999999</v>
      </c>
      <c r="I22" s="121">
        <v>0.2223</v>
      </c>
      <c r="J22" s="116">
        <f t="shared" si="0"/>
        <v>439.59000000000015</v>
      </c>
      <c r="K22" s="116">
        <v>2417.085</v>
      </c>
      <c r="L22" s="116">
        <f t="shared" si="1"/>
        <v>1977.4949999999999</v>
      </c>
      <c r="M22" s="116">
        <f t="shared" si="2"/>
        <v>2417.085</v>
      </c>
      <c r="N22" s="116">
        <v>3222.78</v>
      </c>
      <c r="O22" s="116">
        <f t="shared" si="3"/>
        <v>805.69500000000016</v>
      </c>
      <c r="P22" s="116">
        <f t="shared" si="4"/>
        <v>805.69500000000016</v>
      </c>
      <c r="Q22" s="116" t="s">
        <v>2332</v>
      </c>
      <c r="R22" s="116" t="s">
        <v>2372</v>
      </c>
      <c r="S22" s="116" t="str">
        <f t="shared" si="5"/>
        <v>OK - FECHA COM PLANILHA</v>
      </c>
      <c r="T22" s="116">
        <v>2417.08</v>
      </c>
      <c r="U22" s="122">
        <f t="shared" si="6"/>
        <v>5.0000000001091394E-3</v>
      </c>
    </row>
    <row r="23" spans="1:21" ht="63.75" x14ac:dyDescent="0.2">
      <c r="A23" s="120" t="s">
        <v>2373</v>
      </c>
      <c r="B23" s="114" t="s">
        <v>95</v>
      </c>
      <c r="C23" s="114" t="s">
        <v>1347</v>
      </c>
      <c r="D23" s="114" t="s">
        <v>56</v>
      </c>
      <c r="E23" s="114" t="s">
        <v>96</v>
      </c>
      <c r="F23" s="114" t="s">
        <v>26</v>
      </c>
      <c r="G23" s="115">
        <v>1456</v>
      </c>
      <c r="H23" s="116">
        <v>23.2425</v>
      </c>
      <c r="I23" s="121">
        <v>0.2223</v>
      </c>
      <c r="J23" s="116">
        <f t="shared" si="0"/>
        <v>5.1599999999999966</v>
      </c>
      <c r="K23" s="116">
        <v>28.402499999999996</v>
      </c>
      <c r="L23" s="116">
        <f t="shared" si="1"/>
        <v>33841.08</v>
      </c>
      <c r="M23" s="116">
        <f t="shared" si="2"/>
        <v>41354.039999999994</v>
      </c>
      <c r="N23" s="116">
        <v>37.869999999999997</v>
      </c>
      <c r="O23" s="116">
        <f t="shared" si="3"/>
        <v>9.4675000000000011</v>
      </c>
      <c r="P23" s="116">
        <f t="shared" si="4"/>
        <v>13784.680000000002</v>
      </c>
      <c r="Q23" s="116" t="s">
        <v>2349</v>
      </c>
      <c r="R23" s="116" t="s">
        <v>2374</v>
      </c>
      <c r="S23" s="116" t="str">
        <f t="shared" si="5"/>
        <v>OK - FECHA COM PLANILHA</v>
      </c>
      <c r="T23" s="116">
        <v>41354.04</v>
      </c>
      <c r="U23" s="122">
        <f t="shared" si="6"/>
        <v>0</v>
      </c>
    </row>
    <row r="24" spans="1:21" ht="63.75" x14ac:dyDescent="0.2">
      <c r="A24" s="120" t="s">
        <v>2375</v>
      </c>
      <c r="B24" s="114" t="s">
        <v>97</v>
      </c>
      <c r="C24" s="114" t="s">
        <v>1348</v>
      </c>
      <c r="D24" s="114" t="s">
        <v>56</v>
      </c>
      <c r="E24" s="114" t="s">
        <v>98</v>
      </c>
      <c r="F24" s="114" t="s">
        <v>99</v>
      </c>
      <c r="G24" s="115">
        <v>3770</v>
      </c>
      <c r="H24" s="116">
        <v>32.04</v>
      </c>
      <c r="I24" s="121">
        <v>0.2223</v>
      </c>
      <c r="J24" s="116">
        <f t="shared" si="0"/>
        <v>7.1174999999999997</v>
      </c>
      <c r="K24" s="116">
        <v>39.157499999999999</v>
      </c>
      <c r="L24" s="116">
        <f t="shared" si="1"/>
        <v>120790.8</v>
      </c>
      <c r="M24" s="116">
        <f t="shared" si="2"/>
        <v>147623.77499999999</v>
      </c>
      <c r="N24" s="116">
        <v>52.21</v>
      </c>
      <c r="O24" s="116">
        <f t="shared" si="3"/>
        <v>13.052500000000002</v>
      </c>
      <c r="P24" s="116">
        <f t="shared" si="4"/>
        <v>49207.92500000001</v>
      </c>
      <c r="Q24" s="116" t="s">
        <v>2349</v>
      </c>
      <c r="R24" s="116" t="s">
        <v>2376</v>
      </c>
      <c r="S24" s="116" t="str">
        <f t="shared" si="5"/>
        <v>OK - FECHA COM PLANILHA</v>
      </c>
      <c r="T24" s="116">
        <v>147623.76999999999</v>
      </c>
      <c r="U24" s="122">
        <f t="shared" si="6"/>
        <v>5.0000000046566129E-3</v>
      </c>
    </row>
    <row r="25" spans="1:21" ht="76.5" x14ac:dyDescent="0.2">
      <c r="A25" s="120" t="s">
        <v>2377</v>
      </c>
      <c r="B25" s="114" t="s">
        <v>100</v>
      </c>
      <c r="C25" s="114" t="s">
        <v>1349</v>
      </c>
      <c r="D25" s="114" t="s">
        <v>56</v>
      </c>
      <c r="E25" s="114" t="s">
        <v>101</v>
      </c>
      <c r="F25" s="114" t="s">
        <v>102</v>
      </c>
      <c r="G25" s="115">
        <v>910</v>
      </c>
      <c r="H25" s="116">
        <v>18</v>
      </c>
      <c r="I25" s="121">
        <v>0.2223</v>
      </c>
      <c r="J25" s="116">
        <f t="shared" si="0"/>
        <v>3.9974999999999987</v>
      </c>
      <c r="K25" s="116">
        <v>21.997499999999999</v>
      </c>
      <c r="L25" s="116">
        <f t="shared" si="1"/>
        <v>16380</v>
      </c>
      <c r="M25" s="116">
        <f t="shared" si="2"/>
        <v>20017.724999999999</v>
      </c>
      <c r="N25" s="116">
        <v>29.33</v>
      </c>
      <c r="O25" s="116">
        <f t="shared" si="3"/>
        <v>7.3324999999999996</v>
      </c>
      <c r="P25" s="116">
        <f t="shared" si="4"/>
        <v>6672.5749999999998</v>
      </c>
      <c r="Q25" s="116" t="s">
        <v>2349</v>
      </c>
      <c r="R25" s="116" t="s">
        <v>2378</v>
      </c>
      <c r="S25" s="116" t="str">
        <f t="shared" si="5"/>
        <v>OK - FECHA COM PLANILHA</v>
      </c>
      <c r="T25" s="116">
        <v>20017.72</v>
      </c>
      <c r="U25" s="122">
        <f t="shared" si="6"/>
        <v>4.9999999973806553E-3</v>
      </c>
    </row>
    <row r="26" spans="1:21" ht="89.25" x14ac:dyDescent="0.2">
      <c r="A26" s="120" t="s">
        <v>2379</v>
      </c>
      <c r="B26" s="114" t="s">
        <v>103</v>
      </c>
      <c r="C26" s="114" t="s">
        <v>1350</v>
      </c>
      <c r="D26" s="114" t="s">
        <v>56</v>
      </c>
      <c r="E26" s="114" t="s">
        <v>1351</v>
      </c>
      <c r="F26" s="114" t="s">
        <v>105</v>
      </c>
      <c r="G26" s="115">
        <v>728</v>
      </c>
      <c r="H26" s="116">
        <v>24</v>
      </c>
      <c r="I26" s="121">
        <v>0.2223</v>
      </c>
      <c r="J26" s="116">
        <f t="shared" si="0"/>
        <v>5.3324999999999996</v>
      </c>
      <c r="K26" s="116">
        <v>29.3325</v>
      </c>
      <c r="L26" s="116">
        <f t="shared" si="1"/>
        <v>17472</v>
      </c>
      <c r="M26" s="116">
        <f t="shared" si="2"/>
        <v>21354.06</v>
      </c>
      <c r="N26" s="116">
        <v>39.11</v>
      </c>
      <c r="O26" s="116">
        <f t="shared" si="3"/>
        <v>9.7774999999999999</v>
      </c>
      <c r="P26" s="116">
        <f t="shared" si="4"/>
        <v>7118.0199999999995</v>
      </c>
      <c r="Q26" s="116" t="s">
        <v>2349</v>
      </c>
      <c r="R26" s="116" t="s">
        <v>2380</v>
      </c>
      <c r="S26" s="116" t="str">
        <f t="shared" si="5"/>
        <v>OK - FECHA COM PLANILHA</v>
      </c>
      <c r="T26" s="116">
        <v>21354.06</v>
      </c>
      <c r="U26" s="122">
        <f t="shared" si="6"/>
        <v>0</v>
      </c>
    </row>
    <row r="27" spans="1:21" ht="63.75" x14ac:dyDescent="0.2">
      <c r="A27" s="120" t="s">
        <v>2381</v>
      </c>
      <c r="B27" s="114" t="s">
        <v>109</v>
      </c>
      <c r="C27" s="114" t="s">
        <v>1352</v>
      </c>
      <c r="D27" s="114" t="s">
        <v>24</v>
      </c>
      <c r="E27" s="114" t="s">
        <v>111</v>
      </c>
      <c r="F27" s="114" t="s">
        <v>99</v>
      </c>
      <c r="G27" s="115">
        <v>210</v>
      </c>
      <c r="H27" s="116">
        <v>114.435</v>
      </c>
      <c r="I27" s="121">
        <v>0.2223</v>
      </c>
      <c r="J27" s="116">
        <f t="shared" si="0"/>
        <v>25.432500000000005</v>
      </c>
      <c r="K27" s="116">
        <v>139.86750000000001</v>
      </c>
      <c r="L27" s="116">
        <f t="shared" si="1"/>
        <v>24031.350000000002</v>
      </c>
      <c r="M27" s="116">
        <f t="shared" si="2"/>
        <v>29372.175000000003</v>
      </c>
      <c r="N27" s="116">
        <v>186.49</v>
      </c>
      <c r="O27" s="116">
        <f t="shared" si="3"/>
        <v>46.622500000000002</v>
      </c>
      <c r="P27" s="116">
        <f t="shared" si="4"/>
        <v>9790.7250000000004</v>
      </c>
      <c r="Q27" s="116" t="s">
        <v>2332</v>
      </c>
      <c r="R27" s="116" t="s">
        <v>2382</v>
      </c>
      <c r="S27" s="116" t="str">
        <f t="shared" si="5"/>
        <v>OK - FECHA COM PLANILHA</v>
      </c>
      <c r="T27" s="116">
        <v>29372.17</v>
      </c>
      <c r="U27" s="122">
        <f t="shared" si="6"/>
        <v>5.0000000046566129E-3</v>
      </c>
    </row>
    <row r="28" spans="1:21" ht="76.5" x14ac:dyDescent="0.2">
      <c r="A28" s="120" t="s">
        <v>2383</v>
      </c>
      <c r="B28" s="114" t="s">
        <v>112</v>
      </c>
      <c r="C28" s="114" t="s">
        <v>1353</v>
      </c>
      <c r="D28" s="114" t="s">
        <v>24</v>
      </c>
      <c r="E28" s="114" t="s">
        <v>114</v>
      </c>
      <c r="F28" s="114" t="s">
        <v>84</v>
      </c>
      <c r="G28" s="115">
        <v>1</v>
      </c>
      <c r="H28" s="116">
        <v>5141.6099999999997</v>
      </c>
      <c r="I28" s="121">
        <v>0.2223</v>
      </c>
      <c r="J28" s="116">
        <f t="shared" si="0"/>
        <v>1142.9775000000009</v>
      </c>
      <c r="K28" s="116">
        <v>6284.5875000000005</v>
      </c>
      <c r="L28" s="116">
        <f t="shared" si="1"/>
        <v>5141.6099999999997</v>
      </c>
      <c r="M28" s="116">
        <f t="shared" si="2"/>
        <v>6284.5875000000005</v>
      </c>
      <c r="N28" s="116">
        <v>8379.4500000000007</v>
      </c>
      <c r="O28" s="116">
        <f t="shared" si="3"/>
        <v>2094.8625000000002</v>
      </c>
      <c r="P28" s="116">
        <f t="shared" si="4"/>
        <v>2094.8625000000002</v>
      </c>
      <c r="Q28" s="116" t="s">
        <v>2332</v>
      </c>
      <c r="R28" s="116" t="s">
        <v>2384</v>
      </c>
      <c r="S28" s="116" t="str">
        <f t="shared" si="5"/>
        <v>OK - FECHA COM PLANILHA</v>
      </c>
      <c r="T28" s="116">
        <v>6284.58</v>
      </c>
      <c r="U28" s="122">
        <f t="shared" si="6"/>
        <v>7.5000000006184564E-3</v>
      </c>
    </row>
    <row r="29" spans="1:21" ht="102" x14ac:dyDescent="0.2">
      <c r="A29" s="120" t="s">
        <v>2385</v>
      </c>
      <c r="B29" s="114" t="s">
        <v>115</v>
      </c>
      <c r="C29" s="114" t="s">
        <v>1354</v>
      </c>
      <c r="D29" s="114" t="s">
        <v>24</v>
      </c>
      <c r="E29" s="114" t="s">
        <v>117</v>
      </c>
      <c r="F29" s="114" t="s">
        <v>118</v>
      </c>
      <c r="G29" s="115">
        <v>326.012</v>
      </c>
      <c r="H29" s="116">
        <v>25.282499999999999</v>
      </c>
      <c r="I29" s="121">
        <v>0.2223</v>
      </c>
      <c r="J29" s="116">
        <f t="shared" si="0"/>
        <v>5.6175000000000033</v>
      </c>
      <c r="K29" s="116">
        <v>30.900000000000002</v>
      </c>
      <c r="L29" s="116">
        <f t="shared" si="1"/>
        <v>8242.3983900000003</v>
      </c>
      <c r="M29" s="116">
        <f t="shared" si="2"/>
        <v>10073.7708</v>
      </c>
      <c r="N29" s="116">
        <v>41.2</v>
      </c>
      <c r="O29" s="116">
        <f t="shared" si="3"/>
        <v>10.3</v>
      </c>
      <c r="P29" s="116">
        <f t="shared" si="4"/>
        <v>3357.9236000000001</v>
      </c>
      <c r="Q29" s="116" t="s">
        <v>2332</v>
      </c>
      <c r="R29" s="116" t="s">
        <v>2386</v>
      </c>
      <c r="S29" s="116" t="str">
        <f t="shared" si="5"/>
        <v>OK - FECHA COM PLANILHA</v>
      </c>
      <c r="T29" s="116">
        <v>10073.77</v>
      </c>
      <c r="U29" s="122">
        <f t="shared" si="6"/>
        <v>7.9999999979918357E-4</v>
      </c>
    </row>
    <row r="30" spans="1:21" ht="63.75" x14ac:dyDescent="0.2">
      <c r="A30" s="120" t="s">
        <v>2387</v>
      </c>
      <c r="B30" s="114" t="s">
        <v>121</v>
      </c>
      <c r="C30" s="114" t="s">
        <v>1355</v>
      </c>
      <c r="D30" s="114" t="s">
        <v>24</v>
      </c>
      <c r="E30" s="114" t="s">
        <v>1356</v>
      </c>
      <c r="F30" s="114" t="s">
        <v>26</v>
      </c>
      <c r="G30" s="115">
        <v>3990.4189999999999</v>
      </c>
      <c r="H30" s="116">
        <v>0.48750000000000004</v>
      </c>
      <c r="I30" s="121">
        <v>0.2223</v>
      </c>
      <c r="J30" s="116">
        <f t="shared" si="0"/>
        <v>0.10499999999999998</v>
      </c>
      <c r="K30" s="116">
        <v>0.59250000000000003</v>
      </c>
      <c r="L30" s="116">
        <f t="shared" si="1"/>
        <v>1945.3292625000001</v>
      </c>
      <c r="M30" s="116">
        <f t="shared" si="2"/>
        <v>2364.3232575000002</v>
      </c>
      <c r="N30" s="116">
        <v>0.79</v>
      </c>
      <c r="O30" s="116">
        <f t="shared" si="3"/>
        <v>0.19750000000000001</v>
      </c>
      <c r="P30" s="116">
        <f t="shared" si="4"/>
        <v>788.10775250000006</v>
      </c>
      <c r="Q30" s="116" t="s">
        <v>2332</v>
      </c>
      <c r="R30" s="116" t="s">
        <v>2388</v>
      </c>
      <c r="S30" s="116" t="str">
        <f t="shared" si="5"/>
        <v>OK - FECHA COM PLANILHA</v>
      </c>
      <c r="T30" s="116">
        <v>2364.3200000000002</v>
      </c>
      <c r="U30" s="122">
        <f t="shared" si="6"/>
        <v>3.2575000000178989E-3</v>
      </c>
    </row>
    <row r="31" spans="1:21" ht="76.5" x14ac:dyDescent="0.2">
      <c r="A31" s="120" t="s">
        <v>2389</v>
      </c>
      <c r="B31" s="114" t="s">
        <v>124</v>
      </c>
      <c r="C31" s="114" t="s">
        <v>1357</v>
      </c>
      <c r="D31" s="114" t="s">
        <v>24</v>
      </c>
      <c r="E31" s="114" t="s">
        <v>1358</v>
      </c>
      <c r="F31" s="114" t="s">
        <v>26</v>
      </c>
      <c r="G31" s="115">
        <v>3990.4189999999999</v>
      </c>
      <c r="H31" s="116">
        <v>1.4175</v>
      </c>
      <c r="I31" s="121">
        <v>0.2223</v>
      </c>
      <c r="J31" s="116">
        <f t="shared" si="0"/>
        <v>0.31499999999999995</v>
      </c>
      <c r="K31" s="116">
        <v>1.7324999999999999</v>
      </c>
      <c r="L31" s="116">
        <f t="shared" si="1"/>
        <v>5656.4189324999998</v>
      </c>
      <c r="M31" s="116">
        <f t="shared" si="2"/>
        <v>6913.4009174999992</v>
      </c>
      <c r="N31" s="116">
        <v>2.31</v>
      </c>
      <c r="O31" s="116">
        <f t="shared" si="3"/>
        <v>0.57750000000000012</v>
      </c>
      <c r="P31" s="116">
        <f t="shared" si="4"/>
        <v>2304.4669725000003</v>
      </c>
      <c r="Q31" s="116" t="s">
        <v>2332</v>
      </c>
      <c r="R31" s="116" t="s">
        <v>2390</v>
      </c>
      <c r="S31" s="116" t="str">
        <f t="shared" si="5"/>
        <v>OK - FECHA COM PLANILHA</v>
      </c>
      <c r="T31" s="116">
        <v>6913.4</v>
      </c>
      <c r="U31" s="122">
        <f t="shared" si="6"/>
        <v>9.1749999955936801E-4</v>
      </c>
    </row>
    <row r="32" spans="1:21" ht="76.5" x14ac:dyDescent="0.2">
      <c r="A32" s="120" t="s">
        <v>2391</v>
      </c>
      <c r="B32" s="114" t="s">
        <v>127</v>
      </c>
      <c r="C32" s="114" t="s">
        <v>1359</v>
      </c>
      <c r="D32" s="114" t="s">
        <v>24</v>
      </c>
      <c r="E32" s="114" t="s">
        <v>129</v>
      </c>
      <c r="F32" s="114" t="s">
        <v>99</v>
      </c>
      <c r="G32" s="115">
        <v>200.69</v>
      </c>
      <c r="H32" s="116">
        <v>20.745000000000001</v>
      </c>
      <c r="I32" s="121">
        <v>0.2223</v>
      </c>
      <c r="J32" s="116">
        <f t="shared" si="0"/>
        <v>4.6049999999999969</v>
      </c>
      <c r="K32" s="116">
        <v>25.349999999999998</v>
      </c>
      <c r="L32" s="116">
        <f t="shared" si="1"/>
        <v>4163.31405</v>
      </c>
      <c r="M32" s="116">
        <f t="shared" si="2"/>
        <v>5087.4914999999992</v>
      </c>
      <c r="N32" s="116">
        <v>33.799999999999997</v>
      </c>
      <c r="O32" s="116">
        <f t="shared" si="3"/>
        <v>8.4499999999999993</v>
      </c>
      <c r="P32" s="116">
        <f t="shared" si="4"/>
        <v>1695.8304999999998</v>
      </c>
      <c r="Q32" s="116" t="s">
        <v>2332</v>
      </c>
      <c r="R32" s="116" t="s">
        <v>2392</v>
      </c>
      <c r="S32" s="116" t="str">
        <f t="shared" si="5"/>
        <v>OK - FECHA COM PLANILHA</v>
      </c>
      <c r="T32" s="116">
        <v>5087.49</v>
      </c>
      <c r="U32" s="122">
        <f t="shared" si="6"/>
        <v>1.4999999993960955E-3</v>
      </c>
    </row>
    <row r="33" spans="1:21" ht="63.75" x14ac:dyDescent="0.2">
      <c r="A33" s="120" t="s">
        <v>2393</v>
      </c>
      <c r="B33" s="114" t="s">
        <v>130</v>
      </c>
      <c r="C33" s="114" t="s">
        <v>1360</v>
      </c>
      <c r="D33" s="114" t="s">
        <v>24</v>
      </c>
      <c r="E33" s="114" t="s">
        <v>132</v>
      </c>
      <c r="F33" s="114" t="s">
        <v>84</v>
      </c>
      <c r="G33" s="115">
        <v>23</v>
      </c>
      <c r="H33" s="116">
        <v>474.255</v>
      </c>
      <c r="I33" s="121">
        <v>0.2223</v>
      </c>
      <c r="J33" s="116">
        <f t="shared" si="0"/>
        <v>105.41999999999996</v>
      </c>
      <c r="K33" s="116">
        <v>579.67499999999995</v>
      </c>
      <c r="L33" s="116">
        <f t="shared" si="1"/>
        <v>10907.865</v>
      </c>
      <c r="M33" s="116">
        <f t="shared" si="2"/>
        <v>13332.525</v>
      </c>
      <c r="N33" s="116">
        <v>772.9</v>
      </c>
      <c r="O33" s="116">
        <f t="shared" si="3"/>
        <v>193.22500000000002</v>
      </c>
      <c r="P33" s="116">
        <f t="shared" si="4"/>
        <v>4444.1750000000002</v>
      </c>
      <c r="Q33" s="116" t="s">
        <v>2332</v>
      </c>
      <c r="R33" s="116" t="s">
        <v>2394</v>
      </c>
      <c r="S33" s="116" t="str">
        <f t="shared" si="5"/>
        <v>OK - FECHA COM PLANILHA</v>
      </c>
      <c r="T33" s="116">
        <v>13332.52</v>
      </c>
      <c r="U33" s="122">
        <f t="shared" si="6"/>
        <v>4.9999999991996447E-3</v>
      </c>
    </row>
    <row r="34" spans="1:21" ht="63.75" x14ac:dyDescent="0.2">
      <c r="A34" s="120" t="s">
        <v>2395</v>
      </c>
      <c r="B34" s="114" t="s">
        <v>133</v>
      </c>
      <c r="C34" s="114" t="s">
        <v>1361</v>
      </c>
      <c r="D34" s="114" t="s">
        <v>24</v>
      </c>
      <c r="E34" s="114" t="s">
        <v>135</v>
      </c>
      <c r="F34" s="114" t="s">
        <v>84</v>
      </c>
      <c r="G34" s="115">
        <v>13</v>
      </c>
      <c r="H34" s="116">
        <v>22.605</v>
      </c>
      <c r="I34" s="121">
        <v>0.2223</v>
      </c>
      <c r="J34" s="116">
        <f t="shared" si="0"/>
        <v>5.0250000000000021</v>
      </c>
      <c r="K34" s="116">
        <v>27.630000000000003</v>
      </c>
      <c r="L34" s="116">
        <f t="shared" si="1"/>
        <v>293.86500000000001</v>
      </c>
      <c r="M34" s="116">
        <f t="shared" si="2"/>
        <v>359.19000000000005</v>
      </c>
      <c r="N34" s="116">
        <v>36.840000000000003</v>
      </c>
      <c r="O34" s="116">
        <f t="shared" si="3"/>
        <v>9.2100000000000009</v>
      </c>
      <c r="P34" s="116">
        <f t="shared" si="4"/>
        <v>119.73000000000002</v>
      </c>
      <c r="Q34" s="116" t="s">
        <v>2332</v>
      </c>
      <c r="R34" s="116" t="s">
        <v>2396</v>
      </c>
      <c r="S34" s="116" t="str">
        <f t="shared" si="5"/>
        <v>OK - FECHA COM PLANILHA</v>
      </c>
      <c r="T34" s="116">
        <v>359.19</v>
      </c>
      <c r="U34" s="122">
        <f t="shared" si="6"/>
        <v>0</v>
      </c>
    </row>
    <row r="35" spans="1:21" ht="63.75" x14ac:dyDescent="0.2">
      <c r="A35" s="120" t="s">
        <v>2397</v>
      </c>
      <c r="B35" s="114" t="s">
        <v>138</v>
      </c>
      <c r="C35" s="114" t="s">
        <v>1362</v>
      </c>
      <c r="D35" s="114" t="s">
        <v>56</v>
      </c>
      <c r="E35" s="114" t="s">
        <v>139</v>
      </c>
      <c r="F35" s="114" t="s">
        <v>118</v>
      </c>
      <c r="G35" s="115">
        <v>43.454999999999998</v>
      </c>
      <c r="H35" s="116">
        <v>158.04</v>
      </c>
      <c r="I35" s="121">
        <v>0.2223</v>
      </c>
      <c r="J35" s="116">
        <f t="shared" si="0"/>
        <v>35.130000000000024</v>
      </c>
      <c r="K35" s="116">
        <v>193.17000000000002</v>
      </c>
      <c r="L35" s="116">
        <f t="shared" si="1"/>
        <v>6867.6281999999992</v>
      </c>
      <c r="M35" s="116">
        <f t="shared" si="2"/>
        <v>8394.2023499999996</v>
      </c>
      <c r="N35" s="116">
        <v>257.56</v>
      </c>
      <c r="O35" s="116">
        <f t="shared" si="3"/>
        <v>64.389999999999986</v>
      </c>
      <c r="P35" s="116">
        <f t="shared" si="4"/>
        <v>2798.0674499999991</v>
      </c>
      <c r="Q35" s="116" t="s">
        <v>2349</v>
      </c>
      <c r="R35" s="116" t="s">
        <v>2398</v>
      </c>
      <c r="S35" s="116" t="str">
        <f t="shared" si="5"/>
        <v>OK - FECHA COM PLANILHA</v>
      </c>
      <c r="T35" s="116">
        <v>8394.2000000000007</v>
      </c>
      <c r="U35" s="122">
        <f t="shared" si="6"/>
        <v>2.3499999988416675E-3</v>
      </c>
    </row>
    <row r="36" spans="1:21" ht="63.75" x14ac:dyDescent="0.2">
      <c r="A36" s="120" t="s">
        <v>2399</v>
      </c>
      <c r="B36" s="114" t="s">
        <v>140</v>
      </c>
      <c r="C36" s="114" t="s">
        <v>1363</v>
      </c>
      <c r="D36" s="114" t="s">
        <v>56</v>
      </c>
      <c r="E36" s="114" t="s">
        <v>141</v>
      </c>
      <c r="F36" s="114" t="s">
        <v>26</v>
      </c>
      <c r="G36" s="115">
        <v>55.52</v>
      </c>
      <c r="H36" s="116">
        <v>7.0575000000000001</v>
      </c>
      <c r="I36" s="121">
        <v>0.2223</v>
      </c>
      <c r="J36" s="116">
        <f t="shared" si="0"/>
        <v>1.5674999999999999</v>
      </c>
      <c r="K36" s="116">
        <v>8.625</v>
      </c>
      <c r="L36" s="116">
        <f t="shared" si="1"/>
        <v>391.83240000000001</v>
      </c>
      <c r="M36" s="116">
        <f t="shared" si="2"/>
        <v>478.86</v>
      </c>
      <c r="N36" s="116">
        <v>11.5</v>
      </c>
      <c r="O36" s="116">
        <f t="shared" si="3"/>
        <v>2.875</v>
      </c>
      <c r="P36" s="116">
        <f t="shared" si="4"/>
        <v>159.62</v>
      </c>
      <c r="Q36" s="116" t="s">
        <v>2349</v>
      </c>
      <c r="R36" s="116" t="s">
        <v>2400</v>
      </c>
      <c r="S36" s="116" t="str">
        <f t="shared" si="5"/>
        <v>OK - FECHA COM PLANILHA</v>
      </c>
      <c r="T36" s="116">
        <v>478.86</v>
      </c>
      <c r="U36" s="122">
        <f t="shared" si="6"/>
        <v>0</v>
      </c>
    </row>
    <row r="37" spans="1:21" ht="63.75" x14ac:dyDescent="0.2">
      <c r="A37" s="120" t="s">
        <v>2401</v>
      </c>
      <c r="B37" s="114" t="s">
        <v>142</v>
      </c>
      <c r="C37" s="114" t="s">
        <v>1364</v>
      </c>
      <c r="D37" s="114" t="s">
        <v>56</v>
      </c>
      <c r="E37" s="114" t="s">
        <v>143</v>
      </c>
      <c r="F37" s="114" t="s">
        <v>118</v>
      </c>
      <c r="G37" s="115">
        <v>260.41899999999998</v>
      </c>
      <c r="H37" s="116">
        <v>94.605000000000004</v>
      </c>
      <c r="I37" s="121">
        <v>0.2223</v>
      </c>
      <c r="J37" s="116">
        <f t="shared" si="0"/>
        <v>21.03</v>
      </c>
      <c r="K37" s="116">
        <v>115.63500000000001</v>
      </c>
      <c r="L37" s="116">
        <f t="shared" si="1"/>
        <v>24636.939494999999</v>
      </c>
      <c r="M37" s="116">
        <f t="shared" si="2"/>
        <v>30113.551065</v>
      </c>
      <c r="N37" s="116">
        <v>154.18</v>
      </c>
      <c r="O37" s="116">
        <f t="shared" si="3"/>
        <v>38.545000000000002</v>
      </c>
      <c r="P37" s="116">
        <f t="shared" si="4"/>
        <v>10037.850355</v>
      </c>
      <c r="Q37" s="116" t="s">
        <v>2349</v>
      </c>
      <c r="R37" s="116" t="s">
        <v>2402</v>
      </c>
      <c r="S37" s="116" t="str">
        <f t="shared" si="5"/>
        <v>OK - FECHA COM PLANILHA</v>
      </c>
      <c r="T37" s="116">
        <v>30113.55</v>
      </c>
      <c r="U37" s="122">
        <f t="shared" si="6"/>
        <v>1.0650000003806781E-3</v>
      </c>
    </row>
    <row r="38" spans="1:21" ht="63.75" x14ac:dyDescent="0.2">
      <c r="A38" s="120" t="s">
        <v>2403</v>
      </c>
      <c r="B38" s="114" t="s">
        <v>144</v>
      </c>
      <c r="C38" s="114" t="s">
        <v>1365</v>
      </c>
      <c r="D38" s="114" t="s">
        <v>56</v>
      </c>
      <c r="E38" s="114" t="s">
        <v>1366</v>
      </c>
      <c r="F38" s="114" t="s">
        <v>118</v>
      </c>
      <c r="G38" s="115">
        <v>247.39805000000001</v>
      </c>
      <c r="H38" s="116">
        <v>28.087500000000002</v>
      </c>
      <c r="I38" s="121">
        <v>0.2223</v>
      </c>
      <c r="J38" s="116">
        <f t="shared" si="0"/>
        <v>6.2399999999999984</v>
      </c>
      <c r="K38" s="116">
        <v>34.327500000000001</v>
      </c>
      <c r="L38" s="116">
        <f t="shared" si="1"/>
        <v>6948.7927293750008</v>
      </c>
      <c r="M38" s="116">
        <f t="shared" si="2"/>
        <v>8492.5565613750005</v>
      </c>
      <c r="N38" s="116">
        <v>45.77</v>
      </c>
      <c r="O38" s="116">
        <f t="shared" si="3"/>
        <v>11.442500000000003</v>
      </c>
      <c r="P38" s="116">
        <f t="shared" si="4"/>
        <v>2830.8521871250009</v>
      </c>
      <c r="Q38" s="116" t="s">
        <v>2349</v>
      </c>
      <c r="R38" s="116" t="s">
        <v>2404</v>
      </c>
      <c r="S38" s="116" t="str">
        <f t="shared" si="5"/>
        <v>OK - FECHA COM PLANILHA</v>
      </c>
      <c r="T38" s="116">
        <v>8492.5499999999993</v>
      </c>
      <c r="U38" s="122">
        <f t="shared" si="6"/>
        <v>6.5613750011834782E-3</v>
      </c>
    </row>
    <row r="39" spans="1:21" ht="76.5" x14ac:dyDescent="0.2">
      <c r="A39" s="120" t="s">
        <v>2405</v>
      </c>
      <c r="B39" s="114" t="s">
        <v>146</v>
      </c>
      <c r="C39" s="114" t="s">
        <v>1367</v>
      </c>
      <c r="D39" s="114" t="s">
        <v>56</v>
      </c>
      <c r="E39" s="114" t="s">
        <v>147</v>
      </c>
      <c r="F39" s="114" t="s">
        <v>118</v>
      </c>
      <c r="G39" s="115">
        <v>101.346</v>
      </c>
      <c r="H39" s="116">
        <v>4.8825000000000003</v>
      </c>
      <c r="I39" s="121">
        <v>0.2223</v>
      </c>
      <c r="J39" s="116">
        <f t="shared" si="0"/>
        <v>1.08</v>
      </c>
      <c r="K39" s="116">
        <v>5.9625000000000004</v>
      </c>
      <c r="L39" s="116">
        <f t="shared" si="1"/>
        <v>494.82184500000005</v>
      </c>
      <c r="M39" s="116">
        <f t="shared" si="2"/>
        <v>604.27552500000002</v>
      </c>
      <c r="N39" s="116">
        <v>7.95</v>
      </c>
      <c r="O39" s="116">
        <f t="shared" si="3"/>
        <v>1.9874999999999998</v>
      </c>
      <c r="P39" s="116">
        <f t="shared" si="4"/>
        <v>201.425175</v>
      </c>
      <c r="Q39" s="116" t="s">
        <v>2349</v>
      </c>
      <c r="R39" s="116" t="s">
        <v>2406</v>
      </c>
      <c r="S39" s="116" t="str">
        <f t="shared" si="5"/>
        <v>OK - FECHA COM PLANILHA</v>
      </c>
      <c r="T39" s="116">
        <v>604.27</v>
      </c>
      <c r="U39" s="122">
        <f t="shared" si="6"/>
        <v>5.525000000034197E-3</v>
      </c>
    </row>
    <row r="40" spans="1:21" ht="63.75" x14ac:dyDescent="0.2">
      <c r="A40" s="120" t="s">
        <v>2407</v>
      </c>
      <c r="B40" s="114" t="s">
        <v>148</v>
      </c>
      <c r="C40" s="114" t="s">
        <v>1368</v>
      </c>
      <c r="D40" s="114" t="s">
        <v>56</v>
      </c>
      <c r="E40" s="114" t="s">
        <v>149</v>
      </c>
      <c r="F40" s="114" t="s">
        <v>118</v>
      </c>
      <c r="G40" s="115">
        <v>1.754</v>
      </c>
      <c r="H40" s="116">
        <v>176.3775</v>
      </c>
      <c r="I40" s="121">
        <v>0.2223</v>
      </c>
      <c r="J40" s="116">
        <f t="shared" si="0"/>
        <v>39.202499999999986</v>
      </c>
      <c r="K40" s="116">
        <v>215.57999999999998</v>
      </c>
      <c r="L40" s="116">
        <f t="shared" si="1"/>
        <v>309.36613499999999</v>
      </c>
      <c r="M40" s="116">
        <f t="shared" si="2"/>
        <v>378.12732</v>
      </c>
      <c r="N40" s="116">
        <v>287.44</v>
      </c>
      <c r="O40" s="116">
        <f t="shared" si="3"/>
        <v>71.860000000000014</v>
      </c>
      <c r="P40" s="116">
        <f t="shared" si="4"/>
        <v>126.04244000000003</v>
      </c>
      <c r="Q40" s="116" t="s">
        <v>2349</v>
      </c>
      <c r="R40" s="116" t="s">
        <v>2408</v>
      </c>
      <c r="S40" s="116" t="str">
        <f t="shared" si="5"/>
        <v>OK - FECHA COM PLANILHA</v>
      </c>
      <c r="T40" s="116">
        <v>378.12</v>
      </c>
      <c r="U40" s="122">
        <f t="shared" si="6"/>
        <v>7.3199999999928878E-3</v>
      </c>
    </row>
    <row r="41" spans="1:21" ht="63.75" x14ac:dyDescent="0.2">
      <c r="A41" s="120" t="s">
        <v>2409</v>
      </c>
      <c r="B41" s="114" t="s">
        <v>150</v>
      </c>
      <c r="C41" s="114" t="s">
        <v>1369</v>
      </c>
      <c r="D41" s="114" t="s">
        <v>56</v>
      </c>
      <c r="E41" s="114" t="s">
        <v>151</v>
      </c>
      <c r="F41" s="114" t="s">
        <v>118</v>
      </c>
      <c r="G41" s="115">
        <v>17.21</v>
      </c>
      <c r="H41" s="116">
        <v>68.460000000000008</v>
      </c>
      <c r="I41" s="121">
        <v>0.2223</v>
      </c>
      <c r="J41" s="116">
        <f t="shared" si="0"/>
        <v>15.217499999999987</v>
      </c>
      <c r="K41" s="116">
        <v>83.677499999999995</v>
      </c>
      <c r="L41" s="116">
        <f t="shared" si="1"/>
        <v>1178.1966000000002</v>
      </c>
      <c r="M41" s="116">
        <f t="shared" si="2"/>
        <v>1440.0897749999999</v>
      </c>
      <c r="N41" s="116">
        <v>111.57</v>
      </c>
      <c r="O41" s="116">
        <f t="shared" si="3"/>
        <v>27.892499999999998</v>
      </c>
      <c r="P41" s="116">
        <f t="shared" si="4"/>
        <v>480.02992499999999</v>
      </c>
      <c r="Q41" s="116" t="s">
        <v>2349</v>
      </c>
      <c r="R41" s="116" t="s">
        <v>2410</v>
      </c>
      <c r="S41" s="116" t="str">
        <f t="shared" si="5"/>
        <v>OK - FECHA COM PLANILHA</v>
      </c>
      <c r="T41" s="116">
        <v>1440.08</v>
      </c>
      <c r="U41" s="122">
        <f t="shared" si="6"/>
        <v>9.7749999999905413E-3</v>
      </c>
    </row>
    <row r="42" spans="1:21" ht="63.75" x14ac:dyDescent="0.2">
      <c r="A42" s="120" t="s">
        <v>2411</v>
      </c>
      <c r="B42" s="114" t="s">
        <v>152</v>
      </c>
      <c r="C42" s="114" t="s">
        <v>1370</v>
      </c>
      <c r="D42" s="114" t="s">
        <v>56</v>
      </c>
      <c r="E42" s="114" t="s">
        <v>1371</v>
      </c>
      <c r="F42" s="114" t="s">
        <v>26</v>
      </c>
      <c r="G42" s="115">
        <v>66.88</v>
      </c>
      <c r="H42" s="116">
        <v>74.167500000000004</v>
      </c>
      <c r="I42" s="121">
        <v>0.2223</v>
      </c>
      <c r="J42" s="116">
        <f t="shared" si="0"/>
        <v>16.484999999999999</v>
      </c>
      <c r="K42" s="116">
        <v>90.652500000000003</v>
      </c>
      <c r="L42" s="116">
        <f t="shared" si="1"/>
        <v>4960.3224</v>
      </c>
      <c r="M42" s="116">
        <f t="shared" si="2"/>
        <v>6062.8391999999994</v>
      </c>
      <c r="N42" s="116">
        <v>120.87</v>
      </c>
      <c r="O42" s="116">
        <f t="shared" si="3"/>
        <v>30.217500000000001</v>
      </c>
      <c r="P42" s="116">
        <f t="shared" si="4"/>
        <v>2020.9464</v>
      </c>
      <c r="Q42" s="116" t="s">
        <v>2349</v>
      </c>
      <c r="R42" s="116" t="s">
        <v>2412</v>
      </c>
      <c r="S42" s="116" t="str">
        <f t="shared" si="5"/>
        <v>OK - FECHA COM PLANILHA</v>
      </c>
      <c r="T42" s="116">
        <v>6062.83</v>
      </c>
      <c r="U42" s="122">
        <f t="shared" si="6"/>
        <v>9.1999999995096005E-3</v>
      </c>
    </row>
    <row r="43" spans="1:21" ht="63.75" x14ac:dyDescent="0.2">
      <c r="A43" s="120" t="s">
        <v>2413</v>
      </c>
      <c r="B43" s="114" t="s">
        <v>157</v>
      </c>
      <c r="C43" s="114" t="s">
        <v>1372</v>
      </c>
      <c r="D43" s="114" t="s">
        <v>24</v>
      </c>
      <c r="E43" s="114" t="s">
        <v>159</v>
      </c>
      <c r="F43" s="114" t="s">
        <v>84</v>
      </c>
      <c r="G43" s="115">
        <v>1</v>
      </c>
      <c r="H43" s="116">
        <v>10702.0725</v>
      </c>
      <c r="I43" s="121">
        <v>0.2223</v>
      </c>
      <c r="J43" s="116">
        <f t="shared" si="0"/>
        <v>2379.0674999999992</v>
      </c>
      <c r="K43" s="116">
        <v>13081.14</v>
      </c>
      <c r="L43" s="116">
        <f t="shared" si="1"/>
        <v>10702.0725</v>
      </c>
      <c r="M43" s="116">
        <f t="shared" si="2"/>
        <v>13081.14</v>
      </c>
      <c r="N43" s="116">
        <v>17441.52</v>
      </c>
      <c r="O43" s="116">
        <f t="shared" si="3"/>
        <v>4360.380000000001</v>
      </c>
      <c r="P43" s="116">
        <f t="shared" si="4"/>
        <v>4360.380000000001</v>
      </c>
      <c r="Q43" s="116" t="s">
        <v>2332</v>
      </c>
      <c r="R43" s="116" t="s">
        <v>2414</v>
      </c>
      <c r="S43" s="116" t="str">
        <f t="shared" si="5"/>
        <v>OK - FECHA COM PLANILHA</v>
      </c>
      <c r="T43" s="116">
        <v>13081.14</v>
      </c>
      <c r="U43" s="122">
        <f t="shared" si="6"/>
        <v>0</v>
      </c>
    </row>
    <row r="44" spans="1:21" ht="63.75" x14ac:dyDescent="0.2">
      <c r="A44" s="120" t="s">
        <v>2415</v>
      </c>
      <c r="B44" s="114" t="s">
        <v>160</v>
      </c>
      <c r="C44" s="114" t="s">
        <v>161</v>
      </c>
      <c r="D44" s="114" t="s">
        <v>24</v>
      </c>
      <c r="E44" s="114" t="s">
        <v>162</v>
      </c>
      <c r="F44" s="114" t="s">
        <v>118</v>
      </c>
      <c r="G44" s="115">
        <v>352.26875000000001</v>
      </c>
      <c r="H44" s="116">
        <v>45</v>
      </c>
      <c r="I44" s="121">
        <v>0.2223</v>
      </c>
      <c r="J44" s="116">
        <f t="shared" si="0"/>
        <v>9.9975000000000023</v>
      </c>
      <c r="K44" s="116">
        <v>54.997500000000002</v>
      </c>
      <c r="L44" s="116">
        <f t="shared" si="1"/>
        <v>15852.09375</v>
      </c>
      <c r="M44" s="116">
        <f t="shared" si="2"/>
        <v>19373.900578125002</v>
      </c>
      <c r="N44" s="116">
        <v>73.33</v>
      </c>
      <c r="O44" s="116">
        <f t="shared" si="3"/>
        <v>18.332499999999996</v>
      </c>
      <c r="P44" s="116">
        <f t="shared" si="4"/>
        <v>6457.9668593749984</v>
      </c>
      <c r="Q44" s="116" t="s">
        <v>2332</v>
      </c>
      <c r="R44" s="116" t="s">
        <v>2416</v>
      </c>
      <c r="S44" s="116" t="str">
        <f t="shared" si="5"/>
        <v>OK - FECHA COM PLANILHA</v>
      </c>
      <c r="T44" s="116">
        <v>19373.900000000001</v>
      </c>
      <c r="U44" s="122">
        <f t="shared" si="6"/>
        <v>5.7812500017462298E-4</v>
      </c>
    </row>
    <row r="45" spans="1:21" ht="63.75" x14ac:dyDescent="0.2">
      <c r="A45" s="120" t="s">
        <v>2417</v>
      </c>
      <c r="B45" s="114" t="s">
        <v>165</v>
      </c>
      <c r="C45" s="114" t="s">
        <v>1373</v>
      </c>
      <c r="D45" s="114" t="s">
        <v>56</v>
      </c>
      <c r="E45" s="114" t="s">
        <v>166</v>
      </c>
      <c r="F45" s="114" t="s">
        <v>99</v>
      </c>
      <c r="G45" s="115">
        <v>1795</v>
      </c>
      <c r="H45" s="116">
        <v>210.70499999999998</v>
      </c>
      <c r="I45" s="121">
        <v>0.2223</v>
      </c>
      <c r="J45" s="116">
        <f t="shared" si="0"/>
        <v>46.837500000000034</v>
      </c>
      <c r="K45" s="116">
        <v>257.54250000000002</v>
      </c>
      <c r="L45" s="116">
        <f t="shared" si="1"/>
        <v>378215.47499999998</v>
      </c>
      <c r="M45" s="116">
        <f t="shared" si="2"/>
        <v>462288.78750000003</v>
      </c>
      <c r="N45" s="116">
        <v>343.39</v>
      </c>
      <c r="O45" s="116">
        <f t="shared" si="3"/>
        <v>85.847499999999968</v>
      </c>
      <c r="P45" s="116">
        <f t="shared" si="4"/>
        <v>154096.26249999995</v>
      </c>
      <c r="Q45" s="116" t="s">
        <v>2349</v>
      </c>
      <c r="R45" s="116" t="s">
        <v>2418</v>
      </c>
      <c r="S45" s="116" t="str">
        <f t="shared" si="5"/>
        <v>OK - FECHA COM PLANILHA</v>
      </c>
      <c r="T45" s="116">
        <v>462288.78</v>
      </c>
      <c r="U45" s="122">
        <f t="shared" si="6"/>
        <v>7.5000000069849193E-3</v>
      </c>
    </row>
    <row r="46" spans="1:21" ht="63.75" x14ac:dyDescent="0.2">
      <c r="A46" s="120" t="s">
        <v>2419</v>
      </c>
      <c r="B46" s="114" t="s">
        <v>167</v>
      </c>
      <c r="C46" s="114" t="s">
        <v>1374</v>
      </c>
      <c r="D46" s="114" t="s">
        <v>56</v>
      </c>
      <c r="E46" s="114" t="s">
        <v>1375</v>
      </c>
      <c r="F46" s="114" t="s">
        <v>84</v>
      </c>
      <c r="G46" s="115">
        <v>85</v>
      </c>
      <c r="H46" s="116">
        <v>32.827500000000001</v>
      </c>
      <c r="I46" s="121">
        <v>0.2223</v>
      </c>
      <c r="J46" s="116">
        <f t="shared" si="0"/>
        <v>7.2974999999999994</v>
      </c>
      <c r="K46" s="116">
        <v>40.125</v>
      </c>
      <c r="L46" s="116">
        <f t="shared" si="1"/>
        <v>2790.3375000000001</v>
      </c>
      <c r="M46" s="116">
        <f t="shared" si="2"/>
        <v>3410.625</v>
      </c>
      <c r="N46" s="116">
        <v>53.5</v>
      </c>
      <c r="O46" s="116">
        <f t="shared" si="3"/>
        <v>13.375</v>
      </c>
      <c r="P46" s="116">
        <f t="shared" si="4"/>
        <v>1136.875</v>
      </c>
      <c r="Q46" s="116" t="s">
        <v>2349</v>
      </c>
      <c r="R46" s="116" t="s">
        <v>2420</v>
      </c>
      <c r="S46" s="116" t="str">
        <f t="shared" si="5"/>
        <v>OK - FECHA COM PLANILHA</v>
      </c>
      <c r="T46" s="116">
        <v>3410.62</v>
      </c>
      <c r="U46" s="122">
        <f t="shared" si="6"/>
        <v>5.0000000001091394E-3</v>
      </c>
    </row>
    <row r="47" spans="1:21" ht="63.75" x14ac:dyDescent="0.2">
      <c r="A47" s="120" t="s">
        <v>2421</v>
      </c>
      <c r="B47" s="114" t="s">
        <v>172</v>
      </c>
      <c r="C47" s="114" t="s">
        <v>1376</v>
      </c>
      <c r="D47" s="114" t="s">
        <v>56</v>
      </c>
      <c r="E47" s="114" t="s">
        <v>1377</v>
      </c>
      <c r="F47" s="114" t="s">
        <v>118</v>
      </c>
      <c r="G47" s="115">
        <v>3.121</v>
      </c>
      <c r="H47" s="116">
        <v>431.58750000000003</v>
      </c>
      <c r="I47" s="121">
        <v>0.2223</v>
      </c>
      <c r="J47" s="116">
        <f t="shared" si="0"/>
        <v>95.94</v>
      </c>
      <c r="K47" s="116">
        <v>527.52750000000003</v>
      </c>
      <c r="L47" s="116">
        <f t="shared" si="1"/>
        <v>1346.9845875000001</v>
      </c>
      <c r="M47" s="116">
        <f t="shared" si="2"/>
        <v>1646.4133275000002</v>
      </c>
      <c r="N47" s="116">
        <v>703.37</v>
      </c>
      <c r="O47" s="116">
        <f t="shared" si="3"/>
        <v>175.84249999999997</v>
      </c>
      <c r="P47" s="116">
        <f t="shared" si="4"/>
        <v>548.80444249999994</v>
      </c>
      <c r="Q47" s="116" t="s">
        <v>2349</v>
      </c>
      <c r="R47" s="116" t="s">
        <v>2422</v>
      </c>
      <c r="S47" s="116" t="str">
        <f t="shared" si="5"/>
        <v>OK - FECHA COM PLANILHA</v>
      </c>
      <c r="T47" s="116">
        <v>1646.41</v>
      </c>
      <c r="U47" s="122">
        <f t="shared" si="6"/>
        <v>3.3275000000685395E-3</v>
      </c>
    </row>
    <row r="48" spans="1:21" ht="63.75" x14ac:dyDescent="0.2">
      <c r="A48" s="120" t="s">
        <v>2423</v>
      </c>
      <c r="B48" s="114" t="s">
        <v>174</v>
      </c>
      <c r="C48" s="114" t="s">
        <v>1378</v>
      </c>
      <c r="D48" s="114" t="s">
        <v>56</v>
      </c>
      <c r="E48" s="114" t="s">
        <v>175</v>
      </c>
      <c r="F48" s="114" t="s">
        <v>26</v>
      </c>
      <c r="G48" s="115">
        <v>204.94</v>
      </c>
      <c r="H48" s="116">
        <v>124.46249999999999</v>
      </c>
      <c r="I48" s="121">
        <v>0.2223</v>
      </c>
      <c r="J48" s="116">
        <f t="shared" si="0"/>
        <v>27.667500000000004</v>
      </c>
      <c r="K48" s="116">
        <v>152.13</v>
      </c>
      <c r="L48" s="116">
        <f t="shared" si="1"/>
        <v>25507.344749999997</v>
      </c>
      <c r="M48" s="116">
        <f t="shared" si="2"/>
        <v>31177.522199999999</v>
      </c>
      <c r="N48" s="116">
        <v>202.84</v>
      </c>
      <c r="O48" s="116">
        <f t="shared" si="3"/>
        <v>50.710000000000008</v>
      </c>
      <c r="P48" s="116">
        <f t="shared" si="4"/>
        <v>10392.507400000002</v>
      </c>
      <c r="Q48" s="116" t="s">
        <v>2349</v>
      </c>
      <c r="R48" s="116" t="s">
        <v>2424</v>
      </c>
      <c r="S48" s="116" t="str">
        <f t="shared" si="5"/>
        <v>OK - FECHA COM PLANILHA</v>
      </c>
      <c r="T48" s="116">
        <v>31177.52</v>
      </c>
      <c r="U48" s="122">
        <f t="shared" si="6"/>
        <v>2.1999999989930075E-3</v>
      </c>
    </row>
    <row r="49" spans="1:21" ht="63.75" x14ac:dyDescent="0.2">
      <c r="A49" s="120" t="s">
        <v>2425</v>
      </c>
      <c r="B49" s="114" t="s">
        <v>176</v>
      </c>
      <c r="C49" s="114" t="s">
        <v>1379</v>
      </c>
      <c r="D49" s="114" t="s">
        <v>56</v>
      </c>
      <c r="E49" s="114" t="s">
        <v>177</v>
      </c>
      <c r="F49" s="114" t="s">
        <v>26</v>
      </c>
      <c r="G49" s="115">
        <v>312.59800000000001</v>
      </c>
      <c r="H49" s="116">
        <v>65.760000000000005</v>
      </c>
      <c r="I49" s="121">
        <v>0.2223</v>
      </c>
      <c r="J49" s="116">
        <f t="shared" si="0"/>
        <v>14.617499999999993</v>
      </c>
      <c r="K49" s="116">
        <v>80.377499999999998</v>
      </c>
      <c r="L49" s="116">
        <f t="shared" si="1"/>
        <v>20556.444480000002</v>
      </c>
      <c r="M49" s="116">
        <f t="shared" si="2"/>
        <v>25125.845744999999</v>
      </c>
      <c r="N49" s="116">
        <v>107.17</v>
      </c>
      <c r="O49" s="116">
        <f t="shared" si="3"/>
        <v>26.792500000000004</v>
      </c>
      <c r="P49" s="116">
        <f t="shared" si="4"/>
        <v>8375.2819150000014</v>
      </c>
      <c r="Q49" s="116" t="s">
        <v>2349</v>
      </c>
      <c r="R49" s="116" t="s">
        <v>2426</v>
      </c>
      <c r="S49" s="116" t="str">
        <f t="shared" si="5"/>
        <v>OK - FECHA COM PLANILHA</v>
      </c>
      <c r="T49" s="116">
        <v>25125.84</v>
      </c>
      <c r="U49" s="122">
        <f t="shared" si="6"/>
        <v>5.7449999985692557E-3</v>
      </c>
    </row>
    <row r="50" spans="1:21" ht="63.75" x14ac:dyDescent="0.2">
      <c r="A50" s="120" t="s">
        <v>2427</v>
      </c>
      <c r="B50" s="114" t="s">
        <v>178</v>
      </c>
      <c r="C50" s="114" t="s">
        <v>1380</v>
      </c>
      <c r="D50" s="114" t="s">
        <v>56</v>
      </c>
      <c r="E50" s="114" t="s">
        <v>179</v>
      </c>
      <c r="F50" s="114" t="s">
        <v>180</v>
      </c>
      <c r="G50" s="115">
        <v>4.774</v>
      </c>
      <c r="H50" s="116">
        <v>13.59</v>
      </c>
      <c r="I50" s="121">
        <v>0.2223</v>
      </c>
      <c r="J50" s="116">
        <f t="shared" si="0"/>
        <v>3.0150000000000006</v>
      </c>
      <c r="K50" s="116">
        <v>16.605</v>
      </c>
      <c r="L50" s="116">
        <f t="shared" si="1"/>
        <v>64.878659999999996</v>
      </c>
      <c r="M50" s="116">
        <f t="shared" si="2"/>
        <v>79.272270000000006</v>
      </c>
      <c r="N50" s="116">
        <v>22.14</v>
      </c>
      <c r="O50" s="116">
        <f t="shared" si="3"/>
        <v>5.5350000000000001</v>
      </c>
      <c r="P50" s="116">
        <f t="shared" si="4"/>
        <v>26.42409</v>
      </c>
      <c r="Q50" s="116" t="s">
        <v>2349</v>
      </c>
      <c r="R50" s="116" t="s">
        <v>2428</v>
      </c>
      <c r="S50" s="116" t="str">
        <f t="shared" si="5"/>
        <v>OK - FECHA COM PLANILHA</v>
      </c>
      <c r="T50" s="116">
        <v>79.27</v>
      </c>
      <c r="U50" s="122">
        <f t="shared" si="6"/>
        <v>2.2700000000099863E-3</v>
      </c>
    </row>
    <row r="51" spans="1:21" ht="63.75" x14ac:dyDescent="0.2">
      <c r="A51" s="120" t="s">
        <v>2429</v>
      </c>
      <c r="B51" s="114" t="s">
        <v>181</v>
      </c>
      <c r="C51" s="114" t="s">
        <v>1381</v>
      </c>
      <c r="D51" s="114" t="s">
        <v>56</v>
      </c>
      <c r="E51" s="114" t="s">
        <v>1382</v>
      </c>
      <c r="F51" s="114" t="s">
        <v>180</v>
      </c>
      <c r="G51" s="115">
        <v>1839.22</v>
      </c>
      <c r="H51" s="116">
        <v>11.602500000000001</v>
      </c>
      <c r="I51" s="121">
        <v>0.2223</v>
      </c>
      <c r="J51" s="116">
        <f t="shared" si="0"/>
        <v>2.572499999999998</v>
      </c>
      <c r="K51" s="116">
        <v>14.174999999999999</v>
      </c>
      <c r="L51" s="116">
        <f t="shared" si="1"/>
        <v>21339.550050000002</v>
      </c>
      <c r="M51" s="116">
        <f t="shared" si="2"/>
        <v>26070.943499999998</v>
      </c>
      <c r="N51" s="116">
        <v>18.899999999999999</v>
      </c>
      <c r="O51" s="116">
        <f t="shared" si="3"/>
        <v>4.7249999999999996</v>
      </c>
      <c r="P51" s="116">
        <f t="shared" si="4"/>
        <v>8690.3144999999986</v>
      </c>
      <c r="Q51" s="116" t="s">
        <v>2349</v>
      </c>
      <c r="R51" s="116" t="s">
        <v>2430</v>
      </c>
      <c r="S51" s="116" t="str">
        <f t="shared" si="5"/>
        <v>OK - FECHA COM PLANILHA</v>
      </c>
      <c r="T51" s="116">
        <v>26070.94</v>
      </c>
      <c r="U51" s="122">
        <f t="shared" si="6"/>
        <v>3.4999999988940544E-3</v>
      </c>
    </row>
    <row r="52" spans="1:21" ht="63.75" x14ac:dyDescent="0.2">
      <c r="A52" s="120" t="s">
        <v>2431</v>
      </c>
      <c r="B52" s="114" t="s">
        <v>183</v>
      </c>
      <c r="C52" s="114" t="s">
        <v>1383</v>
      </c>
      <c r="D52" s="114" t="s">
        <v>56</v>
      </c>
      <c r="E52" s="114" t="s">
        <v>184</v>
      </c>
      <c r="F52" s="114" t="s">
        <v>180</v>
      </c>
      <c r="G52" s="115">
        <v>353.91</v>
      </c>
      <c r="H52" s="116">
        <v>8.5874999999999986</v>
      </c>
      <c r="I52" s="121">
        <v>0.2223</v>
      </c>
      <c r="J52" s="116">
        <f t="shared" si="0"/>
        <v>1.9050000000000011</v>
      </c>
      <c r="K52" s="116">
        <v>10.4925</v>
      </c>
      <c r="L52" s="116">
        <f t="shared" si="1"/>
        <v>3039.2021249999998</v>
      </c>
      <c r="M52" s="116">
        <f t="shared" si="2"/>
        <v>3713.4006750000003</v>
      </c>
      <c r="N52" s="116">
        <v>13.99</v>
      </c>
      <c r="O52" s="116">
        <f t="shared" si="3"/>
        <v>3.4975000000000005</v>
      </c>
      <c r="P52" s="116">
        <f t="shared" si="4"/>
        <v>1237.8002250000002</v>
      </c>
      <c r="Q52" s="116" t="s">
        <v>2349</v>
      </c>
      <c r="R52" s="116" t="s">
        <v>2432</v>
      </c>
      <c r="S52" s="116" t="str">
        <f t="shared" si="5"/>
        <v>OK - FECHA COM PLANILHA</v>
      </c>
      <c r="T52" s="116">
        <v>3713.4</v>
      </c>
      <c r="U52" s="122">
        <f t="shared" si="6"/>
        <v>6.7500000022846507E-4</v>
      </c>
    </row>
    <row r="53" spans="1:21" ht="63.75" x14ac:dyDescent="0.2">
      <c r="A53" s="120" t="s">
        <v>2433</v>
      </c>
      <c r="B53" s="114" t="s">
        <v>185</v>
      </c>
      <c r="C53" s="114" t="s">
        <v>1384</v>
      </c>
      <c r="D53" s="114" t="s">
        <v>56</v>
      </c>
      <c r="E53" s="114" t="s">
        <v>186</v>
      </c>
      <c r="F53" s="114" t="s">
        <v>180</v>
      </c>
      <c r="G53" s="115">
        <v>346.74599999999998</v>
      </c>
      <c r="H53" s="116">
        <v>14.782500000000001</v>
      </c>
      <c r="I53" s="121">
        <v>0.2223</v>
      </c>
      <c r="J53" s="116">
        <f t="shared" si="0"/>
        <v>3.2849999999999984</v>
      </c>
      <c r="K53" s="116">
        <v>18.067499999999999</v>
      </c>
      <c r="L53" s="116">
        <f t="shared" si="1"/>
        <v>5125.7727450000002</v>
      </c>
      <c r="M53" s="116">
        <f t="shared" si="2"/>
        <v>6264.8333549999998</v>
      </c>
      <c r="N53" s="116">
        <v>24.09</v>
      </c>
      <c r="O53" s="116">
        <f t="shared" si="3"/>
        <v>6.0225000000000009</v>
      </c>
      <c r="P53" s="116">
        <f t="shared" si="4"/>
        <v>2088.2777850000002</v>
      </c>
      <c r="Q53" s="116" t="s">
        <v>2349</v>
      </c>
      <c r="R53" s="116" t="s">
        <v>2434</v>
      </c>
      <c r="S53" s="116" t="str">
        <f t="shared" si="5"/>
        <v>OK - FECHA COM PLANILHA</v>
      </c>
      <c r="T53" s="116">
        <v>6264.83</v>
      </c>
      <c r="U53" s="122">
        <f t="shared" si="6"/>
        <v>3.3549999998285784E-3</v>
      </c>
    </row>
    <row r="54" spans="1:21" ht="63.75" x14ac:dyDescent="0.2">
      <c r="A54" s="120" t="s">
        <v>2435</v>
      </c>
      <c r="B54" s="114" t="s">
        <v>187</v>
      </c>
      <c r="C54" s="114" t="s">
        <v>1385</v>
      </c>
      <c r="D54" s="114" t="s">
        <v>56</v>
      </c>
      <c r="E54" s="114" t="s">
        <v>188</v>
      </c>
      <c r="F54" s="114" t="s">
        <v>180</v>
      </c>
      <c r="G54" s="115">
        <v>666.88400000000001</v>
      </c>
      <c r="H54" s="116">
        <v>11.692499999999999</v>
      </c>
      <c r="I54" s="121">
        <v>0.2223</v>
      </c>
      <c r="J54" s="116">
        <f t="shared" si="0"/>
        <v>2.5950000000000024</v>
      </c>
      <c r="K54" s="116">
        <v>14.287500000000001</v>
      </c>
      <c r="L54" s="116">
        <f t="shared" si="1"/>
        <v>7797.5411699999995</v>
      </c>
      <c r="M54" s="116">
        <f t="shared" si="2"/>
        <v>9528.1051500000012</v>
      </c>
      <c r="N54" s="116">
        <v>19.05</v>
      </c>
      <c r="O54" s="116">
        <f t="shared" si="3"/>
        <v>4.7624999999999993</v>
      </c>
      <c r="P54" s="116">
        <f t="shared" si="4"/>
        <v>3176.0350499999995</v>
      </c>
      <c r="Q54" s="116" t="s">
        <v>2349</v>
      </c>
      <c r="R54" s="116" t="s">
        <v>2436</v>
      </c>
      <c r="S54" s="116" t="str">
        <f t="shared" si="5"/>
        <v>OK - FECHA COM PLANILHA</v>
      </c>
      <c r="T54" s="116">
        <v>9528.1</v>
      </c>
      <c r="U54" s="122">
        <f t="shared" si="6"/>
        <v>5.1500000008672941E-3</v>
      </c>
    </row>
    <row r="55" spans="1:21" ht="63.75" x14ac:dyDescent="0.2">
      <c r="A55" s="120" t="s">
        <v>2437</v>
      </c>
      <c r="B55" s="114" t="s">
        <v>189</v>
      </c>
      <c r="C55" s="114" t="s">
        <v>1386</v>
      </c>
      <c r="D55" s="114" t="s">
        <v>56</v>
      </c>
      <c r="E55" s="114" t="s">
        <v>190</v>
      </c>
      <c r="F55" s="114" t="s">
        <v>180</v>
      </c>
      <c r="G55" s="115">
        <v>40.027000000000001</v>
      </c>
      <c r="H55" s="116">
        <v>10.23</v>
      </c>
      <c r="I55" s="121">
        <v>0.2223</v>
      </c>
      <c r="J55" s="116">
        <f t="shared" si="0"/>
        <v>2.2725000000000009</v>
      </c>
      <c r="K55" s="116">
        <v>12.502500000000001</v>
      </c>
      <c r="L55" s="116">
        <f t="shared" si="1"/>
        <v>409.47621000000004</v>
      </c>
      <c r="M55" s="116">
        <f t="shared" si="2"/>
        <v>500.43756750000006</v>
      </c>
      <c r="N55" s="116">
        <v>16.670000000000002</v>
      </c>
      <c r="O55" s="116">
        <f t="shared" si="3"/>
        <v>4.1675000000000004</v>
      </c>
      <c r="P55" s="116">
        <f t="shared" si="4"/>
        <v>166.81252250000003</v>
      </c>
      <c r="Q55" s="116" t="s">
        <v>2349</v>
      </c>
      <c r="R55" s="116" t="s">
        <v>2438</v>
      </c>
      <c r="S55" s="116" t="str">
        <f t="shared" si="5"/>
        <v>OK - FECHA COM PLANILHA</v>
      </c>
      <c r="T55" s="116">
        <v>500.43</v>
      </c>
      <c r="U55" s="122">
        <f t="shared" si="6"/>
        <v>7.5675000000501313E-3</v>
      </c>
    </row>
    <row r="56" spans="1:21" ht="63.75" x14ac:dyDescent="0.2">
      <c r="A56" s="120" t="s">
        <v>2439</v>
      </c>
      <c r="B56" s="114" t="s">
        <v>1387</v>
      </c>
      <c r="C56" s="114" t="s">
        <v>1383</v>
      </c>
      <c r="D56" s="114" t="s">
        <v>56</v>
      </c>
      <c r="E56" s="114" t="s">
        <v>184</v>
      </c>
      <c r="F56" s="114" t="s">
        <v>180</v>
      </c>
      <c r="G56" s="115">
        <v>12.164999999999999</v>
      </c>
      <c r="H56" s="116">
        <v>8.5874999999999986</v>
      </c>
      <c r="I56" s="121">
        <v>0.2223</v>
      </c>
      <c r="J56" s="116">
        <f t="shared" si="0"/>
        <v>1.9050000000000011</v>
      </c>
      <c r="K56" s="116">
        <v>10.4925</v>
      </c>
      <c r="L56" s="116">
        <f t="shared" si="1"/>
        <v>104.46693749999997</v>
      </c>
      <c r="M56" s="116">
        <f t="shared" si="2"/>
        <v>127.64126249999998</v>
      </c>
      <c r="N56" s="116">
        <v>13.99</v>
      </c>
      <c r="O56" s="116">
        <f t="shared" si="3"/>
        <v>3.4975000000000005</v>
      </c>
      <c r="P56" s="116">
        <f t="shared" si="4"/>
        <v>42.547087500000004</v>
      </c>
      <c r="Q56" s="116" t="s">
        <v>2349</v>
      </c>
      <c r="R56" s="116" t="s">
        <v>2440</v>
      </c>
      <c r="S56" s="116" t="str">
        <f t="shared" si="5"/>
        <v>OK - FECHA COM PLANILHA</v>
      </c>
      <c r="T56" s="116">
        <v>127.64</v>
      </c>
      <c r="U56" s="122">
        <f t="shared" si="6"/>
        <v>1.2624999999815145E-3</v>
      </c>
    </row>
    <row r="57" spans="1:21" ht="63.75" x14ac:dyDescent="0.2">
      <c r="A57" s="120" t="s">
        <v>2441</v>
      </c>
      <c r="B57" s="114" t="s">
        <v>1388</v>
      </c>
      <c r="C57" s="114" t="s">
        <v>1389</v>
      </c>
      <c r="D57" s="114" t="s">
        <v>56</v>
      </c>
      <c r="E57" s="114" t="s">
        <v>191</v>
      </c>
      <c r="F57" s="114" t="s">
        <v>118</v>
      </c>
      <c r="G57" s="115">
        <v>63.536999999999999</v>
      </c>
      <c r="H57" s="116">
        <v>551.95500000000004</v>
      </c>
      <c r="I57" s="121">
        <v>0.2223</v>
      </c>
      <c r="J57" s="116">
        <f t="shared" si="0"/>
        <v>122.6925</v>
      </c>
      <c r="K57" s="116">
        <v>674.64750000000004</v>
      </c>
      <c r="L57" s="116">
        <f t="shared" si="1"/>
        <v>35069.564835000005</v>
      </c>
      <c r="M57" s="116">
        <f t="shared" si="2"/>
        <v>42865.078207500002</v>
      </c>
      <c r="N57" s="116">
        <v>899.53</v>
      </c>
      <c r="O57" s="116">
        <f t="shared" si="3"/>
        <v>224.88249999999994</v>
      </c>
      <c r="P57" s="116">
        <f t="shared" si="4"/>
        <v>14288.359402499997</v>
      </c>
      <c r="Q57" s="116" t="s">
        <v>2349</v>
      </c>
      <c r="R57" s="116" t="s">
        <v>2442</v>
      </c>
      <c r="S57" s="116" t="str">
        <f t="shared" si="5"/>
        <v>OK - FECHA COM PLANILHA</v>
      </c>
      <c r="T57" s="116">
        <v>42865.07</v>
      </c>
      <c r="U57" s="122">
        <f t="shared" si="6"/>
        <v>8.2075000027543865E-3</v>
      </c>
    </row>
    <row r="58" spans="1:21" ht="63.75" x14ac:dyDescent="0.2">
      <c r="A58" s="120" t="s">
        <v>2443</v>
      </c>
      <c r="B58" s="114" t="s">
        <v>1390</v>
      </c>
      <c r="C58" s="114" t="s">
        <v>1391</v>
      </c>
      <c r="D58" s="114" t="s">
        <v>56</v>
      </c>
      <c r="E58" s="114" t="s">
        <v>192</v>
      </c>
      <c r="F58" s="114" t="s">
        <v>26</v>
      </c>
      <c r="G58" s="115">
        <v>517.53800000000001</v>
      </c>
      <c r="H58" s="116">
        <v>43.852499999999999</v>
      </c>
      <c r="I58" s="121">
        <v>0.2223</v>
      </c>
      <c r="J58" s="116">
        <f t="shared" si="0"/>
        <v>9.7424999999999997</v>
      </c>
      <c r="K58" s="116">
        <v>53.594999999999999</v>
      </c>
      <c r="L58" s="116">
        <f t="shared" si="1"/>
        <v>22695.335145000001</v>
      </c>
      <c r="M58" s="116">
        <f t="shared" si="2"/>
        <v>27737.449110000001</v>
      </c>
      <c r="N58" s="116">
        <v>71.459999999999994</v>
      </c>
      <c r="O58" s="116">
        <f t="shared" si="3"/>
        <v>17.864999999999995</v>
      </c>
      <c r="P58" s="116">
        <f t="shared" si="4"/>
        <v>9245.8163699999968</v>
      </c>
      <c r="Q58" s="116" t="s">
        <v>2349</v>
      </c>
      <c r="R58" s="116" t="s">
        <v>2444</v>
      </c>
      <c r="S58" s="116" t="str">
        <f t="shared" si="5"/>
        <v>OK - FECHA COM PLANILHA</v>
      </c>
      <c r="T58" s="116">
        <v>27737.439999999999</v>
      </c>
      <c r="U58" s="122">
        <f t="shared" si="6"/>
        <v>9.1100000026926864E-3</v>
      </c>
    </row>
    <row r="59" spans="1:21" ht="63.75" x14ac:dyDescent="0.2">
      <c r="A59" s="120" t="s">
        <v>2445</v>
      </c>
      <c r="B59" s="114" t="s">
        <v>1392</v>
      </c>
      <c r="C59" s="114" t="s">
        <v>1393</v>
      </c>
      <c r="D59" s="114" t="s">
        <v>24</v>
      </c>
      <c r="E59" s="114" t="s">
        <v>194</v>
      </c>
      <c r="F59" s="114" t="s">
        <v>180</v>
      </c>
      <c r="G59" s="115">
        <v>1270.74</v>
      </c>
      <c r="H59" s="116">
        <v>23.13</v>
      </c>
      <c r="I59" s="121">
        <v>0.2223</v>
      </c>
      <c r="J59" s="116">
        <f t="shared" si="0"/>
        <v>5.1374999999999993</v>
      </c>
      <c r="K59" s="116">
        <v>28.267499999999998</v>
      </c>
      <c r="L59" s="116">
        <f t="shared" si="1"/>
        <v>29392.216199999999</v>
      </c>
      <c r="M59" s="116">
        <f t="shared" si="2"/>
        <v>35920.642950000001</v>
      </c>
      <c r="N59" s="116">
        <v>37.69</v>
      </c>
      <c r="O59" s="116">
        <f t="shared" si="3"/>
        <v>9.4224999999999994</v>
      </c>
      <c r="P59" s="116">
        <f t="shared" si="4"/>
        <v>11973.547649999999</v>
      </c>
      <c r="Q59" s="116" t="s">
        <v>2332</v>
      </c>
      <c r="R59" s="116" t="s">
        <v>2446</v>
      </c>
      <c r="S59" s="116" t="str">
        <f t="shared" si="5"/>
        <v>OK - FECHA COM PLANILHA</v>
      </c>
      <c r="T59" s="116">
        <v>35920.639999999999</v>
      </c>
      <c r="U59" s="122">
        <f t="shared" si="6"/>
        <v>2.9500000018742867E-3</v>
      </c>
    </row>
    <row r="60" spans="1:21" ht="63.75" x14ac:dyDescent="0.2">
      <c r="A60" s="120" t="s">
        <v>2447</v>
      </c>
      <c r="B60" s="114" t="s">
        <v>197</v>
      </c>
      <c r="C60" s="114" t="s">
        <v>1394</v>
      </c>
      <c r="D60" s="114" t="s">
        <v>56</v>
      </c>
      <c r="E60" s="114" t="s">
        <v>198</v>
      </c>
      <c r="F60" s="114" t="s">
        <v>26</v>
      </c>
      <c r="G60" s="115">
        <v>680.04700000000003</v>
      </c>
      <c r="H60" s="116">
        <v>83.594999999999999</v>
      </c>
      <c r="I60" s="121">
        <v>0.2223</v>
      </c>
      <c r="J60" s="116">
        <f t="shared" si="0"/>
        <v>18.577499999999986</v>
      </c>
      <c r="K60" s="116">
        <v>102.17249999999999</v>
      </c>
      <c r="L60" s="116">
        <f t="shared" si="1"/>
        <v>56848.528965000005</v>
      </c>
      <c r="M60" s="116">
        <f t="shared" si="2"/>
        <v>69482.102107499988</v>
      </c>
      <c r="N60" s="116">
        <v>136.22999999999999</v>
      </c>
      <c r="O60" s="116">
        <f t="shared" si="3"/>
        <v>34.057500000000005</v>
      </c>
      <c r="P60" s="116">
        <f t="shared" si="4"/>
        <v>23160.700702500006</v>
      </c>
      <c r="Q60" s="116" t="s">
        <v>2349</v>
      </c>
      <c r="R60" s="116" t="s">
        <v>2448</v>
      </c>
      <c r="S60" s="116" t="str">
        <f t="shared" si="5"/>
        <v>OK - FECHA COM PLANILHA</v>
      </c>
      <c r="T60" s="116">
        <v>69482.100000000006</v>
      </c>
      <c r="U60" s="122">
        <f t="shared" si="6"/>
        <v>2.1074999822303653E-3</v>
      </c>
    </row>
    <row r="61" spans="1:21" ht="63.75" x14ac:dyDescent="0.2">
      <c r="A61" s="120" t="s">
        <v>2449</v>
      </c>
      <c r="B61" s="114" t="s">
        <v>199</v>
      </c>
      <c r="C61" s="114" t="s">
        <v>1395</v>
      </c>
      <c r="D61" s="114" t="s">
        <v>56</v>
      </c>
      <c r="E61" s="114" t="s">
        <v>200</v>
      </c>
      <c r="F61" s="114" t="s">
        <v>180</v>
      </c>
      <c r="G61" s="115">
        <v>1252.8889999999999</v>
      </c>
      <c r="H61" s="116">
        <v>11.925000000000001</v>
      </c>
      <c r="I61" s="121">
        <v>0.2223</v>
      </c>
      <c r="J61" s="116">
        <f t="shared" si="0"/>
        <v>2.6474999999999991</v>
      </c>
      <c r="K61" s="116">
        <v>14.5725</v>
      </c>
      <c r="L61" s="116">
        <f t="shared" si="1"/>
        <v>14940.701325</v>
      </c>
      <c r="M61" s="116">
        <f t="shared" si="2"/>
        <v>18257.724952499997</v>
      </c>
      <c r="N61" s="116">
        <v>19.43</v>
      </c>
      <c r="O61" s="116">
        <f t="shared" si="3"/>
        <v>4.8574999999999999</v>
      </c>
      <c r="P61" s="116">
        <f t="shared" si="4"/>
        <v>6085.9083174999996</v>
      </c>
      <c r="Q61" s="116" t="s">
        <v>2349</v>
      </c>
      <c r="R61" s="116" t="s">
        <v>2450</v>
      </c>
      <c r="S61" s="116" t="str">
        <f t="shared" si="5"/>
        <v>OK - FECHA COM PLANILHA</v>
      </c>
      <c r="T61" s="116">
        <v>18257.72</v>
      </c>
      <c r="U61" s="122">
        <f t="shared" si="6"/>
        <v>4.9524999958521221E-3</v>
      </c>
    </row>
    <row r="62" spans="1:21" ht="63.75" x14ac:dyDescent="0.2">
      <c r="A62" s="120" t="s">
        <v>2451</v>
      </c>
      <c r="B62" s="114" t="s">
        <v>201</v>
      </c>
      <c r="C62" s="114" t="s">
        <v>1396</v>
      </c>
      <c r="D62" s="114" t="s">
        <v>56</v>
      </c>
      <c r="E62" s="114" t="s">
        <v>202</v>
      </c>
      <c r="F62" s="114" t="s">
        <v>180</v>
      </c>
      <c r="G62" s="115">
        <v>33.081000000000003</v>
      </c>
      <c r="H62" s="116">
        <v>10.672499999999999</v>
      </c>
      <c r="I62" s="121">
        <v>0.2223</v>
      </c>
      <c r="J62" s="116">
        <f t="shared" si="0"/>
        <v>2.370000000000001</v>
      </c>
      <c r="K62" s="116">
        <v>13.0425</v>
      </c>
      <c r="L62" s="116">
        <f t="shared" si="1"/>
        <v>353.05697250000003</v>
      </c>
      <c r="M62" s="116">
        <f t="shared" si="2"/>
        <v>431.45894250000003</v>
      </c>
      <c r="N62" s="116">
        <v>17.39</v>
      </c>
      <c r="O62" s="116">
        <f t="shared" si="3"/>
        <v>4.3475000000000001</v>
      </c>
      <c r="P62" s="116">
        <f t="shared" si="4"/>
        <v>143.81964750000003</v>
      </c>
      <c r="Q62" s="116" t="s">
        <v>2349</v>
      </c>
      <c r="R62" s="116" t="s">
        <v>2452</v>
      </c>
      <c r="S62" s="116" t="str">
        <f t="shared" si="5"/>
        <v>OK - FECHA COM PLANILHA</v>
      </c>
      <c r="T62" s="116">
        <v>431.45</v>
      </c>
      <c r="U62" s="122">
        <f t="shared" si="6"/>
        <v>8.9425000000460386E-3</v>
      </c>
    </row>
    <row r="63" spans="1:21" ht="63.75" x14ac:dyDescent="0.2">
      <c r="A63" s="120" t="s">
        <v>2453</v>
      </c>
      <c r="B63" s="114" t="s">
        <v>203</v>
      </c>
      <c r="C63" s="114" t="s">
        <v>1397</v>
      </c>
      <c r="D63" s="114" t="s">
        <v>56</v>
      </c>
      <c r="E63" s="114" t="s">
        <v>204</v>
      </c>
      <c r="F63" s="114" t="s">
        <v>180</v>
      </c>
      <c r="G63" s="115">
        <v>2033.6669999999999</v>
      </c>
      <c r="H63" s="116">
        <v>8.3925000000000001</v>
      </c>
      <c r="I63" s="121">
        <v>0.2223</v>
      </c>
      <c r="J63" s="116">
        <f t="shared" si="0"/>
        <v>1.8599999999999994</v>
      </c>
      <c r="K63" s="116">
        <v>10.2525</v>
      </c>
      <c r="L63" s="116">
        <f t="shared" si="1"/>
        <v>17067.550297499998</v>
      </c>
      <c r="M63" s="116">
        <f t="shared" si="2"/>
        <v>20850.1709175</v>
      </c>
      <c r="N63" s="116">
        <v>13.67</v>
      </c>
      <c r="O63" s="116">
        <f t="shared" si="3"/>
        <v>3.4175000000000004</v>
      </c>
      <c r="P63" s="116">
        <f t="shared" si="4"/>
        <v>6950.0569725000005</v>
      </c>
      <c r="Q63" s="116" t="s">
        <v>2349</v>
      </c>
      <c r="R63" s="116" t="s">
        <v>2454</v>
      </c>
      <c r="S63" s="116" t="str">
        <f t="shared" si="5"/>
        <v>OK - FECHA COM PLANILHA</v>
      </c>
      <c r="T63" s="116">
        <v>20850.169999999998</v>
      </c>
      <c r="U63" s="122">
        <f t="shared" si="6"/>
        <v>9.1750000137835741E-4</v>
      </c>
    </row>
    <row r="64" spans="1:21" ht="63.75" x14ac:dyDescent="0.2">
      <c r="A64" s="120" t="s">
        <v>2455</v>
      </c>
      <c r="B64" s="114" t="s">
        <v>205</v>
      </c>
      <c r="C64" s="114" t="s">
        <v>1398</v>
      </c>
      <c r="D64" s="114" t="s">
        <v>56</v>
      </c>
      <c r="E64" s="114" t="s">
        <v>206</v>
      </c>
      <c r="F64" s="114" t="s">
        <v>180</v>
      </c>
      <c r="G64" s="115">
        <v>718.09900000000005</v>
      </c>
      <c r="H64" s="116">
        <v>6.9375</v>
      </c>
      <c r="I64" s="121">
        <v>0.2223</v>
      </c>
      <c r="J64" s="116">
        <f t="shared" si="0"/>
        <v>1.5375000000000014</v>
      </c>
      <c r="K64" s="116">
        <v>8.4750000000000014</v>
      </c>
      <c r="L64" s="116">
        <f t="shared" si="1"/>
        <v>4981.8118125000001</v>
      </c>
      <c r="M64" s="116">
        <f t="shared" si="2"/>
        <v>6085.8890250000013</v>
      </c>
      <c r="N64" s="116">
        <v>11.3</v>
      </c>
      <c r="O64" s="116">
        <f t="shared" si="3"/>
        <v>2.8249999999999993</v>
      </c>
      <c r="P64" s="116">
        <f t="shared" si="4"/>
        <v>2028.6296749999997</v>
      </c>
      <c r="Q64" s="116" t="s">
        <v>2349</v>
      </c>
      <c r="R64" s="116" t="s">
        <v>2456</v>
      </c>
      <c r="S64" s="116" t="str">
        <f t="shared" si="5"/>
        <v>OK - FECHA COM PLANILHA</v>
      </c>
      <c r="T64" s="116">
        <v>6085.88</v>
      </c>
      <c r="U64" s="122">
        <f t="shared" si="6"/>
        <v>9.0250000012019882E-3</v>
      </c>
    </row>
    <row r="65" spans="1:21" ht="63.75" x14ac:dyDescent="0.2">
      <c r="A65" s="120" t="s">
        <v>2457</v>
      </c>
      <c r="B65" s="114" t="s">
        <v>207</v>
      </c>
      <c r="C65" s="114" t="s">
        <v>208</v>
      </c>
      <c r="D65" s="114" t="s">
        <v>209</v>
      </c>
      <c r="E65" s="114" t="s">
        <v>210</v>
      </c>
      <c r="F65" s="114" t="s">
        <v>118</v>
      </c>
      <c r="G65" s="115">
        <v>52.64</v>
      </c>
      <c r="H65" s="116">
        <v>520.93500000000006</v>
      </c>
      <c r="I65" s="121">
        <v>0.2223</v>
      </c>
      <c r="J65" s="116">
        <f t="shared" si="0"/>
        <v>115.79999999999995</v>
      </c>
      <c r="K65" s="116">
        <v>636.73500000000001</v>
      </c>
      <c r="L65" s="116">
        <f t="shared" si="1"/>
        <v>27422.018400000004</v>
      </c>
      <c r="M65" s="116">
        <f t="shared" si="2"/>
        <v>33517.7304</v>
      </c>
      <c r="N65" s="116">
        <v>848.98</v>
      </c>
      <c r="O65" s="116">
        <f t="shared" si="3"/>
        <v>212.245</v>
      </c>
      <c r="P65" s="116">
        <f t="shared" si="4"/>
        <v>11172.576800000001</v>
      </c>
      <c r="Q65" s="116" t="s">
        <v>2458</v>
      </c>
      <c r="R65" s="116" t="s">
        <v>2459</v>
      </c>
      <c r="S65" s="116" t="str">
        <f t="shared" si="5"/>
        <v>OK - FECHA COM PLANILHA</v>
      </c>
      <c r="T65" s="116">
        <v>33517.730000000003</v>
      </c>
      <c r="U65" s="122">
        <f t="shared" si="6"/>
        <v>3.9999999717110768E-4</v>
      </c>
    </row>
    <row r="66" spans="1:21" ht="63.75" x14ac:dyDescent="0.2">
      <c r="A66" s="120" t="s">
        <v>2460</v>
      </c>
      <c r="B66" s="114" t="s">
        <v>213</v>
      </c>
      <c r="C66" s="114" t="s">
        <v>1399</v>
      </c>
      <c r="D66" s="114" t="s">
        <v>56</v>
      </c>
      <c r="E66" s="114" t="s">
        <v>214</v>
      </c>
      <c r="F66" s="114" t="s">
        <v>26</v>
      </c>
      <c r="G66" s="115">
        <v>1460.3979999999999</v>
      </c>
      <c r="H66" s="116">
        <v>113.57250000000001</v>
      </c>
      <c r="I66" s="121">
        <v>0.2223</v>
      </c>
      <c r="J66" s="116">
        <f t="shared" si="0"/>
        <v>25.24499999999999</v>
      </c>
      <c r="K66" s="116">
        <v>138.8175</v>
      </c>
      <c r="L66" s="116">
        <f t="shared" si="1"/>
        <v>165861.051855</v>
      </c>
      <c r="M66" s="116">
        <f t="shared" si="2"/>
        <v>202728.79936499998</v>
      </c>
      <c r="N66" s="116">
        <v>185.09</v>
      </c>
      <c r="O66" s="116">
        <f t="shared" si="3"/>
        <v>46.272500000000008</v>
      </c>
      <c r="P66" s="116">
        <f t="shared" si="4"/>
        <v>67576.266455000004</v>
      </c>
      <c r="Q66" s="116" t="s">
        <v>2349</v>
      </c>
      <c r="R66" s="116" t="s">
        <v>2461</v>
      </c>
      <c r="S66" s="116" t="str">
        <f t="shared" si="5"/>
        <v>OK - FECHA COM PLANILHA</v>
      </c>
      <c r="T66" s="116">
        <v>202728.79</v>
      </c>
      <c r="U66" s="122">
        <f t="shared" si="6"/>
        <v>9.3649999762419611E-3</v>
      </c>
    </row>
    <row r="67" spans="1:21" ht="63.75" x14ac:dyDescent="0.2">
      <c r="A67" s="120" t="s">
        <v>2462</v>
      </c>
      <c r="B67" s="114" t="s">
        <v>215</v>
      </c>
      <c r="C67" s="114" t="s">
        <v>1400</v>
      </c>
      <c r="D67" s="114" t="s">
        <v>56</v>
      </c>
      <c r="E67" s="114" t="s">
        <v>216</v>
      </c>
      <c r="F67" s="114" t="s">
        <v>26</v>
      </c>
      <c r="G67" s="115">
        <v>2614.143</v>
      </c>
      <c r="H67" s="116">
        <v>57.885000000000005</v>
      </c>
      <c r="I67" s="121">
        <v>0.2223</v>
      </c>
      <c r="J67" s="116">
        <f t="shared" ref="J67:J130" si="7">K67-H67</f>
        <v>12.862499999999997</v>
      </c>
      <c r="K67" s="116">
        <v>70.747500000000002</v>
      </c>
      <c r="L67" s="116">
        <f t="shared" ref="L67:L130" si="8">G67*H67</f>
        <v>151319.66755500002</v>
      </c>
      <c r="M67" s="116">
        <f t="shared" ref="M67:M130" si="9">G67*K67</f>
        <v>184944.08189250002</v>
      </c>
      <c r="N67" s="116">
        <v>94.33</v>
      </c>
      <c r="O67" s="116">
        <f t="shared" ref="O67:O130" si="10">IFERROR(N67-K67,"")</f>
        <v>23.582499999999996</v>
      </c>
      <c r="P67" s="116">
        <f t="shared" ref="P67:P130" si="11">IFERROR(G67*O67,"")</f>
        <v>61648.02729749999</v>
      </c>
      <c r="Q67" s="116" t="s">
        <v>2349</v>
      </c>
      <c r="R67" s="116" t="s">
        <v>2463</v>
      </c>
      <c r="S67" s="116" t="str">
        <f t="shared" ref="S67:S130" si="12">IF(ABS(M67-T67)&lt;=0.05,"OK - FECHA COM PLANILHA","REVISAR")</f>
        <v>OK - FECHA COM PLANILHA</v>
      </c>
      <c r="T67" s="116">
        <v>184944.08</v>
      </c>
      <c r="U67" s="122">
        <f t="shared" ref="U67:U130" si="13">M67-T67</f>
        <v>1.8925000331364572E-3</v>
      </c>
    </row>
    <row r="68" spans="1:21" ht="63.75" x14ac:dyDescent="0.2">
      <c r="A68" s="120" t="s">
        <v>2464</v>
      </c>
      <c r="B68" s="114" t="s">
        <v>217</v>
      </c>
      <c r="C68" s="114" t="s">
        <v>1401</v>
      </c>
      <c r="D68" s="114" t="s">
        <v>56</v>
      </c>
      <c r="E68" s="114" t="s">
        <v>218</v>
      </c>
      <c r="F68" s="114" t="s">
        <v>118</v>
      </c>
      <c r="G68" s="115">
        <v>5400.143</v>
      </c>
      <c r="H68" s="116">
        <v>15.899999999999999</v>
      </c>
      <c r="I68" s="121">
        <v>0.2223</v>
      </c>
      <c r="J68" s="116">
        <f t="shared" si="7"/>
        <v>3.5325000000000024</v>
      </c>
      <c r="K68" s="116">
        <v>19.432500000000001</v>
      </c>
      <c r="L68" s="116">
        <f t="shared" si="8"/>
        <v>85862.273699999991</v>
      </c>
      <c r="M68" s="116">
        <f t="shared" si="9"/>
        <v>104938.27884750001</v>
      </c>
      <c r="N68" s="116">
        <v>25.91</v>
      </c>
      <c r="O68" s="116">
        <f t="shared" si="10"/>
        <v>6.4774999999999991</v>
      </c>
      <c r="P68" s="116">
        <f t="shared" si="11"/>
        <v>34979.426282499997</v>
      </c>
      <c r="Q68" s="116" t="s">
        <v>2349</v>
      </c>
      <c r="R68" s="116" t="s">
        <v>2465</v>
      </c>
      <c r="S68" s="116" t="str">
        <f t="shared" si="12"/>
        <v>OK - FECHA COM PLANILHA</v>
      </c>
      <c r="T68" s="116">
        <v>104938.27</v>
      </c>
      <c r="U68" s="122">
        <f t="shared" si="13"/>
        <v>8.8475000084144995E-3</v>
      </c>
    </row>
    <row r="69" spans="1:21" ht="63.75" x14ac:dyDescent="0.2">
      <c r="A69" s="120" t="s">
        <v>2466</v>
      </c>
      <c r="B69" s="114" t="s">
        <v>219</v>
      </c>
      <c r="C69" s="114" t="s">
        <v>1395</v>
      </c>
      <c r="D69" s="114" t="s">
        <v>56</v>
      </c>
      <c r="E69" s="114" t="s">
        <v>200</v>
      </c>
      <c r="F69" s="114" t="s">
        <v>180</v>
      </c>
      <c r="G69" s="115">
        <v>1954.125</v>
      </c>
      <c r="H69" s="116">
        <v>11.925000000000001</v>
      </c>
      <c r="I69" s="121">
        <v>0.2223</v>
      </c>
      <c r="J69" s="116">
        <f t="shared" si="7"/>
        <v>2.6474999999999991</v>
      </c>
      <c r="K69" s="116">
        <v>14.5725</v>
      </c>
      <c r="L69" s="116">
        <f t="shared" si="8"/>
        <v>23302.940625000003</v>
      </c>
      <c r="M69" s="116">
        <f t="shared" si="9"/>
        <v>28476.486562499998</v>
      </c>
      <c r="N69" s="116">
        <v>19.43</v>
      </c>
      <c r="O69" s="116">
        <f t="shared" si="10"/>
        <v>4.8574999999999999</v>
      </c>
      <c r="P69" s="116">
        <f t="shared" si="11"/>
        <v>9492.1621875000001</v>
      </c>
      <c r="Q69" s="116" t="s">
        <v>2349</v>
      </c>
      <c r="R69" s="116" t="s">
        <v>2467</v>
      </c>
      <c r="S69" s="116" t="str">
        <f t="shared" si="12"/>
        <v>OK - FECHA COM PLANILHA</v>
      </c>
      <c r="T69" s="116">
        <v>28476.48</v>
      </c>
      <c r="U69" s="122">
        <f t="shared" si="13"/>
        <v>6.5624999988358468E-3</v>
      </c>
    </row>
    <row r="70" spans="1:21" ht="63.75" x14ac:dyDescent="0.2">
      <c r="A70" s="120" t="s">
        <v>2468</v>
      </c>
      <c r="B70" s="114" t="s">
        <v>221</v>
      </c>
      <c r="C70" s="114" t="s">
        <v>1396</v>
      </c>
      <c r="D70" s="114" t="s">
        <v>56</v>
      </c>
      <c r="E70" s="114" t="s">
        <v>202</v>
      </c>
      <c r="F70" s="114" t="s">
        <v>180</v>
      </c>
      <c r="G70" s="115">
        <v>525.41700000000003</v>
      </c>
      <c r="H70" s="116">
        <v>10.672499999999999</v>
      </c>
      <c r="I70" s="121">
        <v>0.2223</v>
      </c>
      <c r="J70" s="116">
        <f t="shared" si="7"/>
        <v>2.370000000000001</v>
      </c>
      <c r="K70" s="116">
        <v>13.0425</v>
      </c>
      <c r="L70" s="116">
        <f t="shared" si="8"/>
        <v>5607.5129324999998</v>
      </c>
      <c r="M70" s="116">
        <f t="shared" si="9"/>
        <v>6852.7512225000009</v>
      </c>
      <c r="N70" s="116">
        <v>17.39</v>
      </c>
      <c r="O70" s="116">
        <f t="shared" si="10"/>
        <v>4.3475000000000001</v>
      </c>
      <c r="P70" s="116">
        <f t="shared" si="11"/>
        <v>2284.2504075000002</v>
      </c>
      <c r="Q70" s="116" t="s">
        <v>2349</v>
      </c>
      <c r="R70" s="116" t="s">
        <v>2469</v>
      </c>
      <c r="S70" s="116" t="str">
        <f t="shared" si="12"/>
        <v>OK - FECHA COM PLANILHA</v>
      </c>
      <c r="T70" s="116">
        <v>6852.75</v>
      </c>
      <c r="U70" s="122">
        <f t="shared" si="13"/>
        <v>1.2225000009493669E-3</v>
      </c>
    </row>
    <row r="71" spans="1:21" ht="63.75" x14ac:dyDescent="0.2">
      <c r="A71" s="120" t="s">
        <v>2470</v>
      </c>
      <c r="B71" s="114" t="s">
        <v>223</v>
      </c>
      <c r="C71" s="114" t="s">
        <v>1402</v>
      </c>
      <c r="D71" s="114" t="s">
        <v>56</v>
      </c>
      <c r="E71" s="114" t="s">
        <v>1403</v>
      </c>
      <c r="F71" s="114" t="s">
        <v>180</v>
      </c>
      <c r="G71" s="115">
        <v>895.10400000000004</v>
      </c>
      <c r="H71" s="116">
        <v>9.6225000000000005</v>
      </c>
      <c r="I71" s="121">
        <v>0.2223</v>
      </c>
      <c r="J71" s="116">
        <f t="shared" si="7"/>
        <v>2.1374999999999993</v>
      </c>
      <c r="K71" s="116">
        <v>11.76</v>
      </c>
      <c r="L71" s="116">
        <f t="shared" si="8"/>
        <v>8613.1382400000002</v>
      </c>
      <c r="M71" s="116">
        <f t="shared" si="9"/>
        <v>10526.42304</v>
      </c>
      <c r="N71" s="116">
        <v>15.68</v>
      </c>
      <c r="O71" s="116">
        <f t="shared" si="10"/>
        <v>3.92</v>
      </c>
      <c r="P71" s="116">
        <f t="shared" si="11"/>
        <v>3508.8076799999999</v>
      </c>
      <c r="Q71" s="116" t="s">
        <v>2349</v>
      </c>
      <c r="R71" s="116" t="s">
        <v>2471</v>
      </c>
      <c r="S71" s="116" t="str">
        <f t="shared" si="12"/>
        <v>OK - FECHA COM PLANILHA</v>
      </c>
      <c r="T71" s="116">
        <v>10526.42</v>
      </c>
      <c r="U71" s="122">
        <f t="shared" si="13"/>
        <v>3.0399999996006954E-3</v>
      </c>
    </row>
    <row r="72" spans="1:21" ht="63.75" x14ac:dyDescent="0.2">
      <c r="A72" s="120" t="s">
        <v>2472</v>
      </c>
      <c r="B72" s="114" t="s">
        <v>225</v>
      </c>
      <c r="C72" s="114" t="s">
        <v>1397</v>
      </c>
      <c r="D72" s="114" t="s">
        <v>56</v>
      </c>
      <c r="E72" s="114" t="s">
        <v>204</v>
      </c>
      <c r="F72" s="114" t="s">
        <v>180</v>
      </c>
      <c r="G72" s="115">
        <v>3357.0189999999998</v>
      </c>
      <c r="H72" s="116">
        <v>8.3925000000000001</v>
      </c>
      <c r="I72" s="121">
        <v>0.2223</v>
      </c>
      <c r="J72" s="116">
        <f t="shared" si="7"/>
        <v>1.8599999999999994</v>
      </c>
      <c r="K72" s="116">
        <v>10.2525</v>
      </c>
      <c r="L72" s="116">
        <f t="shared" si="8"/>
        <v>28173.781957499999</v>
      </c>
      <c r="M72" s="116">
        <f t="shared" si="9"/>
        <v>34417.837297499995</v>
      </c>
      <c r="N72" s="116">
        <v>13.67</v>
      </c>
      <c r="O72" s="116">
        <f t="shared" si="10"/>
        <v>3.4175000000000004</v>
      </c>
      <c r="P72" s="116">
        <f t="shared" si="11"/>
        <v>11472.6124325</v>
      </c>
      <c r="Q72" s="116" t="s">
        <v>2349</v>
      </c>
      <c r="R72" s="116" t="s">
        <v>2473</v>
      </c>
      <c r="S72" s="116" t="str">
        <f t="shared" si="12"/>
        <v>OK - FECHA COM PLANILHA</v>
      </c>
      <c r="T72" s="116">
        <v>34417.83</v>
      </c>
      <c r="U72" s="122">
        <f t="shared" si="13"/>
        <v>7.2974999930011109E-3</v>
      </c>
    </row>
    <row r="73" spans="1:21" ht="63.75" x14ac:dyDescent="0.2">
      <c r="A73" s="120" t="s">
        <v>2474</v>
      </c>
      <c r="B73" s="114" t="s">
        <v>227</v>
      </c>
      <c r="C73" s="114" t="s">
        <v>1398</v>
      </c>
      <c r="D73" s="114" t="s">
        <v>56</v>
      </c>
      <c r="E73" s="114" t="s">
        <v>206</v>
      </c>
      <c r="F73" s="114" t="s">
        <v>180</v>
      </c>
      <c r="G73" s="115">
        <v>1619.701</v>
      </c>
      <c r="H73" s="116">
        <v>6.9375</v>
      </c>
      <c r="I73" s="121">
        <v>0.2223</v>
      </c>
      <c r="J73" s="116">
        <f t="shared" si="7"/>
        <v>1.5375000000000014</v>
      </c>
      <c r="K73" s="116">
        <v>8.4750000000000014</v>
      </c>
      <c r="L73" s="116">
        <f t="shared" si="8"/>
        <v>11236.675687500001</v>
      </c>
      <c r="M73" s="116">
        <f t="shared" si="9"/>
        <v>13726.965975000003</v>
      </c>
      <c r="N73" s="116">
        <v>11.3</v>
      </c>
      <c r="O73" s="116">
        <f t="shared" si="10"/>
        <v>2.8249999999999993</v>
      </c>
      <c r="P73" s="116">
        <f t="shared" si="11"/>
        <v>4575.6553249999988</v>
      </c>
      <c r="Q73" s="116" t="s">
        <v>2349</v>
      </c>
      <c r="R73" s="116" t="s">
        <v>2475</v>
      </c>
      <c r="S73" s="116" t="str">
        <f t="shared" si="12"/>
        <v>OK - FECHA COM PLANILHA</v>
      </c>
      <c r="T73" s="116">
        <v>13726.96</v>
      </c>
      <c r="U73" s="122">
        <f t="shared" si="13"/>
        <v>5.9750000036729034E-3</v>
      </c>
    </row>
    <row r="74" spans="1:21" ht="63.75" x14ac:dyDescent="0.2">
      <c r="A74" s="120" t="s">
        <v>2476</v>
      </c>
      <c r="B74" s="114" t="s">
        <v>229</v>
      </c>
      <c r="C74" s="114" t="s">
        <v>1404</v>
      </c>
      <c r="D74" s="114" t="s">
        <v>56</v>
      </c>
      <c r="E74" s="114" t="s">
        <v>1405</v>
      </c>
      <c r="F74" s="114" t="s">
        <v>180</v>
      </c>
      <c r="G74" s="115">
        <v>1056.7370000000001</v>
      </c>
      <c r="H74" s="116">
        <v>7.86</v>
      </c>
      <c r="I74" s="121">
        <v>0.2223</v>
      </c>
      <c r="J74" s="116">
        <f t="shared" si="7"/>
        <v>1.7400000000000011</v>
      </c>
      <c r="K74" s="116">
        <v>9.6000000000000014</v>
      </c>
      <c r="L74" s="116">
        <f t="shared" si="8"/>
        <v>8305.9528200000004</v>
      </c>
      <c r="M74" s="116">
        <f t="shared" si="9"/>
        <v>10144.675200000001</v>
      </c>
      <c r="N74" s="116">
        <v>12.8</v>
      </c>
      <c r="O74" s="116">
        <f t="shared" si="10"/>
        <v>3.1999999999999993</v>
      </c>
      <c r="P74" s="116">
        <f t="shared" si="11"/>
        <v>3381.5583999999994</v>
      </c>
      <c r="Q74" s="116" t="s">
        <v>2349</v>
      </c>
      <c r="R74" s="116" t="s">
        <v>2477</v>
      </c>
      <c r="S74" s="116" t="str">
        <f t="shared" si="12"/>
        <v>OK - FECHA COM PLANILHA</v>
      </c>
      <c r="T74" s="116">
        <v>10144.67</v>
      </c>
      <c r="U74" s="122">
        <f t="shared" si="13"/>
        <v>5.2000000014231773E-3</v>
      </c>
    </row>
    <row r="75" spans="1:21" ht="63.75" x14ac:dyDescent="0.2">
      <c r="A75" s="120" t="s">
        <v>2478</v>
      </c>
      <c r="B75" s="114" t="s">
        <v>1406</v>
      </c>
      <c r="C75" s="114" t="s">
        <v>1407</v>
      </c>
      <c r="D75" s="114" t="s">
        <v>56</v>
      </c>
      <c r="E75" s="114" t="s">
        <v>231</v>
      </c>
      <c r="F75" s="114" t="s">
        <v>180</v>
      </c>
      <c r="G75" s="115">
        <v>4937.3140000000003</v>
      </c>
      <c r="H75" s="116">
        <v>11.28</v>
      </c>
      <c r="I75" s="121">
        <v>0.2223</v>
      </c>
      <c r="J75" s="116">
        <f t="shared" si="7"/>
        <v>2.5050000000000008</v>
      </c>
      <c r="K75" s="116">
        <v>13.785</v>
      </c>
      <c r="L75" s="116">
        <f t="shared" si="8"/>
        <v>55692.901920000004</v>
      </c>
      <c r="M75" s="116">
        <f t="shared" si="9"/>
        <v>68060.873489999998</v>
      </c>
      <c r="N75" s="116">
        <v>18.38</v>
      </c>
      <c r="O75" s="116">
        <f t="shared" si="10"/>
        <v>4.5949999999999989</v>
      </c>
      <c r="P75" s="116">
        <f t="shared" si="11"/>
        <v>22686.957829999996</v>
      </c>
      <c r="Q75" s="116" t="s">
        <v>2349</v>
      </c>
      <c r="R75" s="116" t="s">
        <v>2479</v>
      </c>
      <c r="S75" s="116" t="str">
        <f t="shared" si="12"/>
        <v>OK - FECHA COM PLANILHA</v>
      </c>
      <c r="T75" s="116">
        <v>68060.87</v>
      </c>
      <c r="U75" s="122">
        <f t="shared" si="13"/>
        <v>3.4900000027846545E-3</v>
      </c>
    </row>
    <row r="76" spans="1:21" ht="63.75" x14ac:dyDescent="0.2">
      <c r="A76" s="120" t="s">
        <v>2480</v>
      </c>
      <c r="B76" s="114" t="s">
        <v>1408</v>
      </c>
      <c r="C76" s="114" t="s">
        <v>1409</v>
      </c>
      <c r="D76" s="114" t="s">
        <v>56</v>
      </c>
      <c r="E76" s="114" t="s">
        <v>232</v>
      </c>
      <c r="F76" s="114" t="s">
        <v>180</v>
      </c>
      <c r="G76" s="115">
        <v>7341.5159999999996</v>
      </c>
      <c r="H76" s="116">
        <v>10.08</v>
      </c>
      <c r="I76" s="121">
        <v>0.2223</v>
      </c>
      <c r="J76" s="116">
        <f t="shared" si="7"/>
        <v>2.2350000000000012</v>
      </c>
      <c r="K76" s="116">
        <v>12.315000000000001</v>
      </c>
      <c r="L76" s="116">
        <f t="shared" si="8"/>
        <v>74002.481279999993</v>
      </c>
      <c r="M76" s="116">
        <f t="shared" si="9"/>
        <v>90410.769540000008</v>
      </c>
      <c r="N76" s="116">
        <v>16.420000000000002</v>
      </c>
      <c r="O76" s="116">
        <f t="shared" si="10"/>
        <v>4.1050000000000004</v>
      </c>
      <c r="P76" s="116">
        <f t="shared" si="11"/>
        <v>30136.923180000002</v>
      </c>
      <c r="Q76" s="116" t="s">
        <v>2349</v>
      </c>
      <c r="R76" s="116" t="s">
        <v>2481</v>
      </c>
      <c r="S76" s="116" t="str">
        <f t="shared" si="12"/>
        <v>OK - FECHA COM PLANILHA</v>
      </c>
      <c r="T76" s="116">
        <v>90410.76</v>
      </c>
      <c r="U76" s="122">
        <f t="shared" si="13"/>
        <v>9.5400000136578456E-3</v>
      </c>
    </row>
    <row r="77" spans="1:21" ht="63.75" x14ac:dyDescent="0.2">
      <c r="A77" s="120" t="s">
        <v>2482</v>
      </c>
      <c r="B77" s="114" t="s">
        <v>1410</v>
      </c>
      <c r="C77" s="114" t="s">
        <v>1411</v>
      </c>
      <c r="D77" s="114" t="s">
        <v>56</v>
      </c>
      <c r="E77" s="114" t="s">
        <v>233</v>
      </c>
      <c r="F77" s="114" t="s">
        <v>180</v>
      </c>
      <c r="G77" s="115">
        <v>4850.1769999999997</v>
      </c>
      <c r="H77" s="116">
        <v>9.0824999999999996</v>
      </c>
      <c r="I77" s="121">
        <v>0.2223</v>
      </c>
      <c r="J77" s="116">
        <f t="shared" si="7"/>
        <v>2.0175000000000018</v>
      </c>
      <c r="K77" s="116">
        <v>11.100000000000001</v>
      </c>
      <c r="L77" s="116">
        <f t="shared" si="8"/>
        <v>44051.732602499993</v>
      </c>
      <c r="M77" s="116">
        <f t="shared" si="9"/>
        <v>53836.964700000004</v>
      </c>
      <c r="N77" s="116">
        <v>14.8</v>
      </c>
      <c r="O77" s="116">
        <f t="shared" si="10"/>
        <v>3.6999999999999993</v>
      </c>
      <c r="P77" s="116">
        <f t="shared" si="11"/>
        <v>17945.654899999994</v>
      </c>
      <c r="Q77" s="116" t="s">
        <v>2349</v>
      </c>
      <c r="R77" s="116" t="s">
        <v>2483</v>
      </c>
      <c r="S77" s="116" t="str">
        <f t="shared" si="12"/>
        <v>OK - FECHA COM PLANILHA</v>
      </c>
      <c r="T77" s="116">
        <v>53836.959999999999</v>
      </c>
      <c r="U77" s="122">
        <f t="shared" si="13"/>
        <v>4.7000000049592927E-3</v>
      </c>
    </row>
    <row r="78" spans="1:21" ht="63.75" x14ac:dyDescent="0.2">
      <c r="A78" s="120" t="s">
        <v>2484</v>
      </c>
      <c r="B78" s="114" t="s">
        <v>1412</v>
      </c>
      <c r="C78" s="114" t="s">
        <v>1413</v>
      </c>
      <c r="D78" s="114" t="s">
        <v>56</v>
      </c>
      <c r="E78" s="114" t="s">
        <v>234</v>
      </c>
      <c r="F78" s="114" t="s">
        <v>180</v>
      </c>
      <c r="G78" s="115">
        <v>1743.894</v>
      </c>
      <c r="H78" s="116">
        <v>7.9049999999999994</v>
      </c>
      <c r="I78" s="121">
        <v>0.2223</v>
      </c>
      <c r="J78" s="116">
        <f t="shared" si="7"/>
        <v>1.7550000000000008</v>
      </c>
      <c r="K78" s="116">
        <v>9.66</v>
      </c>
      <c r="L78" s="116">
        <f t="shared" si="8"/>
        <v>13785.482069999998</v>
      </c>
      <c r="M78" s="116">
        <f t="shared" si="9"/>
        <v>16846.016039999999</v>
      </c>
      <c r="N78" s="116">
        <v>12.88</v>
      </c>
      <c r="O78" s="116">
        <f t="shared" si="10"/>
        <v>3.2200000000000006</v>
      </c>
      <c r="P78" s="116">
        <f t="shared" si="11"/>
        <v>5615.3386800000007</v>
      </c>
      <c r="Q78" s="116" t="s">
        <v>2349</v>
      </c>
      <c r="R78" s="116" t="s">
        <v>2485</v>
      </c>
      <c r="S78" s="116" t="str">
        <f t="shared" si="12"/>
        <v>OK - FECHA COM PLANILHA</v>
      </c>
      <c r="T78" s="116">
        <v>16846.009999999998</v>
      </c>
      <c r="U78" s="122">
        <f t="shared" si="13"/>
        <v>6.0400000002118759E-3</v>
      </c>
    </row>
    <row r="79" spans="1:21" ht="63.75" x14ac:dyDescent="0.2">
      <c r="A79" s="120" t="s">
        <v>2486</v>
      </c>
      <c r="B79" s="114" t="s">
        <v>1414</v>
      </c>
      <c r="C79" s="114" t="s">
        <v>1415</v>
      </c>
      <c r="D79" s="114" t="s">
        <v>56</v>
      </c>
      <c r="E79" s="114" t="s">
        <v>235</v>
      </c>
      <c r="F79" s="114" t="s">
        <v>180</v>
      </c>
      <c r="G79" s="115">
        <v>187.40299999999999</v>
      </c>
      <c r="H79" s="116">
        <v>6.5175000000000001</v>
      </c>
      <c r="I79" s="121">
        <v>0.2223</v>
      </c>
      <c r="J79" s="116">
        <f t="shared" si="7"/>
        <v>1.4474999999999998</v>
      </c>
      <c r="K79" s="116">
        <v>7.9649999999999999</v>
      </c>
      <c r="L79" s="116">
        <f t="shared" si="8"/>
        <v>1221.3990524999999</v>
      </c>
      <c r="M79" s="116">
        <f t="shared" si="9"/>
        <v>1492.6648949999999</v>
      </c>
      <c r="N79" s="116">
        <v>10.62</v>
      </c>
      <c r="O79" s="116">
        <f t="shared" si="10"/>
        <v>2.6549999999999994</v>
      </c>
      <c r="P79" s="116">
        <f t="shared" si="11"/>
        <v>497.55496499999987</v>
      </c>
      <c r="Q79" s="116" t="s">
        <v>2349</v>
      </c>
      <c r="R79" s="116" t="s">
        <v>2487</v>
      </c>
      <c r="S79" s="116" t="str">
        <f t="shared" si="12"/>
        <v>OK - FECHA COM PLANILHA</v>
      </c>
      <c r="T79" s="116">
        <v>1492.66</v>
      </c>
      <c r="U79" s="122">
        <f t="shared" si="13"/>
        <v>4.8949999998058047E-3</v>
      </c>
    </row>
    <row r="80" spans="1:21" ht="63.75" x14ac:dyDescent="0.2">
      <c r="A80" s="120" t="s">
        <v>2488</v>
      </c>
      <c r="B80" s="114" t="s">
        <v>1416</v>
      </c>
      <c r="C80" s="114" t="s">
        <v>236</v>
      </c>
      <c r="D80" s="114" t="s">
        <v>209</v>
      </c>
      <c r="E80" s="114" t="s">
        <v>271</v>
      </c>
      <c r="F80" s="114" t="s">
        <v>118</v>
      </c>
      <c r="G80" s="115">
        <v>147.48699999999999</v>
      </c>
      <c r="H80" s="116">
        <v>521.81999999999994</v>
      </c>
      <c r="I80" s="121">
        <v>0.2223</v>
      </c>
      <c r="J80" s="116">
        <f t="shared" si="7"/>
        <v>115.995</v>
      </c>
      <c r="K80" s="116">
        <v>637.81499999999994</v>
      </c>
      <c r="L80" s="116">
        <f t="shared" si="8"/>
        <v>76961.666339999982</v>
      </c>
      <c r="M80" s="116">
        <f t="shared" si="9"/>
        <v>94069.420904999992</v>
      </c>
      <c r="N80" s="116">
        <v>850.42</v>
      </c>
      <c r="O80" s="116">
        <f t="shared" si="10"/>
        <v>212.60500000000002</v>
      </c>
      <c r="P80" s="116">
        <f t="shared" si="11"/>
        <v>31356.473635000002</v>
      </c>
      <c r="Q80" s="116" t="s">
        <v>2458</v>
      </c>
      <c r="R80" s="116" t="s">
        <v>2489</v>
      </c>
      <c r="S80" s="116" t="str">
        <f t="shared" si="12"/>
        <v>OK - FECHA COM PLANILHA</v>
      </c>
      <c r="T80" s="116">
        <v>94069.42</v>
      </c>
      <c r="U80" s="122">
        <f t="shared" si="13"/>
        <v>9.0499999350868165E-4</v>
      </c>
    </row>
    <row r="81" spans="1:21" ht="63.75" x14ac:dyDescent="0.2">
      <c r="A81" s="120" t="s">
        <v>2490</v>
      </c>
      <c r="B81" s="114" t="s">
        <v>240</v>
      </c>
      <c r="C81" s="114" t="s">
        <v>1417</v>
      </c>
      <c r="D81" s="114" t="s">
        <v>56</v>
      </c>
      <c r="E81" s="114" t="s">
        <v>241</v>
      </c>
      <c r="F81" s="114" t="s">
        <v>26</v>
      </c>
      <c r="G81" s="115">
        <v>26.538</v>
      </c>
      <c r="H81" s="116">
        <v>116.0175</v>
      </c>
      <c r="I81" s="121">
        <v>0.2223</v>
      </c>
      <c r="J81" s="116">
        <f t="shared" si="7"/>
        <v>25.785000000000011</v>
      </c>
      <c r="K81" s="116">
        <v>141.80250000000001</v>
      </c>
      <c r="L81" s="116">
        <f t="shared" si="8"/>
        <v>3078.8724149999998</v>
      </c>
      <c r="M81" s="116">
        <f t="shared" si="9"/>
        <v>3763.1547450000003</v>
      </c>
      <c r="N81" s="116">
        <v>189.07</v>
      </c>
      <c r="O81" s="116">
        <f t="shared" si="10"/>
        <v>47.267499999999984</v>
      </c>
      <c r="P81" s="116">
        <f t="shared" si="11"/>
        <v>1254.3849149999996</v>
      </c>
      <c r="Q81" s="116" t="s">
        <v>2349</v>
      </c>
      <c r="R81" s="116" t="s">
        <v>2491</v>
      </c>
      <c r="S81" s="116" t="str">
        <f t="shared" si="12"/>
        <v>OK - FECHA COM PLANILHA</v>
      </c>
      <c r="T81" s="116">
        <v>3763.15</v>
      </c>
      <c r="U81" s="122">
        <f t="shared" si="13"/>
        <v>4.7450000001845183E-3</v>
      </c>
    </row>
    <row r="82" spans="1:21" ht="63.75" x14ac:dyDescent="0.2">
      <c r="A82" s="120" t="s">
        <v>2492</v>
      </c>
      <c r="B82" s="114" t="s">
        <v>242</v>
      </c>
      <c r="C82" s="114" t="s">
        <v>1418</v>
      </c>
      <c r="D82" s="114" t="s">
        <v>56</v>
      </c>
      <c r="E82" s="114" t="s">
        <v>243</v>
      </c>
      <c r="F82" s="114" t="s">
        <v>26</v>
      </c>
      <c r="G82" s="115">
        <v>34.006999999999998</v>
      </c>
      <c r="H82" s="116">
        <v>133.125</v>
      </c>
      <c r="I82" s="121">
        <v>0.2223</v>
      </c>
      <c r="J82" s="116">
        <f t="shared" si="7"/>
        <v>29.587499999999977</v>
      </c>
      <c r="K82" s="116">
        <v>162.71249999999998</v>
      </c>
      <c r="L82" s="116">
        <f t="shared" si="8"/>
        <v>4527.1818749999993</v>
      </c>
      <c r="M82" s="116">
        <f t="shared" si="9"/>
        <v>5533.363987499999</v>
      </c>
      <c r="N82" s="116">
        <v>216.95</v>
      </c>
      <c r="O82" s="116">
        <f t="shared" si="10"/>
        <v>54.237500000000011</v>
      </c>
      <c r="P82" s="116">
        <f t="shared" si="11"/>
        <v>1844.4546625000003</v>
      </c>
      <c r="Q82" s="116" t="s">
        <v>2349</v>
      </c>
      <c r="R82" s="116" t="s">
        <v>2493</v>
      </c>
      <c r="S82" s="116" t="str">
        <f t="shared" si="12"/>
        <v>OK - FECHA COM PLANILHA</v>
      </c>
      <c r="T82" s="116">
        <v>5533.36</v>
      </c>
      <c r="U82" s="122">
        <f t="shared" si="13"/>
        <v>3.9874999993116944E-3</v>
      </c>
    </row>
    <row r="83" spans="1:21" ht="63.75" x14ac:dyDescent="0.2">
      <c r="A83" s="120" t="s">
        <v>2494</v>
      </c>
      <c r="B83" s="114" t="s">
        <v>244</v>
      </c>
      <c r="C83" s="114" t="s">
        <v>1419</v>
      </c>
      <c r="D83" s="114" t="s">
        <v>56</v>
      </c>
      <c r="E83" s="114" t="s">
        <v>1420</v>
      </c>
      <c r="F83" s="114" t="s">
        <v>180</v>
      </c>
      <c r="G83" s="115">
        <v>24.114999999999998</v>
      </c>
      <c r="H83" s="116">
        <v>20.647500000000001</v>
      </c>
      <c r="I83" s="121">
        <v>0.2223</v>
      </c>
      <c r="J83" s="116">
        <f t="shared" si="7"/>
        <v>4.5824999999999996</v>
      </c>
      <c r="K83" s="116">
        <v>25.23</v>
      </c>
      <c r="L83" s="116">
        <f t="shared" si="8"/>
        <v>497.91446250000001</v>
      </c>
      <c r="M83" s="116">
        <f t="shared" si="9"/>
        <v>608.42144999999994</v>
      </c>
      <c r="N83" s="116">
        <v>33.64</v>
      </c>
      <c r="O83" s="116">
        <f t="shared" si="10"/>
        <v>8.41</v>
      </c>
      <c r="P83" s="116">
        <f t="shared" si="11"/>
        <v>202.80714999999998</v>
      </c>
      <c r="Q83" s="116" t="s">
        <v>2349</v>
      </c>
      <c r="R83" s="116" t="s">
        <v>2495</v>
      </c>
      <c r="S83" s="116" t="str">
        <f t="shared" si="12"/>
        <v>OK - FECHA COM PLANILHA</v>
      </c>
      <c r="T83" s="116">
        <v>608.41999999999996</v>
      </c>
      <c r="U83" s="122">
        <f t="shared" si="13"/>
        <v>1.4499999999770807E-3</v>
      </c>
    </row>
    <row r="84" spans="1:21" ht="63.75" x14ac:dyDescent="0.2">
      <c r="A84" s="120" t="s">
        <v>2496</v>
      </c>
      <c r="B84" s="114" t="s">
        <v>246</v>
      </c>
      <c r="C84" s="114" t="s">
        <v>1421</v>
      </c>
      <c r="D84" s="114" t="s">
        <v>56</v>
      </c>
      <c r="E84" s="114" t="s">
        <v>1422</v>
      </c>
      <c r="F84" s="114" t="s">
        <v>180</v>
      </c>
      <c r="G84" s="115">
        <v>47.104999999999997</v>
      </c>
      <c r="H84" s="116">
        <v>18.015000000000001</v>
      </c>
      <c r="I84" s="121">
        <v>0.2223</v>
      </c>
      <c r="J84" s="116">
        <f t="shared" si="7"/>
        <v>3.9975000000000023</v>
      </c>
      <c r="K84" s="116">
        <v>22.012500000000003</v>
      </c>
      <c r="L84" s="116">
        <f t="shared" si="8"/>
        <v>848.59657499999992</v>
      </c>
      <c r="M84" s="116">
        <f t="shared" si="9"/>
        <v>1036.8988125000001</v>
      </c>
      <c r="N84" s="116">
        <v>29.35</v>
      </c>
      <c r="O84" s="116">
        <f t="shared" si="10"/>
        <v>7.3374999999999986</v>
      </c>
      <c r="P84" s="116">
        <f t="shared" si="11"/>
        <v>345.63293749999991</v>
      </c>
      <c r="Q84" s="116" t="s">
        <v>2349</v>
      </c>
      <c r="R84" s="116" t="s">
        <v>2497</v>
      </c>
      <c r="S84" s="116" t="str">
        <f t="shared" si="12"/>
        <v>OK - FECHA COM PLANILHA</v>
      </c>
      <c r="T84" s="116">
        <v>1036.8900000000001</v>
      </c>
      <c r="U84" s="122">
        <f t="shared" si="13"/>
        <v>8.8124999999763531E-3</v>
      </c>
    </row>
    <row r="85" spans="1:21" ht="63.75" x14ac:dyDescent="0.2">
      <c r="A85" s="120" t="s">
        <v>2498</v>
      </c>
      <c r="B85" s="114" t="s">
        <v>248</v>
      </c>
      <c r="C85" s="114" t="s">
        <v>1423</v>
      </c>
      <c r="D85" s="114" t="s">
        <v>56</v>
      </c>
      <c r="E85" s="114" t="s">
        <v>1424</v>
      </c>
      <c r="F85" s="114" t="s">
        <v>180</v>
      </c>
      <c r="G85" s="115">
        <v>44.402999999999999</v>
      </c>
      <c r="H85" s="116">
        <v>13.627500000000001</v>
      </c>
      <c r="I85" s="121">
        <v>0.2223</v>
      </c>
      <c r="J85" s="116">
        <f t="shared" si="7"/>
        <v>3.0224999999999973</v>
      </c>
      <c r="K85" s="116">
        <v>16.649999999999999</v>
      </c>
      <c r="L85" s="116">
        <f t="shared" si="8"/>
        <v>605.10188249999999</v>
      </c>
      <c r="M85" s="116">
        <f t="shared" si="9"/>
        <v>739.30994999999996</v>
      </c>
      <c r="N85" s="116">
        <v>22.2</v>
      </c>
      <c r="O85" s="116">
        <f t="shared" si="10"/>
        <v>5.5500000000000007</v>
      </c>
      <c r="P85" s="116">
        <f t="shared" si="11"/>
        <v>246.43665000000001</v>
      </c>
      <c r="Q85" s="116" t="s">
        <v>2349</v>
      </c>
      <c r="R85" s="116" t="s">
        <v>2499</v>
      </c>
      <c r="S85" s="116" t="str">
        <f t="shared" si="12"/>
        <v>OK - FECHA COM PLANILHA</v>
      </c>
      <c r="T85" s="116">
        <v>739.3</v>
      </c>
      <c r="U85" s="122">
        <f t="shared" si="13"/>
        <v>9.9500000000034561E-3</v>
      </c>
    </row>
    <row r="86" spans="1:21" ht="63.75" x14ac:dyDescent="0.2">
      <c r="A86" s="120" t="s">
        <v>2500</v>
      </c>
      <c r="B86" s="114" t="s">
        <v>250</v>
      </c>
      <c r="C86" s="114" t="s">
        <v>1425</v>
      </c>
      <c r="D86" s="114" t="s">
        <v>56</v>
      </c>
      <c r="E86" s="114" t="s">
        <v>251</v>
      </c>
      <c r="F86" s="114" t="s">
        <v>118</v>
      </c>
      <c r="G86" s="115">
        <v>3.4220000000000002</v>
      </c>
      <c r="H86" s="116">
        <v>580.20749999999998</v>
      </c>
      <c r="I86" s="121">
        <v>0.2223</v>
      </c>
      <c r="J86" s="116">
        <f t="shared" si="7"/>
        <v>128.97750000000008</v>
      </c>
      <c r="K86" s="116">
        <v>709.18500000000006</v>
      </c>
      <c r="L86" s="116">
        <f t="shared" si="8"/>
        <v>1985.470065</v>
      </c>
      <c r="M86" s="116">
        <f t="shared" si="9"/>
        <v>2426.8310700000002</v>
      </c>
      <c r="N86" s="116">
        <v>945.58</v>
      </c>
      <c r="O86" s="116">
        <f t="shared" si="10"/>
        <v>236.39499999999998</v>
      </c>
      <c r="P86" s="116">
        <f t="shared" si="11"/>
        <v>808.94368999999995</v>
      </c>
      <c r="Q86" s="116" t="s">
        <v>2349</v>
      </c>
      <c r="R86" s="116" t="s">
        <v>2501</v>
      </c>
      <c r="S86" s="116" t="str">
        <f t="shared" si="12"/>
        <v>OK - FECHA COM PLANILHA</v>
      </c>
      <c r="T86" s="116">
        <v>2426.83</v>
      </c>
      <c r="U86" s="122">
        <f t="shared" si="13"/>
        <v>1.0700000002543675E-3</v>
      </c>
    </row>
    <row r="87" spans="1:21" ht="63.75" x14ac:dyDescent="0.2">
      <c r="A87" s="120" t="s">
        <v>2502</v>
      </c>
      <c r="B87" s="114" t="s">
        <v>254</v>
      </c>
      <c r="C87" s="114" t="s">
        <v>1400</v>
      </c>
      <c r="D87" s="114" t="s">
        <v>56</v>
      </c>
      <c r="E87" s="114" t="s">
        <v>216</v>
      </c>
      <c r="F87" s="114" t="s">
        <v>26</v>
      </c>
      <c r="G87" s="115">
        <v>104.732</v>
      </c>
      <c r="H87" s="116">
        <v>57.885000000000005</v>
      </c>
      <c r="I87" s="121">
        <v>0.2223</v>
      </c>
      <c r="J87" s="116">
        <f t="shared" si="7"/>
        <v>12.862499999999997</v>
      </c>
      <c r="K87" s="116">
        <v>70.747500000000002</v>
      </c>
      <c r="L87" s="116">
        <f t="shared" si="8"/>
        <v>6062.4118200000003</v>
      </c>
      <c r="M87" s="116">
        <f t="shared" si="9"/>
        <v>7409.5271700000003</v>
      </c>
      <c r="N87" s="116">
        <v>94.33</v>
      </c>
      <c r="O87" s="116">
        <f t="shared" si="10"/>
        <v>23.582499999999996</v>
      </c>
      <c r="P87" s="116">
        <f t="shared" si="11"/>
        <v>2469.8423899999993</v>
      </c>
      <c r="Q87" s="116" t="s">
        <v>2349</v>
      </c>
      <c r="R87" s="116" t="s">
        <v>2503</v>
      </c>
      <c r="S87" s="116" t="str">
        <f t="shared" si="12"/>
        <v>OK - FECHA COM PLANILHA</v>
      </c>
      <c r="T87" s="116">
        <v>7409.52</v>
      </c>
      <c r="U87" s="122">
        <f t="shared" si="13"/>
        <v>7.1699999998600106E-3</v>
      </c>
    </row>
    <row r="88" spans="1:21" ht="89.25" x14ac:dyDescent="0.2">
      <c r="A88" s="120" t="s">
        <v>2504</v>
      </c>
      <c r="B88" s="114" t="s">
        <v>256</v>
      </c>
      <c r="C88" s="114" t="s">
        <v>1426</v>
      </c>
      <c r="D88" s="114" t="s">
        <v>24</v>
      </c>
      <c r="E88" s="114" t="s">
        <v>1427</v>
      </c>
      <c r="F88" s="114" t="s">
        <v>26</v>
      </c>
      <c r="G88" s="115">
        <v>290.88900000000001</v>
      </c>
      <c r="H88" s="116">
        <v>59.872500000000002</v>
      </c>
      <c r="I88" s="121">
        <v>0.2223</v>
      </c>
      <c r="J88" s="116">
        <f t="shared" si="7"/>
        <v>13.304999999999993</v>
      </c>
      <c r="K88" s="116">
        <v>73.177499999999995</v>
      </c>
      <c r="L88" s="116">
        <f t="shared" si="8"/>
        <v>17416.251652500003</v>
      </c>
      <c r="M88" s="116">
        <f t="shared" si="9"/>
        <v>21286.529797499999</v>
      </c>
      <c r="N88" s="116">
        <v>97.57</v>
      </c>
      <c r="O88" s="116">
        <f t="shared" si="10"/>
        <v>24.392499999999998</v>
      </c>
      <c r="P88" s="116">
        <f t="shared" si="11"/>
        <v>7095.5099325000001</v>
      </c>
      <c r="Q88" s="116" t="s">
        <v>2332</v>
      </c>
      <c r="R88" s="116" t="s">
        <v>2505</v>
      </c>
      <c r="S88" s="116" t="str">
        <f t="shared" si="12"/>
        <v>OK - FECHA COM PLANILHA</v>
      </c>
      <c r="T88" s="116">
        <v>21286.52</v>
      </c>
      <c r="U88" s="122">
        <f t="shared" si="13"/>
        <v>9.7974999989673961E-3</v>
      </c>
    </row>
    <row r="89" spans="1:21" ht="63.75" x14ac:dyDescent="0.2">
      <c r="A89" s="120" t="s">
        <v>2506</v>
      </c>
      <c r="B89" s="114" t="s">
        <v>259</v>
      </c>
      <c r="C89" s="114" t="s">
        <v>1401</v>
      </c>
      <c r="D89" s="114" t="s">
        <v>56</v>
      </c>
      <c r="E89" s="114" t="s">
        <v>218</v>
      </c>
      <c r="F89" s="114" t="s">
        <v>118</v>
      </c>
      <c r="G89" s="115">
        <v>98.238</v>
      </c>
      <c r="H89" s="116">
        <v>15.899999999999999</v>
      </c>
      <c r="I89" s="121">
        <v>0.2223</v>
      </c>
      <c r="J89" s="116">
        <f t="shared" si="7"/>
        <v>3.5325000000000024</v>
      </c>
      <c r="K89" s="116">
        <v>19.432500000000001</v>
      </c>
      <c r="L89" s="116">
        <f t="shared" si="8"/>
        <v>1561.9841999999999</v>
      </c>
      <c r="M89" s="116">
        <f t="shared" si="9"/>
        <v>1909.009935</v>
      </c>
      <c r="N89" s="116">
        <v>25.91</v>
      </c>
      <c r="O89" s="116">
        <f t="shared" si="10"/>
        <v>6.4774999999999991</v>
      </c>
      <c r="P89" s="116">
        <f t="shared" si="11"/>
        <v>636.33664499999986</v>
      </c>
      <c r="Q89" s="116" t="s">
        <v>2349</v>
      </c>
      <c r="R89" s="116" t="s">
        <v>2507</v>
      </c>
      <c r="S89" s="116" t="str">
        <f t="shared" si="12"/>
        <v>OK - FECHA COM PLANILHA</v>
      </c>
      <c r="T89" s="116">
        <v>1909</v>
      </c>
      <c r="U89" s="122">
        <f t="shared" si="13"/>
        <v>9.9350000000413274E-3</v>
      </c>
    </row>
    <row r="90" spans="1:21" ht="63.75" x14ac:dyDescent="0.2">
      <c r="A90" s="120" t="s">
        <v>2508</v>
      </c>
      <c r="B90" s="114" t="s">
        <v>261</v>
      </c>
      <c r="C90" s="114" t="s">
        <v>1407</v>
      </c>
      <c r="D90" s="114" t="s">
        <v>56</v>
      </c>
      <c r="E90" s="114" t="s">
        <v>231</v>
      </c>
      <c r="F90" s="114" t="s">
        <v>180</v>
      </c>
      <c r="G90" s="115">
        <v>283.24400000000003</v>
      </c>
      <c r="H90" s="116">
        <v>11.28</v>
      </c>
      <c r="I90" s="121">
        <v>0.2223</v>
      </c>
      <c r="J90" s="116">
        <f t="shared" si="7"/>
        <v>2.5050000000000008</v>
      </c>
      <c r="K90" s="116">
        <v>13.785</v>
      </c>
      <c r="L90" s="116">
        <f t="shared" si="8"/>
        <v>3194.9923200000003</v>
      </c>
      <c r="M90" s="116">
        <f t="shared" si="9"/>
        <v>3904.5185400000005</v>
      </c>
      <c r="N90" s="116">
        <v>18.38</v>
      </c>
      <c r="O90" s="116">
        <f t="shared" si="10"/>
        <v>4.5949999999999989</v>
      </c>
      <c r="P90" s="116">
        <f t="shared" si="11"/>
        <v>1301.5061799999999</v>
      </c>
      <c r="Q90" s="116" t="s">
        <v>2349</v>
      </c>
      <c r="R90" s="116" t="s">
        <v>2509</v>
      </c>
      <c r="S90" s="116" t="str">
        <f t="shared" si="12"/>
        <v>OK - FECHA COM PLANILHA</v>
      </c>
      <c r="T90" s="116">
        <v>3904.51</v>
      </c>
      <c r="U90" s="122">
        <f t="shared" si="13"/>
        <v>8.5400000002664456E-3</v>
      </c>
    </row>
    <row r="91" spans="1:21" ht="63.75" x14ac:dyDescent="0.2">
      <c r="A91" s="120" t="s">
        <v>2510</v>
      </c>
      <c r="B91" s="114" t="s">
        <v>262</v>
      </c>
      <c r="C91" s="114" t="s">
        <v>1411</v>
      </c>
      <c r="D91" s="114" t="s">
        <v>56</v>
      </c>
      <c r="E91" s="114" t="s">
        <v>233</v>
      </c>
      <c r="F91" s="114" t="s">
        <v>180</v>
      </c>
      <c r="G91" s="115">
        <v>724.18200000000002</v>
      </c>
      <c r="H91" s="116">
        <v>9.0824999999999996</v>
      </c>
      <c r="I91" s="121">
        <v>0.2223</v>
      </c>
      <c r="J91" s="116">
        <f t="shared" si="7"/>
        <v>2.0175000000000018</v>
      </c>
      <c r="K91" s="116">
        <v>11.100000000000001</v>
      </c>
      <c r="L91" s="116">
        <f t="shared" si="8"/>
        <v>6577.3830149999994</v>
      </c>
      <c r="M91" s="116">
        <f t="shared" si="9"/>
        <v>8038.4202000000014</v>
      </c>
      <c r="N91" s="116">
        <v>14.8</v>
      </c>
      <c r="O91" s="116">
        <f t="shared" si="10"/>
        <v>3.6999999999999993</v>
      </c>
      <c r="P91" s="116">
        <f t="shared" si="11"/>
        <v>2679.4733999999994</v>
      </c>
      <c r="Q91" s="116" t="s">
        <v>2349</v>
      </c>
      <c r="R91" s="116" t="s">
        <v>2511</v>
      </c>
      <c r="S91" s="116" t="str">
        <f t="shared" si="12"/>
        <v>OK - FECHA COM PLANILHA</v>
      </c>
      <c r="T91" s="116">
        <v>8038.42</v>
      </c>
      <c r="U91" s="122">
        <f t="shared" si="13"/>
        <v>2.0000000131403795E-4</v>
      </c>
    </row>
    <row r="92" spans="1:21" ht="63.75" x14ac:dyDescent="0.2">
      <c r="A92" s="120" t="s">
        <v>2512</v>
      </c>
      <c r="B92" s="114" t="s">
        <v>263</v>
      </c>
      <c r="C92" s="114" t="s">
        <v>1413</v>
      </c>
      <c r="D92" s="114" t="s">
        <v>56</v>
      </c>
      <c r="E92" s="114" t="s">
        <v>234</v>
      </c>
      <c r="F92" s="114" t="s">
        <v>180</v>
      </c>
      <c r="G92" s="115">
        <v>237.01300000000001</v>
      </c>
      <c r="H92" s="116">
        <v>7.9049999999999994</v>
      </c>
      <c r="I92" s="121">
        <v>0.2223</v>
      </c>
      <c r="J92" s="116">
        <f t="shared" si="7"/>
        <v>1.7550000000000008</v>
      </c>
      <c r="K92" s="116">
        <v>9.66</v>
      </c>
      <c r="L92" s="116">
        <f t="shared" si="8"/>
        <v>1873.587765</v>
      </c>
      <c r="M92" s="116">
        <f t="shared" si="9"/>
        <v>2289.54558</v>
      </c>
      <c r="N92" s="116">
        <v>12.88</v>
      </c>
      <c r="O92" s="116">
        <f t="shared" si="10"/>
        <v>3.2200000000000006</v>
      </c>
      <c r="P92" s="116">
        <f t="shared" si="11"/>
        <v>763.18186000000014</v>
      </c>
      <c r="Q92" s="116" t="s">
        <v>2349</v>
      </c>
      <c r="R92" s="116" t="s">
        <v>2513</v>
      </c>
      <c r="S92" s="116" t="str">
        <f t="shared" si="12"/>
        <v>OK - FECHA COM PLANILHA</v>
      </c>
      <c r="T92" s="116">
        <v>2289.54</v>
      </c>
      <c r="U92" s="122">
        <f t="shared" si="13"/>
        <v>5.5800000000090222E-3</v>
      </c>
    </row>
    <row r="93" spans="1:21" ht="63.75" x14ac:dyDescent="0.2">
      <c r="A93" s="120" t="s">
        <v>2514</v>
      </c>
      <c r="B93" s="114" t="s">
        <v>264</v>
      </c>
      <c r="C93" s="114" t="s">
        <v>1415</v>
      </c>
      <c r="D93" s="114" t="s">
        <v>56</v>
      </c>
      <c r="E93" s="114" t="s">
        <v>235</v>
      </c>
      <c r="F93" s="114" t="s">
        <v>180</v>
      </c>
      <c r="G93" s="115">
        <v>26.658000000000001</v>
      </c>
      <c r="H93" s="116">
        <v>6.5175000000000001</v>
      </c>
      <c r="I93" s="121">
        <v>0.2223</v>
      </c>
      <c r="J93" s="116">
        <f t="shared" si="7"/>
        <v>1.4474999999999998</v>
      </c>
      <c r="K93" s="116">
        <v>7.9649999999999999</v>
      </c>
      <c r="L93" s="116">
        <f t="shared" si="8"/>
        <v>173.743515</v>
      </c>
      <c r="M93" s="116">
        <f t="shared" si="9"/>
        <v>212.33097000000001</v>
      </c>
      <c r="N93" s="116">
        <v>10.62</v>
      </c>
      <c r="O93" s="116">
        <f t="shared" si="10"/>
        <v>2.6549999999999994</v>
      </c>
      <c r="P93" s="116">
        <f t="shared" si="11"/>
        <v>70.776989999999984</v>
      </c>
      <c r="Q93" s="116" t="s">
        <v>2349</v>
      </c>
      <c r="R93" s="116" t="s">
        <v>2515</v>
      </c>
      <c r="S93" s="116" t="str">
        <f t="shared" si="12"/>
        <v>OK - FECHA COM PLANILHA</v>
      </c>
      <c r="T93" s="116">
        <v>212.33</v>
      </c>
      <c r="U93" s="122">
        <f t="shared" si="13"/>
        <v>9.6999999999525244E-4</v>
      </c>
    </row>
    <row r="94" spans="1:21" ht="63.75" x14ac:dyDescent="0.2">
      <c r="A94" s="120" t="s">
        <v>2516</v>
      </c>
      <c r="B94" s="114" t="s">
        <v>265</v>
      </c>
      <c r="C94" s="114" t="s">
        <v>1428</v>
      </c>
      <c r="D94" s="114" t="s">
        <v>56</v>
      </c>
      <c r="E94" s="114" t="s">
        <v>266</v>
      </c>
      <c r="F94" s="114" t="s">
        <v>180</v>
      </c>
      <c r="G94" s="115">
        <v>425.86399999999998</v>
      </c>
      <c r="H94" s="116">
        <v>9.5474999999999994</v>
      </c>
      <c r="I94" s="121">
        <v>0.2223</v>
      </c>
      <c r="J94" s="116">
        <f t="shared" si="7"/>
        <v>2.115000000000002</v>
      </c>
      <c r="K94" s="116">
        <v>11.662500000000001</v>
      </c>
      <c r="L94" s="116">
        <f t="shared" si="8"/>
        <v>4065.9365399999997</v>
      </c>
      <c r="M94" s="116">
        <f t="shared" si="9"/>
        <v>4966.6388999999999</v>
      </c>
      <c r="N94" s="116">
        <v>15.55</v>
      </c>
      <c r="O94" s="116">
        <f t="shared" si="10"/>
        <v>3.8874999999999993</v>
      </c>
      <c r="P94" s="116">
        <f t="shared" si="11"/>
        <v>1655.5462999999995</v>
      </c>
      <c r="Q94" s="116" t="s">
        <v>2349</v>
      </c>
      <c r="R94" s="116" t="s">
        <v>2517</v>
      </c>
      <c r="S94" s="116" t="str">
        <f t="shared" si="12"/>
        <v>OK - FECHA COM PLANILHA</v>
      </c>
      <c r="T94" s="116">
        <v>4966.63</v>
      </c>
      <c r="U94" s="122">
        <f t="shared" si="13"/>
        <v>8.8999999998122803E-3</v>
      </c>
    </row>
    <row r="95" spans="1:21" ht="63.75" x14ac:dyDescent="0.2">
      <c r="A95" s="120" t="s">
        <v>2518</v>
      </c>
      <c r="B95" s="114" t="s">
        <v>267</v>
      </c>
      <c r="C95" s="114" t="s">
        <v>1429</v>
      </c>
      <c r="D95" s="114" t="s">
        <v>56</v>
      </c>
      <c r="E95" s="114" t="s">
        <v>268</v>
      </c>
      <c r="F95" s="114" t="s">
        <v>180</v>
      </c>
      <c r="G95" s="115">
        <v>1036.328</v>
      </c>
      <c r="H95" s="116">
        <v>8.5724999999999998</v>
      </c>
      <c r="I95" s="121">
        <v>0.2223</v>
      </c>
      <c r="J95" s="116">
        <f t="shared" si="7"/>
        <v>1.9050000000000011</v>
      </c>
      <c r="K95" s="116">
        <v>10.477500000000001</v>
      </c>
      <c r="L95" s="116">
        <f t="shared" si="8"/>
        <v>8883.9217799999988</v>
      </c>
      <c r="M95" s="116">
        <f t="shared" si="9"/>
        <v>10858.126620000001</v>
      </c>
      <c r="N95" s="116">
        <v>13.97</v>
      </c>
      <c r="O95" s="116">
        <f t="shared" si="10"/>
        <v>3.4924999999999997</v>
      </c>
      <c r="P95" s="116">
        <f t="shared" si="11"/>
        <v>3619.3755399999995</v>
      </c>
      <c r="Q95" s="116" t="s">
        <v>2349</v>
      </c>
      <c r="R95" s="116" t="s">
        <v>2519</v>
      </c>
      <c r="S95" s="116" t="str">
        <f t="shared" si="12"/>
        <v>OK - FECHA COM PLANILHA</v>
      </c>
      <c r="T95" s="116">
        <v>10858.12</v>
      </c>
      <c r="U95" s="122">
        <f t="shared" si="13"/>
        <v>6.6200000001117587E-3</v>
      </c>
    </row>
    <row r="96" spans="1:21" ht="63.75" x14ac:dyDescent="0.2">
      <c r="A96" s="120" t="s">
        <v>2520</v>
      </c>
      <c r="B96" s="114" t="s">
        <v>1430</v>
      </c>
      <c r="C96" s="114" t="s">
        <v>1431</v>
      </c>
      <c r="D96" s="114" t="s">
        <v>56</v>
      </c>
      <c r="E96" s="114" t="s">
        <v>269</v>
      </c>
      <c r="F96" s="114" t="s">
        <v>180</v>
      </c>
      <c r="G96" s="115">
        <v>323.78300000000002</v>
      </c>
      <c r="H96" s="116">
        <v>7.4550000000000001</v>
      </c>
      <c r="I96" s="121">
        <v>0.2223</v>
      </c>
      <c r="J96" s="116">
        <f t="shared" si="7"/>
        <v>1.6500000000000004</v>
      </c>
      <c r="K96" s="116">
        <v>9.1050000000000004</v>
      </c>
      <c r="L96" s="116">
        <f t="shared" si="8"/>
        <v>2413.8022650000003</v>
      </c>
      <c r="M96" s="116">
        <f t="shared" si="9"/>
        <v>2948.0442150000003</v>
      </c>
      <c r="N96" s="116">
        <v>12.14</v>
      </c>
      <c r="O96" s="116">
        <f t="shared" si="10"/>
        <v>3.0350000000000001</v>
      </c>
      <c r="P96" s="116">
        <f t="shared" si="11"/>
        <v>982.68140500000004</v>
      </c>
      <c r="Q96" s="116" t="s">
        <v>2349</v>
      </c>
      <c r="R96" s="116" t="s">
        <v>2521</v>
      </c>
      <c r="S96" s="116" t="str">
        <f t="shared" si="12"/>
        <v>OK - FECHA COM PLANILHA</v>
      </c>
      <c r="T96" s="116">
        <v>2948.04</v>
      </c>
      <c r="U96" s="122">
        <f t="shared" si="13"/>
        <v>4.2150000003857713E-3</v>
      </c>
    </row>
    <row r="97" spans="1:21" ht="63.75" x14ac:dyDescent="0.2">
      <c r="A97" s="120" t="s">
        <v>2522</v>
      </c>
      <c r="B97" s="114" t="s">
        <v>1432</v>
      </c>
      <c r="C97" s="114" t="s">
        <v>1433</v>
      </c>
      <c r="D97" s="114" t="s">
        <v>56</v>
      </c>
      <c r="E97" s="114" t="s">
        <v>270</v>
      </c>
      <c r="F97" s="114" t="s">
        <v>180</v>
      </c>
      <c r="G97" s="115">
        <v>60.871000000000002</v>
      </c>
      <c r="H97" s="116">
        <v>6.39</v>
      </c>
      <c r="I97" s="121">
        <v>0.2223</v>
      </c>
      <c r="J97" s="116">
        <f t="shared" si="7"/>
        <v>1.4175000000000004</v>
      </c>
      <c r="K97" s="116">
        <v>7.8075000000000001</v>
      </c>
      <c r="L97" s="116">
        <f t="shared" si="8"/>
        <v>388.96569</v>
      </c>
      <c r="M97" s="116">
        <f t="shared" si="9"/>
        <v>475.25033250000001</v>
      </c>
      <c r="N97" s="116">
        <v>10.41</v>
      </c>
      <c r="O97" s="116">
        <f t="shared" si="10"/>
        <v>2.6025</v>
      </c>
      <c r="P97" s="116">
        <f t="shared" si="11"/>
        <v>158.41677749999999</v>
      </c>
      <c r="Q97" s="116" t="s">
        <v>2349</v>
      </c>
      <c r="R97" s="116" t="s">
        <v>2523</v>
      </c>
      <c r="S97" s="116" t="str">
        <f t="shared" si="12"/>
        <v>OK - FECHA COM PLANILHA</v>
      </c>
      <c r="T97" s="116">
        <v>475.25</v>
      </c>
      <c r="U97" s="122">
        <f t="shared" si="13"/>
        <v>3.3250000001316948E-4</v>
      </c>
    </row>
    <row r="98" spans="1:21" ht="63.75" x14ac:dyDescent="0.2">
      <c r="A98" s="120" t="s">
        <v>2524</v>
      </c>
      <c r="B98" s="114" t="s">
        <v>1434</v>
      </c>
      <c r="C98" s="114" t="s">
        <v>236</v>
      </c>
      <c r="D98" s="114" t="s">
        <v>209</v>
      </c>
      <c r="E98" s="114" t="s">
        <v>271</v>
      </c>
      <c r="F98" s="114" t="s">
        <v>118</v>
      </c>
      <c r="G98" s="115">
        <v>20.338000000000001</v>
      </c>
      <c r="H98" s="116">
        <v>521.81999999999994</v>
      </c>
      <c r="I98" s="121">
        <v>0.2223</v>
      </c>
      <c r="J98" s="116">
        <f t="shared" si="7"/>
        <v>115.995</v>
      </c>
      <c r="K98" s="116">
        <v>637.81499999999994</v>
      </c>
      <c r="L98" s="116">
        <f t="shared" si="8"/>
        <v>10612.775159999999</v>
      </c>
      <c r="M98" s="116">
        <f t="shared" si="9"/>
        <v>12971.88147</v>
      </c>
      <c r="N98" s="116">
        <v>850.42</v>
      </c>
      <c r="O98" s="116">
        <f t="shared" si="10"/>
        <v>212.60500000000002</v>
      </c>
      <c r="P98" s="116">
        <f t="shared" si="11"/>
        <v>4323.9604900000004</v>
      </c>
      <c r="Q98" s="116" t="s">
        <v>2458</v>
      </c>
      <c r="R98" s="116" t="s">
        <v>2525</v>
      </c>
      <c r="S98" s="116" t="str">
        <f t="shared" si="12"/>
        <v>OK - FECHA COM PLANILHA</v>
      </c>
      <c r="T98" s="116">
        <v>12971.88</v>
      </c>
      <c r="U98" s="122">
        <f t="shared" si="13"/>
        <v>1.470000001063454E-3</v>
      </c>
    </row>
    <row r="99" spans="1:21" ht="63.75" x14ac:dyDescent="0.2">
      <c r="A99" s="120" t="s">
        <v>2526</v>
      </c>
      <c r="B99" s="114" t="s">
        <v>1435</v>
      </c>
      <c r="C99" s="114" t="s">
        <v>272</v>
      </c>
      <c r="D99" s="114" t="s">
        <v>209</v>
      </c>
      <c r="E99" s="114" t="s">
        <v>273</v>
      </c>
      <c r="F99" s="114" t="s">
        <v>118</v>
      </c>
      <c r="G99" s="115">
        <v>14.555999999999999</v>
      </c>
      <c r="H99" s="116">
        <v>540.85500000000002</v>
      </c>
      <c r="I99" s="121">
        <v>0.2223</v>
      </c>
      <c r="J99" s="116">
        <f t="shared" si="7"/>
        <v>120.22500000000002</v>
      </c>
      <c r="K99" s="116">
        <v>661.08</v>
      </c>
      <c r="L99" s="116">
        <f t="shared" si="8"/>
        <v>7872.6853799999999</v>
      </c>
      <c r="M99" s="116">
        <f t="shared" si="9"/>
        <v>9622.6804800000009</v>
      </c>
      <c r="N99" s="116">
        <v>881.44</v>
      </c>
      <c r="O99" s="116">
        <f t="shared" si="10"/>
        <v>220.36</v>
      </c>
      <c r="P99" s="116">
        <f t="shared" si="11"/>
        <v>3207.56016</v>
      </c>
      <c r="Q99" s="116" t="s">
        <v>2458</v>
      </c>
      <c r="R99" s="116" t="s">
        <v>2527</v>
      </c>
      <c r="S99" s="116" t="str">
        <f t="shared" si="12"/>
        <v>OK - FECHA COM PLANILHA</v>
      </c>
      <c r="T99" s="116">
        <v>9622.68</v>
      </c>
      <c r="U99" s="122">
        <f t="shared" si="13"/>
        <v>4.800000006071059E-4</v>
      </c>
    </row>
    <row r="100" spans="1:21" ht="63.75" x14ac:dyDescent="0.2">
      <c r="A100" s="120" t="s">
        <v>2528</v>
      </c>
      <c r="B100" s="114" t="s">
        <v>1436</v>
      </c>
      <c r="C100" s="114" t="s">
        <v>1393</v>
      </c>
      <c r="D100" s="114" t="s">
        <v>24</v>
      </c>
      <c r="E100" s="114" t="s">
        <v>194</v>
      </c>
      <c r="F100" s="114" t="s">
        <v>180</v>
      </c>
      <c r="G100" s="115">
        <v>406.76</v>
      </c>
      <c r="H100" s="116">
        <v>23.13</v>
      </c>
      <c r="I100" s="121">
        <v>0.2223</v>
      </c>
      <c r="J100" s="116">
        <f t="shared" si="7"/>
        <v>5.1374999999999993</v>
      </c>
      <c r="K100" s="116">
        <v>28.267499999999998</v>
      </c>
      <c r="L100" s="116">
        <f t="shared" si="8"/>
        <v>9408.3588</v>
      </c>
      <c r="M100" s="116">
        <f t="shared" si="9"/>
        <v>11498.088299999999</v>
      </c>
      <c r="N100" s="116">
        <v>37.69</v>
      </c>
      <c r="O100" s="116">
        <f t="shared" si="10"/>
        <v>9.4224999999999994</v>
      </c>
      <c r="P100" s="116">
        <f t="shared" si="11"/>
        <v>3832.6960999999997</v>
      </c>
      <c r="Q100" s="116" t="s">
        <v>2332</v>
      </c>
      <c r="R100" s="116" t="s">
        <v>2529</v>
      </c>
      <c r="S100" s="116" t="str">
        <f t="shared" si="12"/>
        <v>OK - FECHA COM PLANILHA</v>
      </c>
      <c r="T100" s="116">
        <v>11498.08</v>
      </c>
      <c r="U100" s="122">
        <f t="shared" si="13"/>
        <v>8.2999999995081453E-3</v>
      </c>
    </row>
    <row r="101" spans="1:21" ht="63.75" x14ac:dyDescent="0.2">
      <c r="A101" s="120" t="s">
        <v>2530</v>
      </c>
      <c r="B101" s="114" t="s">
        <v>276</v>
      </c>
      <c r="C101" s="114" t="s">
        <v>1437</v>
      </c>
      <c r="D101" s="114" t="s">
        <v>56</v>
      </c>
      <c r="E101" s="114" t="s">
        <v>277</v>
      </c>
      <c r="F101" s="114" t="s">
        <v>26</v>
      </c>
      <c r="G101" s="115">
        <v>52.44</v>
      </c>
      <c r="H101" s="116">
        <v>70.282499999999999</v>
      </c>
      <c r="I101" s="121">
        <v>0.2223</v>
      </c>
      <c r="J101" s="116">
        <f t="shared" si="7"/>
        <v>15.622500000000002</v>
      </c>
      <c r="K101" s="116">
        <v>85.905000000000001</v>
      </c>
      <c r="L101" s="116">
        <f t="shared" si="8"/>
        <v>3685.6142999999997</v>
      </c>
      <c r="M101" s="116">
        <f t="shared" si="9"/>
        <v>4504.8581999999997</v>
      </c>
      <c r="N101" s="116">
        <v>114.54</v>
      </c>
      <c r="O101" s="116">
        <f t="shared" si="10"/>
        <v>28.635000000000005</v>
      </c>
      <c r="P101" s="116">
        <f t="shared" si="11"/>
        <v>1501.6194000000003</v>
      </c>
      <c r="Q101" s="116" t="s">
        <v>2349</v>
      </c>
      <c r="R101" s="116" t="s">
        <v>2531</v>
      </c>
      <c r="S101" s="116" t="str">
        <f t="shared" si="12"/>
        <v>OK - FECHA COM PLANILHA</v>
      </c>
      <c r="T101" s="116">
        <v>4504.8500000000004</v>
      </c>
      <c r="U101" s="122">
        <f t="shared" si="13"/>
        <v>8.1999999993058736E-3</v>
      </c>
    </row>
    <row r="102" spans="1:21" ht="63.75" x14ac:dyDescent="0.2">
      <c r="A102" s="120" t="s">
        <v>2532</v>
      </c>
      <c r="B102" s="114" t="s">
        <v>278</v>
      </c>
      <c r="C102" s="114" t="s">
        <v>1394</v>
      </c>
      <c r="D102" s="114" t="s">
        <v>56</v>
      </c>
      <c r="E102" s="114" t="s">
        <v>198</v>
      </c>
      <c r="F102" s="114" t="s">
        <v>26</v>
      </c>
      <c r="G102" s="115">
        <v>151.80000000000001</v>
      </c>
      <c r="H102" s="116">
        <v>83.594999999999999</v>
      </c>
      <c r="I102" s="121">
        <v>0.2223</v>
      </c>
      <c r="J102" s="116">
        <f t="shared" si="7"/>
        <v>18.577499999999986</v>
      </c>
      <c r="K102" s="116">
        <v>102.17249999999999</v>
      </c>
      <c r="L102" s="116">
        <f t="shared" si="8"/>
        <v>12689.721000000001</v>
      </c>
      <c r="M102" s="116">
        <f t="shared" si="9"/>
        <v>15509.785499999998</v>
      </c>
      <c r="N102" s="116">
        <v>136.22999999999999</v>
      </c>
      <c r="O102" s="116">
        <f t="shared" si="10"/>
        <v>34.057500000000005</v>
      </c>
      <c r="P102" s="116">
        <f t="shared" si="11"/>
        <v>5169.9285000000009</v>
      </c>
      <c r="Q102" s="116" t="s">
        <v>2349</v>
      </c>
      <c r="R102" s="116" t="s">
        <v>2533</v>
      </c>
      <c r="S102" s="116" t="str">
        <f t="shared" si="12"/>
        <v>OK - FECHA COM PLANILHA</v>
      </c>
      <c r="T102" s="116">
        <v>15509.78</v>
      </c>
      <c r="U102" s="122">
        <f t="shared" si="13"/>
        <v>5.4999999974825187E-3</v>
      </c>
    </row>
    <row r="103" spans="1:21" ht="63.75" x14ac:dyDescent="0.2">
      <c r="A103" s="120" t="s">
        <v>2534</v>
      </c>
      <c r="B103" s="114" t="s">
        <v>279</v>
      </c>
      <c r="C103" s="114" t="s">
        <v>1399</v>
      </c>
      <c r="D103" s="114" t="s">
        <v>56</v>
      </c>
      <c r="E103" s="114" t="s">
        <v>214</v>
      </c>
      <c r="F103" s="114" t="s">
        <v>26</v>
      </c>
      <c r="G103" s="115">
        <v>326.78399999999999</v>
      </c>
      <c r="H103" s="116">
        <v>113.57250000000001</v>
      </c>
      <c r="I103" s="121">
        <v>0.2223</v>
      </c>
      <c r="J103" s="116">
        <f t="shared" si="7"/>
        <v>25.24499999999999</v>
      </c>
      <c r="K103" s="116">
        <v>138.8175</v>
      </c>
      <c r="L103" s="116">
        <f t="shared" si="8"/>
        <v>37113.675840000004</v>
      </c>
      <c r="M103" s="116">
        <f t="shared" si="9"/>
        <v>45363.337919999998</v>
      </c>
      <c r="N103" s="116">
        <v>185.09</v>
      </c>
      <c r="O103" s="116">
        <f t="shared" si="10"/>
        <v>46.272500000000008</v>
      </c>
      <c r="P103" s="116">
        <f t="shared" si="11"/>
        <v>15121.112640000003</v>
      </c>
      <c r="Q103" s="116" t="s">
        <v>2349</v>
      </c>
      <c r="R103" s="116" t="s">
        <v>2535</v>
      </c>
      <c r="S103" s="116" t="str">
        <f t="shared" si="12"/>
        <v>OK - FECHA COM PLANILHA</v>
      </c>
      <c r="T103" s="116">
        <v>45363.33</v>
      </c>
      <c r="U103" s="122">
        <f t="shared" si="13"/>
        <v>7.9199999963748269E-3</v>
      </c>
    </row>
    <row r="104" spans="1:21" ht="63.75" x14ac:dyDescent="0.2">
      <c r="A104" s="120" t="s">
        <v>2536</v>
      </c>
      <c r="B104" s="114" t="s">
        <v>280</v>
      </c>
      <c r="C104" s="114" t="s">
        <v>1385</v>
      </c>
      <c r="D104" s="114" t="s">
        <v>56</v>
      </c>
      <c r="E104" s="114" t="s">
        <v>188</v>
      </c>
      <c r="F104" s="114" t="s">
        <v>180</v>
      </c>
      <c r="G104" s="115">
        <v>539.08100000000002</v>
      </c>
      <c r="H104" s="116">
        <v>11.692499999999999</v>
      </c>
      <c r="I104" s="121">
        <v>0.2223</v>
      </c>
      <c r="J104" s="116">
        <f t="shared" si="7"/>
        <v>2.5950000000000024</v>
      </c>
      <c r="K104" s="116">
        <v>14.287500000000001</v>
      </c>
      <c r="L104" s="116">
        <f t="shared" si="8"/>
        <v>6303.2045924999993</v>
      </c>
      <c r="M104" s="116">
        <f t="shared" si="9"/>
        <v>7702.1197875000007</v>
      </c>
      <c r="N104" s="116">
        <v>19.05</v>
      </c>
      <c r="O104" s="116">
        <f t="shared" si="10"/>
        <v>4.7624999999999993</v>
      </c>
      <c r="P104" s="116">
        <f t="shared" si="11"/>
        <v>2567.3732624999998</v>
      </c>
      <c r="Q104" s="116" t="s">
        <v>2349</v>
      </c>
      <c r="R104" s="116" t="s">
        <v>2537</v>
      </c>
      <c r="S104" s="116" t="str">
        <f t="shared" si="12"/>
        <v>OK - FECHA COM PLANILHA</v>
      </c>
      <c r="T104" s="116">
        <v>7702.11</v>
      </c>
      <c r="U104" s="122">
        <f t="shared" si="13"/>
        <v>9.7875000010390067E-3</v>
      </c>
    </row>
    <row r="105" spans="1:21" ht="63.75" x14ac:dyDescent="0.2">
      <c r="A105" s="120" t="s">
        <v>2538</v>
      </c>
      <c r="B105" s="114" t="s">
        <v>281</v>
      </c>
      <c r="C105" s="114" t="s">
        <v>1395</v>
      </c>
      <c r="D105" s="114" t="s">
        <v>56</v>
      </c>
      <c r="E105" s="114" t="s">
        <v>200</v>
      </c>
      <c r="F105" s="114" t="s">
        <v>180</v>
      </c>
      <c r="G105" s="115">
        <v>680.36300000000006</v>
      </c>
      <c r="H105" s="116">
        <v>11.925000000000001</v>
      </c>
      <c r="I105" s="121">
        <v>0.2223</v>
      </c>
      <c r="J105" s="116">
        <f t="shared" si="7"/>
        <v>2.6474999999999991</v>
      </c>
      <c r="K105" s="116">
        <v>14.5725</v>
      </c>
      <c r="L105" s="116">
        <f t="shared" si="8"/>
        <v>8113.3287750000009</v>
      </c>
      <c r="M105" s="116">
        <f t="shared" si="9"/>
        <v>9914.5898175000002</v>
      </c>
      <c r="N105" s="116">
        <v>19.43</v>
      </c>
      <c r="O105" s="116">
        <f t="shared" si="10"/>
        <v>4.8574999999999999</v>
      </c>
      <c r="P105" s="116">
        <f t="shared" si="11"/>
        <v>3304.8632725000002</v>
      </c>
      <c r="Q105" s="116" t="s">
        <v>2349</v>
      </c>
      <c r="R105" s="116" t="s">
        <v>2539</v>
      </c>
      <c r="S105" s="116" t="str">
        <f t="shared" si="12"/>
        <v>OK - FECHA COM PLANILHA</v>
      </c>
      <c r="T105" s="116">
        <v>9914.58</v>
      </c>
      <c r="U105" s="122">
        <f t="shared" si="13"/>
        <v>9.817500000281143E-3</v>
      </c>
    </row>
    <row r="106" spans="1:21" ht="63.75" x14ac:dyDescent="0.2">
      <c r="A106" s="120" t="s">
        <v>2540</v>
      </c>
      <c r="B106" s="114" t="s">
        <v>283</v>
      </c>
      <c r="C106" s="114" t="s">
        <v>1402</v>
      </c>
      <c r="D106" s="114" t="s">
        <v>56</v>
      </c>
      <c r="E106" s="114" t="s">
        <v>1403</v>
      </c>
      <c r="F106" s="114" t="s">
        <v>180</v>
      </c>
      <c r="G106" s="115">
        <v>690.423</v>
      </c>
      <c r="H106" s="116">
        <v>9.6225000000000005</v>
      </c>
      <c r="I106" s="121">
        <v>0.2223</v>
      </c>
      <c r="J106" s="116">
        <f t="shared" si="7"/>
        <v>2.1374999999999993</v>
      </c>
      <c r="K106" s="116">
        <v>11.76</v>
      </c>
      <c r="L106" s="116">
        <f t="shared" si="8"/>
        <v>6643.5953175000004</v>
      </c>
      <c r="M106" s="116">
        <f t="shared" si="9"/>
        <v>8119.3744799999995</v>
      </c>
      <c r="N106" s="116">
        <v>15.68</v>
      </c>
      <c r="O106" s="116">
        <f t="shared" si="10"/>
        <v>3.92</v>
      </c>
      <c r="P106" s="116">
        <f t="shared" si="11"/>
        <v>2706.4581600000001</v>
      </c>
      <c r="Q106" s="116" t="s">
        <v>2349</v>
      </c>
      <c r="R106" s="116" t="s">
        <v>2541</v>
      </c>
      <c r="S106" s="116" t="str">
        <f t="shared" si="12"/>
        <v>OK - FECHA COM PLANILHA</v>
      </c>
      <c r="T106" s="116">
        <v>8119.37</v>
      </c>
      <c r="U106" s="122">
        <f t="shared" si="13"/>
        <v>4.4799999996030238E-3</v>
      </c>
    </row>
    <row r="107" spans="1:21" ht="63.75" x14ac:dyDescent="0.2">
      <c r="A107" s="120" t="s">
        <v>2542</v>
      </c>
      <c r="B107" s="114" t="s">
        <v>284</v>
      </c>
      <c r="C107" s="114" t="s">
        <v>1397</v>
      </c>
      <c r="D107" s="114" t="s">
        <v>56</v>
      </c>
      <c r="E107" s="114" t="s">
        <v>204</v>
      </c>
      <c r="F107" s="114" t="s">
        <v>180</v>
      </c>
      <c r="G107" s="115">
        <v>662.62</v>
      </c>
      <c r="H107" s="116">
        <v>8.3925000000000001</v>
      </c>
      <c r="I107" s="121">
        <v>0.2223</v>
      </c>
      <c r="J107" s="116">
        <f t="shared" si="7"/>
        <v>1.8599999999999994</v>
      </c>
      <c r="K107" s="116">
        <v>10.2525</v>
      </c>
      <c r="L107" s="116">
        <f t="shared" si="8"/>
        <v>5561.0383499999998</v>
      </c>
      <c r="M107" s="116">
        <f t="shared" si="9"/>
        <v>6793.5115500000002</v>
      </c>
      <c r="N107" s="116">
        <v>13.67</v>
      </c>
      <c r="O107" s="116">
        <f t="shared" si="10"/>
        <v>3.4175000000000004</v>
      </c>
      <c r="P107" s="116">
        <f t="shared" si="11"/>
        <v>2264.5038500000005</v>
      </c>
      <c r="Q107" s="116" t="s">
        <v>2349</v>
      </c>
      <c r="R107" s="116" t="s">
        <v>2543</v>
      </c>
      <c r="S107" s="116" t="str">
        <f t="shared" si="12"/>
        <v>OK - FECHA COM PLANILHA</v>
      </c>
      <c r="T107" s="116">
        <v>6793.51</v>
      </c>
      <c r="U107" s="122">
        <f t="shared" si="13"/>
        <v>1.5499999999519787E-3</v>
      </c>
    </row>
    <row r="108" spans="1:21" ht="63.75" x14ac:dyDescent="0.2">
      <c r="A108" s="120" t="s">
        <v>2544</v>
      </c>
      <c r="B108" s="114" t="s">
        <v>285</v>
      </c>
      <c r="C108" s="114" t="s">
        <v>1438</v>
      </c>
      <c r="D108" s="114" t="s">
        <v>56</v>
      </c>
      <c r="E108" s="114" t="s">
        <v>286</v>
      </c>
      <c r="F108" s="114" t="s">
        <v>118</v>
      </c>
      <c r="G108" s="115">
        <v>8.2650000000000006</v>
      </c>
      <c r="H108" s="116">
        <v>571.98</v>
      </c>
      <c r="I108" s="121">
        <v>0.2223</v>
      </c>
      <c r="J108" s="116">
        <f t="shared" si="7"/>
        <v>127.14749999999992</v>
      </c>
      <c r="K108" s="116">
        <v>699.12749999999994</v>
      </c>
      <c r="L108" s="116">
        <f t="shared" si="8"/>
        <v>4727.4147000000003</v>
      </c>
      <c r="M108" s="116">
        <f t="shared" si="9"/>
        <v>5778.2887874999997</v>
      </c>
      <c r="N108" s="116">
        <v>932.17</v>
      </c>
      <c r="O108" s="116">
        <f t="shared" si="10"/>
        <v>233.04250000000002</v>
      </c>
      <c r="P108" s="116">
        <f t="shared" si="11"/>
        <v>1926.0962625000002</v>
      </c>
      <c r="Q108" s="116" t="s">
        <v>2349</v>
      </c>
      <c r="R108" s="116" t="s">
        <v>2545</v>
      </c>
      <c r="S108" s="116" t="str">
        <f t="shared" si="12"/>
        <v>OK - FECHA COM PLANILHA</v>
      </c>
      <c r="T108" s="116">
        <v>5778.28</v>
      </c>
      <c r="U108" s="122">
        <f t="shared" si="13"/>
        <v>8.7874999999257852E-3</v>
      </c>
    </row>
    <row r="109" spans="1:21" ht="63.75" x14ac:dyDescent="0.2">
      <c r="A109" s="120" t="s">
        <v>2546</v>
      </c>
      <c r="B109" s="114" t="s">
        <v>287</v>
      </c>
      <c r="C109" s="114" t="s">
        <v>208</v>
      </c>
      <c r="D109" s="114" t="s">
        <v>209</v>
      </c>
      <c r="E109" s="114" t="s">
        <v>210</v>
      </c>
      <c r="F109" s="114" t="s">
        <v>118</v>
      </c>
      <c r="G109" s="115">
        <v>7.59</v>
      </c>
      <c r="H109" s="116">
        <v>520.93500000000006</v>
      </c>
      <c r="I109" s="121">
        <v>0.2223</v>
      </c>
      <c r="J109" s="116">
        <f t="shared" si="7"/>
        <v>115.79999999999995</v>
      </c>
      <c r="K109" s="116">
        <v>636.73500000000001</v>
      </c>
      <c r="L109" s="116">
        <f t="shared" si="8"/>
        <v>3953.8966500000006</v>
      </c>
      <c r="M109" s="116">
        <f t="shared" si="9"/>
        <v>4832.8186500000002</v>
      </c>
      <c r="N109" s="116">
        <v>848.98</v>
      </c>
      <c r="O109" s="116">
        <f t="shared" si="10"/>
        <v>212.245</v>
      </c>
      <c r="P109" s="116">
        <f t="shared" si="11"/>
        <v>1610.9395500000001</v>
      </c>
      <c r="Q109" s="116" t="s">
        <v>2458</v>
      </c>
      <c r="R109" s="116" t="s">
        <v>2547</v>
      </c>
      <c r="S109" s="116" t="str">
        <f t="shared" si="12"/>
        <v>OK - FECHA COM PLANILHA</v>
      </c>
      <c r="T109" s="116">
        <v>4832.8100000000004</v>
      </c>
      <c r="U109" s="122">
        <f t="shared" si="13"/>
        <v>8.6499999997613486E-3</v>
      </c>
    </row>
    <row r="110" spans="1:21" ht="63.75" x14ac:dyDescent="0.2">
      <c r="A110" s="120" t="s">
        <v>2548</v>
      </c>
      <c r="B110" s="114" t="s">
        <v>1439</v>
      </c>
      <c r="C110" s="114" t="s">
        <v>236</v>
      </c>
      <c r="D110" s="114" t="s">
        <v>209</v>
      </c>
      <c r="E110" s="114" t="s">
        <v>271</v>
      </c>
      <c r="F110" s="114" t="s">
        <v>118</v>
      </c>
      <c r="G110" s="115">
        <v>18.547000000000001</v>
      </c>
      <c r="H110" s="116">
        <v>521.81999999999994</v>
      </c>
      <c r="I110" s="121">
        <v>0.2223</v>
      </c>
      <c r="J110" s="116">
        <f t="shared" si="7"/>
        <v>115.995</v>
      </c>
      <c r="K110" s="116">
        <v>637.81499999999994</v>
      </c>
      <c r="L110" s="116">
        <f t="shared" si="8"/>
        <v>9678.1955399999988</v>
      </c>
      <c r="M110" s="116">
        <f t="shared" si="9"/>
        <v>11829.554805</v>
      </c>
      <c r="N110" s="116">
        <v>850.42</v>
      </c>
      <c r="O110" s="116">
        <f t="shared" si="10"/>
        <v>212.60500000000002</v>
      </c>
      <c r="P110" s="116">
        <f t="shared" si="11"/>
        <v>3943.1849350000007</v>
      </c>
      <c r="Q110" s="116" t="s">
        <v>2549</v>
      </c>
      <c r="R110" s="116" t="s">
        <v>2550</v>
      </c>
      <c r="S110" s="116" t="str">
        <f t="shared" si="12"/>
        <v>OK - FECHA COM PLANILHA</v>
      </c>
      <c r="T110" s="116">
        <v>11829.55</v>
      </c>
      <c r="U110" s="122">
        <f t="shared" si="13"/>
        <v>4.8050000004877802E-3</v>
      </c>
    </row>
    <row r="111" spans="1:21" ht="63.75" x14ac:dyDescent="0.2">
      <c r="A111" s="120" t="s">
        <v>2551</v>
      </c>
      <c r="B111" s="114" t="s">
        <v>1440</v>
      </c>
      <c r="C111" s="114" t="s">
        <v>1391</v>
      </c>
      <c r="D111" s="114" t="s">
        <v>56</v>
      </c>
      <c r="E111" s="114" t="s">
        <v>192</v>
      </c>
      <c r="F111" s="114" t="s">
        <v>26</v>
      </c>
      <c r="G111" s="115">
        <v>163.392</v>
      </c>
      <c r="H111" s="116">
        <v>43.852499999999999</v>
      </c>
      <c r="I111" s="121">
        <v>0.2223</v>
      </c>
      <c r="J111" s="116">
        <f t="shared" si="7"/>
        <v>9.7424999999999997</v>
      </c>
      <c r="K111" s="116">
        <v>53.594999999999999</v>
      </c>
      <c r="L111" s="116">
        <f t="shared" si="8"/>
        <v>7165.14768</v>
      </c>
      <c r="M111" s="116">
        <f t="shared" si="9"/>
        <v>8756.99424</v>
      </c>
      <c r="N111" s="116">
        <v>71.459999999999994</v>
      </c>
      <c r="O111" s="116">
        <f t="shared" si="10"/>
        <v>17.864999999999995</v>
      </c>
      <c r="P111" s="116">
        <f t="shared" si="11"/>
        <v>2918.9980799999989</v>
      </c>
      <c r="Q111" s="116" t="s">
        <v>2349</v>
      </c>
      <c r="R111" s="116" t="s">
        <v>2552</v>
      </c>
      <c r="S111" s="116" t="str">
        <f t="shared" si="12"/>
        <v>OK - FECHA COM PLANILHA</v>
      </c>
      <c r="T111" s="116">
        <v>8756.99</v>
      </c>
      <c r="U111" s="122">
        <f t="shared" si="13"/>
        <v>4.2400000002089655E-3</v>
      </c>
    </row>
    <row r="112" spans="1:21" ht="63.75" x14ac:dyDescent="0.2">
      <c r="A112" s="120" t="s">
        <v>2553</v>
      </c>
      <c r="B112" s="114" t="s">
        <v>291</v>
      </c>
      <c r="C112" s="114" t="s">
        <v>1441</v>
      </c>
      <c r="D112" s="114" t="s">
        <v>56</v>
      </c>
      <c r="E112" s="114" t="s">
        <v>292</v>
      </c>
      <c r="F112" s="114" t="s">
        <v>26</v>
      </c>
      <c r="G112" s="115">
        <v>922.11</v>
      </c>
      <c r="H112" s="116">
        <v>54.157499999999999</v>
      </c>
      <c r="I112" s="121">
        <v>0.2223</v>
      </c>
      <c r="J112" s="116">
        <f t="shared" si="7"/>
        <v>12.037500000000009</v>
      </c>
      <c r="K112" s="116">
        <v>66.195000000000007</v>
      </c>
      <c r="L112" s="116">
        <f t="shared" si="8"/>
        <v>49939.172325</v>
      </c>
      <c r="M112" s="116">
        <f t="shared" si="9"/>
        <v>61039.07145000001</v>
      </c>
      <c r="N112" s="116">
        <v>88.26</v>
      </c>
      <c r="O112" s="116">
        <f t="shared" si="10"/>
        <v>22.064999999999998</v>
      </c>
      <c r="P112" s="116">
        <f t="shared" si="11"/>
        <v>20346.35715</v>
      </c>
      <c r="Q112" s="116" t="s">
        <v>2349</v>
      </c>
      <c r="R112" s="116" t="s">
        <v>2554</v>
      </c>
      <c r="S112" s="116" t="str">
        <f t="shared" si="12"/>
        <v>OK - FECHA COM PLANILHA</v>
      </c>
      <c r="T112" s="116">
        <v>61039.07</v>
      </c>
      <c r="U112" s="122">
        <f t="shared" si="13"/>
        <v>1.4500000106636435E-3</v>
      </c>
    </row>
    <row r="113" spans="1:21" ht="63.75" x14ac:dyDescent="0.2">
      <c r="A113" s="120" t="s">
        <v>2555</v>
      </c>
      <c r="B113" s="114" t="s">
        <v>293</v>
      </c>
      <c r="C113" s="114" t="s">
        <v>1442</v>
      </c>
      <c r="D113" s="114" t="s">
        <v>56</v>
      </c>
      <c r="E113" s="114" t="s">
        <v>294</v>
      </c>
      <c r="F113" s="114" t="s">
        <v>26</v>
      </c>
      <c r="G113" s="115">
        <v>80.296999999999997</v>
      </c>
      <c r="H113" s="116">
        <v>82.664999999999992</v>
      </c>
      <c r="I113" s="121">
        <v>0.2223</v>
      </c>
      <c r="J113" s="116">
        <f t="shared" si="7"/>
        <v>18.375</v>
      </c>
      <c r="K113" s="116">
        <v>101.03999999999999</v>
      </c>
      <c r="L113" s="116">
        <f t="shared" si="8"/>
        <v>6637.7515049999993</v>
      </c>
      <c r="M113" s="116">
        <f t="shared" si="9"/>
        <v>8113.2088799999992</v>
      </c>
      <c r="N113" s="116">
        <v>134.72</v>
      </c>
      <c r="O113" s="116">
        <f t="shared" si="10"/>
        <v>33.680000000000007</v>
      </c>
      <c r="P113" s="116">
        <f t="shared" si="11"/>
        <v>2704.4029600000003</v>
      </c>
      <c r="Q113" s="116" t="s">
        <v>2349</v>
      </c>
      <c r="R113" s="116" t="s">
        <v>2556</v>
      </c>
      <c r="S113" s="116" t="str">
        <f t="shared" si="12"/>
        <v>OK - FECHA COM PLANILHA</v>
      </c>
      <c r="T113" s="116">
        <v>8113.2</v>
      </c>
      <c r="U113" s="122">
        <f t="shared" si="13"/>
        <v>8.8799999994080281E-3</v>
      </c>
    </row>
    <row r="114" spans="1:21" ht="63.75" x14ac:dyDescent="0.2">
      <c r="A114" s="120" t="s">
        <v>2557</v>
      </c>
      <c r="B114" s="114" t="s">
        <v>295</v>
      </c>
      <c r="C114" s="114" t="s">
        <v>1443</v>
      </c>
      <c r="D114" s="114" t="s">
        <v>56</v>
      </c>
      <c r="E114" s="114" t="s">
        <v>296</v>
      </c>
      <c r="F114" s="114" t="s">
        <v>26</v>
      </c>
      <c r="G114" s="115">
        <v>741.14700000000005</v>
      </c>
      <c r="H114" s="116">
        <v>82.717500000000001</v>
      </c>
      <c r="I114" s="121">
        <v>0.2223</v>
      </c>
      <c r="J114" s="116">
        <f t="shared" si="7"/>
        <v>18.382500000000007</v>
      </c>
      <c r="K114" s="116">
        <v>101.10000000000001</v>
      </c>
      <c r="L114" s="116">
        <f t="shared" si="8"/>
        <v>61305.826972500006</v>
      </c>
      <c r="M114" s="116">
        <f t="shared" si="9"/>
        <v>74929.961700000014</v>
      </c>
      <c r="N114" s="116">
        <v>134.80000000000001</v>
      </c>
      <c r="O114" s="116">
        <f t="shared" si="10"/>
        <v>33.700000000000003</v>
      </c>
      <c r="P114" s="116">
        <f t="shared" si="11"/>
        <v>24976.653900000005</v>
      </c>
      <c r="Q114" s="116" t="s">
        <v>2349</v>
      </c>
      <c r="R114" s="116" t="s">
        <v>2558</v>
      </c>
      <c r="S114" s="116" t="str">
        <f t="shared" si="12"/>
        <v>OK - FECHA COM PLANILHA</v>
      </c>
      <c r="T114" s="116">
        <v>74929.960000000006</v>
      </c>
      <c r="U114" s="122">
        <f t="shared" si="13"/>
        <v>1.7000000079860911E-3</v>
      </c>
    </row>
    <row r="115" spans="1:21" ht="63.75" x14ac:dyDescent="0.2">
      <c r="A115" s="120" t="s">
        <v>2559</v>
      </c>
      <c r="B115" s="114" t="s">
        <v>297</v>
      </c>
      <c r="C115" s="114" t="s">
        <v>1444</v>
      </c>
      <c r="D115" s="114" t="s">
        <v>56</v>
      </c>
      <c r="E115" s="114" t="s">
        <v>1445</v>
      </c>
      <c r="F115" s="114" t="s">
        <v>99</v>
      </c>
      <c r="G115" s="115">
        <v>358.99799999999999</v>
      </c>
      <c r="H115" s="116">
        <v>11.175000000000001</v>
      </c>
      <c r="I115" s="121">
        <v>0.2223</v>
      </c>
      <c r="J115" s="116">
        <f t="shared" si="7"/>
        <v>2.4824999999999999</v>
      </c>
      <c r="K115" s="116">
        <v>13.657500000000001</v>
      </c>
      <c r="L115" s="116">
        <f t="shared" si="8"/>
        <v>4011.8026500000001</v>
      </c>
      <c r="M115" s="116">
        <f t="shared" si="9"/>
        <v>4903.0151850000002</v>
      </c>
      <c r="N115" s="116">
        <v>18.21</v>
      </c>
      <c r="O115" s="116">
        <f t="shared" si="10"/>
        <v>4.5525000000000002</v>
      </c>
      <c r="P115" s="116">
        <f t="shared" si="11"/>
        <v>1634.338395</v>
      </c>
      <c r="Q115" s="116" t="s">
        <v>2349</v>
      </c>
      <c r="R115" s="116" t="s">
        <v>2560</v>
      </c>
      <c r="S115" s="116" t="str">
        <f t="shared" si="12"/>
        <v>OK - FECHA COM PLANILHA</v>
      </c>
      <c r="T115" s="116">
        <v>4903.01</v>
      </c>
      <c r="U115" s="122">
        <f t="shared" si="13"/>
        <v>5.1849999999831198E-3</v>
      </c>
    </row>
    <row r="116" spans="1:21" ht="63.75" x14ac:dyDescent="0.2">
      <c r="A116" s="120" t="s">
        <v>2561</v>
      </c>
      <c r="B116" s="114" t="s">
        <v>299</v>
      </c>
      <c r="C116" s="114" t="s">
        <v>1446</v>
      </c>
      <c r="D116" s="114" t="s">
        <v>56</v>
      </c>
      <c r="E116" s="114" t="s">
        <v>300</v>
      </c>
      <c r="F116" s="114" t="s">
        <v>99</v>
      </c>
      <c r="G116" s="115">
        <v>46.192999999999998</v>
      </c>
      <c r="H116" s="116">
        <v>68.114999999999995</v>
      </c>
      <c r="I116" s="121">
        <v>0.2223</v>
      </c>
      <c r="J116" s="116">
        <f t="shared" si="7"/>
        <v>15.135000000000005</v>
      </c>
      <c r="K116" s="116">
        <v>83.25</v>
      </c>
      <c r="L116" s="116">
        <f t="shared" si="8"/>
        <v>3146.4361949999998</v>
      </c>
      <c r="M116" s="116">
        <f t="shared" si="9"/>
        <v>3845.5672499999996</v>
      </c>
      <c r="N116" s="116">
        <v>111</v>
      </c>
      <c r="O116" s="116">
        <f t="shared" si="10"/>
        <v>27.75</v>
      </c>
      <c r="P116" s="116">
        <f t="shared" si="11"/>
        <v>1281.8557499999999</v>
      </c>
      <c r="Q116" s="116" t="s">
        <v>2349</v>
      </c>
      <c r="R116" s="116" t="s">
        <v>2562</v>
      </c>
      <c r="S116" s="116" t="str">
        <f t="shared" si="12"/>
        <v>OK - FECHA COM PLANILHA</v>
      </c>
      <c r="T116" s="116">
        <v>3845.56</v>
      </c>
      <c r="U116" s="122">
        <f t="shared" si="13"/>
        <v>7.24999999965803E-3</v>
      </c>
    </row>
    <row r="117" spans="1:21" ht="63.75" x14ac:dyDescent="0.2">
      <c r="A117" s="120" t="s">
        <v>2563</v>
      </c>
      <c r="B117" s="114" t="s">
        <v>301</v>
      </c>
      <c r="C117" s="114" t="s">
        <v>1447</v>
      </c>
      <c r="D117" s="114" t="s">
        <v>56</v>
      </c>
      <c r="E117" s="114" t="s">
        <v>1448</v>
      </c>
      <c r="F117" s="114" t="s">
        <v>99</v>
      </c>
      <c r="G117" s="115">
        <v>44.1</v>
      </c>
      <c r="H117" s="116">
        <v>48.982500000000002</v>
      </c>
      <c r="I117" s="121">
        <v>0.2223</v>
      </c>
      <c r="J117" s="116">
        <f t="shared" si="7"/>
        <v>10.882499999999993</v>
      </c>
      <c r="K117" s="116">
        <v>59.864999999999995</v>
      </c>
      <c r="L117" s="116">
        <f t="shared" si="8"/>
        <v>2160.1282500000002</v>
      </c>
      <c r="M117" s="116">
        <f t="shared" si="9"/>
        <v>2640.0464999999999</v>
      </c>
      <c r="N117" s="116">
        <v>79.819999999999993</v>
      </c>
      <c r="O117" s="116">
        <f t="shared" si="10"/>
        <v>19.954999999999998</v>
      </c>
      <c r="P117" s="116">
        <f t="shared" si="11"/>
        <v>880.01549999999997</v>
      </c>
      <c r="Q117" s="116" t="s">
        <v>2349</v>
      </c>
      <c r="R117" s="116" t="s">
        <v>2564</v>
      </c>
      <c r="S117" s="116" t="str">
        <f t="shared" si="12"/>
        <v>OK - FECHA COM PLANILHA</v>
      </c>
      <c r="T117" s="116">
        <v>2640.04</v>
      </c>
      <c r="U117" s="122">
        <f t="shared" si="13"/>
        <v>6.4999999999599822E-3</v>
      </c>
    </row>
    <row r="118" spans="1:21" ht="63.75" x14ac:dyDescent="0.2">
      <c r="A118" s="120" t="s">
        <v>2565</v>
      </c>
      <c r="B118" s="114" t="s">
        <v>303</v>
      </c>
      <c r="C118" s="114" t="s">
        <v>1449</v>
      </c>
      <c r="D118" s="114" t="s">
        <v>56</v>
      </c>
      <c r="E118" s="114" t="s">
        <v>1450</v>
      </c>
      <c r="F118" s="114" t="s">
        <v>99</v>
      </c>
      <c r="G118" s="115">
        <v>70.629000000000005</v>
      </c>
      <c r="H118" s="116">
        <v>63.547499999999999</v>
      </c>
      <c r="I118" s="121">
        <v>0.2223</v>
      </c>
      <c r="J118" s="116">
        <f t="shared" si="7"/>
        <v>14.122500000000002</v>
      </c>
      <c r="K118" s="116">
        <v>77.67</v>
      </c>
      <c r="L118" s="116">
        <f t="shared" si="8"/>
        <v>4488.2963774999998</v>
      </c>
      <c r="M118" s="116">
        <f t="shared" si="9"/>
        <v>5485.7544300000009</v>
      </c>
      <c r="N118" s="116">
        <v>103.56</v>
      </c>
      <c r="O118" s="116">
        <f t="shared" si="10"/>
        <v>25.89</v>
      </c>
      <c r="P118" s="116">
        <f t="shared" si="11"/>
        <v>1828.5848100000001</v>
      </c>
      <c r="Q118" s="116" t="s">
        <v>2349</v>
      </c>
      <c r="R118" s="116" t="s">
        <v>2566</v>
      </c>
      <c r="S118" s="116" t="str">
        <f t="shared" si="12"/>
        <v>OK - FECHA COM PLANILHA</v>
      </c>
      <c r="T118" s="116">
        <v>5485.75</v>
      </c>
      <c r="U118" s="122">
        <f t="shared" si="13"/>
        <v>4.43000000086613E-3</v>
      </c>
    </row>
    <row r="119" spans="1:21" ht="63.75" x14ac:dyDescent="0.2">
      <c r="A119" s="120" t="s">
        <v>2567</v>
      </c>
      <c r="B119" s="114" t="s">
        <v>307</v>
      </c>
      <c r="C119" s="114" t="s">
        <v>1451</v>
      </c>
      <c r="D119" s="114" t="s">
        <v>56</v>
      </c>
      <c r="E119" s="114" t="s">
        <v>308</v>
      </c>
      <c r="F119" s="114" t="s">
        <v>26</v>
      </c>
      <c r="G119" s="115">
        <v>803.67100000000005</v>
      </c>
      <c r="H119" s="116">
        <v>83.317499999999995</v>
      </c>
      <c r="I119" s="121">
        <v>0.2223</v>
      </c>
      <c r="J119" s="116">
        <f t="shared" si="7"/>
        <v>18.517500000000013</v>
      </c>
      <c r="K119" s="116">
        <v>101.83500000000001</v>
      </c>
      <c r="L119" s="116">
        <f t="shared" si="8"/>
        <v>66959.858542500006</v>
      </c>
      <c r="M119" s="116">
        <f t="shared" si="9"/>
        <v>81841.836285000012</v>
      </c>
      <c r="N119" s="116">
        <v>135.78</v>
      </c>
      <c r="O119" s="116">
        <f t="shared" si="10"/>
        <v>33.944999999999993</v>
      </c>
      <c r="P119" s="116">
        <f t="shared" si="11"/>
        <v>27280.612094999997</v>
      </c>
      <c r="Q119" s="116" t="s">
        <v>2349</v>
      </c>
      <c r="R119" s="116" t="s">
        <v>2568</v>
      </c>
      <c r="S119" s="116" t="str">
        <f t="shared" si="12"/>
        <v>OK - FECHA COM PLANILHA</v>
      </c>
      <c r="T119" s="116">
        <v>81841.83</v>
      </c>
      <c r="U119" s="122">
        <f t="shared" si="13"/>
        <v>6.2850000103935599E-3</v>
      </c>
    </row>
    <row r="120" spans="1:21" ht="76.5" x14ac:dyDescent="0.2">
      <c r="A120" s="120" t="s">
        <v>2569</v>
      </c>
      <c r="B120" s="114" t="s">
        <v>309</v>
      </c>
      <c r="C120" s="114" t="s">
        <v>310</v>
      </c>
      <c r="D120" s="114" t="s">
        <v>209</v>
      </c>
      <c r="E120" s="114" t="s">
        <v>311</v>
      </c>
      <c r="F120" s="114" t="s">
        <v>26</v>
      </c>
      <c r="G120" s="115">
        <v>638.43600000000004</v>
      </c>
      <c r="H120" s="116">
        <v>95.474999999999994</v>
      </c>
      <c r="I120" s="121">
        <v>0.2223</v>
      </c>
      <c r="J120" s="116">
        <f t="shared" si="7"/>
        <v>21.217500000000001</v>
      </c>
      <c r="K120" s="116">
        <v>116.6925</v>
      </c>
      <c r="L120" s="116">
        <f t="shared" si="8"/>
        <v>60954.677100000001</v>
      </c>
      <c r="M120" s="116">
        <f t="shared" si="9"/>
        <v>74500.692930000005</v>
      </c>
      <c r="N120" s="116">
        <v>155.59</v>
      </c>
      <c r="O120" s="116">
        <f t="shared" si="10"/>
        <v>38.897500000000008</v>
      </c>
      <c r="P120" s="116">
        <f t="shared" si="11"/>
        <v>24833.564310000005</v>
      </c>
      <c r="Q120" s="116" t="s">
        <v>2458</v>
      </c>
      <c r="R120" s="116" t="s">
        <v>2570</v>
      </c>
      <c r="S120" s="116" t="str">
        <f t="shared" si="12"/>
        <v>OK - FECHA COM PLANILHA</v>
      </c>
      <c r="T120" s="116">
        <v>74500.69</v>
      </c>
      <c r="U120" s="122">
        <f t="shared" si="13"/>
        <v>2.9300000023795292E-3</v>
      </c>
    </row>
    <row r="121" spans="1:21" ht="63.75" x14ac:dyDescent="0.2">
      <c r="A121" s="120" t="s">
        <v>2571</v>
      </c>
      <c r="B121" s="114" t="s">
        <v>312</v>
      </c>
      <c r="C121" s="114" t="s">
        <v>1452</v>
      </c>
      <c r="D121" s="114" t="s">
        <v>24</v>
      </c>
      <c r="E121" s="114" t="s">
        <v>314</v>
      </c>
      <c r="F121" s="114" t="s">
        <v>26</v>
      </c>
      <c r="G121" s="115">
        <v>1442.107</v>
      </c>
      <c r="H121" s="116">
        <v>34.5075</v>
      </c>
      <c r="I121" s="121">
        <v>0.2223</v>
      </c>
      <c r="J121" s="116">
        <f t="shared" si="7"/>
        <v>7.6649999999999991</v>
      </c>
      <c r="K121" s="116">
        <v>42.172499999999999</v>
      </c>
      <c r="L121" s="116">
        <f t="shared" si="8"/>
        <v>49763.507302500002</v>
      </c>
      <c r="M121" s="116">
        <f t="shared" si="9"/>
        <v>60817.257457499996</v>
      </c>
      <c r="N121" s="116">
        <v>56.23</v>
      </c>
      <c r="O121" s="116">
        <f t="shared" si="10"/>
        <v>14.057499999999997</v>
      </c>
      <c r="P121" s="116">
        <f t="shared" si="11"/>
        <v>20272.419152499995</v>
      </c>
      <c r="Q121" s="116" t="s">
        <v>2332</v>
      </c>
      <c r="R121" s="116" t="s">
        <v>2572</v>
      </c>
      <c r="S121" s="116" t="str">
        <f t="shared" si="12"/>
        <v>OK - FECHA COM PLANILHA</v>
      </c>
      <c r="T121" s="116">
        <v>60817.25</v>
      </c>
      <c r="U121" s="122">
        <f t="shared" si="13"/>
        <v>7.4574999962351285E-3</v>
      </c>
    </row>
    <row r="122" spans="1:21" ht="63.75" x14ac:dyDescent="0.2">
      <c r="A122" s="120" t="s">
        <v>2573</v>
      </c>
      <c r="B122" s="114" t="s">
        <v>315</v>
      </c>
      <c r="C122" s="114" t="s">
        <v>316</v>
      </c>
      <c r="D122" s="114" t="s">
        <v>317</v>
      </c>
      <c r="E122" s="114" t="s">
        <v>318</v>
      </c>
      <c r="F122" s="114" t="s">
        <v>26</v>
      </c>
      <c r="G122" s="115">
        <v>76.228999999999999</v>
      </c>
      <c r="H122" s="116">
        <v>1075.9575</v>
      </c>
      <c r="I122" s="121">
        <v>0.2223</v>
      </c>
      <c r="J122" s="116">
        <f t="shared" si="7"/>
        <v>239.18249999999989</v>
      </c>
      <c r="K122" s="116">
        <v>1315.1399999999999</v>
      </c>
      <c r="L122" s="116">
        <f t="shared" si="8"/>
        <v>82019.164267500004</v>
      </c>
      <c r="M122" s="116">
        <f t="shared" si="9"/>
        <v>100251.80705999999</v>
      </c>
      <c r="N122" s="116">
        <v>1753.52</v>
      </c>
      <c r="O122" s="116">
        <f t="shared" si="10"/>
        <v>438.38000000000011</v>
      </c>
      <c r="P122" s="116">
        <f t="shared" si="11"/>
        <v>33417.269020000007</v>
      </c>
      <c r="Q122" s="116" t="s">
        <v>2574</v>
      </c>
      <c r="R122" s="116" t="s">
        <v>2575</v>
      </c>
      <c r="S122" s="116" t="str">
        <f t="shared" si="12"/>
        <v>OK - FECHA COM PLANILHA</v>
      </c>
      <c r="T122" s="116">
        <v>100251.8</v>
      </c>
      <c r="U122" s="122">
        <f t="shared" si="13"/>
        <v>7.0599999889964238E-3</v>
      </c>
    </row>
    <row r="123" spans="1:21" ht="63.75" x14ac:dyDescent="0.2">
      <c r="A123" s="120" t="s">
        <v>2576</v>
      </c>
      <c r="B123" s="114" t="s">
        <v>319</v>
      </c>
      <c r="C123" s="114" t="s">
        <v>1453</v>
      </c>
      <c r="D123" s="114" t="s">
        <v>56</v>
      </c>
      <c r="E123" s="114" t="s">
        <v>320</v>
      </c>
      <c r="F123" s="114" t="s">
        <v>26</v>
      </c>
      <c r="G123" s="115">
        <v>48.411000000000001</v>
      </c>
      <c r="H123" s="116">
        <v>805.41750000000002</v>
      </c>
      <c r="I123" s="121">
        <v>0.2223</v>
      </c>
      <c r="J123" s="116">
        <f t="shared" si="7"/>
        <v>179.03999999999996</v>
      </c>
      <c r="K123" s="116">
        <v>984.45749999999998</v>
      </c>
      <c r="L123" s="116">
        <f t="shared" si="8"/>
        <v>38991.066592499999</v>
      </c>
      <c r="M123" s="116">
        <f t="shared" si="9"/>
        <v>47658.5720325</v>
      </c>
      <c r="N123" s="116">
        <v>1312.61</v>
      </c>
      <c r="O123" s="116">
        <f t="shared" si="10"/>
        <v>328.15249999999992</v>
      </c>
      <c r="P123" s="116">
        <f t="shared" si="11"/>
        <v>15886.190677499997</v>
      </c>
      <c r="Q123" s="116" t="s">
        <v>2349</v>
      </c>
      <c r="R123" s="116" t="s">
        <v>2577</v>
      </c>
      <c r="S123" s="116" t="str">
        <f t="shared" si="12"/>
        <v>OK - FECHA COM PLANILHA</v>
      </c>
      <c r="T123" s="116">
        <v>47658.57</v>
      </c>
      <c r="U123" s="122">
        <f t="shared" si="13"/>
        <v>2.0325000004959293E-3</v>
      </c>
    </row>
    <row r="124" spans="1:21" ht="63.75" x14ac:dyDescent="0.2">
      <c r="A124" s="120" t="s">
        <v>2578</v>
      </c>
      <c r="B124" s="114" t="s">
        <v>321</v>
      </c>
      <c r="C124" s="114" t="s">
        <v>322</v>
      </c>
      <c r="D124" s="114" t="s">
        <v>209</v>
      </c>
      <c r="E124" s="114" t="s">
        <v>323</v>
      </c>
      <c r="F124" s="114" t="s">
        <v>26</v>
      </c>
      <c r="G124" s="115">
        <v>15.861000000000001</v>
      </c>
      <c r="H124" s="116">
        <v>574.35749999999996</v>
      </c>
      <c r="I124" s="121">
        <v>0.2223</v>
      </c>
      <c r="J124" s="116">
        <f t="shared" si="7"/>
        <v>127.67250000000001</v>
      </c>
      <c r="K124" s="116">
        <v>702.03</v>
      </c>
      <c r="L124" s="116">
        <f t="shared" si="8"/>
        <v>9109.8843075000004</v>
      </c>
      <c r="M124" s="116">
        <f t="shared" si="9"/>
        <v>11134.89783</v>
      </c>
      <c r="N124" s="116">
        <v>936.04</v>
      </c>
      <c r="O124" s="116">
        <f t="shared" si="10"/>
        <v>234.01</v>
      </c>
      <c r="P124" s="116">
        <f t="shared" si="11"/>
        <v>3711.6326100000001</v>
      </c>
      <c r="Q124" s="116" t="s">
        <v>2458</v>
      </c>
      <c r="R124" s="116" t="s">
        <v>2579</v>
      </c>
      <c r="S124" s="116" t="str">
        <f t="shared" si="12"/>
        <v>OK - FECHA COM PLANILHA</v>
      </c>
      <c r="T124" s="116">
        <v>11134.89</v>
      </c>
      <c r="U124" s="122">
        <f t="shared" si="13"/>
        <v>7.8300000004674075E-3</v>
      </c>
    </row>
    <row r="125" spans="1:21" ht="63.75" x14ac:dyDescent="0.2">
      <c r="A125" s="120" t="s">
        <v>2580</v>
      </c>
      <c r="B125" s="114" t="s">
        <v>326</v>
      </c>
      <c r="C125" s="114" t="s">
        <v>1454</v>
      </c>
      <c r="D125" s="114" t="s">
        <v>56</v>
      </c>
      <c r="E125" s="114" t="s">
        <v>1455</v>
      </c>
      <c r="F125" s="114" t="s">
        <v>26</v>
      </c>
      <c r="G125" s="115">
        <v>3488.8989999999999</v>
      </c>
      <c r="H125" s="116">
        <v>8.1750000000000007</v>
      </c>
      <c r="I125" s="121">
        <v>0.2223</v>
      </c>
      <c r="J125" s="116">
        <f t="shared" si="7"/>
        <v>1.8149999999999995</v>
      </c>
      <c r="K125" s="116">
        <v>9.99</v>
      </c>
      <c r="L125" s="116">
        <f t="shared" si="8"/>
        <v>28521.749325000001</v>
      </c>
      <c r="M125" s="116">
        <f t="shared" si="9"/>
        <v>34854.101009999998</v>
      </c>
      <c r="N125" s="116">
        <v>13.32</v>
      </c>
      <c r="O125" s="116">
        <f t="shared" si="10"/>
        <v>3.33</v>
      </c>
      <c r="P125" s="116">
        <f t="shared" si="11"/>
        <v>11618.033670000001</v>
      </c>
      <c r="Q125" s="116" t="s">
        <v>2349</v>
      </c>
      <c r="R125" s="116" t="s">
        <v>2581</v>
      </c>
      <c r="S125" s="116" t="str">
        <f t="shared" si="12"/>
        <v>OK - FECHA COM PLANILHA</v>
      </c>
      <c r="T125" s="116">
        <v>34854.1</v>
      </c>
      <c r="U125" s="122">
        <f t="shared" si="13"/>
        <v>1.0099999999511056E-3</v>
      </c>
    </row>
    <row r="126" spans="1:21" ht="63.75" x14ac:dyDescent="0.2">
      <c r="A126" s="120" t="s">
        <v>2582</v>
      </c>
      <c r="B126" s="114" t="s">
        <v>328</v>
      </c>
      <c r="C126" s="114" t="s">
        <v>1456</v>
      </c>
      <c r="D126" s="114" t="s">
        <v>56</v>
      </c>
      <c r="E126" s="114" t="s">
        <v>329</v>
      </c>
      <c r="F126" s="114" t="s">
        <v>26</v>
      </c>
      <c r="G126" s="115">
        <v>2115.672</v>
      </c>
      <c r="H126" s="116">
        <v>50.722499999999997</v>
      </c>
      <c r="I126" s="121">
        <v>0.2223</v>
      </c>
      <c r="J126" s="116">
        <f t="shared" si="7"/>
        <v>11.272500000000001</v>
      </c>
      <c r="K126" s="116">
        <v>61.994999999999997</v>
      </c>
      <c r="L126" s="116">
        <f t="shared" si="8"/>
        <v>107312.17301999999</v>
      </c>
      <c r="M126" s="116">
        <f t="shared" si="9"/>
        <v>131161.08564</v>
      </c>
      <c r="N126" s="116">
        <v>82.66</v>
      </c>
      <c r="O126" s="116">
        <f t="shared" si="10"/>
        <v>20.664999999999999</v>
      </c>
      <c r="P126" s="116">
        <f t="shared" si="11"/>
        <v>43720.361879999997</v>
      </c>
      <c r="Q126" s="116" t="s">
        <v>2349</v>
      </c>
      <c r="R126" s="116" t="s">
        <v>2583</v>
      </c>
      <c r="S126" s="116" t="str">
        <f t="shared" si="12"/>
        <v>OK - FECHA COM PLANILHA</v>
      </c>
      <c r="T126" s="116">
        <v>131161.07999999999</v>
      </c>
      <c r="U126" s="122">
        <f t="shared" si="13"/>
        <v>5.6400000175926834E-3</v>
      </c>
    </row>
    <row r="127" spans="1:21" ht="63.75" x14ac:dyDescent="0.2">
      <c r="A127" s="120" t="s">
        <v>2584</v>
      </c>
      <c r="B127" s="114" t="s">
        <v>330</v>
      </c>
      <c r="C127" s="114" t="s">
        <v>1457</v>
      </c>
      <c r="D127" s="114" t="s">
        <v>56</v>
      </c>
      <c r="E127" s="114" t="s">
        <v>331</v>
      </c>
      <c r="F127" s="114" t="s">
        <v>26</v>
      </c>
      <c r="G127" s="115">
        <v>1175.704</v>
      </c>
      <c r="H127" s="116">
        <v>31.807499999999997</v>
      </c>
      <c r="I127" s="121">
        <v>0.2223</v>
      </c>
      <c r="J127" s="116">
        <f t="shared" si="7"/>
        <v>7.0650000000000048</v>
      </c>
      <c r="K127" s="116">
        <v>38.872500000000002</v>
      </c>
      <c r="L127" s="116">
        <f t="shared" si="8"/>
        <v>37396.204979999995</v>
      </c>
      <c r="M127" s="116">
        <f t="shared" si="9"/>
        <v>45702.553740000003</v>
      </c>
      <c r="N127" s="116">
        <v>51.83</v>
      </c>
      <c r="O127" s="116">
        <f t="shared" si="10"/>
        <v>12.957499999999996</v>
      </c>
      <c r="P127" s="116">
        <f t="shared" si="11"/>
        <v>15234.184579999996</v>
      </c>
      <c r="Q127" s="116" t="s">
        <v>2349</v>
      </c>
      <c r="R127" s="116" t="s">
        <v>2585</v>
      </c>
      <c r="S127" s="116" t="str">
        <f t="shared" si="12"/>
        <v>OK - FECHA COM PLANILHA</v>
      </c>
      <c r="T127" s="116">
        <v>45702.55</v>
      </c>
      <c r="U127" s="122">
        <f t="shared" si="13"/>
        <v>3.7400000001071021E-3</v>
      </c>
    </row>
    <row r="128" spans="1:21" ht="63.75" x14ac:dyDescent="0.2">
      <c r="A128" s="120" t="s">
        <v>2586</v>
      </c>
      <c r="B128" s="114" t="s">
        <v>332</v>
      </c>
      <c r="C128" s="114" t="s">
        <v>1458</v>
      </c>
      <c r="D128" s="114" t="s">
        <v>56</v>
      </c>
      <c r="E128" s="114" t="s">
        <v>333</v>
      </c>
      <c r="F128" s="114" t="s">
        <v>26</v>
      </c>
      <c r="G128" s="115">
        <v>682.82500000000005</v>
      </c>
      <c r="H128" s="116">
        <v>60.12</v>
      </c>
      <c r="I128" s="121">
        <v>0.2223</v>
      </c>
      <c r="J128" s="116">
        <f t="shared" si="7"/>
        <v>13.357499999999995</v>
      </c>
      <c r="K128" s="116">
        <v>73.477499999999992</v>
      </c>
      <c r="L128" s="116">
        <f t="shared" si="8"/>
        <v>41051.438999999998</v>
      </c>
      <c r="M128" s="116">
        <f t="shared" si="9"/>
        <v>50172.273937499995</v>
      </c>
      <c r="N128" s="116">
        <v>97.97</v>
      </c>
      <c r="O128" s="116">
        <f t="shared" si="10"/>
        <v>24.492500000000007</v>
      </c>
      <c r="P128" s="116">
        <f t="shared" si="11"/>
        <v>16724.091312500004</v>
      </c>
      <c r="Q128" s="116" t="s">
        <v>2349</v>
      </c>
      <c r="R128" s="116" t="s">
        <v>2587</v>
      </c>
      <c r="S128" s="116" t="str">
        <f t="shared" si="12"/>
        <v>OK - FECHA COM PLANILHA</v>
      </c>
      <c r="T128" s="116">
        <v>50172.27</v>
      </c>
      <c r="U128" s="122">
        <f t="shared" si="13"/>
        <v>3.9374999978463165E-3</v>
      </c>
    </row>
    <row r="129" spans="1:21" ht="63.75" x14ac:dyDescent="0.2">
      <c r="A129" s="120" t="s">
        <v>2588</v>
      </c>
      <c r="B129" s="114" t="s">
        <v>334</v>
      </c>
      <c r="C129" s="114" t="s">
        <v>1459</v>
      </c>
      <c r="D129" s="114" t="s">
        <v>335</v>
      </c>
      <c r="E129" s="114" t="s">
        <v>336</v>
      </c>
      <c r="F129" s="114" t="s">
        <v>26</v>
      </c>
      <c r="G129" s="115">
        <v>1233.3820000000001</v>
      </c>
      <c r="H129" s="116">
        <v>41.467500000000001</v>
      </c>
      <c r="I129" s="121">
        <v>0.2223</v>
      </c>
      <c r="J129" s="116">
        <f t="shared" si="7"/>
        <v>9.2175000000000011</v>
      </c>
      <c r="K129" s="116">
        <v>50.685000000000002</v>
      </c>
      <c r="L129" s="116">
        <f t="shared" si="8"/>
        <v>51145.268085000003</v>
      </c>
      <c r="M129" s="116">
        <f t="shared" si="9"/>
        <v>62513.966670000009</v>
      </c>
      <c r="N129" s="116">
        <v>67.58</v>
      </c>
      <c r="O129" s="116">
        <f t="shared" si="10"/>
        <v>16.894999999999996</v>
      </c>
      <c r="P129" s="116">
        <f t="shared" si="11"/>
        <v>20837.988889999997</v>
      </c>
      <c r="Q129" s="116" t="s">
        <v>2589</v>
      </c>
      <c r="R129" s="116" t="s">
        <v>2590</v>
      </c>
      <c r="S129" s="116" t="str">
        <f t="shared" si="12"/>
        <v>OK - FECHA COM PLANILHA</v>
      </c>
      <c r="T129" s="116">
        <v>62513.96</v>
      </c>
      <c r="U129" s="122">
        <f t="shared" si="13"/>
        <v>6.6700000097625889E-3</v>
      </c>
    </row>
    <row r="130" spans="1:21" ht="63.75" x14ac:dyDescent="0.2">
      <c r="A130" s="120" t="s">
        <v>2591</v>
      </c>
      <c r="B130" s="114" t="s">
        <v>337</v>
      </c>
      <c r="C130" s="114" t="s">
        <v>1460</v>
      </c>
      <c r="D130" s="114" t="s">
        <v>56</v>
      </c>
      <c r="E130" s="114" t="s">
        <v>338</v>
      </c>
      <c r="F130" s="114" t="s">
        <v>26</v>
      </c>
      <c r="G130" s="115">
        <v>1233.3820000000001</v>
      </c>
      <c r="H130" s="116">
        <v>23.565000000000001</v>
      </c>
      <c r="I130" s="121">
        <v>0.2223</v>
      </c>
      <c r="J130" s="116">
        <f t="shared" si="7"/>
        <v>5.2349999999999959</v>
      </c>
      <c r="K130" s="116">
        <v>28.799999999999997</v>
      </c>
      <c r="L130" s="116">
        <f t="shared" si="8"/>
        <v>29064.646830000002</v>
      </c>
      <c r="M130" s="116">
        <f t="shared" si="9"/>
        <v>35521.401599999997</v>
      </c>
      <c r="N130" s="116">
        <v>38.4</v>
      </c>
      <c r="O130" s="116">
        <f t="shared" si="10"/>
        <v>9.6000000000000014</v>
      </c>
      <c r="P130" s="116">
        <f t="shared" si="11"/>
        <v>11840.467200000003</v>
      </c>
      <c r="Q130" s="116" t="s">
        <v>2349</v>
      </c>
      <c r="R130" s="116" t="s">
        <v>2592</v>
      </c>
      <c r="S130" s="116" t="str">
        <f t="shared" si="12"/>
        <v>OK - FECHA COM PLANILHA</v>
      </c>
      <c r="T130" s="116">
        <v>35521.4</v>
      </c>
      <c r="U130" s="122">
        <f t="shared" si="13"/>
        <v>1.5999999959603883E-3</v>
      </c>
    </row>
    <row r="131" spans="1:21" ht="63.75" x14ac:dyDescent="0.2">
      <c r="A131" s="120" t="s">
        <v>2593</v>
      </c>
      <c r="B131" s="114" t="s">
        <v>339</v>
      </c>
      <c r="C131" s="114" t="s">
        <v>340</v>
      </c>
      <c r="D131" s="114" t="s">
        <v>317</v>
      </c>
      <c r="E131" s="114" t="s">
        <v>1461</v>
      </c>
      <c r="F131" s="114" t="s">
        <v>342</v>
      </c>
      <c r="G131" s="115">
        <v>10.5</v>
      </c>
      <c r="H131" s="116">
        <v>89.564999999999998</v>
      </c>
      <c r="I131" s="121">
        <v>0.2223</v>
      </c>
      <c r="J131" s="116">
        <f t="shared" ref="J131:J194" si="14">K131-H131</f>
        <v>19.905000000000001</v>
      </c>
      <c r="K131" s="116">
        <v>109.47</v>
      </c>
      <c r="L131" s="116">
        <f t="shared" ref="L131:L194" si="15">G131*H131</f>
        <v>940.4325</v>
      </c>
      <c r="M131" s="116">
        <f t="shared" ref="M131:M194" si="16">G131*K131</f>
        <v>1149.4349999999999</v>
      </c>
      <c r="N131" s="116">
        <v>145.96</v>
      </c>
      <c r="O131" s="116">
        <f t="shared" ref="O131:O194" si="17">IFERROR(N131-K131,"")</f>
        <v>36.490000000000009</v>
      </c>
      <c r="P131" s="116">
        <f t="shared" ref="P131:P194" si="18">IFERROR(G131*O131,"")</f>
        <v>383.1450000000001</v>
      </c>
      <c r="Q131" s="116" t="s">
        <v>2574</v>
      </c>
      <c r="R131" s="116" t="s">
        <v>2594</v>
      </c>
      <c r="S131" s="116" t="str">
        <f t="shared" ref="S131:S194" si="19">IF(ABS(M131-T131)&lt;=0.05,"OK - FECHA COM PLANILHA","REVISAR")</f>
        <v>OK - FECHA COM PLANILHA</v>
      </c>
      <c r="T131" s="116">
        <v>1149.43</v>
      </c>
      <c r="U131" s="122">
        <f t="shared" ref="U131:U194" si="20">M131-T131</f>
        <v>4.9999999998817657E-3</v>
      </c>
    </row>
    <row r="132" spans="1:21" ht="63.75" x14ac:dyDescent="0.2">
      <c r="A132" s="120" t="s">
        <v>2595</v>
      </c>
      <c r="B132" s="114" t="s">
        <v>345</v>
      </c>
      <c r="C132" s="114" t="s">
        <v>346</v>
      </c>
      <c r="D132" s="114" t="s">
        <v>209</v>
      </c>
      <c r="E132" s="114" t="s">
        <v>1462</v>
      </c>
      <c r="F132" s="114" t="s">
        <v>26</v>
      </c>
      <c r="G132" s="115">
        <v>135.49</v>
      </c>
      <c r="H132" s="116">
        <v>447.85500000000002</v>
      </c>
      <c r="I132" s="121">
        <v>0.2223</v>
      </c>
      <c r="J132" s="116">
        <f t="shared" si="14"/>
        <v>99.55499999999995</v>
      </c>
      <c r="K132" s="116">
        <v>547.41</v>
      </c>
      <c r="L132" s="116">
        <f t="shared" si="15"/>
        <v>60679.873950000008</v>
      </c>
      <c r="M132" s="116">
        <f t="shared" si="16"/>
        <v>74168.580900000001</v>
      </c>
      <c r="N132" s="116">
        <v>729.88</v>
      </c>
      <c r="O132" s="116">
        <f t="shared" si="17"/>
        <v>182.47000000000003</v>
      </c>
      <c r="P132" s="116">
        <f t="shared" si="18"/>
        <v>24722.860300000004</v>
      </c>
      <c r="Q132" s="116" t="s">
        <v>2458</v>
      </c>
      <c r="R132" s="116" t="s">
        <v>2596</v>
      </c>
      <c r="S132" s="116" t="str">
        <f t="shared" si="19"/>
        <v>OK - FECHA COM PLANILHA</v>
      </c>
      <c r="T132" s="116">
        <v>74168.58</v>
      </c>
      <c r="U132" s="122">
        <f t="shared" si="20"/>
        <v>8.9999999909196049E-4</v>
      </c>
    </row>
    <row r="133" spans="1:21" ht="63.75" x14ac:dyDescent="0.2">
      <c r="A133" s="120" t="s">
        <v>2597</v>
      </c>
      <c r="B133" s="114" t="s">
        <v>348</v>
      </c>
      <c r="C133" s="114" t="s">
        <v>349</v>
      </c>
      <c r="D133" s="114" t="s">
        <v>209</v>
      </c>
      <c r="E133" s="114" t="s">
        <v>350</v>
      </c>
      <c r="F133" s="114" t="s">
        <v>26</v>
      </c>
      <c r="G133" s="115">
        <v>592.59400000000005</v>
      </c>
      <c r="H133" s="116">
        <v>175.58250000000001</v>
      </c>
      <c r="I133" s="121">
        <v>0.2223</v>
      </c>
      <c r="J133" s="116">
        <f t="shared" si="14"/>
        <v>39.029999999999973</v>
      </c>
      <c r="K133" s="116">
        <v>214.61249999999998</v>
      </c>
      <c r="L133" s="116">
        <f t="shared" si="15"/>
        <v>104049.13600500002</v>
      </c>
      <c r="M133" s="116">
        <f t="shared" si="16"/>
        <v>127178.07982500001</v>
      </c>
      <c r="N133" s="116">
        <v>286.14999999999998</v>
      </c>
      <c r="O133" s="116">
        <f t="shared" si="17"/>
        <v>71.537499999999994</v>
      </c>
      <c r="P133" s="116">
        <f t="shared" si="18"/>
        <v>42392.693274999998</v>
      </c>
      <c r="Q133" s="116" t="s">
        <v>2458</v>
      </c>
      <c r="R133" s="116" t="s">
        <v>2598</v>
      </c>
      <c r="S133" s="116" t="str">
        <f t="shared" si="19"/>
        <v>OK - FECHA COM PLANILHA</v>
      </c>
      <c r="T133" s="116">
        <v>127178.07</v>
      </c>
      <c r="U133" s="122">
        <f t="shared" si="20"/>
        <v>9.8250000010011718E-3</v>
      </c>
    </row>
    <row r="134" spans="1:21" ht="63.75" x14ac:dyDescent="0.2">
      <c r="A134" s="120" t="s">
        <v>2599</v>
      </c>
      <c r="B134" s="114" t="s">
        <v>351</v>
      </c>
      <c r="C134" s="114" t="s">
        <v>1463</v>
      </c>
      <c r="D134" s="114" t="s">
        <v>209</v>
      </c>
      <c r="E134" s="114" t="s">
        <v>1464</v>
      </c>
      <c r="F134" s="114" t="s">
        <v>26</v>
      </c>
      <c r="G134" s="115">
        <v>136.19300000000001</v>
      </c>
      <c r="H134" s="116">
        <v>281.80500000000001</v>
      </c>
      <c r="I134" s="121">
        <v>0.2223</v>
      </c>
      <c r="J134" s="116">
        <f t="shared" si="14"/>
        <v>62.639999999999986</v>
      </c>
      <c r="K134" s="116">
        <v>344.44499999999999</v>
      </c>
      <c r="L134" s="116">
        <f t="shared" si="15"/>
        <v>38379.868365000002</v>
      </c>
      <c r="M134" s="116">
        <f t="shared" si="16"/>
        <v>46910.997885000004</v>
      </c>
      <c r="N134" s="116">
        <v>459.26</v>
      </c>
      <c r="O134" s="116">
        <f t="shared" si="17"/>
        <v>114.815</v>
      </c>
      <c r="P134" s="116">
        <f t="shared" si="18"/>
        <v>15636.999295000001</v>
      </c>
      <c r="Q134" s="116" t="s">
        <v>2458</v>
      </c>
      <c r="R134" s="116" t="s">
        <v>2600</v>
      </c>
      <c r="S134" s="116" t="str">
        <f t="shared" si="19"/>
        <v>OK - FECHA COM PLANILHA</v>
      </c>
      <c r="T134" s="116">
        <v>46910.99</v>
      </c>
      <c r="U134" s="122">
        <f t="shared" si="20"/>
        <v>7.8850000063539483E-3</v>
      </c>
    </row>
    <row r="135" spans="1:21" ht="63.75" x14ac:dyDescent="0.2">
      <c r="A135" s="120" t="s">
        <v>2601</v>
      </c>
      <c r="B135" s="114" t="s">
        <v>356</v>
      </c>
      <c r="C135" s="114" t="s">
        <v>1465</v>
      </c>
      <c r="D135" s="114" t="s">
        <v>56</v>
      </c>
      <c r="E135" s="114" t="s">
        <v>357</v>
      </c>
      <c r="F135" s="114" t="s">
        <v>26</v>
      </c>
      <c r="G135" s="115">
        <v>1325.896</v>
      </c>
      <c r="H135" s="116">
        <v>92.97</v>
      </c>
      <c r="I135" s="121">
        <v>0.2223</v>
      </c>
      <c r="J135" s="116">
        <f t="shared" si="14"/>
        <v>20.662499999999994</v>
      </c>
      <c r="K135" s="116">
        <v>113.63249999999999</v>
      </c>
      <c r="L135" s="116">
        <f t="shared" si="15"/>
        <v>123268.55111999999</v>
      </c>
      <c r="M135" s="116">
        <f t="shared" si="16"/>
        <v>150664.87721999999</v>
      </c>
      <c r="N135" s="116">
        <v>151.51</v>
      </c>
      <c r="O135" s="116">
        <f t="shared" si="17"/>
        <v>37.877499999999998</v>
      </c>
      <c r="P135" s="116">
        <f t="shared" si="18"/>
        <v>50221.625739999996</v>
      </c>
      <c r="Q135" s="116" t="s">
        <v>2349</v>
      </c>
      <c r="R135" s="116" t="s">
        <v>2602</v>
      </c>
      <c r="S135" s="116" t="str">
        <f t="shared" si="19"/>
        <v>OK - FECHA COM PLANILHA</v>
      </c>
      <c r="T135" s="116">
        <v>150664.87</v>
      </c>
      <c r="U135" s="122">
        <f t="shared" si="20"/>
        <v>7.219999999506399E-3</v>
      </c>
    </row>
    <row r="136" spans="1:21" ht="63.75" x14ac:dyDescent="0.2">
      <c r="A136" s="120" t="s">
        <v>2603</v>
      </c>
      <c r="B136" s="114" t="s">
        <v>358</v>
      </c>
      <c r="C136" s="114" t="s">
        <v>1466</v>
      </c>
      <c r="D136" s="114" t="s">
        <v>56</v>
      </c>
      <c r="E136" s="114" t="s">
        <v>359</v>
      </c>
      <c r="F136" s="114" t="s">
        <v>26</v>
      </c>
      <c r="G136" s="115">
        <v>29.904</v>
      </c>
      <c r="H136" s="116">
        <v>63.510000000000005</v>
      </c>
      <c r="I136" s="121">
        <v>0.2223</v>
      </c>
      <c r="J136" s="116">
        <f t="shared" si="14"/>
        <v>14.114999999999995</v>
      </c>
      <c r="K136" s="116">
        <v>77.625</v>
      </c>
      <c r="L136" s="116">
        <f t="shared" si="15"/>
        <v>1899.2030400000001</v>
      </c>
      <c r="M136" s="116">
        <f t="shared" si="16"/>
        <v>2321.2979999999998</v>
      </c>
      <c r="N136" s="116">
        <v>103.5</v>
      </c>
      <c r="O136" s="116">
        <f t="shared" si="17"/>
        <v>25.875</v>
      </c>
      <c r="P136" s="116">
        <f t="shared" si="18"/>
        <v>773.76599999999996</v>
      </c>
      <c r="Q136" s="116" t="s">
        <v>2349</v>
      </c>
      <c r="R136" s="116" t="s">
        <v>2604</v>
      </c>
      <c r="S136" s="116" t="str">
        <f t="shared" si="19"/>
        <v>OK - FECHA COM PLANILHA</v>
      </c>
      <c r="T136" s="116">
        <v>2321.29</v>
      </c>
      <c r="U136" s="122">
        <f t="shared" si="20"/>
        <v>7.9999999998108251E-3</v>
      </c>
    </row>
    <row r="137" spans="1:21" ht="63.75" x14ac:dyDescent="0.2">
      <c r="A137" s="120" t="s">
        <v>2605</v>
      </c>
      <c r="B137" s="114" t="s">
        <v>360</v>
      </c>
      <c r="C137" s="114" t="s">
        <v>1467</v>
      </c>
      <c r="D137" s="114" t="s">
        <v>56</v>
      </c>
      <c r="E137" s="114" t="s">
        <v>1468</v>
      </c>
      <c r="F137" s="114" t="s">
        <v>26</v>
      </c>
      <c r="G137" s="115">
        <v>19.806999999999999</v>
      </c>
      <c r="H137" s="116">
        <v>59.107500000000002</v>
      </c>
      <c r="I137" s="121">
        <v>0.2223</v>
      </c>
      <c r="J137" s="116">
        <f t="shared" si="14"/>
        <v>13.132499999999993</v>
      </c>
      <c r="K137" s="116">
        <v>72.239999999999995</v>
      </c>
      <c r="L137" s="116">
        <f t="shared" si="15"/>
        <v>1170.7422524999999</v>
      </c>
      <c r="M137" s="116">
        <f t="shared" si="16"/>
        <v>1430.8576799999998</v>
      </c>
      <c r="N137" s="116">
        <v>96.32</v>
      </c>
      <c r="O137" s="116">
        <f t="shared" si="17"/>
        <v>24.08</v>
      </c>
      <c r="P137" s="116">
        <f t="shared" si="18"/>
        <v>476.95255999999995</v>
      </c>
      <c r="Q137" s="116" t="s">
        <v>2349</v>
      </c>
      <c r="R137" s="116" t="s">
        <v>2606</v>
      </c>
      <c r="S137" s="116" t="str">
        <f t="shared" si="19"/>
        <v>OK - FECHA COM PLANILHA</v>
      </c>
      <c r="T137" s="116">
        <v>1430.85</v>
      </c>
      <c r="U137" s="122">
        <f t="shared" si="20"/>
        <v>7.6799999999366264E-3</v>
      </c>
    </row>
    <row r="138" spans="1:21" ht="63.75" x14ac:dyDescent="0.2">
      <c r="A138" s="120" t="s">
        <v>2607</v>
      </c>
      <c r="B138" s="114" t="s">
        <v>364</v>
      </c>
      <c r="C138" s="114" t="s">
        <v>1469</v>
      </c>
      <c r="D138" s="114" t="s">
        <v>56</v>
      </c>
      <c r="E138" s="114" t="s">
        <v>365</v>
      </c>
      <c r="F138" s="114" t="s">
        <v>26</v>
      </c>
      <c r="G138" s="115">
        <v>1131.93</v>
      </c>
      <c r="H138" s="116">
        <v>34.072499999999998</v>
      </c>
      <c r="I138" s="121">
        <v>0.2223</v>
      </c>
      <c r="J138" s="116">
        <f t="shared" si="14"/>
        <v>7.5675000000000026</v>
      </c>
      <c r="K138" s="116">
        <v>41.64</v>
      </c>
      <c r="L138" s="116">
        <f t="shared" si="15"/>
        <v>38567.684925000001</v>
      </c>
      <c r="M138" s="116">
        <f t="shared" si="16"/>
        <v>47133.565200000005</v>
      </c>
      <c r="N138" s="116">
        <v>55.52</v>
      </c>
      <c r="O138" s="116">
        <f t="shared" si="17"/>
        <v>13.880000000000003</v>
      </c>
      <c r="P138" s="116">
        <f t="shared" si="18"/>
        <v>15711.188400000005</v>
      </c>
      <c r="Q138" s="116" t="s">
        <v>2349</v>
      </c>
      <c r="R138" s="116" t="s">
        <v>2608</v>
      </c>
      <c r="S138" s="116" t="str">
        <f t="shared" si="19"/>
        <v>OK - FECHA COM PLANILHA</v>
      </c>
      <c r="T138" s="116">
        <v>47133.56</v>
      </c>
      <c r="U138" s="122">
        <f t="shared" si="20"/>
        <v>5.2000000068801455E-3</v>
      </c>
    </row>
    <row r="139" spans="1:21" ht="63.75" x14ac:dyDescent="0.2">
      <c r="A139" s="120" t="s">
        <v>2609</v>
      </c>
      <c r="B139" s="114" t="s">
        <v>366</v>
      </c>
      <c r="C139" s="114" t="s">
        <v>1470</v>
      </c>
      <c r="D139" s="114" t="s">
        <v>56</v>
      </c>
      <c r="E139" s="114" t="s">
        <v>1471</v>
      </c>
      <c r="F139" s="114" t="s">
        <v>26</v>
      </c>
      <c r="G139" s="115">
        <v>262.12400000000002</v>
      </c>
      <c r="H139" s="116">
        <v>47.557499999999997</v>
      </c>
      <c r="I139" s="121">
        <v>0.2223</v>
      </c>
      <c r="J139" s="116">
        <f t="shared" si="14"/>
        <v>10.567500000000003</v>
      </c>
      <c r="K139" s="116">
        <v>58.125</v>
      </c>
      <c r="L139" s="116">
        <f t="shared" si="15"/>
        <v>12465.96213</v>
      </c>
      <c r="M139" s="116">
        <f t="shared" si="16"/>
        <v>15235.957500000002</v>
      </c>
      <c r="N139" s="116">
        <v>77.5</v>
      </c>
      <c r="O139" s="116">
        <f t="shared" si="17"/>
        <v>19.375</v>
      </c>
      <c r="P139" s="116">
        <f t="shared" si="18"/>
        <v>5078.6525000000001</v>
      </c>
      <c r="Q139" s="116" t="s">
        <v>2349</v>
      </c>
      <c r="R139" s="116" t="s">
        <v>2610</v>
      </c>
      <c r="S139" s="116" t="str">
        <f t="shared" si="19"/>
        <v>OK - FECHA COM PLANILHA</v>
      </c>
      <c r="T139" s="116">
        <v>15235.95</v>
      </c>
      <c r="U139" s="122">
        <f t="shared" si="20"/>
        <v>7.5000000015279511E-3</v>
      </c>
    </row>
    <row r="140" spans="1:21" ht="63.75" x14ac:dyDescent="0.2">
      <c r="A140" s="120" t="s">
        <v>2611</v>
      </c>
      <c r="B140" s="114" t="s">
        <v>368</v>
      </c>
      <c r="C140" s="114" t="s">
        <v>369</v>
      </c>
      <c r="D140" s="114" t="s">
        <v>209</v>
      </c>
      <c r="E140" s="114" t="s">
        <v>370</v>
      </c>
      <c r="F140" s="114" t="s">
        <v>371</v>
      </c>
      <c r="G140" s="115">
        <v>14.662000000000001</v>
      </c>
      <c r="H140" s="116">
        <v>327.82500000000005</v>
      </c>
      <c r="I140" s="121">
        <v>0.2223</v>
      </c>
      <c r="J140" s="116">
        <f t="shared" si="14"/>
        <v>72.869999999999948</v>
      </c>
      <c r="K140" s="116">
        <v>400.69499999999999</v>
      </c>
      <c r="L140" s="116">
        <f t="shared" si="15"/>
        <v>4806.5701500000014</v>
      </c>
      <c r="M140" s="116">
        <f t="shared" si="16"/>
        <v>5874.9900900000002</v>
      </c>
      <c r="N140" s="116">
        <v>534.26</v>
      </c>
      <c r="O140" s="116">
        <f t="shared" si="17"/>
        <v>133.565</v>
      </c>
      <c r="P140" s="116">
        <f t="shared" si="18"/>
        <v>1958.3300300000001</v>
      </c>
      <c r="Q140" s="116" t="s">
        <v>2458</v>
      </c>
      <c r="R140" s="116" t="s">
        <v>2612</v>
      </c>
      <c r="S140" s="116" t="str">
        <f t="shared" si="19"/>
        <v>OK - FECHA COM PLANILHA</v>
      </c>
      <c r="T140" s="116">
        <v>5874.99</v>
      </c>
      <c r="U140" s="122">
        <f t="shared" si="20"/>
        <v>9.000000045489287E-5</v>
      </c>
    </row>
    <row r="141" spans="1:21" ht="114.75" x14ac:dyDescent="0.2">
      <c r="A141" s="120" t="s">
        <v>2613</v>
      </c>
      <c r="B141" s="114" t="s">
        <v>372</v>
      </c>
      <c r="C141" s="114" t="s">
        <v>1472</v>
      </c>
      <c r="D141" s="114" t="s">
        <v>24</v>
      </c>
      <c r="E141" s="114" t="s">
        <v>374</v>
      </c>
      <c r="F141" s="114" t="s">
        <v>26</v>
      </c>
      <c r="G141" s="115">
        <v>1316.288</v>
      </c>
      <c r="H141" s="116">
        <v>135.42750000000001</v>
      </c>
      <c r="I141" s="121">
        <v>0.2223</v>
      </c>
      <c r="J141" s="116">
        <f t="shared" si="14"/>
        <v>30.10499999999999</v>
      </c>
      <c r="K141" s="116">
        <v>165.5325</v>
      </c>
      <c r="L141" s="116">
        <f t="shared" si="15"/>
        <v>178261.59312000001</v>
      </c>
      <c r="M141" s="116">
        <f t="shared" si="16"/>
        <v>217888.44336</v>
      </c>
      <c r="N141" s="116">
        <v>220.71</v>
      </c>
      <c r="O141" s="116">
        <f t="shared" si="17"/>
        <v>55.177500000000009</v>
      </c>
      <c r="P141" s="116">
        <f t="shared" si="18"/>
        <v>72629.481120000011</v>
      </c>
      <c r="Q141" s="116" t="s">
        <v>2332</v>
      </c>
      <c r="R141" s="116" t="s">
        <v>2614</v>
      </c>
      <c r="S141" s="116" t="str">
        <f t="shared" si="19"/>
        <v>OK - FECHA COM PLANILHA</v>
      </c>
      <c r="T141" s="116">
        <v>217888.44</v>
      </c>
      <c r="U141" s="122">
        <f t="shared" si="20"/>
        <v>3.3600000024307519E-3</v>
      </c>
    </row>
    <row r="142" spans="1:21" ht="63.75" x14ac:dyDescent="0.2">
      <c r="A142" s="120" t="s">
        <v>2615</v>
      </c>
      <c r="B142" s="114" t="s">
        <v>375</v>
      </c>
      <c r="C142" s="114" t="s">
        <v>1473</v>
      </c>
      <c r="D142" s="114" t="s">
        <v>56</v>
      </c>
      <c r="E142" s="114" t="s">
        <v>1474</v>
      </c>
      <c r="F142" s="114" t="s">
        <v>26</v>
      </c>
      <c r="G142" s="115">
        <v>90.578999999999994</v>
      </c>
      <c r="H142" s="116">
        <v>165.61500000000001</v>
      </c>
      <c r="I142" s="121">
        <v>0.2223</v>
      </c>
      <c r="J142" s="116">
        <f t="shared" si="14"/>
        <v>36.809999999999974</v>
      </c>
      <c r="K142" s="116">
        <v>202.42499999999998</v>
      </c>
      <c r="L142" s="116">
        <f t="shared" si="15"/>
        <v>15001.241085</v>
      </c>
      <c r="M142" s="116">
        <f t="shared" si="16"/>
        <v>18335.454074999998</v>
      </c>
      <c r="N142" s="116">
        <v>269.89999999999998</v>
      </c>
      <c r="O142" s="116">
        <f t="shared" si="17"/>
        <v>67.474999999999994</v>
      </c>
      <c r="P142" s="116">
        <f t="shared" si="18"/>
        <v>6111.8180249999987</v>
      </c>
      <c r="Q142" s="116" t="s">
        <v>2349</v>
      </c>
      <c r="R142" s="116" t="s">
        <v>2616</v>
      </c>
      <c r="S142" s="116" t="str">
        <f t="shared" si="19"/>
        <v>OK - FECHA COM PLANILHA</v>
      </c>
      <c r="T142" s="116">
        <v>18335.45</v>
      </c>
      <c r="U142" s="122">
        <f t="shared" si="20"/>
        <v>4.0749999971012585E-3</v>
      </c>
    </row>
    <row r="143" spans="1:21" ht="63.75" x14ac:dyDescent="0.2">
      <c r="A143" s="120" t="s">
        <v>2617</v>
      </c>
      <c r="B143" s="114" t="s">
        <v>377</v>
      </c>
      <c r="C143" s="114" t="s">
        <v>1475</v>
      </c>
      <c r="D143" s="114" t="s">
        <v>56</v>
      </c>
      <c r="E143" s="114" t="s">
        <v>1476</v>
      </c>
      <c r="F143" s="114" t="s">
        <v>26</v>
      </c>
      <c r="G143" s="115">
        <v>32.209000000000003</v>
      </c>
      <c r="H143" s="116">
        <v>397.8075</v>
      </c>
      <c r="I143" s="121">
        <v>0.2223</v>
      </c>
      <c r="J143" s="116">
        <f t="shared" si="14"/>
        <v>88.432500000000005</v>
      </c>
      <c r="K143" s="116">
        <v>486.24</v>
      </c>
      <c r="L143" s="116">
        <f t="shared" si="15"/>
        <v>12812.981767500001</v>
      </c>
      <c r="M143" s="116">
        <f t="shared" si="16"/>
        <v>15661.304160000002</v>
      </c>
      <c r="N143" s="116">
        <v>648.32000000000005</v>
      </c>
      <c r="O143" s="116">
        <f t="shared" si="17"/>
        <v>162.08000000000004</v>
      </c>
      <c r="P143" s="116">
        <f t="shared" si="18"/>
        <v>5220.434720000002</v>
      </c>
      <c r="Q143" s="116" t="s">
        <v>2349</v>
      </c>
      <c r="R143" s="116" t="s">
        <v>2618</v>
      </c>
      <c r="S143" s="116" t="str">
        <f t="shared" si="19"/>
        <v>OK - FECHA COM PLANILHA</v>
      </c>
      <c r="T143" s="116">
        <v>15661.3</v>
      </c>
      <c r="U143" s="122">
        <f t="shared" si="20"/>
        <v>4.1600000022299355E-3</v>
      </c>
    </row>
    <row r="144" spans="1:21" ht="63.75" x14ac:dyDescent="0.2">
      <c r="A144" s="120" t="s">
        <v>2619</v>
      </c>
      <c r="B144" s="114" t="s">
        <v>379</v>
      </c>
      <c r="C144" s="114" t="s">
        <v>1477</v>
      </c>
      <c r="D144" s="114" t="s">
        <v>56</v>
      </c>
      <c r="E144" s="114" t="s">
        <v>380</v>
      </c>
      <c r="F144" s="114" t="s">
        <v>26</v>
      </c>
      <c r="G144" s="115">
        <v>19.687000000000001</v>
      </c>
      <c r="H144" s="116">
        <v>136.0575</v>
      </c>
      <c r="I144" s="121">
        <v>0.2223</v>
      </c>
      <c r="J144" s="116">
        <f t="shared" si="14"/>
        <v>30.239999999999981</v>
      </c>
      <c r="K144" s="116">
        <v>166.29749999999999</v>
      </c>
      <c r="L144" s="116">
        <f t="shared" si="15"/>
        <v>2678.5640025000002</v>
      </c>
      <c r="M144" s="116">
        <f t="shared" si="16"/>
        <v>3273.8988825000001</v>
      </c>
      <c r="N144" s="116">
        <v>221.73</v>
      </c>
      <c r="O144" s="116">
        <f t="shared" si="17"/>
        <v>55.432500000000005</v>
      </c>
      <c r="P144" s="116">
        <f t="shared" si="18"/>
        <v>1091.2996275</v>
      </c>
      <c r="Q144" s="116" t="s">
        <v>2349</v>
      </c>
      <c r="R144" s="116" t="s">
        <v>2620</v>
      </c>
      <c r="S144" s="116" t="str">
        <f t="shared" si="19"/>
        <v>OK - FECHA COM PLANILHA</v>
      </c>
      <c r="T144" s="116">
        <v>3273.89</v>
      </c>
      <c r="U144" s="122">
        <f t="shared" si="20"/>
        <v>8.8825000002543675E-3</v>
      </c>
    </row>
    <row r="145" spans="1:21" ht="63.75" x14ac:dyDescent="0.2">
      <c r="A145" s="120" t="s">
        <v>2621</v>
      </c>
      <c r="B145" s="114" t="s">
        <v>381</v>
      </c>
      <c r="C145" s="114" t="s">
        <v>1478</v>
      </c>
      <c r="D145" s="114" t="s">
        <v>335</v>
      </c>
      <c r="E145" s="114" t="s">
        <v>382</v>
      </c>
      <c r="F145" s="114" t="s">
        <v>99</v>
      </c>
      <c r="G145" s="115">
        <v>30.75</v>
      </c>
      <c r="H145" s="116">
        <v>130.38749999999999</v>
      </c>
      <c r="I145" s="121">
        <v>0.2223</v>
      </c>
      <c r="J145" s="116">
        <f t="shared" si="14"/>
        <v>28.980000000000018</v>
      </c>
      <c r="K145" s="116">
        <v>159.36750000000001</v>
      </c>
      <c r="L145" s="116">
        <f t="shared" si="15"/>
        <v>4009.4156249999996</v>
      </c>
      <c r="M145" s="116">
        <f t="shared" si="16"/>
        <v>4900.5506249999999</v>
      </c>
      <c r="N145" s="116">
        <v>212.49</v>
      </c>
      <c r="O145" s="116">
        <f t="shared" si="17"/>
        <v>53.122500000000002</v>
      </c>
      <c r="P145" s="116">
        <f t="shared" si="18"/>
        <v>1633.516875</v>
      </c>
      <c r="Q145" s="116" t="s">
        <v>2589</v>
      </c>
      <c r="R145" s="116" t="s">
        <v>2622</v>
      </c>
      <c r="S145" s="116" t="str">
        <f t="shared" si="19"/>
        <v>OK - FECHA COM PLANILHA</v>
      </c>
      <c r="T145" s="116">
        <v>4900.55</v>
      </c>
      <c r="U145" s="122">
        <f t="shared" si="20"/>
        <v>6.2499999967258191E-4</v>
      </c>
    </row>
    <row r="146" spans="1:21" ht="63.75" x14ac:dyDescent="0.2">
      <c r="A146" s="120" t="s">
        <v>2623</v>
      </c>
      <c r="B146" s="114" t="s">
        <v>383</v>
      </c>
      <c r="C146" s="114" t="s">
        <v>384</v>
      </c>
      <c r="D146" s="114" t="s">
        <v>317</v>
      </c>
      <c r="E146" s="114" t="s">
        <v>1479</v>
      </c>
      <c r="F146" s="114" t="s">
        <v>342</v>
      </c>
      <c r="G146" s="115">
        <v>1.996</v>
      </c>
      <c r="H146" s="116">
        <v>187.16250000000002</v>
      </c>
      <c r="I146" s="121">
        <v>0.2223</v>
      </c>
      <c r="J146" s="116">
        <f t="shared" si="14"/>
        <v>41.602499999999964</v>
      </c>
      <c r="K146" s="116">
        <v>228.76499999999999</v>
      </c>
      <c r="L146" s="116">
        <f t="shared" si="15"/>
        <v>373.57635000000005</v>
      </c>
      <c r="M146" s="116">
        <f t="shared" si="16"/>
        <v>456.61493999999999</v>
      </c>
      <c r="N146" s="116">
        <v>305.02</v>
      </c>
      <c r="O146" s="116">
        <f t="shared" si="17"/>
        <v>76.254999999999995</v>
      </c>
      <c r="P146" s="116">
        <f t="shared" si="18"/>
        <v>152.20497999999998</v>
      </c>
      <c r="Q146" s="116" t="s">
        <v>2574</v>
      </c>
      <c r="R146" s="116" t="s">
        <v>2624</v>
      </c>
      <c r="S146" s="116" t="str">
        <f t="shared" si="19"/>
        <v>OK - FECHA COM PLANILHA</v>
      </c>
      <c r="T146" s="116">
        <v>456.61</v>
      </c>
      <c r="U146" s="122">
        <f t="shared" si="20"/>
        <v>4.9399999999764077E-3</v>
      </c>
    </row>
    <row r="147" spans="1:21" ht="63.75" x14ac:dyDescent="0.2">
      <c r="A147" s="120" t="s">
        <v>2625</v>
      </c>
      <c r="B147" s="114" t="s">
        <v>1480</v>
      </c>
      <c r="C147" s="114" t="s">
        <v>386</v>
      </c>
      <c r="D147" s="114" t="s">
        <v>317</v>
      </c>
      <c r="E147" s="114" t="s">
        <v>387</v>
      </c>
      <c r="F147" s="114" t="s">
        <v>342</v>
      </c>
      <c r="G147" s="115">
        <v>626.70600000000002</v>
      </c>
      <c r="H147" s="116">
        <v>42.442500000000003</v>
      </c>
      <c r="I147" s="121">
        <v>0.2223</v>
      </c>
      <c r="J147" s="116">
        <f t="shared" si="14"/>
        <v>9.4274999999999949</v>
      </c>
      <c r="K147" s="116">
        <v>51.87</v>
      </c>
      <c r="L147" s="116">
        <f t="shared" si="15"/>
        <v>26598.969405000003</v>
      </c>
      <c r="M147" s="116">
        <f t="shared" si="16"/>
        <v>32507.24022</v>
      </c>
      <c r="N147" s="116">
        <v>69.16</v>
      </c>
      <c r="O147" s="116">
        <f t="shared" si="17"/>
        <v>17.29</v>
      </c>
      <c r="P147" s="116">
        <f t="shared" si="18"/>
        <v>10835.746740000001</v>
      </c>
      <c r="Q147" s="116" t="s">
        <v>2574</v>
      </c>
      <c r="R147" s="116" t="s">
        <v>2626</v>
      </c>
      <c r="S147" s="116" t="str">
        <f t="shared" si="19"/>
        <v>OK - FECHA COM PLANILHA</v>
      </c>
      <c r="T147" s="116">
        <v>32507.24</v>
      </c>
      <c r="U147" s="122">
        <f t="shared" si="20"/>
        <v>2.1999999808031134E-4</v>
      </c>
    </row>
    <row r="148" spans="1:21" ht="63.75" x14ac:dyDescent="0.2">
      <c r="A148" s="120" t="s">
        <v>2627</v>
      </c>
      <c r="B148" s="114" t="s">
        <v>1481</v>
      </c>
      <c r="C148" s="114" t="s">
        <v>1482</v>
      </c>
      <c r="D148" s="114" t="s">
        <v>56</v>
      </c>
      <c r="E148" s="114" t="s">
        <v>388</v>
      </c>
      <c r="F148" s="114" t="s">
        <v>99</v>
      </c>
      <c r="G148" s="115">
        <v>73.102000000000004</v>
      </c>
      <c r="H148" s="116">
        <v>101.5275</v>
      </c>
      <c r="I148" s="121">
        <v>0.2223</v>
      </c>
      <c r="J148" s="116">
        <f t="shared" si="14"/>
        <v>22.567499999999995</v>
      </c>
      <c r="K148" s="116">
        <v>124.095</v>
      </c>
      <c r="L148" s="116">
        <f t="shared" si="15"/>
        <v>7421.8633050000008</v>
      </c>
      <c r="M148" s="116">
        <f t="shared" si="16"/>
        <v>9071.5926899999995</v>
      </c>
      <c r="N148" s="116">
        <v>165.46</v>
      </c>
      <c r="O148" s="116">
        <f t="shared" si="17"/>
        <v>41.365000000000009</v>
      </c>
      <c r="P148" s="116">
        <f t="shared" si="18"/>
        <v>3023.864230000001</v>
      </c>
      <c r="Q148" s="116" t="s">
        <v>2349</v>
      </c>
      <c r="R148" s="116" t="s">
        <v>2628</v>
      </c>
      <c r="S148" s="116" t="str">
        <f t="shared" si="19"/>
        <v>OK - FECHA COM PLANILHA</v>
      </c>
      <c r="T148" s="116">
        <v>9071.59</v>
      </c>
      <c r="U148" s="122">
        <f t="shared" si="20"/>
        <v>2.6899999993474921E-3</v>
      </c>
    </row>
    <row r="149" spans="1:21" ht="63.75" x14ac:dyDescent="0.2">
      <c r="A149" s="120" t="s">
        <v>2629</v>
      </c>
      <c r="B149" s="114" t="s">
        <v>1483</v>
      </c>
      <c r="C149" s="114" t="s">
        <v>1484</v>
      </c>
      <c r="D149" s="114" t="s">
        <v>335</v>
      </c>
      <c r="E149" s="114" t="s">
        <v>389</v>
      </c>
      <c r="F149" s="114" t="s">
        <v>99</v>
      </c>
      <c r="G149" s="115">
        <v>38.198999999999998</v>
      </c>
      <c r="H149" s="116">
        <v>25.125</v>
      </c>
      <c r="I149" s="121">
        <v>0.2223</v>
      </c>
      <c r="J149" s="116">
        <f t="shared" si="14"/>
        <v>5.5799999999999983</v>
      </c>
      <c r="K149" s="116">
        <v>30.704999999999998</v>
      </c>
      <c r="L149" s="116">
        <f t="shared" si="15"/>
        <v>959.74987499999997</v>
      </c>
      <c r="M149" s="116">
        <f t="shared" si="16"/>
        <v>1172.9002949999999</v>
      </c>
      <c r="N149" s="116">
        <v>40.94</v>
      </c>
      <c r="O149" s="116">
        <f t="shared" si="17"/>
        <v>10.234999999999999</v>
      </c>
      <c r="P149" s="116">
        <f t="shared" si="18"/>
        <v>390.96676499999995</v>
      </c>
      <c r="Q149" s="116" t="s">
        <v>2589</v>
      </c>
      <c r="R149" s="116" t="s">
        <v>2630</v>
      </c>
      <c r="S149" s="116" t="str">
        <f t="shared" si="19"/>
        <v>OK - FECHA COM PLANILHA</v>
      </c>
      <c r="T149" s="116">
        <v>1172.9000000000001</v>
      </c>
      <c r="U149" s="122">
        <f t="shared" si="20"/>
        <v>2.9499999982363079E-4</v>
      </c>
    </row>
    <row r="150" spans="1:21" ht="63.75" x14ac:dyDescent="0.2">
      <c r="A150" s="120" t="s">
        <v>2631</v>
      </c>
      <c r="B150" s="114" t="s">
        <v>392</v>
      </c>
      <c r="C150" s="114" t="s">
        <v>1485</v>
      </c>
      <c r="D150" s="114" t="s">
        <v>56</v>
      </c>
      <c r="E150" s="114" t="s">
        <v>1486</v>
      </c>
      <c r="F150" s="114" t="s">
        <v>26</v>
      </c>
      <c r="G150" s="115">
        <v>834.29499999999996</v>
      </c>
      <c r="H150" s="116">
        <v>73.710000000000008</v>
      </c>
      <c r="I150" s="121">
        <v>0.2223</v>
      </c>
      <c r="J150" s="116">
        <f t="shared" si="14"/>
        <v>16.379999999999995</v>
      </c>
      <c r="K150" s="116">
        <v>90.09</v>
      </c>
      <c r="L150" s="116">
        <f t="shared" si="15"/>
        <v>61495.884450000005</v>
      </c>
      <c r="M150" s="116">
        <f t="shared" si="16"/>
        <v>75161.636549999996</v>
      </c>
      <c r="N150" s="116">
        <v>120.12</v>
      </c>
      <c r="O150" s="116">
        <f t="shared" si="17"/>
        <v>30.03</v>
      </c>
      <c r="P150" s="116">
        <f t="shared" si="18"/>
        <v>25053.878850000001</v>
      </c>
      <c r="Q150" s="116" t="s">
        <v>2349</v>
      </c>
      <c r="R150" s="116" t="s">
        <v>2632</v>
      </c>
      <c r="S150" s="116" t="str">
        <f t="shared" si="19"/>
        <v>OK - FECHA COM PLANILHA</v>
      </c>
      <c r="T150" s="116">
        <v>75161.63</v>
      </c>
      <c r="U150" s="122">
        <f t="shared" si="20"/>
        <v>6.549999990966171E-3</v>
      </c>
    </row>
    <row r="151" spans="1:21" ht="63.75" x14ac:dyDescent="0.2">
      <c r="A151" s="120" t="s">
        <v>2633</v>
      </c>
      <c r="B151" s="114" t="s">
        <v>394</v>
      </c>
      <c r="C151" s="114" t="s">
        <v>1487</v>
      </c>
      <c r="D151" s="114" t="s">
        <v>56</v>
      </c>
      <c r="E151" s="114" t="s">
        <v>1488</v>
      </c>
      <c r="F151" s="114" t="s">
        <v>26</v>
      </c>
      <c r="G151" s="115">
        <v>766.25300000000004</v>
      </c>
      <c r="H151" s="116">
        <v>153.89999999999998</v>
      </c>
      <c r="I151" s="121">
        <v>0.2223</v>
      </c>
      <c r="J151" s="116">
        <f t="shared" si="14"/>
        <v>34.207500000000039</v>
      </c>
      <c r="K151" s="116">
        <v>188.10750000000002</v>
      </c>
      <c r="L151" s="116">
        <f t="shared" si="15"/>
        <v>117926.33669999999</v>
      </c>
      <c r="M151" s="116">
        <f t="shared" si="16"/>
        <v>144137.93619750001</v>
      </c>
      <c r="N151" s="116">
        <v>250.81</v>
      </c>
      <c r="O151" s="116">
        <f t="shared" si="17"/>
        <v>62.702499999999986</v>
      </c>
      <c r="P151" s="116">
        <f t="shared" si="18"/>
        <v>48045.978732499992</v>
      </c>
      <c r="Q151" s="116" t="s">
        <v>2349</v>
      </c>
      <c r="R151" s="116" t="s">
        <v>2634</v>
      </c>
      <c r="S151" s="116" t="str">
        <f t="shared" si="19"/>
        <v>OK - FECHA COM PLANILHA</v>
      </c>
      <c r="T151" s="116">
        <v>144137.93</v>
      </c>
      <c r="U151" s="122">
        <f t="shared" si="20"/>
        <v>6.1975000135134906E-3</v>
      </c>
    </row>
    <row r="152" spans="1:21" ht="63.75" x14ac:dyDescent="0.2">
      <c r="A152" s="120" t="s">
        <v>2635</v>
      </c>
      <c r="B152" s="114" t="s">
        <v>396</v>
      </c>
      <c r="C152" s="114" t="s">
        <v>1489</v>
      </c>
      <c r="D152" s="114" t="s">
        <v>56</v>
      </c>
      <c r="E152" s="114" t="s">
        <v>397</v>
      </c>
      <c r="F152" s="114" t="s">
        <v>26</v>
      </c>
      <c r="G152" s="115">
        <v>548.673</v>
      </c>
      <c r="H152" s="116">
        <v>60.382500000000007</v>
      </c>
      <c r="I152" s="121">
        <v>0.2223</v>
      </c>
      <c r="J152" s="116">
        <f t="shared" si="14"/>
        <v>13.417500000000004</v>
      </c>
      <c r="K152" s="116">
        <v>73.800000000000011</v>
      </c>
      <c r="L152" s="116">
        <f t="shared" si="15"/>
        <v>33130.247422500004</v>
      </c>
      <c r="M152" s="116">
        <f t="shared" si="16"/>
        <v>40492.067400000007</v>
      </c>
      <c r="N152" s="116">
        <v>98.4</v>
      </c>
      <c r="O152" s="116">
        <f t="shared" si="17"/>
        <v>24.599999999999994</v>
      </c>
      <c r="P152" s="116">
        <f t="shared" si="18"/>
        <v>13497.355799999998</v>
      </c>
      <c r="Q152" s="116" t="s">
        <v>2349</v>
      </c>
      <c r="R152" s="116" t="s">
        <v>2636</v>
      </c>
      <c r="S152" s="116" t="str">
        <f t="shared" si="19"/>
        <v>OK - FECHA COM PLANILHA</v>
      </c>
      <c r="T152" s="116">
        <v>40492.06</v>
      </c>
      <c r="U152" s="122">
        <f t="shared" si="20"/>
        <v>7.4000000095111318E-3</v>
      </c>
    </row>
    <row r="153" spans="1:21" ht="76.5" x14ac:dyDescent="0.2">
      <c r="A153" s="120" t="s">
        <v>2637</v>
      </c>
      <c r="B153" s="114" t="s">
        <v>398</v>
      </c>
      <c r="C153" s="114" t="s">
        <v>1490</v>
      </c>
      <c r="D153" s="114" t="s">
        <v>56</v>
      </c>
      <c r="E153" s="114" t="s">
        <v>399</v>
      </c>
      <c r="F153" s="114" t="s">
        <v>99</v>
      </c>
      <c r="G153" s="115">
        <v>202.65799999999999</v>
      </c>
      <c r="H153" s="116">
        <v>42.344999999999999</v>
      </c>
      <c r="I153" s="121">
        <v>0.2223</v>
      </c>
      <c r="J153" s="116">
        <f t="shared" si="14"/>
        <v>9.4125000000000085</v>
      </c>
      <c r="K153" s="116">
        <v>51.757500000000007</v>
      </c>
      <c r="L153" s="116">
        <f t="shared" si="15"/>
        <v>8581.5530099999996</v>
      </c>
      <c r="M153" s="116">
        <f t="shared" si="16"/>
        <v>10489.071435000002</v>
      </c>
      <c r="N153" s="116">
        <v>69.010000000000005</v>
      </c>
      <c r="O153" s="116">
        <f t="shared" si="17"/>
        <v>17.252499999999998</v>
      </c>
      <c r="P153" s="116">
        <f t="shared" si="18"/>
        <v>3496.3571449999995</v>
      </c>
      <c r="Q153" s="116" t="s">
        <v>2349</v>
      </c>
      <c r="R153" s="116" t="s">
        <v>2638</v>
      </c>
      <c r="S153" s="116" t="str">
        <f t="shared" si="19"/>
        <v>OK - FECHA COM PLANILHA</v>
      </c>
      <c r="T153" s="116">
        <v>10489.07</v>
      </c>
      <c r="U153" s="122">
        <f t="shared" si="20"/>
        <v>1.4350000019476283E-3</v>
      </c>
    </row>
    <row r="154" spans="1:21" ht="63.75" x14ac:dyDescent="0.2">
      <c r="A154" s="120" t="s">
        <v>2639</v>
      </c>
      <c r="B154" s="114" t="s">
        <v>400</v>
      </c>
      <c r="C154" s="114" t="s">
        <v>1491</v>
      </c>
      <c r="D154" s="114" t="s">
        <v>335</v>
      </c>
      <c r="E154" s="114" t="s">
        <v>401</v>
      </c>
      <c r="F154" s="114" t="s">
        <v>26</v>
      </c>
      <c r="G154" s="115">
        <v>483.697</v>
      </c>
      <c r="H154" s="116">
        <v>138.8175</v>
      </c>
      <c r="I154" s="121">
        <v>0.2223</v>
      </c>
      <c r="J154" s="116">
        <f t="shared" si="14"/>
        <v>30.85499999999999</v>
      </c>
      <c r="K154" s="116">
        <v>169.67249999999999</v>
      </c>
      <c r="L154" s="116">
        <f t="shared" si="15"/>
        <v>67145.608297500003</v>
      </c>
      <c r="M154" s="116">
        <f t="shared" si="16"/>
        <v>82070.079232499993</v>
      </c>
      <c r="N154" s="116">
        <v>226.23</v>
      </c>
      <c r="O154" s="116">
        <f t="shared" si="17"/>
        <v>56.557500000000005</v>
      </c>
      <c r="P154" s="116">
        <f t="shared" si="18"/>
        <v>27356.693077500004</v>
      </c>
      <c r="Q154" s="116" t="s">
        <v>2589</v>
      </c>
      <c r="R154" s="116" t="s">
        <v>2640</v>
      </c>
      <c r="S154" s="116" t="str">
        <f t="shared" si="19"/>
        <v>OK - FECHA COM PLANILHA</v>
      </c>
      <c r="T154" s="116">
        <v>82070.070000000007</v>
      </c>
      <c r="U154" s="122">
        <f t="shared" si="20"/>
        <v>9.2324999859556556E-3</v>
      </c>
    </row>
    <row r="155" spans="1:21" ht="63.75" x14ac:dyDescent="0.2">
      <c r="A155" s="120" t="s">
        <v>2641</v>
      </c>
      <c r="B155" s="114" t="s">
        <v>404</v>
      </c>
      <c r="C155" s="114" t="s">
        <v>1492</v>
      </c>
      <c r="D155" s="114" t="s">
        <v>56</v>
      </c>
      <c r="E155" s="114" t="s">
        <v>405</v>
      </c>
      <c r="F155" s="114" t="s">
        <v>99</v>
      </c>
      <c r="G155" s="115">
        <v>42.094999999999999</v>
      </c>
      <c r="H155" s="116">
        <v>110.17500000000001</v>
      </c>
      <c r="I155" s="121">
        <v>0.2223</v>
      </c>
      <c r="J155" s="116">
        <f t="shared" si="14"/>
        <v>24.487500000000011</v>
      </c>
      <c r="K155" s="116">
        <v>134.66250000000002</v>
      </c>
      <c r="L155" s="116">
        <f t="shared" si="15"/>
        <v>4637.8166250000004</v>
      </c>
      <c r="M155" s="116">
        <f t="shared" si="16"/>
        <v>5668.6179375000011</v>
      </c>
      <c r="N155" s="116">
        <v>179.55</v>
      </c>
      <c r="O155" s="116">
        <f t="shared" si="17"/>
        <v>44.887499999999989</v>
      </c>
      <c r="P155" s="116">
        <f t="shared" si="18"/>
        <v>1889.5393124999994</v>
      </c>
      <c r="Q155" s="116" t="s">
        <v>2349</v>
      </c>
      <c r="R155" s="116" t="s">
        <v>2642</v>
      </c>
      <c r="S155" s="116" t="str">
        <f t="shared" si="19"/>
        <v>OK - FECHA COM PLANILHA</v>
      </c>
      <c r="T155" s="116">
        <v>5668.61</v>
      </c>
      <c r="U155" s="122">
        <f t="shared" si="20"/>
        <v>7.9375000013897079E-3</v>
      </c>
    </row>
    <row r="156" spans="1:21" ht="63.75" x14ac:dyDescent="0.2">
      <c r="A156" s="120" t="s">
        <v>2643</v>
      </c>
      <c r="B156" s="114" t="s">
        <v>406</v>
      </c>
      <c r="C156" s="114" t="s">
        <v>1493</v>
      </c>
      <c r="D156" s="114" t="s">
        <v>56</v>
      </c>
      <c r="E156" s="114" t="s">
        <v>407</v>
      </c>
      <c r="F156" s="114" t="s">
        <v>99</v>
      </c>
      <c r="G156" s="115">
        <v>336.04300000000001</v>
      </c>
      <c r="H156" s="116">
        <v>132.03750000000002</v>
      </c>
      <c r="I156" s="121">
        <v>0.2223</v>
      </c>
      <c r="J156" s="116">
        <f t="shared" si="14"/>
        <v>29.347499999999968</v>
      </c>
      <c r="K156" s="116">
        <v>161.38499999999999</v>
      </c>
      <c r="L156" s="116">
        <f t="shared" si="15"/>
        <v>44370.277612500009</v>
      </c>
      <c r="M156" s="116">
        <f t="shared" si="16"/>
        <v>54232.299554999998</v>
      </c>
      <c r="N156" s="116">
        <v>215.18</v>
      </c>
      <c r="O156" s="116">
        <f t="shared" si="17"/>
        <v>53.795000000000016</v>
      </c>
      <c r="P156" s="116">
        <f t="shared" si="18"/>
        <v>18077.433185000005</v>
      </c>
      <c r="Q156" s="116" t="s">
        <v>2349</v>
      </c>
      <c r="R156" s="116" t="s">
        <v>2644</v>
      </c>
      <c r="S156" s="116" t="str">
        <f t="shared" si="19"/>
        <v>OK - FECHA COM PLANILHA</v>
      </c>
      <c r="T156" s="116">
        <v>54232.29</v>
      </c>
      <c r="U156" s="122">
        <f t="shared" si="20"/>
        <v>9.5549999969080091E-3</v>
      </c>
    </row>
    <row r="157" spans="1:21" ht="63.75" x14ac:dyDescent="0.2">
      <c r="A157" s="120" t="s">
        <v>2645</v>
      </c>
      <c r="B157" s="114" t="s">
        <v>408</v>
      </c>
      <c r="C157" s="114" t="s">
        <v>1494</v>
      </c>
      <c r="D157" s="114" t="s">
        <v>24</v>
      </c>
      <c r="E157" s="114" t="s">
        <v>410</v>
      </c>
      <c r="F157" s="114" t="s">
        <v>99</v>
      </c>
      <c r="G157" s="115">
        <v>230.05</v>
      </c>
      <c r="H157" s="116">
        <v>48.457499999999996</v>
      </c>
      <c r="I157" s="121">
        <v>0.2223</v>
      </c>
      <c r="J157" s="116">
        <f t="shared" si="14"/>
        <v>10.770000000000003</v>
      </c>
      <c r="K157" s="116">
        <v>59.227499999999999</v>
      </c>
      <c r="L157" s="116">
        <f t="shared" si="15"/>
        <v>11147.647874999999</v>
      </c>
      <c r="M157" s="116">
        <f t="shared" si="16"/>
        <v>13625.286375</v>
      </c>
      <c r="N157" s="116">
        <v>78.97</v>
      </c>
      <c r="O157" s="116">
        <f t="shared" si="17"/>
        <v>19.7425</v>
      </c>
      <c r="P157" s="116">
        <f t="shared" si="18"/>
        <v>4541.7621250000002</v>
      </c>
      <c r="Q157" s="116" t="s">
        <v>2332</v>
      </c>
      <c r="R157" s="116" t="s">
        <v>2646</v>
      </c>
      <c r="S157" s="116" t="str">
        <f t="shared" si="19"/>
        <v>OK - FECHA COM PLANILHA</v>
      </c>
      <c r="T157" s="116">
        <v>13625.28</v>
      </c>
      <c r="U157" s="122">
        <f t="shared" si="20"/>
        <v>6.3749999990250217E-3</v>
      </c>
    </row>
    <row r="158" spans="1:21" ht="63.75" x14ac:dyDescent="0.2">
      <c r="A158" s="120" t="s">
        <v>2647</v>
      </c>
      <c r="B158" s="114" t="s">
        <v>411</v>
      </c>
      <c r="C158" s="114" t="s">
        <v>1495</v>
      </c>
      <c r="D158" s="114" t="s">
        <v>56</v>
      </c>
      <c r="E158" s="114" t="s">
        <v>412</v>
      </c>
      <c r="F158" s="114" t="s">
        <v>118</v>
      </c>
      <c r="G158" s="115">
        <v>0.69399999999999995</v>
      </c>
      <c r="H158" s="116">
        <v>1274.8274999999999</v>
      </c>
      <c r="I158" s="121">
        <v>0.2223</v>
      </c>
      <c r="J158" s="116">
        <f t="shared" si="14"/>
        <v>283.38750000000005</v>
      </c>
      <c r="K158" s="116">
        <v>1558.2149999999999</v>
      </c>
      <c r="L158" s="116">
        <f t="shared" si="15"/>
        <v>884.73028499999987</v>
      </c>
      <c r="M158" s="116">
        <f t="shared" si="16"/>
        <v>1081.4012099999998</v>
      </c>
      <c r="N158" s="116">
        <v>2077.62</v>
      </c>
      <c r="O158" s="116">
        <f t="shared" si="17"/>
        <v>519.40499999999997</v>
      </c>
      <c r="P158" s="116">
        <f t="shared" si="18"/>
        <v>360.46706999999998</v>
      </c>
      <c r="Q158" s="116" t="s">
        <v>2349</v>
      </c>
      <c r="R158" s="116" t="s">
        <v>2648</v>
      </c>
      <c r="S158" s="116" t="str">
        <f t="shared" si="19"/>
        <v>OK - FECHA COM PLANILHA</v>
      </c>
      <c r="T158" s="116">
        <v>1081.4000000000001</v>
      </c>
      <c r="U158" s="122">
        <f t="shared" si="20"/>
        <v>1.2099999996735278E-3</v>
      </c>
    </row>
    <row r="159" spans="1:21" ht="63.75" x14ac:dyDescent="0.2">
      <c r="A159" s="120" t="s">
        <v>2649</v>
      </c>
      <c r="B159" s="114" t="s">
        <v>416</v>
      </c>
      <c r="C159" s="114" t="s">
        <v>1496</v>
      </c>
      <c r="D159" s="114" t="s">
        <v>56</v>
      </c>
      <c r="E159" s="114" t="s">
        <v>1497</v>
      </c>
      <c r="F159" s="114" t="s">
        <v>26</v>
      </c>
      <c r="G159" s="115">
        <v>3376.1179999999999</v>
      </c>
      <c r="H159" s="116">
        <v>4.0724999999999998</v>
      </c>
      <c r="I159" s="121">
        <v>0.2223</v>
      </c>
      <c r="J159" s="116">
        <f t="shared" si="14"/>
        <v>0.90000000000000036</v>
      </c>
      <c r="K159" s="116">
        <v>4.9725000000000001</v>
      </c>
      <c r="L159" s="116">
        <f t="shared" si="15"/>
        <v>13749.240554999998</v>
      </c>
      <c r="M159" s="116">
        <f t="shared" si="16"/>
        <v>16787.746755</v>
      </c>
      <c r="N159" s="116">
        <v>6.63</v>
      </c>
      <c r="O159" s="116">
        <f t="shared" si="17"/>
        <v>1.6574999999999998</v>
      </c>
      <c r="P159" s="116">
        <f t="shared" si="18"/>
        <v>5595.9155849999988</v>
      </c>
      <c r="Q159" s="116" t="s">
        <v>2349</v>
      </c>
      <c r="R159" s="116" t="s">
        <v>2650</v>
      </c>
      <c r="S159" s="116" t="str">
        <f t="shared" si="19"/>
        <v>OK - FECHA COM PLANILHA</v>
      </c>
      <c r="T159" s="116">
        <v>16787.740000000002</v>
      </c>
      <c r="U159" s="122">
        <f t="shared" si="20"/>
        <v>6.7549999985203613E-3</v>
      </c>
    </row>
    <row r="160" spans="1:21" ht="63.75" x14ac:dyDescent="0.2">
      <c r="A160" s="120" t="s">
        <v>2651</v>
      </c>
      <c r="B160" s="114" t="s">
        <v>418</v>
      </c>
      <c r="C160" s="114" t="s">
        <v>1498</v>
      </c>
      <c r="D160" s="114" t="s">
        <v>56</v>
      </c>
      <c r="E160" s="114" t="s">
        <v>419</v>
      </c>
      <c r="F160" s="114" t="s">
        <v>26</v>
      </c>
      <c r="G160" s="115">
        <v>2257.8420000000001</v>
      </c>
      <c r="H160" s="116">
        <v>18.037500000000001</v>
      </c>
      <c r="I160" s="121">
        <v>0.2223</v>
      </c>
      <c r="J160" s="116">
        <f t="shared" si="14"/>
        <v>4.004999999999999</v>
      </c>
      <c r="K160" s="116">
        <v>22.0425</v>
      </c>
      <c r="L160" s="116">
        <f t="shared" si="15"/>
        <v>40725.825075000008</v>
      </c>
      <c r="M160" s="116">
        <f t="shared" si="16"/>
        <v>49768.482285000006</v>
      </c>
      <c r="N160" s="116">
        <v>29.39</v>
      </c>
      <c r="O160" s="116">
        <f t="shared" si="17"/>
        <v>7.3475000000000001</v>
      </c>
      <c r="P160" s="116">
        <f t="shared" si="18"/>
        <v>16589.494095000002</v>
      </c>
      <c r="Q160" s="116" t="s">
        <v>2349</v>
      </c>
      <c r="R160" s="116" t="s">
        <v>2652</v>
      </c>
      <c r="S160" s="116" t="str">
        <f t="shared" si="19"/>
        <v>OK - FECHA COM PLANILHA</v>
      </c>
      <c r="T160" s="116">
        <v>49768.480000000003</v>
      </c>
      <c r="U160" s="122">
        <f t="shared" si="20"/>
        <v>2.2850000023026951E-3</v>
      </c>
    </row>
    <row r="161" spans="1:21" ht="63.75" x14ac:dyDescent="0.2">
      <c r="A161" s="120" t="s">
        <v>2653</v>
      </c>
      <c r="B161" s="114" t="s">
        <v>420</v>
      </c>
      <c r="C161" s="114" t="s">
        <v>1499</v>
      </c>
      <c r="D161" s="114" t="s">
        <v>56</v>
      </c>
      <c r="E161" s="114" t="s">
        <v>1500</v>
      </c>
      <c r="F161" s="114" t="s">
        <v>26</v>
      </c>
      <c r="G161" s="115">
        <v>2257.8420000000001</v>
      </c>
      <c r="H161" s="116">
        <v>12.375</v>
      </c>
      <c r="I161" s="121">
        <v>0.2223</v>
      </c>
      <c r="J161" s="116">
        <f t="shared" si="14"/>
        <v>2.745000000000001</v>
      </c>
      <c r="K161" s="116">
        <v>15.120000000000001</v>
      </c>
      <c r="L161" s="116">
        <f t="shared" si="15"/>
        <v>27940.794750000001</v>
      </c>
      <c r="M161" s="116">
        <f t="shared" si="16"/>
        <v>34138.571040000003</v>
      </c>
      <c r="N161" s="116">
        <v>20.16</v>
      </c>
      <c r="O161" s="116">
        <f t="shared" si="17"/>
        <v>5.0399999999999991</v>
      </c>
      <c r="P161" s="116">
        <f t="shared" si="18"/>
        <v>11379.523679999998</v>
      </c>
      <c r="Q161" s="116" t="s">
        <v>2349</v>
      </c>
      <c r="R161" s="116" t="s">
        <v>2654</v>
      </c>
      <c r="S161" s="116" t="str">
        <f t="shared" si="19"/>
        <v>OK - FECHA COM PLANILHA</v>
      </c>
      <c r="T161" s="116">
        <v>34138.57</v>
      </c>
      <c r="U161" s="122">
        <f t="shared" si="20"/>
        <v>1.0400000028312206E-3</v>
      </c>
    </row>
    <row r="162" spans="1:21" ht="63.75" x14ac:dyDescent="0.2">
      <c r="A162" s="120" t="s">
        <v>2655</v>
      </c>
      <c r="B162" s="114" t="s">
        <v>424</v>
      </c>
      <c r="C162" s="114" t="s">
        <v>1501</v>
      </c>
      <c r="D162" s="114" t="s">
        <v>56</v>
      </c>
      <c r="E162" s="114" t="s">
        <v>425</v>
      </c>
      <c r="F162" s="114" t="s">
        <v>26</v>
      </c>
      <c r="G162" s="115">
        <v>39.978999999999999</v>
      </c>
      <c r="H162" s="116">
        <v>10.23</v>
      </c>
      <c r="I162" s="121">
        <v>0.2223</v>
      </c>
      <c r="J162" s="116">
        <f t="shared" si="14"/>
        <v>2.2725000000000009</v>
      </c>
      <c r="K162" s="116">
        <v>12.502500000000001</v>
      </c>
      <c r="L162" s="116">
        <f t="shared" si="15"/>
        <v>408.98516999999998</v>
      </c>
      <c r="M162" s="116">
        <f t="shared" si="16"/>
        <v>499.83744750000005</v>
      </c>
      <c r="N162" s="116">
        <v>16.670000000000002</v>
      </c>
      <c r="O162" s="116">
        <f t="shared" si="17"/>
        <v>4.1675000000000004</v>
      </c>
      <c r="P162" s="116">
        <f t="shared" si="18"/>
        <v>166.61248250000003</v>
      </c>
      <c r="Q162" s="116" t="s">
        <v>2349</v>
      </c>
      <c r="R162" s="116" t="s">
        <v>2656</v>
      </c>
      <c r="S162" s="116" t="str">
        <f t="shared" si="19"/>
        <v>OK - FECHA COM PLANILHA</v>
      </c>
      <c r="T162" s="116">
        <v>499.83</v>
      </c>
      <c r="U162" s="122">
        <f t="shared" si="20"/>
        <v>7.4475000000688851E-3</v>
      </c>
    </row>
    <row r="163" spans="1:21" ht="63.75" x14ac:dyDescent="0.2">
      <c r="A163" s="120" t="s">
        <v>2657</v>
      </c>
      <c r="B163" s="114" t="s">
        <v>426</v>
      </c>
      <c r="C163" s="114" t="s">
        <v>1502</v>
      </c>
      <c r="D163" s="114" t="s">
        <v>56</v>
      </c>
      <c r="E163" s="114" t="s">
        <v>427</v>
      </c>
      <c r="F163" s="114" t="s">
        <v>26</v>
      </c>
      <c r="G163" s="115">
        <v>1359.8</v>
      </c>
      <c r="H163" s="116">
        <v>11.22</v>
      </c>
      <c r="I163" s="121">
        <v>0.2223</v>
      </c>
      <c r="J163" s="116">
        <f t="shared" si="14"/>
        <v>2.4900000000000002</v>
      </c>
      <c r="K163" s="116">
        <v>13.71</v>
      </c>
      <c r="L163" s="116">
        <f t="shared" si="15"/>
        <v>15256.956</v>
      </c>
      <c r="M163" s="116">
        <f t="shared" si="16"/>
        <v>18642.858</v>
      </c>
      <c r="N163" s="116">
        <v>18.28</v>
      </c>
      <c r="O163" s="116">
        <f t="shared" si="17"/>
        <v>4.57</v>
      </c>
      <c r="P163" s="116">
        <f t="shared" si="18"/>
        <v>6214.2860000000001</v>
      </c>
      <c r="Q163" s="116" t="s">
        <v>2349</v>
      </c>
      <c r="R163" s="116" t="s">
        <v>2658</v>
      </c>
      <c r="S163" s="116" t="str">
        <f t="shared" si="19"/>
        <v>OK - FECHA COM PLANILHA</v>
      </c>
      <c r="T163" s="116">
        <v>18642.849999999999</v>
      </c>
      <c r="U163" s="122">
        <f t="shared" si="20"/>
        <v>8.0000000016298145E-3</v>
      </c>
    </row>
    <row r="164" spans="1:21" ht="63.75" x14ac:dyDescent="0.2">
      <c r="A164" s="120" t="s">
        <v>2659</v>
      </c>
      <c r="B164" s="114" t="s">
        <v>428</v>
      </c>
      <c r="C164" s="114" t="s">
        <v>1503</v>
      </c>
      <c r="D164" s="114" t="s">
        <v>56</v>
      </c>
      <c r="E164" s="114" t="s">
        <v>429</v>
      </c>
      <c r="F164" s="114" t="s">
        <v>26</v>
      </c>
      <c r="G164" s="115">
        <v>1359.8</v>
      </c>
      <c r="H164" s="116">
        <v>50.662499999999994</v>
      </c>
      <c r="I164" s="121">
        <v>0.2223</v>
      </c>
      <c r="J164" s="116">
        <f t="shared" si="14"/>
        <v>11.257500000000007</v>
      </c>
      <c r="K164" s="116">
        <v>61.92</v>
      </c>
      <c r="L164" s="116">
        <f t="shared" si="15"/>
        <v>68890.867499999993</v>
      </c>
      <c r="M164" s="116">
        <f t="shared" si="16"/>
        <v>84198.816000000006</v>
      </c>
      <c r="N164" s="116">
        <v>82.56</v>
      </c>
      <c r="O164" s="116">
        <f t="shared" si="17"/>
        <v>20.64</v>
      </c>
      <c r="P164" s="116">
        <f t="shared" si="18"/>
        <v>28066.272000000001</v>
      </c>
      <c r="Q164" s="116" t="s">
        <v>2349</v>
      </c>
      <c r="R164" s="116" t="s">
        <v>2660</v>
      </c>
      <c r="S164" s="116" t="str">
        <f t="shared" si="19"/>
        <v>OK - FECHA COM PLANILHA</v>
      </c>
      <c r="T164" s="116">
        <v>84198.81</v>
      </c>
      <c r="U164" s="122">
        <f t="shared" si="20"/>
        <v>6.0000000084983185E-3</v>
      </c>
    </row>
    <row r="165" spans="1:21" ht="63.75" x14ac:dyDescent="0.2">
      <c r="A165" s="120" t="s">
        <v>2661</v>
      </c>
      <c r="B165" s="114" t="s">
        <v>430</v>
      </c>
      <c r="C165" s="114" t="s">
        <v>431</v>
      </c>
      <c r="D165" s="114" t="s">
        <v>24</v>
      </c>
      <c r="E165" s="114" t="s">
        <v>432</v>
      </c>
      <c r="F165" s="114" t="s">
        <v>180</v>
      </c>
      <c r="G165" s="115">
        <v>940.67200000000003</v>
      </c>
      <c r="H165" s="116">
        <v>11.25</v>
      </c>
      <c r="I165" s="121">
        <v>0.2223</v>
      </c>
      <c r="J165" s="116">
        <f t="shared" si="14"/>
        <v>2.4974999999999987</v>
      </c>
      <c r="K165" s="116">
        <v>13.747499999999999</v>
      </c>
      <c r="L165" s="116">
        <f t="shared" si="15"/>
        <v>10582.56</v>
      </c>
      <c r="M165" s="116">
        <f t="shared" si="16"/>
        <v>12931.88832</v>
      </c>
      <c r="N165" s="116">
        <v>18.329999999999998</v>
      </c>
      <c r="O165" s="116">
        <f t="shared" si="17"/>
        <v>4.5824999999999996</v>
      </c>
      <c r="P165" s="116">
        <f t="shared" si="18"/>
        <v>4310.6294399999997</v>
      </c>
      <c r="Q165" s="116" t="s">
        <v>2332</v>
      </c>
      <c r="R165" s="116" t="s">
        <v>2662</v>
      </c>
      <c r="S165" s="116" t="str">
        <f t="shared" si="19"/>
        <v>OK - FECHA COM PLANILHA</v>
      </c>
      <c r="T165" s="116">
        <v>12931.88</v>
      </c>
      <c r="U165" s="122">
        <f t="shared" si="20"/>
        <v>8.3200000008218922E-3</v>
      </c>
    </row>
    <row r="166" spans="1:21" ht="63.75" x14ac:dyDescent="0.2">
      <c r="A166" s="120" t="s">
        <v>2663</v>
      </c>
      <c r="B166" s="114" t="s">
        <v>435</v>
      </c>
      <c r="C166" s="114" t="s">
        <v>1504</v>
      </c>
      <c r="D166" s="114" t="s">
        <v>56</v>
      </c>
      <c r="E166" s="114" t="s">
        <v>436</v>
      </c>
      <c r="F166" s="114" t="s">
        <v>99</v>
      </c>
      <c r="G166" s="115">
        <v>374.10399999999998</v>
      </c>
      <c r="H166" s="116">
        <v>6.4875000000000007</v>
      </c>
      <c r="I166" s="121">
        <v>0.2223</v>
      </c>
      <c r="J166" s="116">
        <f t="shared" si="14"/>
        <v>1.4399999999999995</v>
      </c>
      <c r="K166" s="116">
        <v>7.9275000000000002</v>
      </c>
      <c r="L166" s="116">
        <f t="shared" si="15"/>
        <v>2426.9997000000003</v>
      </c>
      <c r="M166" s="116">
        <f t="shared" si="16"/>
        <v>2965.70946</v>
      </c>
      <c r="N166" s="116">
        <v>10.57</v>
      </c>
      <c r="O166" s="116">
        <f t="shared" si="17"/>
        <v>2.6425000000000001</v>
      </c>
      <c r="P166" s="116">
        <f t="shared" si="18"/>
        <v>988.56981999999994</v>
      </c>
      <c r="Q166" s="116" t="s">
        <v>2349</v>
      </c>
      <c r="R166" s="116" t="s">
        <v>2664</v>
      </c>
      <c r="S166" s="116" t="str">
        <f t="shared" si="19"/>
        <v>OK - FECHA COM PLANILHA</v>
      </c>
      <c r="T166" s="116">
        <v>2965.7</v>
      </c>
      <c r="U166" s="122">
        <f t="shared" si="20"/>
        <v>9.4600000002174056E-3</v>
      </c>
    </row>
    <row r="167" spans="1:21" ht="63.75" x14ac:dyDescent="0.2">
      <c r="A167" s="120" t="s">
        <v>2665</v>
      </c>
      <c r="B167" s="114" t="s">
        <v>437</v>
      </c>
      <c r="C167" s="114" t="s">
        <v>1505</v>
      </c>
      <c r="D167" s="114" t="s">
        <v>56</v>
      </c>
      <c r="E167" s="114" t="s">
        <v>438</v>
      </c>
      <c r="F167" s="114" t="s">
        <v>26</v>
      </c>
      <c r="G167" s="115">
        <v>73.769000000000005</v>
      </c>
      <c r="H167" s="116">
        <v>20.325000000000003</v>
      </c>
      <c r="I167" s="121">
        <v>0.2223</v>
      </c>
      <c r="J167" s="116">
        <f t="shared" si="14"/>
        <v>4.5149999999999935</v>
      </c>
      <c r="K167" s="116">
        <v>24.839999999999996</v>
      </c>
      <c r="L167" s="116">
        <f t="shared" si="15"/>
        <v>1499.3549250000003</v>
      </c>
      <c r="M167" s="116">
        <f t="shared" si="16"/>
        <v>1832.4219599999999</v>
      </c>
      <c r="N167" s="116">
        <v>33.119999999999997</v>
      </c>
      <c r="O167" s="116">
        <f t="shared" si="17"/>
        <v>8.2800000000000011</v>
      </c>
      <c r="P167" s="116">
        <f t="shared" si="18"/>
        <v>610.80732000000012</v>
      </c>
      <c r="Q167" s="116" t="s">
        <v>2349</v>
      </c>
      <c r="R167" s="116" t="s">
        <v>2666</v>
      </c>
      <c r="S167" s="116" t="str">
        <f t="shared" si="19"/>
        <v>OK - FECHA COM PLANILHA</v>
      </c>
      <c r="T167" s="116">
        <v>1832.42</v>
      </c>
      <c r="U167" s="122">
        <f t="shared" si="20"/>
        <v>1.9599999998263229E-3</v>
      </c>
    </row>
    <row r="168" spans="1:21" ht="63.75" x14ac:dyDescent="0.2">
      <c r="A168" s="120" t="s">
        <v>2667</v>
      </c>
      <c r="B168" s="114" t="s">
        <v>441</v>
      </c>
      <c r="C168" s="114" t="s">
        <v>1506</v>
      </c>
      <c r="D168" s="114" t="s">
        <v>56</v>
      </c>
      <c r="E168" s="114" t="s">
        <v>1507</v>
      </c>
      <c r="F168" s="114" t="s">
        <v>26</v>
      </c>
      <c r="G168" s="115">
        <v>29.904</v>
      </c>
      <c r="H168" s="116">
        <v>5.0999999999999996</v>
      </c>
      <c r="I168" s="121">
        <v>0.2223</v>
      </c>
      <c r="J168" s="116">
        <f t="shared" si="14"/>
        <v>1.1325000000000003</v>
      </c>
      <c r="K168" s="116">
        <v>6.2324999999999999</v>
      </c>
      <c r="L168" s="116">
        <f t="shared" si="15"/>
        <v>152.51039999999998</v>
      </c>
      <c r="M168" s="116">
        <f t="shared" si="16"/>
        <v>186.37667999999999</v>
      </c>
      <c r="N168" s="116">
        <v>8.31</v>
      </c>
      <c r="O168" s="116">
        <f t="shared" si="17"/>
        <v>2.0775000000000006</v>
      </c>
      <c r="P168" s="116">
        <f t="shared" si="18"/>
        <v>62.125560000000014</v>
      </c>
      <c r="Q168" s="116" t="s">
        <v>2349</v>
      </c>
      <c r="R168" s="116" t="s">
        <v>2668</v>
      </c>
      <c r="S168" s="116" t="str">
        <f t="shared" si="19"/>
        <v>OK - FECHA COM PLANILHA</v>
      </c>
      <c r="T168" s="116">
        <v>186.37</v>
      </c>
      <c r="U168" s="122">
        <f t="shared" si="20"/>
        <v>6.679999999988695E-3</v>
      </c>
    </row>
    <row r="169" spans="1:21" ht="63.75" x14ac:dyDescent="0.2">
      <c r="A169" s="120" t="s">
        <v>2669</v>
      </c>
      <c r="B169" s="114" t="s">
        <v>443</v>
      </c>
      <c r="C169" s="114" t="s">
        <v>1508</v>
      </c>
      <c r="D169" s="114" t="s">
        <v>56</v>
      </c>
      <c r="E169" s="114" t="s">
        <v>1509</v>
      </c>
      <c r="F169" s="114" t="s">
        <v>26</v>
      </c>
      <c r="G169" s="115">
        <v>29.904</v>
      </c>
      <c r="H169" s="116">
        <v>33.06</v>
      </c>
      <c r="I169" s="121">
        <v>0.2223</v>
      </c>
      <c r="J169" s="116">
        <f t="shared" si="14"/>
        <v>7.342499999999994</v>
      </c>
      <c r="K169" s="116">
        <v>40.402499999999996</v>
      </c>
      <c r="L169" s="116">
        <f t="shared" si="15"/>
        <v>988.62624000000005</v>
      </c>
      <c r="M169" s="116">
        <f t="shared" si="16"/>
        <v>1208.1963599999999</v>
      </c>
      <c r="N169" s="116">
        <v>53.87</v>
      </c>
      <c r="O169" s="116">
        <f t="shared" si="17"/>
        <v>13.467500000000001</v>
      </c>
      <c r="P169" s="116">
        <f t="shared" si="18"/>
        <v>402.73212000000001</v>
      </c>
      <c r="Q169" s="116" t="s">
        <v>2349</v>
      </c>
      <c r="R169" s="116" t="s">
        <v>2670</v>
      </c>
      <c r="S169" s="116" t="str">
        <f t="shared" si="19"/>
        <v>OK - FECHA COM PLANILHA</v>
      </c>
      <c r="T169" s="116">
        <v>1208.19</v>
      </c>
      <c r="U169" s="122">
        <f t="shared" si="20"/>
        <v>6.3599999998587009E-3</v>
      </c>
    </row>
    <row r="170" spans="1:21" ht="63.75" x14ac:dyDescent="0.2">
      <c r="A170" s="120" t="s">
        <v>2671</v>
      </c>
      <c r="B170" s="114" t="s">
        <v>445</v>
      </c>
      <c r="C170" s="114" t="s">
        <v>1510</v>
      </c>
      <c r="D170" s="114" t="s">
        <v>56</v>
      </c>
      <c r="E170" s="114" t="s">
        <v>446</v>
      </c>
      <c r="F170" s="114" t="s">
        <v>26</v>
      </c>
      <c r="G170" s="115">
        <v>29.904</v>
      </c>
      <c r="H170" s="116">
        <v>14.895</v>
      </c>
      <c r="I170" s="121">
        <v>0.2223</v>
      </c>
      <c r="J170" s="116">
        <f t="shared" si="14"/>
        <v>3.307500000000001</v>
      </c>
      <c r="K170" s="116">
        <v>18.202500000000001</v>
      </c>
      <c r="L170" s="116">
        <f t="shared" si="15"/>
        <v>445.42007999999998</v>
      </c>
      <c r="M170" s="116">
        <f t="shared" si="16"/>
        <v>544.32756000000006</v>
      </c>
      <c r="N170" s="116">
        <v>24.27</v>
      </c>
      <c r="O170" s="116">
        <f t="shared" si="17"/>
        <v>6.067499999999999</v>
      </c>
      <c r="P170" s="116">
        <f t="shared" si="18"/>
        <v>181.44251999999997</v>
      </c>
      <c r="Q170" s="116" t="s">
        <v>2349</v>
      </c>
      <c r="R170" s="116" t="s">
        <v>2672</v>
      </c>
      <c r="S170" s="116" t="str">
        <f t="shared" si="19"/>
        <v>OK - FECHA COM PLANILHA</v>
      </c>
      <c r="T170" s="116">
        <v>544.32000000000005</v>
      </c>
      <c r="U170" s="122">
        <f t="shared" si="20"/>
        <v>7.5600000000122236E-3</v>
      </c>
    </row>
    <row r="171" spans="1:21" ht="76.5" x14ac:dyDescent="0.2">
      <c r="A171" s="120" t="s">
        <v>2673</v>
      </c>
      <c r="B171" s="114" t="s">
        <v>450</v>
      </c>
      <c r="C171" s="114" t="s">
        <v>1511</v>
      </c>
      <c r="D171" s="114" t="s">
        <v>56</v>
      </c>
      <c r="E171" s="114" t="s">
        <v>451</v>
      </c>
      <c r="F171" s="114" t="s">
        <v>84</v>
      </c>
      <c r="G171" s="115">
        <v>26</v>
      </c>
      <c r="H171" s="116">
        <v>740.51250000000005</v>
      </c>
      <c r="I171" s="121">
        <v>0.2223</v>
      </c>
      <c r="J171" s="116">
        <f t="shared" si="14"/>
        <v>164.6099999999999</v>
      </c>
      <c r="K171" s="116">
        <v>905.12249999999995</v>
      </c>
      <c r="L171" s="116">
        <f t="shared" si="15"/>
        <v>19253.325000000001</v>
      </c>
      <c r="M171" s="116">
        <f t="shared" si="16"/>
        <v>23533.184999999998</v>
      </c>
      <c r="N171" s="116">
        <v>1206.83</v>
      </c>
      <c r="O171" s="116">
        <f t="shared" si="17"/>
        <v>301.70749999999998</v>
      </c>
      <c r="P171" s="116">
        <f t="shared" si="18"/>
        <v>7844.3949999999995</v>
      </c>
      <c r="Q171" s="116" t="s">
        <v>2349</v>
      </c>
      <c r="R171" s="116" t="s">
        <v>2674</v>
      </c>
      <c r="S171" s="116" t="str">
        <f t="shared" si="19"/>
        <v>OK - FECHA COM PLANILHA</v>
      </c>
      <c r="T171" s="116">
        <v>23533.18</v>
      </c>
      <c r="U171" s="122">
        <f t="shared" si="20"/>
        <v>4.9999999973806553E-3</v>
      </c>
    </row>
    <row r="172" spans="1:21" ht="76.5" x14ac:dyDescent="0.2">
      <c r="A172" s="120" t="s">
        <v>2675</v>
      </c>
      <c r="B172" s="114" t="s">
        <v>452</v>
      </c>
      <c r="C172" s="114" t="s">
        <v>1512</v>
      </c>
      <c r="D172" s="114" t="s">
        <v>56</v>
      </c>
      <c r="E172" s="114" t="s">
        <v>453</v>
      </c>
      <c r="F172" s="114" t="s">
        <v>84</v>
      </c>
      <c r="G172" s="115">
        <v>2</v>
      </c>
      <c r="H172" s="116">
        <v>913.29</v>
      </c>
      <c r="I172" s="121">
        <v>0.2223</v>
      </c>
      <c r="J172" s="116">
        <f t="shared" si="14"/>
        <v>203.01750000000015</v>
      </c>
      <c r="K172" s="116">
        <v>1116.3075000000001</v>
      </c>
      <c r="L172" s="116">
        <f t="shared" si="15"/>
        <v>1826.58</v>
      </c>
      <c r="M172" s="116">
        <f t="shared" si="16"/>
        <v>2232.6150000000002</v>
      </c>
      <c r="N172" s="116">
        <v>1488.41</v>
      </c>
      <c r="O172" s="116">
        <f t="shared" si="17"/>
        <v>372.10249999999996</v>
      </c>
      <c r="P172" s="116">
        <f t="shared" si="18"/>
        <v>744.20499999999993</v>
      </c>
      <c r="Q172" s="116" t="s">
        <v>2349</v>
      </c>
      <c r="R172" s="116" t="s">
        <v>2676</v>
      </c>
      <c r="S172" s="116" t="str">
        <f t="shared" si="19"/>
        <v>OK - FECHA COM PLANILHA</v>
      </c>
      <c r="T172" s="116">
        <v>2232.61</v>
      </c>
      <c r="U172" s="122">
        <f t="shared" si="20"/>
        <v>5.0000000001091394E-3</v>
      </c>
    </row>
    <row r="173" spans="1:21" ht="63.75" x14ac:dyDescent="0.2">
      <c r="A173" s="120" t="s">
        <v>2677</v>
      </c>
      <c r="B173" s="114" t="s">
        <v>454</v>
      </c>
      <c r="C173" s="114" t="s">
        <v>1513</v>
      </c>
      <c r="D173" s="114" t="s">
        <v>335</v>
      </c>
      <c r="E173" s="114" t="s">
        <v>455</v>
      </c>
      <c r="F173" s="114" t="s">
        <v>84</v>
      </c>
      <c r="G173" s="115">
        <v>11</v>
      </c>
      <c r="H173" s="116">
        <v>2082.5025000000001</v>
      </c>
      <c r="I173" s="121">
        <v>0.2223</v>
      </c>
      <c r="J173" s="116">
        <f t="shared" si="14"/>
        <v>462.9375</v>
      </c>
      <c r="K173" s="116">
        <v>2545.44</v>
      </c>
      <c r="L173" s="116">
        <f t="shared" si="15"/>
        <v>22907.5275</v>
      </c>
      <c r="M173" s="116">
        <f t="shared" si="16"/>
        <v>27999.84</v>
      </c>
      <c r="N173" s="116">
        <v>3393.92</v>
      </c>
      <c r="O173" s="116">
        <f t="shared" si="17"/>
        <v>848.48</v>
      </c>
      <c r="P173" s="116">
        <f t="shared" si="18"/>
        <v>9333.2800000000007</v>
      </c>
      <c r="Q173" s="116" t="s">
        <v>2589</v>
      </c>
      <c r="R173" s="116" t="s">
        <v>2678</v>
      </c>
      <c r="S173" s="116" t="str">
        <f t="shared" si="19"/>
        <v>OK - FECHA COM PLANILHA</v>
      </c>
      <c r="T173" s="116">
        <v>27999.84</v>
      </c>
      <c r="U173" s="122">
        <f t="shared" si="20"/>
        <v>0</v>
      </c>
    </row>
    <row r="174" spans="1:21" ht="63.75" x14ac:dyDescent="0.2">
      <c r="A174" s="120" t="s">
        <v>2679</v>
      </c>
      <c r="B174" s="114" t="s">
        <v>456</v>
      </c>
      <c r="C174" s="114" t="s">
        <v>457</v>
      </c>
      <c r="D174" s="114" t="s">
        <v>209</v>
      </c>
      <c r="E174" s="114" t="s">
        <v>458</v>
      </c>
      <c r="F174" s="114" t="s">
        <v>84</v>
      </c>
      <c r="G174" s="115">
        <v>11</v>
      </c>
      <c r="H174" s="116">
        <v>2009.73</v>
      </c>
      <c r="I174" s="121">
        <v>0.2223</v>
      </c>
      <c r="J174" s="116">
        <f t="shared" si="14"/>
        <v>446.76000000000022</v>
      </c>
      <c r="K174" s="116">
        <v>2456.4900000000002</v>
      </c>
      <c r="L174" s="116">
        <f t="shared" si="15"/>
        <v>22107.03</v>
      </c>
      <c r="M174" s="116">
        <f t="shared" si="16"/>
        <v>27021.390000000003</v>
      </c>
      <c r="N174" s="116">
        <v>3275.32</v>
      </c>
      <c r="O174" s="116">
        <f t="shared" si="17"/>
        <v>818.82999999999993</v>
      </c>
      <c r="P174" s="116">
        <f t="shared" si="18"/>
        <v>9007.1299999999992</v>
      </c>
      <c r="Q174" s="116" t="s">
        <v>2458</v>
      </c>
      <c r="R174" s="116" t="s">
        <v>2680</v>
      </c>
      <c r="S174" s="116" t="str">
        <f t="shared" si="19"/>
        <v>OK - FECHA COM PLANILHA</v>
      </c>
      <c r="T174" s="116">
        <v>27021.39</v>
      </c>
      <c r="U174" s="122">
        <f t="shared" si="20"/>
        <v>0</v>
      </c>
    </row>
    <row r="175" spans="1:21" ht="63.75" x14ac:dyDescent="0.2">
      <c r="A175" s="120" t="s">
        <v>2681</v>
      </c>
      <c r="B175" s="114" t="s">
        <v>459</v>
      </c>
      <c r="C175" s="114" t="s">
        <v>1514</v>
      </c>
      <c r="D175" s="114" t="s">
        <v>56</v>
      </c>
      <c r="E175" s="114" t="s">
        <v>1515</v>
      </c>
      <c r="F175" s="114" t="s">
        <v>26</v>
      </c>
      <c r="G175" s="115">
        <v>10.71</v>
      </c>
      <c r="H175" s="116">
        <v>697.86750000000006</v>
      </c>
      <c r="I175" s="121">
        <v>0.2223</v>
      </c>
      <c r="J175" s="116">
        <f t="shared" si="14"/>
        <v>155.12999999999988</v>
      </c>
      <c r="K175" s="116">
        <v>852.99749999999995</v>
      </c>
      <c r="L175" s="116">
        <f t="shared" si="15"/>
        <v>7474.160925000001</v>
      </c>
      <c r="M175" s="116">
        <f t="shared" si="16"/>
        <v>9135.6032250000007</v>
      </c>
      <c r="N175" s="116">
        <v>1137.33</v>
      </c>
      <c r="O175" s="116">
        <f t="shared" si="17"/>
        <v>284.33249999999998</v>
      </c>
      <c r="P175" s="116">
        <f t="shared" si="18"/>
        <v>3045.2010749999999</v>
      </c>
      <c r="Q175" s="116" t="s">
        <v>2349</v>
      </c>
      <c r="R175" s="116" t="s">
        <v>2682</v>
      </c>
      <c r="S175" s="116" t="str">
        <f t="shared" si="19"/>
        <v>OK - FECHA COM PLANILHA</v>
      </c>
      <c r="T175" s="116">
        <v>9135.6</v>
      </c>
      <c r="U175" s="122">
        <f t="shared" si="20"/>
        <v>3.2250000003841706E-3</v>
      </c>
    </row>
    <row r="176" spans="1:21" ht="63.75" x14ac:dyDescent="0.2">
      <c r="A176" s="120" t="s">
        <v>2683</v>
      </c>
      <c r="B176" s="114" t="s">
        <v>461</v>
      </c>
      <c r="C176" s="114" t="s">
        <v>1516</v>
      </c>
      <c r="D176" s="114" t="s">
        <v>56</v>
      </c>
      <c r="E176" s="114" t="s">
        <v>1517</v>
      </c>
      <c r="F176" s="114" t="s">
        <v>84</v>
      </c>
      <c r="G176" s="115">
        <v>1</v>
      </c>
      <c r="H176" s="116">
        <v>1446.0674999999999</v>
      </c>
      <c r="I176" s="121">
        <v>0.2223</v>
      </c>
      <c r="J176" s="116">
        <f t="shared" si="14"/>
        <v>321.45749999999998</v>
      </c>
      <c r="K176" s="116">
        <v>1767.5249999999999</v>
      </c>
      <c r="L176" s="116">
        <f t="shared" si="15"/>
        <v>1446.0674999999999</v>
      </c>
      <c r="M176" s="116">
        <f t="shared" si="16"/>
        <v>1767.5249999999999</v>
      </c>
      <c r="N176" s="116">
        <v>2356.6999999999998</v>
      </c>
      <c r="O176" s="116">
        <f t="shared" si="17"/>
        <v>589.17499999999995</v>
      </c>
      <c r="P176" s="116">
        <f t="shared" si="18"/>
        <v>589.17499999999995</v>
      </c>
      <c r="Q176" s="116" t="s">
        <v>2349</v>
      </c>
      <c r="R176" s="116" t="s">
        <v>2684</v>
      </c>
      <c r="S176" s="116" t="str">
        <f t="shared" si="19"/>
        <v>OK - FECHA COM PLANILHA</v>
      </c>
      <c r="T176" s="116">
        <v>1767.52</v>
      </c>
      <c r="U176" s="122">
        <f t="shared" si="20"/>
        <v>4.9999999998817657E-3</v>
      </c>
    </row>
    <row r="177" spans="1:21" ht="63.75" x14ac:dyDescent="0.2">
      <c r="A177" s="120" t="s">
        <v>2685</v>
      </c>
      <c r="B177" s="114" t="s">
        <v>463</v>
      </c>
      <c r="C177" s="114" t="s">
        <v>1518</v>
      </c>
      <c r="D177" s="114" t="s">
        <v>56</v>
      </c>
      <c r="E177" s="114" t="s">
        <v>1519</v>
      </c>
      <c r="F177" s="114" t="s">
        <v>84</v>
      </c>
      <c r="G177" s="115">
        <v>26</v>
      </c>
      <c r="H177" s="116">
        <v>182.85000000000002</v>
      </c>
      <c r="I177" s="121">
        <v>0.2223</v>
      </c>
      <c r="J177" s="116">
        <f t="shared" si="14"/>
        <v>40.642499999999984</v>
      </c>
      <c r="K177" s="116">
        <v>223.49250000000001</v>
      </c>
      <c r="L177" s="116">
        <f t="shared" si="15"/>
        <v>4754.1000000000004</v>
      </c>
      <c r="M177" s="116">
        <f t="shared" si="16"/>
        <v>5810.8050000000003</v>
      </c>
      <c r="N177" s="116">
        <v>297.99</v>
      </c>
      <c r="O177" s="116">
        <f t="shared" si="17"/>
        <v>74.497500000000002</v>
      </c>
      <c r="P177" s="116">
        <f t="shared" si="18"/>
        <v>1936.9349999999999</v>
      </c>
      <c r="Q177" s="116" t="s">
        <v>2349</v>
      </c>
      <c r="R177" s="116" t="s">
        <v>2686</v>
      </c>
      <c r="S177" s="116" t="str">
        <f t="shared" si="19"/>
        <v>OK - FECHA COM PLANILHA</v>
      </c>
      <c r="T177" s="116">
        <v>5810.8</v>
      </c>
      <c r="U177" s="122">
        <f t="shared" si="20"/>
        <v>5.0000000001091394E-3</v>
      </c>
    </row>
    <row r="178" spans="1:21" ht="63.75" x14ac:dyDescent="0.2">
      <c r="A178" s="120" t="s">
        <v>2687</v>
      </c>
      <c r="B178" s="114" t="s">
        <v>465</v>
      </c>
      <c r="C178" s="114" t="s">
        <v>1520</v>
      </c>
      <c r="D178" s="114" t="s">
        <v>56</v>
      </c>
      <c r="E178" s="114" t="s">
        <v>1521</v>
      </c>
      <c r="F178" s="114" t="s">
        <v>84</v>
      </c>
      <c r="G178" s="115">
        <v>2</v>
      </c>
      <c r="H178" s="116">
        <v>157.71</v>
      </c>
      <c r="I178" s="121">
        <v>0.2223</v>
      </c>
      <c r="J178" s="116">
        <f t="shared" si="14"/>
        <v>35.054999999999978</v>
      </c>
      <c r="K178" s="116">
        <v>192.76499999999999</v>
      </c>
      <c r="L178" s="116">
        <f t="shared" si="15"/>
        <v>315.42</v>
      </c>
      <c r="M178" s="116">
        <f t="shared" si="16"/>
        <v>385.53</v>
      </c>
      <c r="N178" s="116">
        <v>257.02</v>
      </c>
      <c r="O178" s="116">
        <f t="shared" si="17"/>
        <v>64.254999999999995</v>
      </c>
      <c r="P178" s="116">
        <f t="shared" si="18"/>
        <v>128.51</v>
      </c>
      <c r="Q178" s="116" t="s">
        <v>2349</v>
      </c>
      <c r="R178" s="116" t="s">
        <v>2688</v>
      </c>
      <c r="S178" s="116" t="str">
        <f t="shared" si="19"/>
        <v>OK - FECHA COM PLANILHA</v>
      </c>
      <c r="T178" s="116">
        <v>385.53</v>
      </c>
      <c r="U178" s="122">
        <f t="shared" si="20"/>
        <v>0</v>
      </c>
    </row>
    <row r="179" spans="1:21" ht="63.75" x14ac:dyDescent="0.2">
      <c r="A179" s="120" t="s">
        <v>2689</v>
      </c>
      <c r="B179" s="114" t="s">
        <v>467</v>
      </c>
      <c r="C179" s="114" t="s">
        <v>1522</v>
      </c>
      <c r="D179" s="114" t="s">
        <v>24</v>
      </c>
      <c r="E179" s="114" t="s">
        <v>469</v>
      </c>
      <c r="F179" s="114" t="s">
        <v>99</v>
      </c>
      <c r="G179" s="115">
        <v>3.6</v>
      </c>
      <c r="H179" s="116">
        <v>47.43</v>
      </c>
      <c r="I179" s="121">
        <v>0.2223</v>
      </c>
      <c r="J179" s="116">
        <f t="shared" si="14"/>
        <v>10.537500000000001</v>
      </c>
      <c r="K179" s="116">
        <v>57.967500000000001</v>
      </c>
      <c r="L179" s="116">
        <f t="shared" si="15"/>
        <v>170.74799999999999</v>
      </c>
      <c r="M179" s="116">
        <f t="shared" si="16"/>
        <v>208.68300000000002</v>
      </c>
      <c r="N179" s="116">
        <v>77.290000000000006</v>
      </c>
      <c r="O179" s="116">
        <f t="shared" si="17"/>
        <v>19.322500000000005</v>
      </c>
      <c r="P179" s="116">
        <f t="shared" si="18"/>
        <v>69.561000000000021</v>
      </c>
      <c r="Q179" s="116" t="s">
        <v>2332</v>
      </c>
      <c r="R179" s="116" t="s">
        <v>2690</v>
      </c>
      <c r="S179" s="116" t="str">
        <f t="shared" si="19"/>
        <v>OK - FECHA COM PLANILHA</v>
      </c>
      <c r="T179" s="116">
        <v>208.68</v>
      </c>
      <c r="U179" s="122">
        <f t="shared" si="20"/>
        <v>3.0000000000143245E-3</v>
      </c>
    </row>
    <row r="180" spans="1:21" ht="63.75" x14ac:dyDescent="0.2">
      <c r="A180" s="120" t="s">
        <v>2691</v>
      </c>
      <c r="B180" s="114" t="s">
        <v>1523</v>
      </c>
      <c r="C180" s="114" t="s">
        <v>470</v>
      </c>
      <c r="D180" s="114" t="s">
        <v>209</v>
      </c>
      <c r="E180" s="114" t="s">
        <v>471</v>
      </c>
      <c r="F180" s="114" t="s">
        <v>84</v>
      </c>
      <c r="G180" s="115">
        <v>18</v>
      </c>
      <c r="H180" s="116">
        <v>754.58249999999998</v>
      </c>
      <c r="I180" s="121">
        <v>0.2223</v>
      </c>
      <c r="J180" s="116">
        <f t="shared" si="14"/>
        <v>167.73749999999995</v>
      </c>
      <c r="K180" s="116">
        <v>922.31999999999994</v>
      </c>
      <c r="L180" s="116">
        <f t="shared" si="15"/>
        <v>13582.485000000001</v>
      </c>
      <c r="M180" s="116">
        <f t="shared" si="16"/>
        <v>16601.759999999998</v>
      </c>
      <c r="N180" s="116">
        <v>1229.76</v>
      </c>
      <c r="O180" s="116">
        <f t="shared" si="17"/>
        <v>307.44000000000005</v>
      </c>
      <c r="P180" s="116">
        <f t="shared" si="18"/>
        <v>5533.920000000001</v>
      </c>
      <c r="Q180" s="116" t="s">
        <v>2549</v>
      </c>
      <c r="R180" s="116" t="s">
        <v>2692</v>
      </c>
      <c r="S180" s="116" t="str">
        <f t="shared" si="19"/>
        <v>OK - FECHA COM PLANILHA</v>
      </c>
      <c r="T180" s="116">
        <v>16601.759999999998</v>
      </c>
      <c r="U180" s="122">
        <f t="shared" si="20"/>
        <v>0</v>
      </c>
    </row>
    <row r="181" spans="1:21" ht="102" x14ac:dyDescent="0.2">
      <c r="A181" s="120" t="s">
        <v>2693</v>
      </c>
      <c r="B181" s="114" t="s">
        <v>1524</v>
      </c>
      <c r="C181" s="114" t="s">
        <v>1525</v>
      </c>
      <c r="D181" s="114" t="s">
        <v>24</v>
      </c>
      <c r="E181" s="114" t="s">
        <v>473</v>
      </c>
      <c r="F181" s="114" t="s">
        <v>26</v>
      </c>
      <c r="G181" s="115">
        <v>73.483000000000004</v>
      </c>
      <c r="H181" s="116">
        <v>875.84999999999991</v>
      </c>
      <c r="I181" s="121">
        <v>0.2223</v>
      </c>
      <c r="J181" s="116">
        <f t="shared" si="14"/>
        <v>194.70000000000027</v>
      </c>
      <c r="K181" s="116">
        <v>1070.5500000000002</v>
      </c>
      <c r="L181" s="116">
        <f t="shared" si="15"/>
        <v>64360.085549999996</v>
      </c>
      <c r="M181" s="116">
        <f t="shared" si="16"/>
        <v>78667.225650000022</v>
      </c>
      <c r="N181" s="116">
        <v>1427.4</v>
      </c>
      <c r="O181" s="116">
        <f t="shared" si="17"/>
        <v>356.84999999999991</v>
      </c>
      <c r="P181" s="116">
        <f t="shared" si="18"/>
        <v>26222.408549999996</v>
      </c>
      <c r="Q181" s="116" t="s">
        <v>2332</v>
      </c>
      <c r="R181" s="116" t="s">
        <v>2694</v>
      </c>
      <c r="S181" s="116" t="str">
        <f t="shared" si="19"/>
        <v>OK - FECHA COM PLANILHA</v>
      </c>
      <c r="T181" s="116">
        <v>78667.22</v>
      </c>
      <c r="U181" s="122">
        <f t="shared" si="20"/>
        <v>5.650000020978041E-3</v>
      </c>
    </row>
    <row r="182" spans="1:21" ht="102" x14ac:dyDescent="0.2">
      <c r="A182" s="120" t="s">
        <v>2695</v>
      </c>
      <c r="B182" s="114" t="s">
        <v>1526</v>
      </c>
      <c r="C182" s="114" t="s">
        <v>474</v>
      </c>
      <c r="D182" s="114" t="s">
        <v>209</v>
      </c>
      <c r="E182" s="114" t="s">
        <v>475</v>
      </c>
      <c r="F182" s="114" t="s">
        <v>84</v>
      </c>
      <c r="G182" s="115">
        <v>1</v>
      </c>
      <c r="H182" s="116">
        <v>8206.3724999999995</v>
      </c>
      <c r="I182" s="121">
        <v>0.2223</v>
      </c>
      <c r="J182" s="116">
        <f t="shared" si="14"/>
        <v>1824.2700000000004</v>
      </c>
      <c r="K182" s="116">
        <v>10030.6425</v>
      </c>
      <c r="L182" s="116">
        <f t="shared" si="15"/>
        <v>8206.3724999999995</v>
      </c>
      <c r="M182" s="116">
        <f t="shared" si="16"/>
        <v>10030.6425</v>
      </c>
      <c r="N182" s="116">
        <v>13374.19</v>
      </c>
      <c r="O182" s="116">
        <f t="shared" si="17"/>
        <v>3343.5475000000006</v>
      </c>
      <c r="P182" s="116">
        <f t="shared" si="18"/>
        <v>3343.5475000000006</v>
      </c>
      <c r="Q182" s="116" t="s">
        <v>2458</v>
      </c>
      <c r="R182" s="116" t="s">
        <v>2696</v>
      </c>
      <c r="S182" s="116" t="str">
        <f t="shared" si="19"/>
        <v>OK - FECHA COM PLANILHA</v>
      </c>
      <c r="T182" s="116">
        <v>10030.64</v>
      </c>
      <c r="U182" s="122">
        <f t="shared" si="20"/>
        <v>2.500000000509317E-3</v>
      </c>
    </row>
    <row r="183" spans="1:21" ht="63.75" x14ac:dyDescent="0.2">
      <c r="A183" s="120" t="s">
        <v>2697</v>
      </c>
      <c r="B183" s="114" t="s">
        <v>478</v>
      </c>
      <c r="C183" s="114" t="s">
        <v>1527</v>
      </c>
      <c r="D183" s="114" t="s">
        <v>24</v>
      </c>
      <c r="E183" s="114" t="s">
        <v>1528</v>
      </c>
      <c r="F183" s="114" t="s">
        <v>26</v>
      </c>
      <c r="G183" s="115">
        <v>14.077999999999999</v>
      </c>
      <c r="H183" s="116">
        <v>478.95000000000005</v>
      </c>
      <c r="I183" s="121">
        <v>0.2223</v>
      </c>
      <c r="J183" s="116">
        <f t="shared" si="14"/>
        <v>106.46999999999991</v>
      </c>
      <c r="K183" s="116">
        <v>585.41999999999996</v>
      </c>
      <c r="L183" s="116">
        <f t="shared" si="15"/>
        <v>6742.6581000000006</v>
      </c>
      <c r="M183" s="116">
        <f t="shared" si="16"/>
        <v>8241.5427599999985</v>
      </c>
      <c r="N183" s="116">
        <v>780.56</v>
      </c>
      <c r="O183" s="116">
        <f t="shared" si="17"/>
        <v>195.14</v>
      </c>
      <c r="P183" s="116">
        <f t="shared" si="18"/>
        <v>2747.1809199999998</v>
      </c>
      <c r="Q183" s="116" t="s">
        <v>2332</v>
      </c>
      <c r="R183" s="116" t="s">
        <v>2698</v>
      </c>
      <c r="S183" s="116" t="str">
        <f t="shared" si="19"/>
        <v>OK - FECHA COM PLANILHA</v>
      </c>
      <c r="T183" s="116">
        <v>8241.5400000000009</v>
      </c>
      <c r="U183" s="122">
        <f t="shared" si="20"/>
        <v>2.7599999975791434E-3</v>
      </c>
    </row>
    <row r="184" spans="1:21" ht="63.75" x14ac:dyDescent="0.2">
      <c r="A184" s="120" t="s">
        <v>2699</v>
      </c>
      <c r="B184" s="114" t="s">
        <v>481</v>
      </c>
      <c r="C184" s="114" t="s">
        <v>1529</v>
      </c>
      <c r="D184" s="114" t="s">
        <v>24</v>
      </c>
      <c r="E184" s="114" t="s">
        <v>1530</v>
      </c>
      <c r="F184" s="114" t="s">
        <v>84</v>
      </c>
      <c r="G184" s="115">
        <v>4</v>
      </c>
      <c r="H184" s="116">
        <v>141.19499999999999</v>
      </c>
      <c r="I184" s="121">
        <v>0.2223</v>
      </c>
      <c r="J184" s="116">
        <f t="shared" si="14"/>
        <v>31.387500000000017</v>
      </c>
      <c r="K184" s="116">
        <v>172.58250000000001</v>
      </c>
      <c r="L184" s="116">
        <f t="shared" si="15"/>
        <v>564.78</v>
      </c>
      <c r="M184" s="116">
        <f t="shared" si="16"/>
        <v>690.33</v>
      </c>
      <c r="N184" s="116">
        <v>230.11</v>
      </c>
      <c r="O184" s="116">
        <f t="shared" si="17"/>
        <v>57.527500000000003</v>
      </c>
      <c r="P184" s="116">
        <f t="shared" si="18"/>
        <v>230.11</v>
      </c>
      <c r="Q184" s="116" t="s">
        <v>2332</v>
      </c>
      <c r="R184" s="116" t="s">
        <v>2700</v>
      </c>
      <c r="S184" s="116" t="str">
        <f t="shared" si="19"/>
        <v>OK - FECHA COM PLANILHA</v>
      </c>
      <c r="T184" s="116">
        <v>690.33</v>
      </c>
      <c r="U184" s="122">
        <f t="shared" si="20"/>
        <v>0</v>
      </c>
    </row>
    <row r="185" spans="1:21" ht="63.75" x14ac:dyDescent="0.2">
      <c r="A185" s="120" t="s">
        <v>2701</v>
      </c>
      <c r="B185" s="114" t="s">
        <v>484</v>
      </c>
      <c r="C185" s="114" t="s">
        <v>1531</v>
      </c>
      <c r="D185" s="114" t="s">
        <v>56</v>
      </c>
      <c r="E185" s="114" t="s">
        <v>485</v>
      </c>
      <c r="F185" s="114" t="s">
        <v>84</v>
      </c>
      <c r="G185" s="115">
        <v>2</v>
      </c>
      <c r="H185" s="116">
        <v>3876.3825000000002</v>
      </c>
      <c r="I185" s="121">
        <v>0.2223</v>
      </c>
      <c r="J185" s="116">
        <f t="shared" si="14"/>
        <v>861.71250000000009</v>
      </c>
      <c r="K185" s="116">
        <v>4738.0950000000003</v>
      </c>
      <c r="L185" s="116">
        <f t="shared" si="15"/>
        <v>7752.7650000000003</v>
      </c>
      <c r="M185" s="116">
        <f t="shared" si="16"/>
        <v>9476.19</v>
      </c>
      <c r="N185" s="116">
        <v>6317.46</v>
      </c>
      <c r="O185" s="116">
        <f t="shared" si="17"/>
        <v>1579.3649999999998</v>
      </c>
      <c r="P185" s="116">
        <f t="shared" si="18"/>
        <v>3158.7299999999996</v>
      </c>
      <c r="Q185" s="116" t="s">
        <v>2349</v>
      </c>
      <c r="R185" s="116" t="s">
        <v>2702</v>
      </c>
      <c r="S185" s="116" t="str">
        <f t="shared" si="19"/>
        <v>OK - FECHA COM PLANILHA</v>
      </c>
      <c r="T185" s="116">
        <v>9476.19</v>
      </c>
      <c r="U185" s="122">
        <f t="shared" si="20"/>
        <v>0</v>
      </c>
    </row>
    <row r="186" spans="1:21" ht="63.75" x14ac:dyDescent="0.2">
      <c r="A186" s="120" t="s">
        <v>2703</v>
      </c>
      <c r="B186" s="114" t="s">
        <v>486</v>
      </c>
      <c r="C186" s="114" t="s">
        <v>1532</v>
      </c>
      <c r="D186" s="114" t="s">
        <v>56</v>
      </c>
      <c r="E186" s="114" t="s">
        <v>487</v>
      </c>
      <c r="F186" s="114" t="s">
        <v>84</v>
      </c>
      <c r="G186" s="115">
        <v>2</v>
      </c>
      <c r="H186" s="116">
        <v>1932.0749999999998</v>
      </c>
      <c r="I186" s="121">
        <v>0.2223</v>
      </c>
      <c r="J186" s="116">
        <f t="shared" si="14"/>
        <v>429.49500000000035</v>
      </c>
      <c r="K186" s="116">
        <v>2361.5700000000002</v>
      </c>
      <c r="L186" s="116">
        <f t="shared" si="15"/>
        <v>3864.1499999999996</v>
      </c>
      <c r="M186" s="116">
        <f t="shared" si="16"/>
        <v>4723.1400000000003</v>
      </c>
      <c r="N186" s="116">
        <v>3148.76</v>
      </c>
      <c r="O186" s="116">
        <f t="shared" si="17"/>
        <v>787.19</v>
      </c>
      <c r="P186" s="116">
        <f t="shared" si="18"/>
        <v>1574.38</v>
      </c>
      <c r="Q186" s="116" t="s">
        <v>2349</v>
      </c>
      <c r="R186" s="116" t="s">
        <v>2704</v>
      </c>
      <c r="S186" s="116" t="str">
        <f t="shared" si="19"/>
        <v>OK - FECHA COM PLANILHA</v>
      </c>
      <c r="T186" s="116">
        <v>4723.1400000000003</v>
      </c>
      <c r="U186" s="122">
        <f t="shared" si="20"/>
        <v>0</v>
      </c>
    </row>
    <row r="187" spans="1:21" ht="63.75" x14ac:dyDescent="0.2">
      <c r="A187" s="120" t="s">
        <v>2705</v>
      </c>
      <c r="B187" s="114" t="s">
        <v>488</v>
      </c>
      <c r="C187" s="114" t="s">
        <v>1533</v>
      </c>
      <c r="D187" s="114" t="s">
        <v>24</v>
      </c>
      <c r="E187" s="114" t="s">
        <v>490</v>
      </c>
      <c r="F187" s="114" t="s">
        <v>26</v>
      </c>
      <c r="G187" s="115">
        <v>192.67599999999999</v>
      </c>
      <c r="H187" s="116">
        <v>485.12250000000006</v>
      </c>
      <c r="I187" s="121">
        <v>0.2223</v>
      </c>
      <c r="J187" s="116">
        <f t="shared" si="14"/>
        <v>107.84249999999997</v>
      </c>
      <c r="K187" s="116">
        <v>592.96500000000003</v>
      </c>
      <c r="L187" s="116">
        <f t="shared" si="15"/>
        <v>93471.462810000012</v>
      </c>
      <c r="M187" s="116">
        <f t="shared" si="16"/>
        <v>114250.12433999999</v>
      </c>
      <c r="N187" s="116">
        <v>790.62</v>
      </c>
      <c r="O187" s="116">
        <f t="shared" si="17"/>
        <v>197.65499999999997</v>
      </c>
      <c r="P187" s="116">
        <f t="shared" si="18"/>
        <v>38083.374779999991</v>
      </c>
      <c r="Q187" s="116" t="s">
        <v>2332</v>
      </c>
      <c r="R187" s="116" t="s">
        <v>2706</v>
      </c>
      <c r="S187" s="116" t="str">
        <f t="shared" si="19"/>
        <v>OK - FECHA COM PLANILHA</v>
      </c>
      <c r="T187" s="116">
        <v>114250.12</v>
      </c>
      <c r="U187" s="122">
        <f t="shared" si="20"/>
        <v>4.3399999995017424E-3</v>
      </c>
    </row>
    <row r="188" spans="1:21" ht="63.75" x14ac:dyDescent="0.2">
      <c r="A188" s="120" t="s">
        <v>2707</v>
      </c>
      <c r="B188" s="114" t="s">
        <v>491</v>
      </c>
      <c r="C188" s="114" t="s">
        <v>1534</v>
      </c>
      <c r="D188" s="114" t="s">
        <v>24</v>
      </c>
      <c r="E188" s="114" t="s">
        <v>493</v>
      </c>
      <c r="F188" s="114" t="s">
        <v>26</v>
      </c>
      <c r="G188" s="115">
        <v>140.98599999999999</v>
      </c>
      <c r="H188" s="116">
        <v>321.47249999999997</v>
      </c>
      <c r="I188" s="121">
        <v>0.2223</v>
      </c>
      <c r="J188" s="116">
        <f t="shared" si="14"/>
        <v>71.460000000000036</v>
      </c>
      <c r="K188" s="116">
        <v>392.9325</v>
      </c>
      <c r="L188" s="116">
        <f t="shared" si="15"/>
        <v>45323.121884999993</v>
      </c>
      <c r="M188" s="116">
        <f t="shared" si="16"/>
        <v>55397.981444999998</v>
      </c>
      <c r="N188" s="116">
        <v>523.91</v>
      </c>
      <c r="O188" s="116">
        <f t="shared" si="17"/>
        <v>130.97749999999996</v>
      </c>
      <c r="P188" s="116">
        <f t="shared" si="18"/>
        <v>18465.993814999994</v>
      </c>
      <c r="Q188" s="116" t="s">
        <v>2332</v>
      </c>
      <c r="R188" s="116" t="s">
        <v>2708</v>
      </c>
      <c r="S188" s="116" t="str">
        <f t="shared" si="19"/>
        <v>OK - FECHA COM PLANILHA</v>
      </c>
      <c r="T188" s="116">
        <v>55397.98</v>
      </c>
      <c r="U188" s="122">
        <f t="shared" si="20"/>
        <v>1.4449999944190495E-3</v>
      </c>
    </row>
    <row r="189" spans="1:21" ht="102" x14ac:dyDescent="0.2">
      <c r="A189" s="120" t="s">
        <v>2709</v>
      </c>
      <c r="B189" s="114" t="s">
        <v>494</v>
      </c>
      <c r="C189" s="114" t="s">
        <v>1535</v>
      </c>
      <c r="D189" s="114" t="s">
        <v>24</v>
      </c>
      <c r="E189" s="114" t="s">
        <v>1536</v>
      </c>
      <c r="F189" s="114" t="s">
        <v>26</v>
      </c>
      <c r="G189" s="115">
        <v>5.6769999999999996</v>
      </c>
      <c r="H189" s="116">
        <v>1184.31</v>
      </c>
      <c r="I189" s="121">
        <v>0.2223</v>
      </c>
      <c r="J189" s="116">
        <f t="shared" si="14"/>
        <v>263.26499999999987</v>
      </c>
      <c r="K189" s="116">
        <v>1447.5749999999998</v>
      </c>
      <c r="L189" s="116">
        <f t="shared" si="15"/>
        <v>6723.3278699999992</v>
      </c>
      <c r="M189" s="116">
        <f t="shared" si="16"/>
        <v>8217.8832749999983</v>
      </c>
      <c r="N189" s="116">
        <v>1930.1</v>
      </c>
      <c r="O189" s="116">
        <f t="shared" si="17"/>
        <v>482.52500000000009</v>
      </c>
      <c r="P189" s="116">
        <f t="shared" si="18"/>
        <v>2739.2944250000005</v>
      </c>
      <c r="Q189" s="116" t="s">
        <v>2332</v>
      </c>
      <c r="R189" s="116" t="s">
        <v>2710</v>
      </c>
      <c r="S189" s="116" t="str">
        <f t="shared" si="19"/>
        <v>OK - FECHA COM PLANILHA</v>
      </c>
      <c r="T189" s="116">
        <v>8217.8799999999992</v>
      </c>
      <c r="U189" s="122">
        <f t="shared" si="20"/>
        <v>3.2749999991210643E-3</v>
      </c>
    </row>
    <row r="190" spans="1:21" ht="102" x14ac:dyDescent="0.2">
      <c r="A190" s="120" t="s">
        <v>2711</v>
      </c>
      <c r="B190" s="114" t="s">
        <v>497</v>
      </c>
      <c r="C190" s="114" t="s">
        <v>1537</v>
      </c>
      <c r="D190" s="114" t="s">
        <v>24</v>
      </c>
      <c r="E190" s="114" t="s">
        <v>499</v>
      </c>
      <c r="F190" s="114" t="s">
        <v>26</v>
      </c>
      <c r="G190" s="115">
        <v>1.944</v>
      </c>
      <c r="H190" s="116">
        <v>1129.5525</v>
      </c>
      <c r="I190" s="121">
        <v>0.2223</v>
      </c>
      <c r="J190" s="116">
        <f t="shared" si="14"/>
        <v>251.09249999999997</v>
      </c>
      <c r="K190" s="116">
        <v>1380.645</v>
      </c>
      <c r="L190" s="116">
        <f t="shared" si="15"/>
        <v>2195.8500599999998</v>
      </c>
      <c r="M190" s="116">
        <f t="shared" si="16"/>
        <v>2683.97388</v>
      </c>
      <c r="N190" s="116">
        <v>1840.86</v>
      </c>
      <c r="O190" s="116">
        <f t="shared" si="17"/>
        <v>460.21499999999992</v>
      </c>
      <c r="P190" s="116">
        <f t="shared" si="18"/>
        <v>894.65795999999978</v>
      </c>
      <c r="Q190" s="116" t="s">
        <v>2332</v>
      </c>
      <c r="R190" s="116" t="s">
        <v>2712</v>
      </c>
      <c r="S190" s="116" t="str">
        <f t="shared" si="19"/>
        <v>OK - FECHA COM PLANILHA</v>
      </c>
      <c r="T190" s="116">
        <v>2683.97</v>
      </c>
      <c r="U190" s="122">
        <f t="shared" si="20"/>
        <v>3.8800000002083834E-3</v>
      </c>
    </row>
    <row r="191" spans="1:21" ht="63.75" x14ac:dyDescent="0.2">
      <c r="A191" s="120" t="s">
        <v>2713</v>
      </c>
      <c r="B191" s="114" t="s">
        <v>500</v>
      </c>
      <c r="C191" s="114" t="s">
        <v>1538</v>
      </c>
      <c r="D191" s="114" t="s">
        <v>209</v>
      </c>
      <c r="E191" s="114" t="s">
        <v>1539</v>
      </c>
      <c r="F191" s="114" t="s">
        <v>84</v>
      </c>
      <c r="G191" s="115">
        <v>1</v>
      </c>
      <c r="H191" s="116">
        <v>4827.7950000000001</v>
      </c>
      <c r="I191" s="121">
        <v>0.2223</v>
      </c>
      <c r="J191" s="116">
        <f t="shared" si="14"/>
        <v>1073.2124999999996</v>
      </c>
      <c r="K191" s="116">
        <v>5901.0074999999997</v>
      </c>
      <c r="L191" s="116">
        <f t="shared" si="15"/>
        <v>4827.7950000000001</v>
      </c>
      <c r="M191" s="116">
        <f t="shared" si="16"/>
        <v>5901.0074999999997</v>
      </c>
      <c r="N191" s="116">
        <v>7868.01</v>
      </c>
      <c r="O191" s="116">
        <f t="shared" si="17"/>
        <v>1967.0025000000005</v>
      </c>
      <c r="P191" s="116">
        <f t="shared" si="18"/>
        <v>1967.0025000000005</v>
      </c>
      <c r="Q191" s="116" t="s">
        <v>2458</v>
      </c>
      <c r="R191" s="116" t="s">
        <v>2714</v>
      </c>
      <c r="S191" s="116" t="str">
        <f t="shared" si="19"/>
        <v>OK - FECHA COM PLANILHA</v>
      </c>
      <c r="T191" s="116">
        <v>5901</v>
      </c>
      <c r="U191" s="122">
        <f t="shared" si="20"/>
        <v>7.4999999997089617E-3</v>
      </c>
    </row>
    <row r="192" spans="1:21" ht="63.75" x14ac:dyDescent="0.2">
      <c r="A192" s="120" t="s">
        <v>2715</v>
      </c>
      <c r="B192" s="114" t="s">
        <v>1540</v>
      </c>
      <c r="C192" s="114" t="s">
        <v>1541</v>
      </c>
      <c r="D192" s="114" t="s">
        <v>335</v>
      </c>
      <c r="E192" s="114" t="s">
        <v>503</v>
      </c>
      <c r="F192" s="114" t="s">
        <v>84</v>
      </c>
      <c r="G192" s="115">
        <v>3</v>
      </c>
      <c r="H192" s="116">
        <v>132.58500000000001</v>
      </c>
      <c r="I192" s="121">
        <v>0.2223</v>
      </c>
      <c r="J192" s="116">
        <f t="shared" si="14"/>
        <v>29.467500000000001</v>
      </c>
      <c r="K192" s="116">
        <v>162.05250000000001</v>
      </c>
      <c r="L192" s="116">
        <f t="shared" si="15"/>
        <v>397.755</v>
      </c>
      <c r="M192" s="116">
        <f t="shared" si="16"/>
        <v>486.15750000000003</v>
      </c>
      <c r="N192" s="116">
        <v>216.07</v>
      </c>
      <c r="O192" s="116">
        <f t="shared" si="17"/>
        <v>54.017499999999984</v>
      </c>
      <c r="P192" s="116">
        <f t="shared" si="18"/>
        <v>162.05249999999995</v>
      </c>
      <c r="Q192" s="116" t="s">
        <v>2589</v>
      </c>
      <c r="R192" s="116" t="s">
        <v>2716</v>
      </c>
      <c r="S192" s="116" t="str">
        <f t="shared" si="19"/>
        <v>OK - FECHA COM PLANILHA</v>
      </c>
      <c r="T192" s="116">
        <v>486.15</v>
      </c>
      <c r="U192" s="122">
        <f t="shared" si="20"/>
        <v>7.5000000000500222E-3</v>
      </c>
    </row>
    <row r="193" spans="1:21" ht="102" x14ac:dyDescent="0.2">
      <c r="A193" s="120" t="s">
        <v>2717</v>
      </c>
      <c r="B193" s="114" t="s">
        <v>506</v>
      </c>
      <c r="C193" s="114" t="s">
        <v>1542</v>
      </c>
      <c r="D193" s="114" t="s">
        <v>24</v>
      </c>
      <c r="E193" s="114" t="s">
        <v>508</v>
      </c>
      <c r="F193" s="114" t="s">
        <v>99</v>
      </c>
      <c r="G193" s="115">
        <v>27.93</v>
      </c>
      <c r="H193" s="116">
        <v>391.59000000000003</v>
      </c>
      <c r="I193" s="121">
        <v>0.2223</v>
      </c>
      <c r="J193" s="116">
        <f t="shared" si="14"/>
        <v>87.044999999999959</v>
      </c>
      <c r="K193" s="116">
        <v>478.63499999999999</v>
      </c>
      <c r="L193" s="116">
        <f t="shared" si="15"/>
        <v>10937.108700000001</v>
      </c>
      <c r="M193" s="116">
        <f t="shared" si="16"/>
        <v>13368.27555</v>
      </c>
      <c r="N193" s="116">
        <v>638.17999999999995</v>
      </c>
      <c r="O193" s="116">
        <f t="shared" si="17"/>
        <v>159.54499999999996</v>
      </c>
      <c r="P193" s="116">
        <f t="shared" si="18"/>
        <v>4456.0918499999989</v>
      </c>
      <c r="Q193" s="116" t="s">
        <v>2332</v>
      </c>
      <c r="R193" s="116" t="s">
        <v>2718</v>
      </c>
      <c r="S193" s="116" t="str">
        <f t="shared" si="19"/>
        <v>OK - FECHA COM PLANILHA</v>
      </c>
      <c r="T193" s="116">
        <v>13368.27</v>
      </c>
      <c r="U193" s="122">
        <f t="shared" si="20"/>
        <v>5.5499999998573912E-3</v>
      </c>
    </row>
    <row r="194" spans="1:21" ht="63.75" x14ac:dyDescent="0.2">
      <c r="A194" s="120" t="s">
        <v>2719</v>
      </c>
      <c r="B194" s="114" t="s">
        <v>509</v>
      </c>
      <c r="C194" s="114" t="s">
        <v>1543</v>
      </c>
      <c r="D194" s="114" t="s">
        <v>335</v>
      </c>
      <c r="E194" s="114" t="s">
        <v>510</v>
      </c>
      <c r="F194" s="114" t="s">
        <v>99</v>
      </c>
      <c r="G194" s="115">
        <v>6.2030000000000003</v>
      </c>
      <c r="H194" s="116">
        <v>652.32749999999999</v>
      </c>
      <c r="I194" s="121">
        <v>0.2223</v>
      </c>
      <c r="J194" s="116">
        <f t="shared" si="14"/>
        <v>145.005</v>
      </c>
      <c r="K194" s="116">
        <v>797.33249999999998</v>
      </c>
      <c r="L194" s="116">
        <f t="shared" si="15"/>
        <v>4046.3874825000003</v>
      </c>
      <c r="M194" s="116">
        <f t="shared" si="16"/>
        <v>4945.8534975000002</v>
      </c>
      <c r="N194" s="116">
        <v>1063.1099999999999</v>
      </c>
      <c r="O194" s="116">
        <f t="shared" si="17"/>
        <v>265.77749999999992</v>
      </c>
      <c r="P194" s="116">
        <f t="shared" si="18"/>
        <v>1648.6178324999996</v>
      </c>
      <c r="Q194" s="116" t="s">
        <v>2589</v>
      </c>
      <c r="R194" s="116" t="s">
        <v>2720</v>
      </c>
      <c r="S194" s="116" t="str">
        <f t="shared" si="19"/>
        <v>OK - FECHA COM PLANILHA</v>
      </c>
      <c r="T194" s="116">
        <v>4945.8500000000004</v>
      </c>
      <c r="U194" s="122">
        <f t="shared" si="20"/>
        <v>3.4974999998667045E-3</v>
      </c>
    </row>
    <row r="195" spans="1:21" ht="63.75" x14ac:dyDescent="0.2">
      <c r="A195" s="120" t="s">
        <v>2721</v>
      </c>
      <c r="B195" s="114" t="s">
        <v>511</v>
      </c>
      <c r="C195" s="114" t="s">
        <v>512</v>
      </c>
      <c r="D195" s="114" t="s">
        <v>209</v>
      </c>
      <c r="E195" s="114" t="s">
        <v>513</v>
      </c>
      <c r="F195" s="114" t="s">
        <v>84</v>
      </c>
      <c r="G195" s="115">
        <v>12</v>
      </c>
      <c r="H195" s="116">
        <v>285.90749999999997</v>
      </c>
      <c r="I195" s="121">
        <v>0.2223</v>
      </c>
      <c r="J195" s="116">
        <f t="shared" ref="J195:J258" si="21">K195-H195</f>
        <v>63.555000000000007</v>
      </c>
      <c r="K195" s="116">
        <v>349.46249999999998</v>
      </c>
      <c r="L195" s="116">
        <f t="shared" ref="L195:L258" si="22">G195*H195</f>
        <v>3430.8899999999994</v>
      </c>
      <c r="M195" s="116">
        <f t="shared" ref="M195:M258" si="23">G195*K195</f>
        <v>4193.5499999999993</v>
      </c>
      <c r="N195" s="116">
        <v>465.95</v>
      </c>
      <c r="O195" s="116">
        <f t="shared" ref="O195:O258" si="24">IFERROR(N195-K195,"")</f>
        <v>116.48750000000001</v>
      </c>
      <c r="P195" s="116">
        <f t="shared" ref="P195:P258" si="25">IFERROR(G195*O195,"")</f>
        <v>1397.8500000000001</v>
      </c>
      <c r="Q195" s="116" t="s">
        <v>2458</v>
      </c>
      <c r="R195" s="116" t="s">
        <v>2722</v>
      </c>
      <c r="S195" s="116" t="str">
        <f t="shared" ref="S195:S258" si="26">IF(ABS(M195-T195)&lt;=0.05,"OK - FECHA COM PLANILHA","REVISAR")</f>
        <v>OK - FECHA COM PLANILHA</v>
      </c>
      <c r="T195" s="116">
        <v>4193.55</v>
      </c>
      <c r="U195" s="122">
        <f t="shared" ref="U195:U258" si="27">M195-T195</f>
        <v>0</v>
      </c>
    </row>
    <row r="196" spans="1:21" ht="63.75" x14ac:dyDescent="0.2">
      <c r="A196" s="120" t="s">
        <v>2723</v>
      </c>
      <c r="B196" s="114" t="s">
        <v>514</v>
      </c>
      <c r="C196" s="114" t="s">
        <v>515</v>
      </c>
      <c r="D196" s="114" t="s">
        <v>209</v>
      </c>
      <c r="E196" s="114" t="s">
        <v>516</v>
      </c>
      <c r="F196" s="114" t="s">
        <v>84</v>
      </c>
      <c r="G196" s="115">
        <v>1</v>
      </c>
      <c r="H196" s="116">
        <v>8255.91</v>
      </c>
      <c r="I196" s="121">
        <v>0.2223</v>
      </c>
      <c r="J196" s="116">
        <f t="shared" si="21"/>
        <v>1835.2875000000004</v>
      </c>
      <c r="K196" s="116">
        <v>10091.1975</v>
      </c>
      <c r="L196" s="116">
        <f t="shared" si="22"/>
        <v>8255.91</v>
      </c>
      <c r="M196" s="116">
        <f t="shared" si="23"/>
        <v>10091.1975</v>
      </c>
      <c r="N196" s="116">
        <v>13454.93</v>
      </c>
      <c r="O196" s="116">
        <f t="shared" si="24"/>
        <v>3363.7325000000001</v>
      </c>
      <c r="P196" s="116">
        <f t="shared" si="25"/>
        <v>3363.7325000000001</v>
      </c>
      <c r="Q196" s="116" t="s">
        <v>2458</v>
      </c>
      <c r="R196" s="116" t="s">
        <v>2724</v>
      </c>
      <c r="S196" s="116" t="str">
        <f t="shared" si="26"/>
        <v>OK - FECHA COM PLANILHA</v>
      </c>
      <c r="T196" s="116">
        <v>10091.19</v>
      </c>
      <c r="U196" s="122">
        <f t="shared" si="27"/>
        <v>7.4999999997089617E-3</v>
      </c>
    </row>
    <row r="197" spans="1:21" ht="127.5" x14ac:dyDescent="0.2">
      <c r="A197" s="120" t="s">
        <v>2725</v>
      </c>
      <c r="B197" s="114" t="s">
        <v>517</v>
      </c>
      <c r="C197" s="114" t="s">
        <v>1544</v>
      </c>
      <c r="D197" s="114" t="s">
        <v>24</v>
      </c>
      <c r="E197" s="114" t="s">
        <v>519</v>
      </c>
      <c r="F197" s="114" t="s">
        <v>26</v>
      </c>
      <c r="G197" s="115">
        <v>115.76900000000001</v>
      </c>
      <c r="H197" s="116">
        <v>712.5</v>
      </c>
      <c r="I197" s="121">
        <v>0.2223</v>
      </c>
      <c r="J197" s="116">
        <f t="shared" si="21"/>
        <v>158.38499999999999</v>
      </c>
      <c r="K197" s="116">
        <v>870.88499999999999</v>
      </c>
      <c r="L197" s="116">
        <f t="shared" si="22"/>
        <v>82485.412500000006</v>
      </c>
      <c r="M197" s="116">
        <f t="shared" si="23"/>
        <v>100821.48556500001</v>
      </c>
      <c r="N197" s="116">
        <v>1161.18</v>
      </c>
      <c r="O197" s="116">
        <f t="shared" si="24"/>
        <v>290.29500000000007</v>
      </c>
      <c r="P197" s="116">
        <f t="shared" si="25"/>
        <v>33607.161855000013</v>
      </c>
      <c r="Q197" s="116" t="s">
        <v>2332</v>
      </c>
      <c r="R197" s="116" t="s">
        <v>2726</v>
      </c>
      <c r="S197" s="116" t="str">
        <f t="shared" si="26"/>
        <v>OK - FECHA COM PLANILHA</v>
      </c>
      <c r="T197" s="116">
        <v>100821.48</v>
      </c>
      <c r="U197" s="122">
        <f t="shared" si="27"/>
        <v>5.5650000140303746E-3</v>
      </c>
    </row>
    <row r="198" spans="1:21" ht="153" x14ac:dyDescent="0.2">
      <c r="A198" s="120" t="s">
        <v>2727</v>
      </c>
      <c r="B198" s="114" t="s">
        <v>520</v>
      </c>
      <c r="C198" s="114" t="s">
        <v>1545</v>
      </c>
      <c r="D198" s="114" t="s">
        <v>24</v>
      </c>
      <c r="E198" s="114" t="s">
        <v>522</v>
      </c>
      <c r="F198" s="114" t="s">
        <v>99</v>
      </c>
      <c r="G198" s="115">
        <v>5.1369999999999996</v>
      </c>
      <c r="H198" s="116">
        <v>658.6875</v>
      </c>
      <c r="I198" s="121">
        <v>0.2223</v>
      </c>
      <c r="J198" s="116">
        <f t="shared" si="21"/>
        <v>146.42250000000001</v>
      </c>
      <c r="K198" s="116">
        <v>805.11</v>
      </c>
      <c r="L198" s="116">
        <f t="shared" si="22"/>
        <v>3383.6776874999996</v>
      </c>
      <c r="M198" s="116">
        <f t="shared" si="23"/>
        <v>4135.8500699999995</v>
      </c>
      <c r="N198" s="116">
        <v>1073.48</v>
      </c>
      <c r="O198" s="116">
        <f t="shared" si="24"/>
        <v>268.37</v>
      </c>
      <c r="P198" s="116">
        <f t="shared" si="25"/>
        <v>1378.6166899999998</v>
      </c>
      <c r="Q198" s="116" t="s">
        <v>2332</v>
      </c>
      <c r="R198" s="116" t="s">
        <v>2728</v>
      </c>
      <c r="S198" s="116" t="str">
        <f t="shared" si="26"/>
        <v>OK - FECHA COM PLANILHA</v>
      </c>
      <c r="T198" s="116">
        <v>4135.8500000000004</v>
      </c>
      <c r="U198" s="122">
        <f t="shared" si="27"/>
        <v>6.9999999141145963E-5</v>
      </c>
    </row>
    <row r="199" spans="1:21" ht="63.75" x14ac:dyDescent="0.2">
      <c r="A199" s="120" t="s">
        <v>2729</v>
      </c>
      <c r="B199" s="114" t="s">
        <v>523</v>
      </c>
      <c r="C199" s="114" t="s">
        <v>1546</v>
      </c>
      <c r="D199" s="114" t="s">
        <v>24</v>
      </c>
      <c r="E199" s="114" t="s">
        <v>525</v>
      </c>
      <c r="F199" s="114" t="s">
        <v>84</v>
      </c>
      <c r="G199" s="115">
        <v>120</v>
      </c>
      <c r="H199" s="116">
        <v>90.967500000000001</v>
      </c>
      <c r="I199" s="121">
        <v>0.2223</v>
      </c>
      <c r="J199" s="116">
        <f t="shared" si="21"/>
        <v>20.22</v>
      </c>
      <c r="K199" s="116">
        <v>111.1875</v>
      </c>
      <c r="L199" s="116">
        <f t="shared" si="22"/>
        <v>10916.1</v>
      </c>
      <c r="M199" s="116">
        <f t="shared" si="23"/>
        <v>13342.5</v>
      </c>
      <c r="N199" s="116">
        <v>148.25</v>
      </c>
      <c r="O199" s="116">
        <f t="shared" si="24"/>
        <v>37.0625</v>
      </c>
      <c r="P199" s="116">
        <f t="shared" si="25"/>
        <v>4447.5</v>
      </c>
      <c r="Q199" s="116" t="s">
        <v>2332</v>
      </c>
      <c r="R199" s="116" t="s">
        <v>2730</v>
      </c>
      <c r="S199" s="116" t="str">
        <f t="shared" si="26"/>
        <v>OK - FECHA COM PLANILHA</v>
      </c>
      <c r="T199" s="116">
        <v>13342.5</v>
      </c>
      <c r="U199" s="122">
        <f t="shared" si="27"/>
        <v>0</v>
      </c>
    </row>
    <row r="200" spans="1:21" ht="102" x14ac:dyDescent="0.2">
      <c r="A200" s="120" t="s">
        <v>2731</v>
      </c>
      <c r="B200" s="114" t="s">
        <v>526</v>
      </c>
      <c r="C200" s="114" t="s">
        <v>1547</v>
      </c>
      <c r="D200" s="114" t="s">
        <v>24</v>
      </c>
      <c r="E200" s="114" t="s">
        <v>1548</v>
      </c>
      <c r="F200" s="114" t="s">
        <v>26</v>
      </c>
      <c r="G200" s="115">
        <v>20.318000000000001</v>
      </c>
      <c r="H200" s="116">
        <v>559.31999999999994</v>
      </c>
      <c r="I200" s="121">
        <v>0.2223</v>
      </c>
      <c r="J200" s="116">
        <f t="shared" si="21"/>
        <v>124.33500000000004</v>
      </c>
      <c r="K200" s="116">
        <v>683.65499999999997</v>
      </c>
      <c r="L200" s="116">
        <f t="shared" si="22"/>
        <v>11364.26376</v>
      </c>
      <c r="M200" s="116">
        <f t="shared" si="23"/>
        <v>13890.50229</v>
      </c>
      <c r="N200" s="116">
        <v>911.54</v>
      </c>
      <c r="O200" s="116">
        <f t="shared" si="24"/>
        <v>227.88499999999999</v>
      </c>
      <c r="P200" s="116">
        <f t="shared" si="25"/>
        <v>4630.1674300000004</v>
      </c>
      <c r="Q200" s="116" t="s">
        <v>2332</v>
      </c>
      <c r="R200" s="116" t="s">
        <v>2732</v>
      </c>
      <c r="S200" s="116" t="str">
        <f t="shared" si="26"/>
        <v>OK - FECHA COM PLANILHA</v>
      </c>
      <c r="T200" s="116">
        <v>13890.5</v>
      </c>
      <c r="U200" s="122">
        <f t="shared" si="27"/>
        <v>2.290000000357395E-3</v>
      </c>
    </row>
    <row r="201" spans="1:21" ht="63.75" x14ac:dyDescent="0.2">
      <c r="A201" s="120" t="s">
        <v>2733</v>
      </c>
      <c r="B201" s="114" t="s">
        <v>529</v>
      </c>
      <c r="C201" s="114" t="s">
        <v>1549</v>
      </c>
      <c r="D201" s="114" t="s">
        <v>56</v>
      </c>
      <c r="E201" s="114" t="s">
        <v>530</v>
      </c>
      <c r="F201" s="114" t="s">
        <v>26</v>
      </c>
      <c r="G201" s="115">
        <v>6.86</v>
      </c>
      <c r="H201" s="116">
        <v>589.77750000000003</v>
      </c>
      <c r="I201" s="121">
        <v>0.2223</v>
      </c>
      <c r="J201" s="116">
        <f t="shared" si="21"/>
        <v>131.10749999999996</v>
      </c>
      <c r="K201" s="116">
        <v>720.88499999999999</v>
      </c>
      <c r="L201" s="116">
        <f t="shared" si="22"/>
        <v>4045.8736500000005</v>
      </c>
      <c r="M201" s="116">
        <f t="shared" si="23"/>
        <v>4945.2710999999999</v>
      </c>
      <c r="N201" s="116">
        <v>961.18</v>
      </c>
      <c r="O201" s="116">
        <f t="shared" si="24"/>
        <v>240.29499999999996</v>
      </c>
      <c r="P201" s="116">
        <f t="shared" si="25"/>
        <v>1648.4236999999998</v>
      </c>
      <c r="Q201" s="116" t="s">
        <v>2349</v>
      </c>
      <c r="R201" s="116" t="s">
        <v>2734</v>
      </c>
      <c r="S201" s="116" t="str">
        <f t="shared" si="26"/>
        <v>OK - FECHA COM PLANILHA</v>
      </c>
      <c r="T201" s="116">
        <v>4945.2700000000004</v>
      </c>
      <c r="U201" s="122">
        <f t="shared" si="27"/>
        <v>1.0999999994965037E-3</v>
      </c>
    </row>
    <row r="202" spans="1:21" ht="63.75" x14ac:dyDescent="0.2">
      <c r="A202" s="120" t="s">
        <v>2735</v>
      </c>
      <c r="B202" s="114" t="s">
        <v>1550</v>
      </c>
      <c r="C202" s="114" t="s">
        <v>1551</v>
      </c>
      <c r="D202" s="114" t="s">
        <v>335</v>
      </c>
      <c r="E202" s="114" t="s">
        <v>531</v>
      </c>
      <c r="F202" s="114" t="s">
        <v>26</v>
      </c>
      <c r="G202" s="115">
        <v>11.638</v>
      </c>
      <c r="H202" s="116">
        <v>720.48</v>
      </c>
      <c r="I202" s="121">
        <v>0.2223</v>
      </c>
      <c r="J202" s="116">
        <f t="shared" si="21"/>
        <v>160.16250000000002</v>
      </c>
      <c r="K202" s="116">
        <v>880.64250000000004</v>
      </c>
      <c r="L202" s="116">
        <f t="shared" si="22"/>
        <v>8384.9462399999993</v>
      </c>
      <c r="M202" s="116">
        <f t="shared" si="23"/>
        <v>10248.917415</v>
      </c>
      <c r="N202" s="116">
        <v>1174.19</v>
      </c>
      <c r="O202" s="116">
        <f t="shared" si="24"/>
        <v>293.54750000000001</v>
      </c>
      <c r="P202" s="116">
        <f t="shared" si="25"/>
        <v>3416.305805</v>
      </c>
      <c r="Q202" s="116" t="s">
        <v>2589</v>
      </c>
      <c r="R202" s="116" t="s">
        <v>2736</v>
      </c>
      <c r="S202" s="116" t="str">
        <f t="shared" si="26"/>
        <v>OK - FECHA COM PLANILHA</v>
      </c>
      <c r="T202" s="116">
        <v>10248.91</v>
      </c>
      <c r="U202" s="122">
        <f t="shared" si="27"/>
        <v>7.4150000000372529E-3</v>
      </c>
    </row>
    <row r="203" spans="1:21" ht="63.75" x14ac:dyDescent="0.2">
      <c r="A203" s="120" t="s">
        <v>2737</v>
      </c>
      <c r="B203" s="114" t="s">
        <v>1552</v>
      </c>
      <c r="C203" s="114" t="s">
        <v>1553</v>
      </c>
      <c r="D203" s="114" t="s">
        <v>335</v>
      </c>
      <c r="E203" s="114" t="s">
        <v>532</v>
      </c>
      <c r="F203" s="114" t="s">
        <v>84</v>
      </c>
      <c r="G203" s="115">
        <v>1</v>
      </c>
      <c r="H203" s="116">
        <v>984.24749999999995</v>
      </c>
      <c r="I203" s="121">
        <v>0.2223</v>
      </c>
      <c r="J203" s="116">
        <f t="shared" si="21"/>
        <v>218.79750000000013</v>
      </c>
      <c r="K203" s="116">
        <v>1203.0450000000001</v>
      </c>
      <c r="L203" s="116">
        <f t="shared" si="22"/>
        <v>984.24749999999995</v>
      </c>
      <c r="M203" s="116">
        <f t="shared" si="23"/>
        <v>1203.0450000000001</v>
      </c>
      <c r="N203" s="116">
        <v>1604.06</v>
      </c>
      <c r="O203" s="116">
        <f t="shared" si="24"/>
        <v>401.01499999999987</v>
      </c>
      <c r="P203" s="116">
        <f t="shared" si="25"/>
        <v>401.01499999999987</v>
      </c>
      <c r="Q203" s="116" t="s">
        <v>2589</v>
      </c>
      <c r="R203" s="116" t="s">
        <v>2738</v>
      </c>
      <c r="S203" s="116" t="str">
        <f t="shared" si="26"/>
        <v>OK - FECHA COM PLANILHA</v>
      </c>
      <c r="T203" s="116">
        <v>1203.04</v>
      </c>
      <c r="U203" s="122">
        <f t="shared" si="27"/>
        <v>5.0000000001091394E-3</v>
      </c>
    </row>
    <row r="204" spans="1:21" ht="63.75" x14ac:dyDescent="0.2">
      <c r="A204" s="120" t="s">
        <v>2739</v>
      </c>
      <c r="B204" s="114" t="s">
        <v>1554</v>
      </c>
      <c r="C204" s="114" t="s">
        <v>533</v>
      </c>
      <c r="D204" s="114" t="s">
        <v>24</v>
      </c>
      <c r="E204" s="114" t="s">
        <v>1555</v>
      </c>
      <c r="F204" s="114" t="s">
        <v>84</v>
      </c>
      <c r="G204" s="115">
        <v>2</v>
      </c>
      <c r="H204" s="116">
        <v>37.597500000000004</v>
      </c>
      <c r="I204" s="121">
        <v>0.2223</v>
      </c>
      <c r="J204" s="116">
        <f t="shared" si="21"/>
        <v>8.3549999999999969</v>
      </c>
      <c r="K204" s="116">
        <v>45.952500000000001</v>
      </c>
      <c r="L204" s="116">
        <f t="shared" si="22"/>
        <v>75.195000000000007</v>
      </c>
      <c r="M204" s="116">
        <f t="shared" si="23"/>
        <v>91.905000000000001</v>
      </c>
      <c r="N204" s="116">
        <v>61.27</v>
      </c>
      <c r="O204" s="116">
        <f t="shared" si="24"/>
        <v>15.317500000000003</v>
      </c>
      <c r="P204" s="116">
        <f t="shared" si="25"/>
        <v>30.635000000000005</v>
      </c>
      <c r="Q204" s="116" t="s">
        <v>2332</v>
      </c>
      <c r="R204" s="116" t="s">
        <v>2740</v>
      </c>
      <c r="S204" s="116" t="str">
        <f t="shared" si="26"/>
        <v>OK - FECHA COM PLANILHA</v>
      </c>
      <c r="T204" s="116">
        <v>91.9</v>
      </c>
      <c r="U204" s="122">
        <f t="shared" si="27"/>
        <v>4.9999999999954525E-3</v>
      </c>
    </row>
    <row r="205" spans="1:21" ht="63.75" x14ac:dyDescent="0.2">
      <c r="A205" s="120" t="s">
        <v>2741</v>
      </c>
      <c r="B205" s="114" t="s">
        <v>537</v>
      </c>
      <c r="C205" s="114" t="s">
        <v>538</v>
      </c>
      <c r="D205" s="114" t="s">
        <v>209</v>
      </c>
      <c r="E205" s="114" t="s">
        <v>539</v>
      </c>
      <c r="F205" s="114" t="s">
        <v>540</v>
      </c>
      <c r="G205" s="115">
        <v>30.593</v>
      </c>
      <c r="H205" s="116">
        <v>341.66250000000002</v>
      </c>
      <c r="I205" s="121">
        <v>0.2223</v>
      </c>
      <c r="J205" s="116">
        <f t="shared" si="21"/>
        <v>75.944999999999936</v>
      </c>
      <c r="K205" s="116">
        <v>417.60749999999996</v>
      </c>
      <c r="L205" s="116">
        <f t="shared" si="22"/>
        <v>10452.480862500001</v>
      </c>
      <c r="M205" s="116">
        <f t="shared" si="23"/>
        <v>12775.866247499998</v>
      </c>
      <c r="N205" s="116">
        <v>556.80999999999995</v>
      </c>
      <c r="O205" s="116">
        <f t="shared" si="24"/>
        <v>139.20249999999999</v>
      </c>
      <c r="P205" s="116">
        <f t="shared" si="25"/>
        <v>4258.6220825</v>
      </c>
      <c r="Q205" s="116" t="s">
        <v>2458</v>
      </c>
      <c r="R205" s="116" t="s">
        <v>2742</v>
      </c>
      <c r="S205" s="116" t="str">
        <f t="shared" si="26"/>
        <v>OK - FECHA COM PLANILHA</v>
      </c>
      <c r="T205" s="116">
        <v>12775.86</v>
      </c>
      <c r="U205" s="122">
        <f t="shared" si="27"/>
        <v>6.2474999976984691E-3</v>
      </c>
    </row>
    <row r="206" spans="1:21" ht="63.75" x14ac:dyDescent="0.2">
      <c r="A206" s="120" t="s">
        <v>2743</v>
      </c>
      <c r="B206" s="114" t="s">
        <v>541</v>
      </c>
      <c r="C206" s="114" t="s">
        <v>1556</v>
      </c>
      <c r="D206" s="114" t="s">
        <v>335</v>
      </c>
      <c r="E206" s="114" t="s">
        <v>542</v>
      </c>
      <c r="F206" s="114" t="s">
        <v>26</v>
      </c>
      <c r="G206" s="115">
        <v>173.72300000000001</v>
      </c>
      <c r="H206" s="116">
        <v>369.07500000000005</v>
      </c>
      <c r="I206" s="121">
        <v>0.2223</v>
      </c>
      <c r="J206" s="116">
        <f t="shared" si="21"/>
        <v>82.042499999999961</v>
      </c>
      <c r="K206" s="116">
        <v>451.11750000000001</v>
      </c>
      <c r="L206" s="116">
        <f t="shared" si="22"/>
        <v>64116.81622500001</v>
      </c>
      <c r="M206" s="116">
        <f t="shared" si="23"/>
        <v>78369.485452500012</v>
      </c>
      <c r="N206" s="116">
        <v>601.49</v>
      </c>
      <c r="O206" s="116">
        <f t="shared" si="24"/>
        <v>150.3725</v>
      </c>
      <c r="P206" s="116">
        <f t="shared" si="25"/>
        <v>26123.161817500004</v>
      </c>
      <c r="Q206" s="116" t="s">
        <v>2589</v>
      </c>
      <c r="R206" s="116" t="s">
        <v>2744</v>
      </c>
      <c r="S206" s="116" t="str">
        <f t="shared" si="26"/>
        <v>OK - FECHA COM PLANILHA</v>
      </c>
      <c r="T206" s="116">
        <v>78369.48</v>
      </c>
      <c r="U206" s="122">
        <f t="shared" si="27"/>
        <v>5.4525000159628689E-3</v>
      </c>
    </row>
    <row r="207" spans="1:21" ht="63.75" x14ac:dyDescent="0.2">
      <c r="A207" s="120" t="s">
        <v>2745</v>
      </c>
      <c r="B207" s="114" t="s">
        <v>543</v>
      </c>
      <c r="C207" s="114" t="s">
        <v>544</v>
      </c>
      <c r="D207" s="114" t="s">
        <v>209</v>
      </c>
      <c r="E207" s="114" t="s">
        <v>1557</v>
      </c>
      <c r="F207" s="114" t="s">
        <v>99</v>
      </c>
      <c r="G207" s="115">
        <v>322.73500000000001</v>
      </c>
      <c r="H207" s="116">
        <v>43.125</v>
      </c>
      <c r="I207" s="121">
        <v>0.2223</v>
      </c>
      <c r="J207" s="116">
        <f t="shared" si="21"/>
        <v>9.5850000000000009</v>
      </c>
      <c r="K207" s="116">
        <v>52.71</v>
      </c>
      <c r="L207" s="116">
        <f t="shared" si="22"/>
        <v>13917.946875000001</v>
      </c>
      <c r="M207" s="116">
        <f t="shared" si="23"/>
        <v>17011.361850000001</v>
      </c>
      <c r="N207" s="116">
        <v>70.28</v>
      </c>
      <c r="O207" s="116">
        <f t="shared" si="24"/>
        <v>17.57</v>
      </c>
      <c r="P207" s="116">
        <f t="shared" si="25"/>
        <v>5670.4539500000001</v>
      </c>
      <c r="Q207" s="116" t="s">
        <v>2458</v>
      </c>
      <c r="R207" s="116" t="s">
        <v>2746</v>
      </c>
      <c r="S207" s="116" t="str">
        <f t="shared" si="26"/>
        <v>OK - FECHA COM PLANILHA</v>
      </c>
      <c r="T207" s="116">
        <v>17011.36</v>
      </c>
      <c r="U207" s="122">
        <f t="shared" si="27"/>
        <v>1.8500000005587935E-3</v>
      </c>
    </row>
    <row r="208" spans="1:21" ht="63.75" x14ac:dyDescent="0.2">
      <c r="A208" s="120" t="s">
        <v>2747</v>
      </c>
      <c r="B208" s="114" t="s">
        <v>546</v>
      </c>
      <c r="C208" s="114" t="s">
        <v>1558</v>
      </c>
      <c r="D208" s="114" t="s">
        <v>335</v>
      </c>
      <c r="E208" s="114" t="s">
        <v>547</v>
      </c>
      <c r="F208" s="114" t="s">
        <v>26</v>
      </c>
      <c r="G208" s="115">
        <v>208.96299999999999</v>
      </c>
      <c r="H208" s="116">
        <v>215.715</v>
      </c>
      <c r="I208" s="121">
        <v>0.2223</v>
      </c>
      <c r="J208" s="116">
        <f t="shared" si="21"/>
        <v>47.947500000000019</v>
      </c>
      <c r="K208" s="116">
        <v>263.66250000000002</v>
      </c>
      <c r="L208" s="116">
        <f t="shared" si="22"/>
        <v>45076.453544999997</v>
      </c>
      <c r="M208" s="116">
        <f t="shared" si="23"/>
        <v>55095.706987500002</v>
      </c>
      <c r="N208" s="116">
        <v>351.55</v>
      </c>
      <c r="O208" s="116">
        <f t="shared" si="24"/>
        <v>87.887499999999989</v>
      </c>
      <c r="P208" s="116">
        <f t="shared" si="25"/>
        <v>18365.235662499996</v>
      </c>
      <c r="Q208" s="116" t="s">
        <v>2589</v>
      </c>
      <c r="R208" s="116" t="s">
        <v>2748</v>
      </c>
      <c r="S208" s="116" t="str">
        <f t="shared" si="26"/>
        <v>OK - FECHA COM PLANILHA</v>
      </c>
      <c r="T208" s="116">
        <v>55095.7</v>
      </c>
      <c r="U208" s="122">
        <f t="shared" si="27"/>
        <v>6.9875000044703484E-3</v>
      </c>
    </row>
    <row r="209" spans="1:21" ht="63.75" x14ac:dyDescent="0.2">
      <c r="A209" s="120" t="s">
        <v>2749</v>
      </c>
      <c r="B209" s="114" t="s">
        <v>550</v>
      </c>
      <c r="C209" s="114" t="s">
        <v>551</v>
      </c>
      <c r="D209" s="114" t="s">
        <v>209</v>
      </c>
      <c r="E209" s="114" t="s">
        <v>552</v>
      </c>
      <c r="F209" s="114" t="s">
        <v>26</v>
      </c>
      <c r="G209" s="115">
        <v>15.467000000000001</v>
      </c>
      <c r="H209" s="116">
        <v>961.44749999999999</v>
      </c>
      <c r="I209" s="121">
        <v>0.2223</v>
      </c>
      <c r="J209" s="116">
        <f t="shared" si="21"/>
        <v>213.72750000000019</v>
      </c>
      <c r="K209" s="116">
        <v>1175.1750000000002</v>
      </c>
      <c r="L209" s="116">
        <f t="shared" si="22"/>
        <v>14870.7084825</v>
      </c>
      <c r="M209" s="116">
        <f t="shared" si="23"/>
        <v>18176.431725000002</v>
      </c>
      <c r="N209" s="116">
        <v>1566.9</v>
      </c>
      <c r="O209" s="116">
        <f t="shared" si="24"/>
        <v>391.72499999999991</v>
      </c>
      <c r="P209" s="116">
        <f t="shared" si="25"/>
        <v>6058.8105749999986</v>
      </c>
      <c r="Q209" s="116" t="s">
        <v>2458</v>
      </c>
      <c r="R209" s="116" t="s">
        <v>2750</v>
      </c>
      <c r="S209" s="116" t="str">
        <f t="shared" si="26"/>
        <v>OK - FECHA COM PLANILHA</v>
      </c>
      <c r="T209" s="116">
        <v>18176.43</v>
      </c>
      <c r="U209" s="122">
        <f t="shared" si="27"/>
        <v>1.7250000018975697E-3</v>
      </c>
    </row>
    <row r="210" spans="1:21" ht="63.75" x14ac:dyDescent="0.2">
      <c r="A210" s="120" t="s">
        <v>2751</v>
      </c>
      <c r="B210" s="114" t="s">
        <v>556</v>
      </c>
      <c r="C210" s="114" t="s">
        <v>1559</v>
      </c>
      <c r="D210" s="114" t="s">
        <v>56</v>
      </c>
      <c r="E210" s="114" t="s">
        <v>557</v>
      </c>
      <c r="F210" s="114" t="s">
        <v>84</v>
      </c>
      <c r="G210" s="115">
        <v>1</v>
      </c>
      <c r="H210" s="116">
        <v>253.02</v>
      </c>
      <c r="I210" s="121">
        <v>0.2223</v>
      </c>
      <c r="J210" s="116">
        <f t="shared" si="21"/>
        <v>56.242500000000035</v>
      </c>
      <c r="K210" s="116">
        <v>309.26250000000005</v>
      </c>
      <c r="L210" s="116">
        <f t="shared" si="22"/>
        <v>253.02</v>
      </c>
      <c r="M210" s="116">
        <f t="shared" si="23"/>
        <v>309.26250000000005</v>
      </c>
      <c r="N210" s="116">
        <v>412.35</v>
      </c>
      <c r="O210" s="116">
        <f t="shared" si="24"/>
        <v>103.08749999999998</v>
      </c>
      <c r="P210" s="116">
        <f t="shared" si="25"/>
        <v>103.08749999999998</v>
      </c>
      <c r="Q210" s="116" t="s">
        <v>2349</v>
      </c>
      <c r="R210" s="116" t="s">
        <v>2752</v>
      </c>
      <c r="S210" s="116" t="str">
        <f t="shared" si="26"/>
        <v>OK - FECHA COM PLANILHA</v>
      </c>
      <c r="T210" s="116">
        <v>309.26</v>
      </c>
      <c r="U210" s="122">
        <f t="shared" si="27"/>
        <v>2.5000000000545697E-3</v>
      </c>
    </row>
    <row r="211" spans="1:21" ht="63.75" x14ac:dyDescent="0.2">
      <c r="A211" s="120" t="s">
        <v>2753</v>
      </c>
      <c r="B211" s="114" t="s">
        <v>558</v>
      </c>
      <c r="C211" s="114" t="s">
        <v>1560</v>
      </c>
      <c r="D211" s="114" t="s">
        <v>56</v>
      </c>
      <c r="E211" s="114" t="s">
        <v>559</v>
      </c>
      <c r="F211" s="114" t="s">
        <v>84</v>
      </c>
      <c r="G211" s="115">
        <v>1</v>
      </c>
      <c r="H211" s="116">
        <v>189.36750000000001</v>
      </c>
      <c r="I211" s="121">
        <v>0.2223</v>
      </c>
      <c r="J211" s="116">
        <f t="shared" si="21"/>
        <v>42.09</v>
      </c>
      <c r="K211" s="116">
        <v>231.45750000000001</v>
      </c>
      <c r="L211" s="116">
        <f t="shared" si="22"/>
        <v>189.36750000000001</v>
      </c>
      <c r="M211" s="116">
        <f t="shared" si="23"/>
        <v>231.45750000000001</v>
      </c>
      <c r="N211" s="116">
        <v>308.61</v>
      </c>
      <c r="O211" s="116">
        <f t="shared" si="24"/>
        <v>77.152500000000003</v>
      </c>
      <c r="P211" s="116">
        <f t="shared" si="25"/>
        <v>77.152500000000003</v>
      </c>
      <c r="Q211" s="116" t="s">
        <v>2349</v>
      </c>
      <c r="R211" s="116" t="s">
        <v>2754</v>
      </c>
      <c r="S211" s="116" t="str">
        <f t="shared" si="26"/>
        <v>OK - FECHA COM PLANILHA</v>
      </c>
      <c r="T211" s="116">
        <v>231.45</v>
      </c>
      <c r="U211" s="122">
        <f t="shared" si="27"/>
        <v>7.5000000000216005E-3</v>
      </c>
    </row>
    <row r="212" spans="1:21" ht="127.5" x14ac:dyDescent="0.2">
      <c r="A212" s="120" t="s">
        <v>2755</v>
      </c>
      <c r="B212" s="114" t="s">
        <v>560</v>
      </c>
      <c r="C212" s="114" t="s">
        <v>1561</v>
      </c>
      <c r="D212" s="114" t="s">
        <v>24</v>
      </c>
      <c r="E212" s="114" t="s">
        <v>562</v>
      </c>
      <c r="F212" s="114" t="s">
        <v>84</v>
      </c>
      <c r="G212" s="115">
        <v>1</v>
      </c>
      <c r="H212" s="116">
        <v>442.3125</v>
      </c>
      <c r="I212" s="121">
        <v>0.2223</v>
      </c>
      <c r="J212" s="116">
        <f t="shared" si="21"/>
        <v>98.325000000000045</v>
      </c>
      <c r="K212" s="116">
        <v>540.63750000000005</v>
      </c>
      <c r="L212" s="116">
        <f t="shared" si="22"/>
        <v>442.3125</v>
      </c>
      <c r="M212" s="116">
        <f t="shared" si="23"/>
        <v>540.63750000000005</v>
      </c>
      <c r="N212" s="116">
        <v>720.85</v>
      </c>
      <c r="O212" s="116">
        <f t="shared" si="24"/>
        <v>180.21249999999998</v>
      </c>
      <c r="P212" s="116">
        <f t="shared" si="25"/>
        <v>180.21249999999998</v>
      </c>
      <c r="Q212" s="116" t="s">
        <v>2332</v>
      </c>
      <c r="R212" s="116" t="s">
        <v>2756</v>
      </c>
      <c r="S212" s="116" t="str">
        <f t="shared" si="26"/>
        <v>OK - FECHA COM PLANILHA</v>
      </c>
      <c r="T212" s="116">
        <v>540.63</v>
      </c>
      <c r="U212" s="122">
        <f t="shared" si="27"/>
        <v>7.5000000000500222E-3</v>
      </c>
    </row>
    <row r="213" spans="1:21" ht="63.75" x14ac:dyDescent="0.2">
      <c r="A213" s="120" t="s">
        <v>2757</v>
      </c>
      <c r="B213" s="114" t="s">
        <v>563</v>
      </c>
      <c r="C213" s="114" t="s">
        <v>1562</v>
      </c>
      <c r="D213" s="114" t="s">
        <v>56</v>
      </c>
      <c r="E213" s="114" t="s">
        <v>564</v>
      </c>
      <c r="F213" s="114" t="s">
        <v>84</v>
      </c>
      <c r="G213" s="115">
        <v>3</v>
      </c>
      <c r="H213" s="116">
        <v>1157.2425000000001</v>
      </c>
      <c r="I213" s="121">
        <v>0.2223</v>
      </c>
      <c r="J213" s="116">
        <f t="shared" si="21"/>
        <v>257.25</v>
      </c>
      <c r="K213" s="116">
        <v>1414.4925000000001</v>
      </c>
      <c r="L213" s="116">
        <f t="shared" si="22"/>
        <v>3471.7275</v>
      </c>
      <c r="M213" s="116">
        <f t="shared" si="23"/>
        <v>4243.4775</v>
      </c>
      <c r="N213" s="116">
        <v>1885.99</v>
      </c>
      <c r="O213" s="116">
        <f t="shared" si="24"/>
        <v>471.49749999999995</v>
      </c>
      <c r="P213" s="116">
        <f t="shared" si="25"/>
        <v>1414.4924999999998</v>
      </c>
      <c r="Q213" s="116" t="s">
        <v>2349</v>
      </c>
      <c r="R213" s="116" t="s">
        <v>2758</v>
      </c>
      <c r="S213" s="116" t="str">
        <f t="shared" si="26"/>
        <v>OK - FECHA COM PLANILHA</v>
      </c>
      <c r="T213" s="116">
        <v>4243.47</v>
      </c>
      <c r="U213" s="122">
        <f t="shared" si="27"/>
        <v>7.4999999997089617E-3</v>
      </c>
    </row>
    <row r="214" spans="1:21" ht="63.75" x14ac:dyDescent="0.2">
      <c r="A214" s="120" t="s">
        <v>2759</v>
      </c>
      <c r="B214" s="114" t="s">
        <v>565</v>
      </c>
      <c r="C214" s="114" t="s">
        <v>1563</v>
      </c>
      <c r="D214" s="114" t="s">
        <v>56</v>
      </c>
      <c r="E214" s="114" t="s">
        <v>566</v>
      </c>
      <c r="F214" s="114" t="s">
        <v>84</v>
      </c>
      <c r="G214" s="115">
        <v>2</v>
      </c>
      <c r="H214" s="116">
        <v>1229.79</v>
      </c>
      <c r="I214" s="121">
        <v>0.2223</v>
      </c>
      <c r="J214" s="116">
        <f t="shared" si="21"/>
        <v>273.375</v>
      </c>
      <c r="K214" s="116">
        <v>1503.165</v>
      </c>
      <c r="L214" s="116">
        <f t="shared" si="22"/>
        <v>2459.58</v>
      </c>
      <c r="M214" s="116">
        <f t="shared" si="23"/>
        <v>3006.33</v>
      </c>
      <c r="N214" s="116">
        <v>2004.22</v>
      </c>
      <c r="O214" s="116">
        <f t="shared" si="24"/>
        <v>501.05500000000006</v>
      </c>
      <c r="P214" s="116">
        <f t="shared" si="25"/>
        <v>1002.1100000000001</v>
      </c>
      <c r="Q214" s="116" t="s">
        <v>2349</v>
      </c>
      <c r="R214" s="116" t="s">
        <v>2760</v>
      </c>
      <c r="S214" s="116" t="str">
        <f t="shared" si="26"/>
        <v>OK - FECHA COM PLANILHA</v>
      </c>
      <c r="T214" s="116">
        <v>3006.33</v>
      </c>
      <c r="U214" s="122">
        <f t="shared" si="27"/>
        <v>0</v>
      </c>
    </row>
    <row r="215" spans="1:21" ht="63.75" x14ac:dyDescent="0.2">
      <c r="A215" s="120" t="s">
        <v>2761</v>
      </c>
      <c r="B215" s="114" t="s">
        <v>567</v>
      </c>
      <c r="C215" s="114" t="s">
        <v>1564</v>
      </c>
      <c r="D215" s="114" t="s">
        <v>56</v>
      </c>
      <c r="E215" s="114" t="s">
        <v>1565</v>
      </c>
      <c r="F215" s="114" t="s">
        <v>84</v>
      </c>
      <c r="G215" s="115">
        <v>2</v>
      </c>
      <c r="H215" s="116">
        <v>86.842500000000001</v>
      </c>
      <c r="I215" s="121">
        <v>0.2223</v>
      </c>
      <c r="J215" s="116">
        <f t="shared" si="21"/>
        <v>19.305000000000007</v>
      </c>
      <c r="K215" s="116">
        <v>106.14750000000001</v>
      </c>
      <c r="L215" s="116">
        <f t="shared" si="22"/>
        <v>173.685</v>
      </c>
      <c r="M215" s="116">
        <f t="shared" si="23"/>
        <v>212.29500000000002</v>
      </c>
      <c r="N215" s="116">
        <v>141.53</v>
      </c>
      <c r="O215" s="116">
        <f t="shared" si="24"/>
        <v>35.382499999999993</v>
      </c>
      <c r="P215" s="116">
        <f t="shared" si="25"/>
        <v>70.764999999999986</v>
      </c>
      <c r="Q215" s="116" t="s">
        <v>2349</v>
      </c>
      <c r="R215" s="116" t="s">
        <v>2762</v>
      </c>
      <c r="S215" s="116" t="str">
        <f t="shared" si="26"/>
        <v>OK - FECHA COM PLANILHA</v>
      </c>
      <c r="T215" s="116">
        <v>212.29</v>
      </c>
      <c r="U215" s="122">
        <f t="shared" si="27"/>
        <v>5.0000000000238742E-3</v>
      </c>
    </row>
    <row r="216" spans="1:21" ht="63.75" x14ac:dyDescent="0.2">
      <c r="A216" s="120" t="s">
        <v>2763</v>
      </c>
      <c r="B216" s="114" t="s">
        <v>569</v>
      </c>
      <c r="C216" s="114" t="s">
        <v>1566</v>
      </c>
      <c r="D216" s="114" t="s">
        <v>56</v>
      </c>
      <c r="E216" s="114" t="s">
        <v>1567</v>
      </c>
      <c r="F216" s="114" t="s">
        <v>84</v>
      </c>
      <c r="G216" s="115">
        <v>1</v>
      </c>
      <c r="H216" s="116">
        <v>216.78750000000002</v>
      </c>
      <c r="I216" s="121">
        <v>0.2223</v>
      </c>
      <c r="J216" s="116">
        <f t="shared" si="21"/>
        <v>48.1875</v>
      </c>
      <c r="K216" s="116">
        <v>264.97500000000002</v>
      </c>
      <c r="L216" s="116">
        <f t="shared" si="22"/>
        <v>216.78750000000002</v>
      </c>
      <c r="M216" s="116">
        <f t="shared" si="23"/>
        <v>264.97500000000002</v>
      </c>
      <c r="N216" s="116">
        <v>353.3</v>
      </c>
      <c r="O216" s="116">
        <f t="shared" si="24"/>
        <v>88.324999999999989</v>
      </c>
      <c r="P216" s="116">
        <f t="shared" si="25"/>
        <v>88.324999999999989</v>
      </c>
      <c r="Q216" s="116" t="s">
        <v>2349</v>
      </c>
      <c r="R216" s="116" t="s">
        <v>2764</v>
      </c>
      <c r="S216" s="116" t="str">
        <f t="shared" si="26"/>
        <v>OK - FECHA COM PLANILHA</v>
      </c>
      <c r="T216" s="116">
        <v>264.97000000000003</v>
      </c>
      <c r="U216" s="122">
        <f t="shared" si="27"/>
        <v>4.9999999999954525E-3</v>
      </c>
    </row>
    <row r="217" spans="1:21" ht="63.75" x14ac:dyDescent="0.2">
      <c r="A217" s="120" t="s">
        <v>2765</v>
      </c>
      <c r="B217" s="114" t="s">
        <v>571</v>
      </c>
      <c r="C217" s="114" t="s">
        <v>1568</v>
      </c>
      <c r="D217" s="114" t="s">
        <v>56</v>
      </c>
      <c r="E217" s="114" t="s">
        <v>572</v>
      </c>
      <c r="F217" s="114" t="s">
        <v>84</v>
      </c>
      <c r="G217" s="115">
        <v>1</v>
      </c>
      <c r="H217" s="116">
        <v>19.837499999999999</v>
      </c>
      <c r="I217" s="121">
        <v>0.2223</v>
      </c>
      <c r="J217" s="116">
        <f t="shared" si="21"/>
        <v>4.4025000000000034</v>
      </c>
      <c r="K217" s="116">
        <v>24.240000000000002</v>
      </c>
      <c r="L217" s="116">
        <f t="shared" si="22"/>
        <v>19.837499999999999</v>
      </c>
      <c r="M217" s="116">
        <f t="shared" si="23"/>
        <v>24.240000000000002</v>
      </c>
      <c r="N217" s="116">
        <v>32.32</v>
      </c>
      <c r="O217" s="116">
        <f t="shared" si="24"/>
        <v>8.0799999999999983</v>
      </c>
      <c r="P217" s="116">
        <f t="shared" si="25"/>
        <v>8.0799999999999983</v>
      </c>
      <c r="Q217" s="116" t="s">
        <v>2349</v>
      </c>
      <c r="R217" s="116" t="s">
        <v>2766</v>
      </c>
      <c r="S217" s="116" t="str">
        <f t="shared" si="26"/>
        <v>OK - FECHA COM PLANILHA</v>
      </c>
      <c r="T217" s="116">
        <v>24.24</v>
      </c>
      <c r="U217" s="122">
        <f t="shared" si="27"/>
        <v>0</v>
      </c>
    </row>
    <row r="218" spans="1:21" ht="63.75" x14ac:dyDescent="0.2">
      <c r="A218" s="120" t="s">
        <v>2767</v>
      </c>
      <c r="B218" s="114" t="s">
        <v>573</v>
      </c>
      <c r="C218" s="114" t="s">
        <v>1569</v>
      </c>
      <c r="D218" s="114" t="s">
        <v>56</v>
      </c>
      <c r="E218" s="114" t="s">
        <v>574</v>
      </c>
      <c r="F218" s="114" t="s">
        <v>99</v>
      </c>
      <c r="G218" s="115">
        <v>12.1</v>
      </c>
      <c r="H218" s="116">
        <v>27.022500000000001</v>
      </c>
      <c r="I218" s="121">
        <v>0.2223</v>
      </c>
      <c r="J218" s="116">
        <f t="shared" si="21"/>
        <v>6</v>
      </c>
      <c r="K218" s="116">
        <v>33.022500000000001</v>
      </c>
      <c r="L218" s="116">
        <f t="shared" si="22"/>
        <v>326.97224999999997</v>
      </c>
      <c r="M218" s="116">
        <f t="shared" si="23"/>
        <v>399.57225</v>
      </c>
      <c r="N218" s="116">
        <v>44.03</v>
      </c>
      <c r="O218" s="116">
        <f t="shared" si="24"/>
        <v>11.0075</v>
      </c>
      <c r="P218" s="116">
        <f t="shared" si="25"/>
        <v>133.19075000000001</v>
      </c>
      <c r="Q218" s="116" t="s">
        <v>2349</v>
      </c>
      <c r="R218" s="116" t="s">
        <v>2768</v>
      </c>
      <c r="S218" s="116" t="str">
        <f t="shared" si="26"/>
        <v>OK - FECHA COM PLANILHA</v>
      </c>
      <c r="T218" s="116">
        <v>399.57</v>
      </c>
      <c r="U218" s="122">
        <f t="shared" si="27"/>
        <v>2.250000000003638E-3</v>
      </c>
    </row>
    <row r="219" spans="1:21" ht="63.75" x14ac:dyDescent="0.2">
      <c r="A219" s="120" t="s">
        <v>2769</v>
      </c>
      <c r="B219" s="114" t="s">
        <v>1570</v>
      </c>
      <c r="C219" s="114" t="s">
        <v>1571</v>
      </c>
      <c r="D219" s="114" t="s">
        <v>56</v>
      </c>
      <c r="E219" s="114" t="s">
        <v>575</v>
      </c>
      <c r="F219" s="114" t="s">
        <v>99</v>
      </c>
      <c r="G219" s="115">
        <v>0.3</v>
      </c>
      <c r="H219" s="116">
        <v>23.557500000000001</v>
      </c>
      <c r="I219" s="121">
        <v>0.2223</v>
      </c>
      <c r="J219" s="116">
        <f t="shared" si="21"/>
        <v>5.2349999999999994</v>
      </c>
      <c r="K219" s="116">
        <v>28.7925</v>
      </c>
      <c r="L219" s="116">
        <f t="shared" si="22"/>
        <v>7.0672500000000005</v>
      </c>
      <c r="M219" s="116">
        <f t="shared" si="23"/>
        <v>8.6377500000000005</v>
      </c>
      <c r="N219" s="116">
        <v>38.39</v>
      </c>
      <c r="O219" s="116">
        <f t="shared" si="24"/>
        <v>9.5975000000000001</v>
      </c>
      <c r="P219" s="116">
        <f t="shared" si="25"/>
        <v>2.8792499999999999</v>
      </c>
      <c r="Q219" s="116" t="s">
        <v>2349</v>
      </c>
      <c r="R219" s="116" t="s">
        <v>2770</v>
      </c>
      <c r="S219" s="116" t="str">
        <f t="shared" si="26"/>
        <v>OK - FECHA COM PLANILHA</v>
      </c>
      <c r="T219" s="116">
        <v>8.6300000000000008</v>
      </c>
      <c r="U219" s="122">
        <f t="shared" si="27"/>
        <v>7.7499999999997016E-3</v>
      </c>
    </row>
    <row r="220" spans="1:21" ht="63.75" x14ac:dyDescent="0.2">
      <c r="A220" s="120" t="s">
        <v>2771</v>
      </c>
      <c r="B220" s="114" t="s">
        <v>1572</v>
      </c>
      <c r="C220" s="114" t="s">
        <v>1573</v>
      </c>
      <c r="D220" s="114" t="s">
        <v>56</v>
      </c>
      <c r="E220" s="114" t="s">
        <v>576</v>
      </c>
      <c r="F220" s="114" t="s">
        <v>99</v>
      </c>
      <c r="G220" s="115">
        <v>109.7</v>
      </c>
      <c r="H220" s="116">
        <v>31.740000000000002</v>
      </c>
      <c r="I220" s="121">
        <v>0.2223</v>
      </c>
      <c r="J220" s="116">
        <f t="shared" si="21"/>
        <v>7.0499999999999972</v>
      </c>
      <c r="K220" s="116">
        <v>38.79</v>
      </c>
      <c r="L220" s="116">
        <f t="shared" si="22"/>
        <v>3481.8780000000002</v>
      </c>
      <c r="M220" s="116">
        <f t="shared" si="23"/>
        <v>4255.2629999999999</v>
      </c>
      <c r="N220" s="116">
        <v>51.72</v>
      </c>
      <c r="O220" s="116">
        <f t="shared" si="24"/>
        <v>12.93</v>
      </c>
      <c r="P220" s="116">
        <f t="shared" si="25"/>
        <v>1418.421</v>
      </c>
      <c r="Q220" s="116" t="s">
        <v>2349</v>
      </c>
      <c r="R220" s="116" t="s">
        <v>2772</v>
      </c>
      <c r="S220" s="116" t="str">
        <f t="shared" si="26"/>
        <v>OK - FECHA COM PLANILHA</v>
      </c>
      <c r="T220" s="116">
        <v>4255.26</v>
      </c>
      <c r="U220" s="122">
        <f t="shared" si="27"/>
        <v>2.9999999997016857E-3</v>
      </c>
    </row>
    <row r="221" spans="1:21" ht="63.75" x14ac:dyDescent="0.2">
      <c r="A221" s="120" t="s">
        <v>2773</v>
      </c>
      <c r="B221" s="114" t="s">
        <v>1574</v>
      </c>
      <c r="C221" s="114" t="s">
        <v>1575</v>
      </c>
      <c r="D221" s="114" t="s">
        <v>56</v>
      </c>
      <c r="E221" s="114" t="s">
        <v>577</v>
      </c>
      <c r="F221" s="114" t="s">
        <v>99</v>
      </c>
      <c r="G221" s="115">
        <v>39.700000000000003</v>
      </c>
      <c r="H221" s="116">
        <v>23.865000000000002</v>
      </c>
      <c r="I221" s="121">
        <v>0.2223</v>
      </c>
      <c r="J221" s="116">
        <f t="shared" si="21"/>
        <v>5.3024999999999984</v>
      </c>
      <c r="K221" s="116">
        <v>29.1675</v>
      </c>
      <c r="L221" s="116">
        <f t="shared" si="22"/>
        <v>947.44050000000016</v>
      </c>
      <c r="M221" s="116">
        <f t="shared" si="23"/>
        <v>1157.94975</v>
      </c>
      <c r="N221" s="116">
        <v>38.89</v>
      </c>
      <c r="O221" s="116">
        <f t="shared" si="24"/>
        <v>9.7225000000000001</v>
      </c>
      <c r="P221" s="116">
        <f t="shared" si="25"/>
        <v>385.98325000000006</v>
      </c>
      <c r="Q221" s="116" t="s">
        <v>2349</v>
      </c>
      <c r="R221" s="116" t="s">
        <v>2774</v>
      </c>
      <c r="S221" s="116" t="str">
        <f t="shared" si="26"/>
        <v>OK - FECHA COM PLANILHA</v>
      </c>
      <c r="T221" s="116">
        <v>1157.94</v>
      </c>
      <c r="U221" s="122">
        <f t="shared" si="27"/>
        <v>9.7499999999399733E-3</v>
      </c>
    </row>
    <row r="222" spans="1:21" ht="63.75" x14ac:dyDescent="0.2">
      <c r="A222" s="120" t="s">
        <v>2775</v>
      </c>
      <c r="B222" s="114" t="s">
        <v>1576</v>
      </c>
      <c r="C222" s="114" t="s">
        <v>1577</v>
      </c>
      <c r="D222" s="114" t="s">
        <v>56</v>
      </c>
      <c r="E222" s="114" t="s">
        <v>1578</v>
      </c>
      <c r="F222" s="114" t="s">
        <v>84</v>
      </c>
      <c r="G222" s="115">
        <v>1</v>
      </c>
      <c r="H222" s="116">
        <v>27.787499999999998</v>
      </c>
      <c r="I222" s="121">
        <v>0.2223</v>
      </c>
      <c r="J222" s="116">
        <f t="shared" si="21"/>
        <v>6.172500000000003</v>
      </c>
      <c r="K222" s="116">
        <v>33.96</v>
      </c>
      <c r="L222" s="116">
        <f t="shared" si="22"/>
        <v>27.787499999999998</v>
      </c>
      <c r="M222" s="116">
        <f t="shared" si="23"/>
        <v>33.96</v>
      </c>
      <c r="N222" s="116">
        <v>45.28</v>
      </c>
      <c r="O222" s="116">
        <f t="shared" si="24"/>
        <v>11.32</v>
      </c>
      <c r="P222" s="116">
        <f t="shared" si="25"/>
        <v>11.32</v>
      </c>
      <c r="Q222" s="116" t="s">
        <v>2349</v>
      </c>
      <c r="R222" s="116" t="s">
        <v>2776</v>
      </c>
      <c r="S222" s="116" t="str">
        <f t="shared" si="26"/>
        <v>OK - FECHA COM PLANILHA</v>
      </c>
      <c r="T222" s="116">
        <v>33.96</v>
      </c>
      <c r="U222" s="122">
        <f t="shared" si="27"/>
        <v>0</v>
      </c>
    </row>
    <row r="223" spans="1:21" ht="63.75" x14ac:dyDescent="0.2">
      <c r="A223" s="120" t="s">
        <v>2777</v>
      </c>
      <c r="B223" s="114" t="s">
        <v>1579</v>
      </c>
      <c r="C223" s="114" t="s">
        <v>1580</v>
      </c>
      <c r="D223" s="114" t="s">
        <v>56</v>
      </c>
      <c r="E223" s="114" t="s">
        <v>579</v>
      </c>
      <c r="F223" s="114" t="s">
        <v>84</v>
      </c>
      <c r="G223" s="115">
        <v>1</v>
      </c>
      <c r="H223" s="116">
        <v>33.532499999999999</v>
      </c>
      <c r="I223" s="121">
        <v>0.2223</v>
      </c>
      <c r="J223" s="116">
        <f t="shared" si="21"/>
        <v>7.4475000000000051</v>
      </c>
      <c r="K223" s="116">
        <v>40.980000000000004</v>
      </c>
      <c r="L223" s="116">
        <f t="shared" si="22"/>
        <v>33.532499999999999</v>
      </c>
      <c r="M223" s="116">
        <f t="shared" si="23"/>
        <v>40.980000000000004</v>
      </c>
      <c r="N223" s="116">
        <v>54.64</v>
      </c>
      <c r="O223" s="116">
        <f t="shared" si="24"/>
        <v>13.659999999999997</v>
      </c>
      <c r="P223" s="116">
        <f t="shared" si="25"/>
        <v>13.659999999999997</v>
      </c>
      <c r="Q223" s="116" t="s">
        <v>2349</v>
      </c>
      <c r="R223" s="116" t="s">
        <v>2778</v>
      </c>
      <c r="S223" s="116" t="str">
        <f t="shared" si="26"/>
        <v>OK - FECHA COM PLANILHA</v>
      </c>
      <c r="T223" s="116">
        <v>40.98</v>
      </c>
      <c r="U223" s="122">
        <f t="shared" si="27"/>
        <v>0</v>
      </c>
    </row>
    <row r="224" spans="1:21" ht="63.75" x14ac:dyDescent="0.2">
      <c r="A224" s="120" t="s">
        <v>2779</v>
      </c>
      <c r="B224" s="114" t="s">
        <v>1581</v>
      </c>
      <c r="C224" s="114" t="s">
        <v>1582</v>
      </c>
      <c r="D224" s="114" t="s">
        <v>56</v>
      </c>
      <c r="E224" s="114" t="s">
        <v>580</v>
      </c>
      <c r="F224" s="114" t="s">
        <v>84</v>
      </c>
      <c r="G224" s="115">
        <v>8</v>
      </c>
      <c r="H224" s="116">
        <v>49.987500000000004</v>
      </c>
      <c r="I224" s="121">
        <v>0.2223</v>
      </c>
      <c r="J224" s="116">
        <f t="shared" si="21"/>
        <v>11.107499999999995</v>
      </c>
      <c r="K224" s="116">
        <v>61.094999999999999</v>
      </c>
      <c r="L224" s="116">
        <f t="shared" si="22"/>
        <v>399.90000000000003</v>
      </c>
      <c r="M224" s="116">
        <f t="shared" si="23"/>
        <v>488.76</v>
      </c>
      <c r="N224" s="116">
        <v>81.459999999999994</v>
      </c>
      <c r="O224" s="116">
        <f t="shared" si="24"/>
        <v>20.364999999999995</v>
      </c>
      <c r="P224" s="116">
        <f t="shared" si="25"/>
        <v>162.91999999999996</v>
      </c>
      <c r="Q224" s="116" t="s">
        <v>2349</v>
      </c>
      <c r="R224" s="116" t="s">
        <v>2780</v>
      </c>
      <c r="S224" s="116" t="str">
        <f t="shared" si="26"/>
        <v>OK - FECHA COM PLANILHA</v>
      </c>
      <c r="T224" s="116">
        <v>488.76</v>
      </c>
      <c r="U224" s="122">
        <f t="shared" si="27"/>
        <v>0</v>
      </c>
    </row>
    <row r="225" spans="1:21" ht="63.75" x14ac:dyDescent="0.2">
      <c r="A225" s="120" t="s">
        <v>2781</v>
      </c>
      <c r="B225" s="114" t="s">
        <v>1583</v>
      </c>
      <c r="C225" s="114" t="s">
        <v>1584</v>
      </c>
      <c r="D225" s="114" t="s">
        <v>56</v>
      </c>
      <c r="E225" s="114" t="s">
        <v>654</v>
      </c>
      <c r="F225" s="114" t="s">
        <v>84</v>
      </c>
      <c r="G225" s="115">
        <v>2</v>
      </c>
      <c r="H225" s="116">
        <v>69.84</v>
      </c>
      <c r="I225" s="121">
        <v>0.2223</v>
      </c>
      <c r="J225" s="116">
        <f t="shared" si="21"/>
        <v>15.524999999999991</v>
      </c>
      <c r="K225" s="116">
        <v>85.364999999999995</v>
      </c>
      <c r="L225" s="116">
        <f t="shared" si="22"/>
        <v>139.68</v>
      </c>
      <c r="M225" s="116">
        <f t="shared" si="23"/>
        <v>170.73</v>
      </c>
      <c r="N225" s="116">
        <v>113.82</v>
      </c>
      <c r="O225" s="116">
        <f t="shared" si="24"/>
        <v>28.454999999999998</v>
      </c>
      <c r="P225" s="116">
        <f t="shared" si="25"/>
        <v>56.91</v>
      </c>
      <c r="Q225" s="116" t="s">
        <v>2349</v>
      </c>
      <c r="R225" s="116" t="s">
        <v>2782</v>
      </c>
      <c r="S225" s="116" t="str">
        <f t="shared" si="26"/>
        <v>OK - FECHA COM PLANILHA</v>
      </c>
      <c r="T225" s="116">
        <v>170.73</v>
      </c>
      <c r="U225" s="122">
        <f t="shared" si="27"/>
        <v>0</v>
      </c>
    </row>
    <row r="226" spans="1:21" ht="63.75" x14ac:dyDescent="0.2">
      <c r="A226" s="120" t="s">
        <v>2783</v>
      </c>
      <c r="B226" s="114" t="s">
        <v>1585</v>
      </c>
      <c r="C226" s="114" t="s">
        <v>1586</v>
      </c>
      <c r="D226" s="114" t="s">
        <v>56</v>
      </c>
      <c r="E226" s="114" t="s">
        <v>582</v>
      </c>
      <c r="F226" s="114" t="s">
        <v>84</v>
      </c>
      <c r="G226" s="115">
        <v>1</v>
      </c>
      <c r="H226" s="116">
        <v>17.085000000000001</v>
      </c>
      <c r="I226" s="121">
        <v>0.2223</v>
      </c>
      <c r="J226" s="116">
        <f t="shared" si="21"/>
        <v>3.7949999999999982</v>
      </c>
      <c r="K226" s="116">
        <v>20.88</v>
      </c>
      <c r="L226" s="116">
        <f t="shared" si="22"/>
        <v>17.085000000000001</v>
      </c>
      <c r="M226" s="116">
        <f t="shared" si="23"/>
        <v>20.88</v>
      </c>
      <c r="N226" s="116">
        <v>27.84</v>
      </c>
      <c r="O226" s="116">
        <f t="shared" si="24"/>
        <v>6.9600000000000009</v>
      </c>
      <c r="P226" s="116">
        <f t="shared" si="25"/>
        <v>6.9600000000000009</v>
      </c>
      <c r="Q226" s="116" t="s">
        <v>2349</v>
      </c>
      <c r="R226" s="116" t="s">
        <v>2784</v>
      </c>
      <c r="S226" s="116" t="str">
        <f t="shared" si="26"/>
        <v>OK - FECHA COM PLANILHA</v>
      </c>
      <c r="T226" s="116">
        <v>20.88</v>
      </c>
      <c r="U226" s="122">
        <f t="shared" si="27"/>
        <v>0</v>
      </c>
    </row>
    <row r="227" spans="1:21" ht="63.75" x14ac:dyDescent="0.2">
      <c r="A227" s="120" t="s">
        <v>2785</v>
      </c>
      <c r="B227" s="114" t="s">
        <v>1587</v>
      </c>
      <c r="C227" s="114" t="s">
        <v>1588</v>
      </c>
      <c r="D227" s="114" t="s">
        <v>56</v>
      </c>
      <c r="E227" s="114" t="s">
        <v>583</v>
      </c>
      <c r="F227" s="114" t="s">
        <v>84</v>
      </c>
      <c r="G227" s="115">
        <v>3</v>
      </c>
      <c r="H227" s="116">
        <v>4.7324999999999999</v>
      </c>
      <c r="I227" s="121">
        <v>0.2223</v>
      </c>
      <c r="J227" s="116">
        <f t="shared" si="21"/>
        <v>1.0499999999999998</v>
      </c>
      <c r="K227" s="116">
        <v>5.7824999999999998</v>
      </c>
      <c r="L227" s="116">
        <f t="shared" si="22"/>
        <v>14.1975</v>
      </c>
      <c r="M227" s="116">
        <f t="shared" si="23"/>
        <v>17.3475</v>
      </c>
      <c r="N227" s="116">
        <v>7.71</v>
      </c>
      <c r="O227" s="116">
        <f t="shared" si="24"/>
        <v>1.9275000000000002</v>
      </c>
      <c r="P227" s="116">
        <f t="shared" si="25"/>
        <v>5.7825000000000006</v>
      </c>
      <c r="Q227" s="116" t="s">
        <v>2349</v>
      </c>
      <c r="R227" s="116" t="s">
        <v>2786</v>
      </c>
      <c r="S227" s="116" t="str">
        <f t="shared" si="26"/>
        <v>OK - FECHA COM PLANILHA</v>
      </c>
      <c r="T227" s="116">
        <v>17.34</v>
      </c>
      <c r="U227" s="122">
        <f t="shared" si="27"/>
        <v>7.5000000000002842E-3</v>
      </c>
    </row>
    <row r="228" spans="1:21" ht="63.75" x14ac:dyDescent="0.2">
      <c r="A228" s="120" t="s">
        <v>2787</v>
      </c>
      <c r="B228" s="114" t="s">
        <v>1589</v>
      </c>
      <c r="C228" s="114" t="s">
        <v>1590</v>
      </c>
      <c r="D228" s="114" t="s">
        <v>56</v>
      </c>
      <c r="E228" s="114" t="s">
        <v>584</v>
      </c>
      <c r="F228" s="114" t="s">
        <v>84</v>
      </c>
      <c r="G228" s="115">
        <v>1</v>
      </c>
      <c r="H228" s="116">
        <v>5.9850000000000003</v>
      </c>
      <c r="I228" s="121">
        <v>0.2223</v>
      </c>
      <c r="J228" s="116">
        <f t="shared" si="21"/>
        <v>1.3274999999999997</v>
      </c>
      <c r="K228" s="116">
        <v>7.3125</v>
      </c>
      <c r="L228" s="116">
        <f t="shared" si="22"/>
        <v>5.9850000000000003</v>
      </c>
      <c r="M228" s="116">
        <f t="shared" si="23"/>
        <v>7.3125</v>
      </c>
      <c r="N228" s="116">
        <v>9.75</v>
      </c>
      <c r="O228" s="116">
        <f t="shared" si="24"/>
        <v>2.4375</v>
      </c>
      <c r="P228" s="116">
        <f t="shared" si="25"/>
        <v>2.4375</v>
      </c>
      <c r="Q228" s="116" t="s">
        <v>2349</v>
      </c>
      <c r="R228" s="116" t="s">
        <v>2788</v>
      </c>
      <c r="S228" s="116" t="str">
        <f t="shared" si="26"/>
        <v>OK - FECHA COM PLANILHA</v>
      </c>
      <c r="T228" s="116">
        <v>7.31</v>
      </c>
      <c r="U228" s="122">
        <f t="shared" si="27"/>
        <v>2.5000000000003908E-3</v>
      </c>
    </row>
    <row r="229" spans="1:21" ht="63.75" x14ac:dyDescent="0.2">
      <c r="A229" s="120" t="s">
        <v>2789</v>
      </c>
      <c r="B229" s="114" t="s">
        <v>1591</v>
      </c>
      <c r="C229" s="114" t="s">
        <v>1592</v>
      </c>
      <c r="D229" s="114" t="s">
        <v>56</v>
      </c>
      <c r="E229" s="114" t="s">
        <v>1593</v>
      </c>
      <c r="F229" s="114" t="s">
        <v>84</v>
      </c>
      <c r="G229" s="115">
        <v>2</v>
      </c>
      <c r="H229" s="116">
        <v>12.315000000000001</v>
      </c>
      <c r="I229" s="121">
        <v>0.2223</v>
      </c>
      <c r="J229" s="116">
        <f t="shared" si="21"/>
        <v>2.7374999999999989</v>
      </c>
      <c r="K229" s="116">
        <v>15.0525</v>
      </c>
      <c r="L229" s="116">
        <f t="shared" si="22"/>
        <v>24.630000000000003</v>
      </c>
      <c r="M229" s="116">
        <f t="shared" si="23"/>
        <v>30.105</v>
      </c>
      <c r="N229" s="116">
        <v>20.07</v>
      </c>
      <c r="O229" s="116">
        <f t="shared" si="24"/>
        <v>5.0175000000000001</v>
      </c>
      <c r="P229" s="116">
        <f t="shared" si="25"/>
        <v>10.035</v>
      </c>
      <c r="Q229" s="116" t="s">
        <v>2349</v>
      </c>
      <c r="R229" s="116" t="s">
        <v>2790</v>
      </c>
      <c r="S229" s="116" t="str">
        <f t="shared" si="26"/>
        <v>OK - FECHA COM PLANILHA</v>
      </c>
      <c r="T229" s="116">
        <v>30.1</v>
      </c>
      <c r="U229" s="122">
        <f t="shared" si="27"/>
        <v>4.9999999999990052E-3</v>
      </c>
    </row>
    <row r="230" spans="1:21" ht="63.75" x14ac:dyDescent="0.2">
      <c r="A230" s="120" t="s">
        <v>2791</v>
      </c>
      <c r="B230" s="114" t="s">
        <v>1594</v>
      </c>
      <c r="C230" s="114" t="s">
        <v>1595</v>
      </c>
      <c r="D230" s="114" t="s">
        <v>56</v>
      </c>
      <c r="E230" s="114" t="s">
        <v>586</v>
      </c>
      <c r="F230" s="114" t="s">
        <v>84</v>
      </c>
      <c r="G230" s="115">
        <v>1</v>
      </c>
      <c r="H230" s="116">
        <v>14.1675</v>
      </c>
      <c r="I230" s="121">
        <v>0.2223</v>
      </c>
      <c r="J230" s="116">
        <f t="shared" si="21"/>
        <v>3.1424999999999983</v>
      </c>
      <c r="K230" s="116">
        <v>17.309999999999999</v>
      </c>
      <c r="L230" s="116">
        <f t="shared" si="22"/>
        <v>14.1675</v>
      </c>
      <c r="M230" s="116">
        <f t="shared" si="23"/>
        <v>17.309999999999999</v>
      </c>
      <c r="N230" s="116">
        <v>23.08</v>
      </c>
      <c r="O230" s="116">
        <f t="shared" si="24"/>
        <v>5.77</v>
      </c>
      <c r="P230" s="116">
        <f t="shared" si="25"/>
        <v>5.77</v>
      </c>
      <c r="Q230" s="116" t="s">
        <v>2349</v>
      </c>
      <c r="R230" s="116" t="s">
        <v>2792</v>
      </c>
      <c r="S230" s="116" t="str">
        <f t="shared" si="26"/>
        <v>OK - FECHA COM PLANILHA</v>
      </c>
      <c r="T230" s="116">
        <v>17.309999999999999</v>
      </c>
      <c r="U230" s="122">
        <f t="shared" si="27"/>
        <v>0</v>
      </c>
    </row>
    <row r="231" spans="1:21" ht="63.75" x14ac:dyDescent="0.2">
      <c r="A231" s="120" t="s">
        <v>2793</v>
      </c>
      <c r="B231" s="114" t="s">
        <v>1596</v>
      </c>
      <c r="C231" s="114" t="s">
        <v>1597</v>
      </c>
      <c r="D231" s="114" t="s">
        <v>56</v>
      </c>
      <c r="E231" s="114" t="s">
        <v>587</v>
      </c>
      <c r="F231" s="114" t="s">
        <v>84</v>
      </c>
      <c r="G231" s="115">
        <v>4</v>
      </c>
      <c r="H231" s="116">
        <v>9.6150000000000002</v>
      </c>
      <c r="I231" s="121">
        <v>0.2223</v>
      </c>
      <c r="J231" s="116">
        <f t="shared" si="21"/>
        <v>2.1300000000000008</v>
      </c>
      <c r="K231" s="116">
        <v>11.745000000000001</v>
      </c>
      <c r="L231" s="116">
        <f t="shared" si="22"/>
        <v>38.46</v>
      </c>
      <c r="M231" s="116">
        <f t="shared" si="23"/>
        <v>46.980000000000004</v>
      </c>
      <c r="N231" s="116">
        <v>15.66</v>
      </c>
      <c r="O231" s="116">
        <f t="shared" si="24"/>
        <v>3.9149999999999991</v>
      </c>
      <c r="P231" s="116">
        <f t="shared" si="25"/>
        <v>15.659999999999997</v>
      </c>
      <c r="Q231" s="116" t="s">
        <v>2349</v>
      </c>
      <c r="R231" s="116" t="s">
        <v>2794</v>
      </c>
      <c r="S231" s="116" t="str">
        <f t="shared" si="26"/>
        <v>OK - FECHA COM PLANILHA</v>
      </c>
      <c r="T231" s="116">
        <v>46.98</v>
      </c>
      <c r="U231" s="122">
        <f t="shared" si="27"/>
        <v>0</v>
      </c>
    </row>
    <row r="232" spans="1:21" ht="63.75" x14ac:dyDescent="0.2">
      <c r="A232" s="120" t="s">
        <v>2795</v>
      </c>
      <c r="B232" s="114" t="s">
        <v>1598</v>
      </c>
      <c r="C232" s="114" t="s">
        <v>1599</v>
      </c>
      <c r="D232" s="114" t="s">
        <v>56</v>
      </c>
      <c r="E232" s="114" t="s">
        <v>588</v>
      </c>
      <c r="F232" s="114" t="s">
        <v>84</v>
      </c>
      <c r="G232" s="115">
        <v>26</v>
      </c>
      <c r="H232" s="116">
        <v>12.825000000000001</v>
      </c>
      <c r="I232" s="121">
        <v>0.2223</v>
      </c>
      <c r="J232" s="116">
        <f t="shared" si="21"/>
        <v>2.8499999999999979</v>
      </c>
      <c r="K232" s="116">
        <v>15.674999999999999</v>
      </c>
      <c r="L232" s="116">
        <f t="shared" si="22"/>
        <v>333.45000000000005</v>
      </c>
      <c r="M232" s="116">
        <f t="shared" si="23"/>
        <v>407.54999999999995</v>
      </c>
      <c r="N232" s="116">
        <v>20.9</v>
      </c>
      <c r="O232" s="116">
        <f t="shared" si="24"/>
        <v>5.2249999999999996</v>
      </c>
      <c r="P232" s="116">
        <f t="shared" si="25"/>
        <v>135.85</v>
      </c>
      <c r="Q232" s="116" t="s">
        <v>2349</v>
      </c>
      <c r="R232" s="116" t="s">
        <v>2796</v>
      </c>
      <c r="S232" s="116" t="str">
        <f t="shared" si="26"/>
        <v>OK - FECHA COM PLANILHA</v>
      </c>
      <c r="T232" s="116">
        <v>407.55</v>
      </c>
      <c r="U232" s="122">
        <f t="shared" si="27"/>
        <v>0</v>
      </c>
    </row>
    <row r="233" spans="1:21" ht="63.75" x14ac:dyDescent="0.2">
      <c r="A233" s="120" t="s">
        <v>2797</v>
      </c>
      <c r="B233" s="114" t="s">
        <v>1600</v>
      </c>
      <c r="C233" s="114" t="s">
        <v>1601</v>
      </c>
      <c r="D233" s="114" t="s">
        <v>56</v>
      </c>
      <c r="E233" s="114" t="s">
        <v>589</v>
      </c>
      <c r="F233" s="114" t="s">
        <v>84</v>
      </c>
      <c r="G233" s="115">
        <v>2</v>
      </c>
      <c r="H233" s="116">
        <v>16.447499999999998</v>
      </c>
      <c r="I233" s="121">
        <v>0.2223</v>
      </c>
      <c r="J233" s="116">
        <f t="shared" si="21"/>
        <v>3.6525000000000034</v>
      </c>
      <c r="K233" s="116">
        <v>20.100000000000001</v>
      </c>
      <c r="L233" s="116">
        <f t="shared" si="22"/>
        <v>32.894999999999996</v>
      </c>
      <c r="M233" s="116">
        <f t="shared" si="23"/>
        <v>40.200000000000003</v>
      </c>
      <c r="N233" s="116">
        <v>26.8</v>
      </c>
      <c r="O233" s="116">
        <f t="shared" si="24"/>
        <v>6.6999999999999993</v>
      </c>
      <c r="P233" s="116">
        <f t="shared" si="25"/>
        <v>13.399999999999999</v>
      </c>
      <c r="Q233" s="116" t="s">
        <v>2349</v>
      </c>
      <c r="R233" s="116" t="s">
        <v>2798</v>
      </c>
      <c r="S233" s="116" t="str">
        <f t="shared" si="26"/>
        <v>OK - FECHA COM PLANILHA</v>
      </c>
      <c r="T233" s="116">
        <v>40.200000000000003</v>
      </c>
      <c r="U233" s="122">
        <f t="shared" si="27"/>
        <v>0</v>
      </c>
    </row>
    <row r="234" spans="1:21" ht="63.75" x14ac:dyDescent="0.2">
      <c r="A234" s="120" t="s">
        <v>2799</v>
      </c>
      <c r="B234" s="114" t="s">
        <v>1602</v>
      </c>
      <c r="C234" s="114" t="s">
        <v>1603</v>
      </c>
      <c r="D234" s="114" t="s">
        <v>56</v>
      </c>
      <c r="E234" s="114" t="s">
        <v>656</v>
      </c>
      <c r="F234" s="114" t="s">
        <v>84</v>
      </c>
      <c r="G234" s="115">
        <v>8</v>
      </c>
      <c r="H234" s="116">
        <v>18.502500000000001</v>
      </c>
      <c r="I234" s="121">
        <v>0.2223</v>
      </c>
      <c r="J234" s="116">
        <f t="shared" si="21"/>
        <v>4.1099999999999959</v>
      </c>
      <c r="K234" s="116">
        <v>22.612499999999997</v>
      </c>
      <c r="L234" s="116">
        <f t="shared" si="22"/>
        <v>148.02000000000001</v>
      </c>
      <c r="M234" s="116">
        <f t="shared" si="23"/>
        <v>180.89999999999998</v>
      </c>
      <c r="N234" s="116">
        <v>30.15</v>
      </c>
      <c r="O234" s="116">
        <f t="shared" si="24"/>
        <v>7.5375000000000014</v>
      </c>
      <c r="P234" s="116">
        <f t="shared" si="25"/>
        <v>60.300000000000011</v>
      </c>
      <c r="Q234" s="116" t="s">
        <v>2349</v>
      </c>
      <c r="R234" s="116" t="s">
        <v>2800</v>
      </c>
      <c r="S234" s="116" t="str">
        <f t="shared" si="26"/>
        <v>OK - FECHA COM PLANILHA</v>
      </c>
      <c r="T234" s="116">
        <v>180.9</v>
      </c>
      <c r="U234" s="122">
        <f t="shared" si="27"/>
        <v>0</v>
      </c>
    </row>
    <row r="235" spans="1:21" ht="63.75" x14ac:dyDescent="0.2">
      <c r="A235" s="120" t="s">
        <v>2801</v>
      </c>
      <c r="B235" s="114" t="s">
        <v>1604</v>
      </c>
      <c r="C235" s="114" t="s">
        <v>1605</v>
      </c>
      <c r="D235" s="114" t="s">
        <v>56</v>
      </c>
      <c r="E235" s="114" t="s">
        <v>1606</v>
      </c>
      <c r="F235" s="114" t="s">
        <v>84</v>
      </c>
      <c r="G235" s="115">
        <v>1</v>
      </c>
      <c r="H235" s="116">
        <v>14.04</v>
      </c>
      <c r="I235" s="121">
        <v>0.2223</v>
      </c>
      <c r="J235" s="116">
        <f t="shared" si="21"/>
        <v>3.120000000000001</v>
      </c>
      <c r="K235" s="116">
        <v>17.16</v>
      </c>
      <c r="L235" s="116">
        <f t="shared" si="22"/>
        <v>14.04</v>
      </c>
      <c r="M235" s="116">
        <f t="shared" si="23"/>
        <v>17.16</v>
      </c>
      <c r="N235" s="116">
        <v>22.88</v>
      </c>
      <c r="O235" s="116">
        <f t="shared" si="24"/>
        <v>5.7199999999999989</v>
      </c>
      <c r="P235" s="116">
        <f t="shared" si="25"/>
        <v>5.7199999999999989</v>
      </c>
      <c r="Q235" s="116" t="s">
        <v>2349</v>
      </c>
      <c r="R235" s="116" t="s">
        <v>2802</v>
      </c>
      <c r="S235" s="116" t="str">
        <f t="shared" si="26"/>
        <v>OK - FECHA COM PLANILHA</v>
      </c>
      <c r="T235" s="116">
        <v>17.16</v>
      </c>
      <c r="U235" s="122">
        <f t="shared" si="27"/>
        <v>0</v>
      </c>
    </row>
    <row r="236" spans="1:21" ht="63.75" x14ac:dyDescent="0.2">
      <c r="A236" s="120" t="s">
        <v>2803</v>
      </c>
      <c r="B236" s="114" t="s">
        <v>1607</v>
      </c>
      <c r="C236" s="114" t="s">
        <v>1608</v>
      </c>
      <c r="D236" s="114" t="s">
        <v>56</v>
      </c>
      <c r="E236" s="114" t="s">
        <v>592</v>
      </c>
      <c r="F236" s="114" t="s">
        <v>84</v>
      </c>
      <c r="G236" s="115">
        <v>4</v>
      </c>
      <c r="H236" s="116">
        <v>8.58</v>
      </c>
      <c r="I236" s="121">
        <v>0.2223</v>
      </c>
      <c r="J236" s="116">
        <f t="shared" si="21"/>
        <v>1.9049999999999994</v>
      </c>
      <c r="K236" s="116">
        <v>10.484999999999999</v>
      </c>
      <c r="L236" s="116">
        <f t="shared" si="22"/>
        <v>34.32</v>
      </c>
      <c r="M236" s="116">
        <f t="shared" si="23"/>
        <v>41.94</v>
      </c>
      <c r="N236" s="116">
        <v>13.98</v>
      </c>
      <c r="O236" s="116">
        <f t="shared" si="24"/>
        <v>3.495000000000001</v>
      </c>
      <c r="P236" s="116">
        <f t="shared" si="25"/>
        <v>13.980000000000004</v>
      </c>
      <c r="Q236" s="116" t="s">
        <v>2349</v>
      </c>
      <c r="R236" s="116" t="s">
        <v>2804</v>
      </c>
      <c r="S236" s="116" t="str">
        <f t="shared" si="26"/>
        <v>OK - FECHA COM PLANILHA</v>
      </c>
      <c r="T236" s="116">
        <v>41.94</v>
      </c>
      <c r="U236" s="122">
        <f t="shared" si="27"/>
        <v>0</v>
      </c>
    </row>
    <row r="237" spans="1:21" ht="63.75" x14ac:dyDescent="0.2">
      <c r="A237" s="120" t="s">
        <v>2805</v>
      </c>
      <c r="B237" s="114" t="s">
        <v>1609</v>
      </c>
      <c r="C237" s="114" t="s">
        <v>1610</v>
      </c>
      <c r="D237" s="114" t="s">
        <v>56</v>
      </c>
      <c r="E237" s="114" t="s">
        <v>593</v>
      </c>
      <c r="F237" s="114" t="s">
        <v>84</v>
      </c>
      <c r="G237" s="115">
        <v>3</v>
      </c>
      <c r="H237" s="116">
        <v>13.919999999999998</v>
      </c>
      <c r="I237" s="121">
        <v>0.2223</v>
      </c>
      <c r="J237" s="116">
        <f t="shared" si="21"/>
        <v>3.09</v>
      </c>
      <c r="K237" s="116">
        <v>17.009999999999998</v>
      </c>
      <c r="L237" s="116">
        <f t="shared" si="22"/>
        <v>41.759999999999991</v>
      </c>
      <c r="M237" s="116">
        <f t="shared" si="23"/>
        <v>51.029999999999994</v>
      </c>
      <c r="N237" s="116">
        <v>22.68</v>
      </c>
      <c r="O237" s="116">
        <f t="shared" si="24"/>
        <v>5.6700000000000017</v>
      </c>
      <c r="P237" s="116">
        <f t="shared" si="25"/>
        <v>17.010000000000005</v>
      </c>
      <c r="Q237" s="116" t="s">
        <v>2349</v>
      </c>
      <c r="R237" s="116" t="s">
        <v>2806</v>
      </c>
      <c r="S237" s="116" t="str">
        <f t="shared" si="26"/>
        <v>OK - FECHA COM PLANILHA</v>
      </c>
      <c r="T237" s="116">
        <v>51.03</v>
      </c>
      <c r="U237" s="122">
        <f t="shared" si="27"/>
        <v>0</v>
      </c>
    </row>
    <row r="238" spans="1:21" ht="63.75" x14ac:dyDescent="0.2">
      <c r="A238" s="120" t="s">
        <v>2807</v>
      </c>
      <c r="B238" s="114" t="s">
        <v>1611</v>
      </c>
      <c r="C238" s="114" t="s">
        <v>1612</v>
      </c>
      <c r="D238" s="114" t="s">
        <v>56</v>
      </c>
      <c r="E238" s="114" t="s">
        <v>594</v>
      </c>
      <c r="F238" s="114" t="s">
        <v>84</v>
      </c>
      <c r="G238" s="115">
        <v>4</v>
      </c>
      <c r="H238" s="116">
        <v>17.737499999999997</v>
      </c>
      <c r="I238" s="121">
        <v>0.2223</v>
      </c>
      <c r="J238" s="116">
        <f t="shared" si="21"/>
        <v>3.9375</v>
      </c>
      <c r="K238" s="116">
        <v>21.674999999999997</v>
      </c>
      <c r="L238" s="116">
        <f t="shared" si="22"/>
        <v>70.949999999999989</v>
      </c>
      <c r="M238" s="116">
        <f t="shared" si="23"/>
        <v>86.699999999999989</v>
      </c>
      <c r="N238" s="116">
        <v>28.9</v>
      </c>
      <c r="O238" s="116">
        <f t="shared" si="24"/>
        <v>7.2250000000000014</v>
      </c>
      <c r="P238" s="116">
        <f t="shared" si="25"/>
        <v>28.900000000000006</v>
      </c>
      <c r="Q238" s="116" t="s">
        <v>2349</v>
      </c>
      <c r="R238" s="116" t="s">
        <v>2808</v>
      </c>
      <c r="S238" s="116" t="str">
        <f t="shared" si="26"/>
        <v>OK - FECHA COM PLANILHA</v>
      </c>
      <c r="T238" s="116">
        <v>86.7</v>
      </c>
      <c r="U238" s="122">
        <f t="shared" si="27"/>
        <v>0</v>
      </c>
    </row>
    <row r="239" spans="1:21" ht="63.75" x14ac:dyDescent="0.2">
      <c r="A239" s="120" t="s">
        <v>2809</v>
      </c>
      <c r="B239" s="114" t="s">
        <v>1613</v>
      </c>
      <c r="C239" s="114" t="s">
        <v>1614</v>
      </c>
      <c r="D239" s="114" t="s">
        <v>56</v>
      </c>
      <c r="E239" s="114" t="s">
        <v>595</v>
      </c>
      <c r="F239" s="114" t="s">
        <v>84</v>
      </c>
      <c r="G239" s="115">
        <v>1</v>
      </c>
      <c r="H239" s="116">
        <v>27.39</v>
      </c>
      <c r="I239" s="121">
        <v>0.2223</v>
      </c>
      <c r="J239" s="116">
        <f t="shared" si="21"/>
        <v>6.0825000000000031</v>
      </c>
      <c r="K239" s="116">
        <v>33.472500000000004</v>
      </c>
      <c r="L239" s="116">
        <f t="shared" si="22"/>
        <v>27.39</v>
      </c>
      <c r="M239" s="116">
        <f t="shared" si="23"/>
        <v>33.472500000000004</v>
      </c>
      <c r="N239" s="116">
        <v>44.63</v>
      </c>
      <c r="O239" s="116">
        <f t="shared" si="24"/>
        <v>11.157499999999999</v>
      </c>
      <c r="P239" s="116">
        <f t="shared" si="25"/>
        <v>11.157499999999999</v>
      </c>
      <c r="Q239" s="116" t="s">
        <v>2349</v>
      </c>
      <c r="R239" s="116" t="s">
        <v>2810</v>
      </c>
      <c r="S239" s="116" t="str">
        <f t="shared" si="26"/>
        <v>OK - FECHA COM PLANILHA</v>
      </c>
      <c r="T239" s="116">
        <v>33.47</v>
      </c>
      <c r="U239" s="122">
        <f t="shared" si="27"/>
        <v>2.5000000000048317E-3</v>
      </c>
    </row>
    <row r="240" spans="1:21" ht="63.75" x14ac:dyDescent="0.2">
      <c r="A240" s="120" t="s">
        <v>2811</v>
      </c>
      <c r="B240" s="114" t="s">
        <v>1615</v>
      </c>
      <c r="C240" s="114" t="s">
        <v>1616</v>
      </c>
      <c r="D240" s="114" t="s">
        <v>56</v>
      </c>
      <c r="E240" s="114" t="s">
        <v>596</v>
      </c>
      <c r="F240" s="114" t="s">
        <v>84</v>
      </c>
      <c r="G240" s="115">
        <v>1</v>
      </c>
      <c r="H240" s="116">
        <v>25.275000000000002</v>
      </c>
      <c r="I240" s="121">
        <v>0.2223</v>
      </c>
      <c r="J240" s="116">
        <f t="shared" si="21"/>
        <v>5.6174999999999962</v>
      </c>
      <c r="K240" s="116">
        <v>30.892499999999998</v>
      </c>
      <c r="L240" s="116">
        <f t="shared" si="22"/>
        <v>25.275000000000002</v>
      </c>
      <c r="M240" s="116">
        <f t="shared" si="23"/>
        <v>30.892499999999998</v>
      </c>
      <c r="N240" s="116">
        <v>41.19</v>
      </c>
      <c r="O240" s="116">
        <f t="shared" si="24"/>
        <v>10.297499999999999</v>
      </c>
      <c r="P240" s="116">
        <f t="shared" si="25"/>
        <v>10.297499999999999</v>
      </c>
      <c r="Q240" s="116" t="s">
        <v>2349</v>
      </c>
      <c r="R240" s="116" t="s">
        <v>2812</v>
      </c>
      <c r="S240" s="116" t="str">
        <f t="shared" si="26"/>
        <v>OK - FECHA COM PLANILHA</v>
      </c>
      <c r="T240" s="116">
        <v>30.89</v>
      </c>
      <c r="U240" s="122">
        <f t="shared" si="27"/>
        <v>2.4999999999977263E-3</v>
      </c>
    </row>
    <row r="241" spans="1:21" ht="63.75" x14ac:dyDescent="0.2">
      <c r="A241" s="120" t="s">
        <v>2813</v>
      </c>
      <c r="B241" s="114" t="s">
        <v>1617</v>
      </c>
      <c r="C241" s="114" t="s">
        <v>1618</v>
      </c>
      <c r="D241" s="114" t="s">
        <v>56</v>
      </c>
      <c r="E241" s="114" t="s">
        <v>597</v>
      </c>
      <c r="F241" s="114" t="s">
        <v>84</v>
      </c>
      <c r="G241" s="115">
        <v>5</v>
      </c>
      <c r="H241" s="116">
        <v>14.805</v>
      </c>
      <c r="I241" s="121">
        <v>0.2223</v>
      </c>
      <c r="J241" s="116">
        <f t="shared" si="21"/>
        <v>3.2850000000000001</v>
      </c>
      <c r="K241" s="116">
        <v>18.09</v>
      </c>
      <c r="L241" s="116">
        <f t="shared" si="22"/>
        <v>74.025000000000006</v>
      </c>
      <c r="M241" s="116">
        <f t="shared" si="23"/>
        <v>90.45</v>
      </c>
      <c r="N241" s="116">
        <v>24.12</v>
      </c>
      <c r="O241" s="116">
        <f t="shared" si="24"/>
        <v>6.0300000000000011</v>
      </c>
      <c r="P241" s="116">
        <f t="shared" si="25"/>
        <v>30.150000000000006</v>
      </c>
      <c r="Q241" s="116" t="s">
        <v>2349</v>
      </c>
      <c r="R241" s="116" t="s">
        <v>2814</v>
      </c>
      <c r="S241" s="116" t="str">
        <f t="shared" si="26"/>
        <v>OK - FECHA COM PLANILHA</v>
      </c>
      <c r="T241" s="116">
        <v>90.45</v>
      </c>
      <c r="U241" s="122">
        <f t="shared" si="27"/>
        <v>0</v>
      </c>
    </row>
    <row r="242" spans="1:21" ht="63.75" x14ac:dyDescent="0.2">
      <c r="A242" s="120" t="s">
        <v>2815</v>
      </c>
      <c r="B242" s="114" t="s">
        <v>1619</v>
      </c>
      <c r="C242" s="114" t="s">
        <v>1620</v>
      </c>
      <c r="D242" s="114" t="s">
        <v>56</v>
      </c>
      <c r="E242" s="114" t="s">
        <v>1621</v>
      </c>
      <c r="F242" s="114" t="s">
        <v>84</v>
      </c>
      <c r="G242" s="115">
        <v>2</v>
      </c>
      <c r="H242" s="116">
        <v>25.462500000000002</v>
      </c>
      <c r="I242" s="121">
        <v>0.2223</v>
      </c>
      <c r="J242" s="116">
        <f t="shared" si="21"/>
        <v>5.6549999999999976</v>
      </c>
      <c r="K242" s="116">
        <v>31.1175</v>
      </c>
      <c r="L242" s="116">
        <f t="shared" si="22"/>
        <v>50.925000000000004</v>
      </c>
      <c r="M242" s="116">
        <f t="shared" si="23"/>
        <v>62.234999999999999</v>
      </c>
      <c r="N242" s="116">
        <v>41.49</v>
      </c>
      <c r="O242" s="116">
        <f t="shared" si="24"/>
        <v>10.372500000000002</v>
      </c>
      <c r="P242" s="116">
        <f t="shared" si="25"/>
        <v>20.745000000000005</v>
      </c>
      <c r="Q242" s="116" t="s">
        <v>2349</v>
      </c>
      <c r="R242" s="116" t="s">
        <v>2816</v>
      </c>
      <c r="S242" s="116" t="str">
        <f t="shared" si="26"/>
        <v>OK - FECHA COM PLANILHA</v>
      </c>
      <c r="T242" s="116">
        <v>62.23</v>
      </c>
      <c r="U242" s="122">
        <f t="shared" si="27"/>
        <v>5.000000000002558E-3</v>
      </c>
    </row>
    <row r="243" spans="1:21" ht="63.75" x14ac:dyDescent="0.2">
      <c r="A243" s="120" t="s">
        <v>2817</v>
      </c>
      <c r="B243" s="114" t="s">
        <v>1622</v>
      </c>
      <c r="C243" s="114" t="s">
        <v>1623</v>
      </c>
      <c r="D243" s="114" t="s">
        <v>56</v>
      </c>
      <c r="E243" s="114" t="s">
        <v>666</v>
      </c>
      <c r="F243" s="114" t="s">
        <v>84</v>
      </c>
      <c r="G243" s="115">
        <v>1</v>
      </c>
      <c r="H243" s="116">
        <v>28.402499999999996</v>
      </c>
      <c r="I243" s="121">
        <v>0.2223</v>
      </c>
      <c r="J243" s="116">
        <f t="shared" si="21"/>
        <v>6.3075000000000045</v>
      </c>
      <c r="K243" s="116">
        <v>34.71</v>
      </c>
      <c r="L243" s="116">
        <f t="shared" si="22"/>
        <v>28.402499999999996</v>
      </c>
      <c r="M243" s="116">
        <f t="shared" si="23"/>
        <v>34.71</v>
      </c>
      <c r="N243" s="116">
        <v>46.28</v>
      </c>
      <c r="O243" s="116">
        <f t="shared" si="24"/>
        <v>11.57</v>
      </c>
      <c r="P243" s="116">
        <f t="shared" si="25"/>
        <v>11.57</v>
      </c>
      <c r="Q243" s="116" t="s">
        <v>2349</v>
      </c>
      <c r="R243" s="116" t="s">
        <v>2818</v>
      </c>
      <c r="S243" s="116" t="str">
        <f t="shared" si="26"/>
        <v>OK - FECHA COM PLANILHA</v>
      </c>
      <c r="T243" s="116">
        <v>34.71</v>
      </c>
      <c r="U243" s="122">
        <f t="shared" si="27"/>
        <v>0</v>
      </c>
    </row>
    <row r="244" spans="1:21" ht="63.75" x14ac:dyDescent="0.2">
      <c r="A244" s="120" t="s">
        <v>2819</v>
      </c>
      <c r="B244" s="114" t="s">
        <v>1624</v>
      </c>
      <c r="C244" s="114" t="s">
        <v>600</v>
      </c>
      <c r="D244" s="114" t="s">
        <v>209</v>
      </c>
      <c r="E244" s="114" t="s">
        <v>601</v>
      </c>
      <c r="F244" s="114" t="s">
        <v>84</v>
      </c>
      <c r="G244" s="115">
        <v>1</v>
      </c>
      <c r="H244" s="116">
        <v>306.54000000000002</v>
      </c>
      <c r="I244" s="121">
        <v>0.2223</v>
      </c>
      <c r="J244" s="116">
        <f t="shared" si="21"/>
        <v>68.137499999999989</v>
      </c>
      <c r="K244" s="116">
        <v>374.67750000000001</v>
      </c>
      <c r="L244" s="116">
        <f t="shared" si="22"/>
        <v>306.54000000000002</v>
      </c>
      <c r="M244" s="116">
        <f t="shared" si="23"/>
        <v>374.67750000000001</v>
      </c>
      <c r="N244" s="116">
        <v>499.57</v>
      </c>
      <c r="O244" s="116">
        <f t="shared" si="24"/>
        <v>124.89249999999998</v>
      </c>
      <c r="P244" s="116">
        <f t="shared" si="25"/>
        <v>124.89249999999998</v>
      </c>
      <c r="Q244" s="116" t="s">
        <v>2458</v>
      </c>
      <c r="R244" s="116" t="s">
        <v>2820</v>
      </c>
      <c r="S244" s="116" t="str">
        <f t="shared" si="26"/>
        <v>OK - FECHA COM PLANILHA</v>
      </c>
      <c r="T244" s="116">
        <v>374.67</v>
      </c>
      <c r="U244" s="122">
        <f t="shared" si="27"/>
        <v>7.4999999999931788E-3</v>
      </c>
    </row>
    <row r="245" spans="1:21" ht="63.75" x14ac:dyDescent="0.2">
      <c r="A245" s="120" t="s">
        <v>2821</v>
      </c>
      <c r="B245" s="114" t="s">
        <v>1625</v>
      </c>
      <c r="C245" s="114" t="s">
        <v>1626</v>
      </c>
      <c r="D245" s="114" t="s">
        <v>56</v>
      </c>
      <c r="E245" s="114" t="s">
        <v>1627</v>
      </c>
      <c r="F245" s="114" t="s">
        <v>84</v>
      </c>
      <c r="G245" s="115">
        <v>1</v>
      </c>
      <c r="H245" s="116">
        <v>9.4499999999999993</v>
      </c>
      <c r="I245" s="121">
        <v>0.2223</v>
      </c>
      <c r="J245" s="116">
        <f t="shared" si="21"/>
        <v>2.1000000000000014</v>
      </c>
      <c r="K245" s="116">
        <v>11.55</v>
      </c>
      <c r="L245" s="116">
        <f t="shared" si="22"/>
        <v>9.4499999999999993</v>
      </c>
      <c r="M245" s="116">
        <f t="shared" si="23"/>
        <v>11.55</v>
      </c>
      <c r="N245" s="116">
        <v>15.4</v>
      </c>
      <c r="O245" s="116">
        <f t="shared" si="24"/>
        <v>3.8499999999999996</v>
      </c>
      <c r="P245" s="116">
        <f t="shared" si="25"/>
        <v>3.8499999999999996</v>
      </c>
      <c r="Q245" s="116" t="s">
        <v>2349</v>
      </c>
      <c r="R245" s="116" t="s">
        <v>2822</v>
      </c>
      <c r="S245" s="116" t="str">
        <f t="shared" si="26"/>
        <v>OK - FECHA COM PLANILHA</v>
      </c>
      <c r="T245" s="116">
        <v>11.55</v>
      </c>
      <c r="U245" s="122">
        <f t="shared" si="27"/>
        <v>0</v>
      </c>
    </row>
    <row r="246" spans="1:21" ht="63.75" x14ac:dyDescent="0.2">
      <c r="A246" s="120" t="s">
        <v>2823</v>
      </c>
      <c r="B246" s="114" t="s">
        <v>1628</v>
      </c>
      <c r="C246" s="114" t="s">
        <v>1629</v>
      </c>
      <c r="D246" s="114" t="s">
        <v>56</v>
      </c>
      <c r="E246" s="114" t="s">
        <v>1630</v>
      </c>
      <c r="F246" s="114" t="s">
        <v>84</v>
      </c>
      <c r="G246" s="115">
        <v>1</v>
      </c>
      <c r="H246" s="116">
        <v>91.710000000000008</v>
      </c>
      <c r="I246" s="121">
        <v>0.2223</v>
      </c>
      <c r="J246" s="116">
        <f t="shared" si="21"/>
        <v>20.384999999999991</v>
      </c>
      <c r="K246" s="116">
        <v>112.095</v>
      </c>
      <c r="L246" s="116">
        <f t="shared" si="22"/>
        <v>91.710000000000008</v>
      </c>
      <c r="M246" s="116">
        <f t="shared" si="23"/>
        <v>112.095</v>
      </c>
      <c r="N246" s="116">
        <v>149.46</v>
      </c>
      <c r="O246" s="116">
        <f t="shared" si="24"/>
        <v>37.365000000000009</v>
      </c>
      <c r="P246" s="116">
        <f t="shared" si="25"/>
        <v>37.365000000000009</v>
      </c>
      <c r="Q246" s="116" t="s">
        <v>2349</v>
      </c>
      <c r="R246" s="116" t="s">
        <v>2824</v>
      </c>
      <c r="S246" s="116" t="str">
        <f t="shared" si="26"/>
        <v>OK - FECHA COM PLANILHA</v>
      </c>
      <c r="T246" s="116">
        <v>112.09</v>
      </c>
      <c r="U246" s="122">
        <f t="shared" si="27"/>
        <v>4.9999999999954525E-3</v>
      </c>
    </row>
    <row r="247" spans="1:21" ht="63.75" x14ac:dyDescent="0.2">
      <c r="A247" s="120" t="s">
        <v>2825</v>
      </c>
      <c r="B247" s="114" t="s">
        <v>1631</v>
      </c>
      <c r="C247" s="114" t="s">
        <v>1632</v>
      </c>
      <c r="D247" s="114" t="s">
        <v>335</v>
      </c>
      <c r="E247" s="114" t="s">
        <v>604</v>
      </c>
      <c r="F247" s="114" t="s">
        <v>26</v>
      </c>
      <c r="G247" s="115">
        <v>1.08</v>
      </c>
      <c r="H247" s="116">
        <v>396.03749999999997</v>
      </c>
      <c r="I247" s="121">
        <v>0.2223</v>
      </c>
      <c r="J247" s="116">
        <f t="shared" si="21"/>
        <v>88.035000000000025</v>
      </c>
      <c r="K247" s="116">
        <v>484.07249999999999</v>
      </c>
      <c r="L247" s="116">
        <f t="shared" si="22"/>
        <v>427.72050000000002</v>
      </c>
      <c r="M247" s="116">
        <f t="shared" si="23"/>
        <v>522.79830000000004</v>
      </c>
      <c r="N247" s="116">
        <v>645.42999999999995</v>
      </c>
      <c r="O247" s="116">
        <f t="shared" si="24"/>
        <v>161.35749999999996</v>
      </c>
      <c r="P247" s="116">
        <f t="shared" si="25"/>
        <v>174.26609999999997</v>
      </c>
      <c r="Q247" s="116" t="s">
        <v>2589</v>
      </c>
      <c r="R247" s="116" t="s">
        <v>2826</v>
      </c>
      <c r="S247" s="116" t="str">
        <f t="shared" si="26"/>
        <v>OK - FECHA COM PLANILHA</v>
      </c>
      <c r="T247" s="116">
        <v>522.79</v>
      </c>
      <c r="U247" s="122">
        <f t="shared" si="27"/>
        <v>8.3000000000765795E-3</v>
      </c>
    </row>
    <row r="248" spans="1:21" ht="63.75" x14ac:dyDescent="0.2">
      <c r="A248" s="120" t="s">
        <v>2827</v>
      </c>
      <c r="B248" s="114" t="s">
        <v>1633</v>
      </c>
      <c r="C248" s="114" t="s">
        <v>1634</v>
      </c>
      <c r="D248" s="114" t="s">
        <v>56</v>
      </c>
      <c r="E248" s="114" t="s">
        <v>942</v>
      </c>
      <c r="F248" s="114" t="s">
        <v>84</v>
      </c>
      <c r="G248" s="115">
        <v>3</v>
      </c>
      <c r="H248" s="116">
        <v>118.38</v>
      </c>
      <c r="I248" s="121">
        <v>0.2223</v>
      </c>
      <c r="J248" s="116">
        <f t="shared" si="21"/>
        <v>26.310000000000002</v>
      </c>
      <c r="K248" s="116">
        <v>144.69</v>
      </c>
      <c r="L248" s="116">
        <f t="shared" si="22"/>
        <v>355.14</v>
      </c>
      <c r="M248" s="116">
        <f t="shared" si="23"/>
        <v>434.07</v>
      </c>
      <c r="N248" s="116">
        <v>192.92</v>
      </c>
      <c r="O248" s="116">
        <f t="shared" si="24"/>
        <v>48.22999999999999</v>
      </c>
      <c r="P248" s="116">
        <f t="shared" si="25"/>
        <v>144.68999999999997</v>
      </c>
      <c r="Q248" s="116" t="s">
        <v>2349</v>
      </c>
      <c r="R248" s="116" t="s">
        <v>2828</v>
      </c>
      <c r="S248" s="116" t="str">
        <f t="shared" si="26"/>
        <v>OK - FECHA COM PLANILHA</v>
      </c>
      <c r="T248" s="116">
        <v>434.07</v>
      </c>
      <c r="U248" s="122">
        <f t="shared" si="27"/>
        <v>0</v>
      </c>
    </row>
    <row r="249" spans="1:21" ht="63.75" x14ac:dyDescent="0.2">
      <c r="A249" s="120" t="s">
        <v>2829</v>
      </c>
      <c r="B249" s="114" t="s">
        <v>608</v>
      </c>
      <c r="C249" s="114" t="s">
        <v>1569</v>
      </c>
      <c r="D249" s="114" t="s">
        <v>56</v>
      </c>
      <c r="E249" s="114" t="s">
        <v>574</v>
      </c>
      <c r="F249" s="114" t="s">
        <v>99</v>
      </c>
      <c r="G249" s="115">
        <v>35.6</v>
      </c>
      <c r="H249" s="116">
        <v>27.022500000000001</v>
      </c>
      <c r="I249" s="121">
        <v>0.2223</v>
      </c>
      <c r="J249" s="116">
        <f t="shared" si="21"/>
        <v>6</v>
      </c>
      <c r="K249" s="116">
        <v>33.022500000000001</v>
      </c>
      <c r="L249" s="116">
        <f t="shared" si="22"/>
        <v>962.00100000000009</v>
      </c>
      <c r="M249" s="116">
        <f t="shared" si="23"/>
        <v>1175.6010000000001</v>
      </c>
      <c r="N249" s="116">
        <v>44.03</v>
      </c>
      <c r="O249" s="116">
        <f t="shared" si="24"/>
        <v>11.0075</v>
      </c>
      <c r="P249" s="116">
        <f t="shared" si="25"/>
        <v>391.86700000000002</v>
      </c>
      <c r="Q249" s="116" t="s">
        <v>2349</v>
      </c>
      <c r="R249" s="116" t="s">
        <v>2830</v>
      </c>
      <c r="S249" s="116" t="str">
        <f t="shared" si="26"/>
        <v>OK - FECHA COM PLANILHA</v>
      </c>
      <c r="T249" s="116">
        <v>1175.5999999999999</v>
      </c>
      <c r="U249" s="122">
        <f t="shared" si="27"/>
        <v>1.0000000002037268E-3</v>
      </c>
    </row>
    <row r="250" spans="1:21" ht="63.75" x14ac:dyDescent="0.2">
      <c r="A250" s="120" t="s">
        <v>2831</v>
      </c>
      <c r="B250" s="114" t="s">
        <v>609</v>
      </c>
      <c r="C250" s="114" t="s">
        <v>1571</v>
      </c>
      <c r="D250" s="114" t="s">
        <v>56</v>
      </c>
      <c r="E250" s="114" t="s">
        <v>575</v>
      </c>
      <c r="F250" s="114" t="s">
        <v>99</v>
      </c>
      <c r="G250" s="115">
        <v>126</v>
      </c>
      <c r="H250" s="116">
        <v>23.557500000000001</v>
      </c>
      <c r="I250" s="121">
        <v>0.2223</v>
      </c>
      <c r="J250" s="116">
        <f t="shared" si="21"/>
        <v>5.2349999999999994</v>
      </c>
      <c r="K250" s="116">
        <v>28.7925</v>
      </c>
      <c r="L250" s="116">
        <f t="shared" si="22"/>
        <v>2968.2450000000003</v>
      </c>
      <c r="M250" s="116">
        <f t="shared" si="23"/>
        <v>3627.855</v>
      </c>
      <c r="N250" s="116">
        <v>38.39</v>
      </c>
      <c r="O250" s="116">
        <f t="shared" si="24"/>
        <v>9.5975000000000001</v>
      </c>
      <c r="P250" s="116">
        <f t="shared" si="25"/>
        <v>1209.2850000000001</v>
      </c>
      <c r="Q250" s="116" t="s">
        <v>2349</v>
      </c>
      <c r="R250" s="116" t="s">
        <v>2832</v>
      </c>
      <c r="S250" s="116" t="str">
        <f t="shared" si="26"/>
        <v>OK - FECHA COM PLANILHA</v>
      </c>
      <c r="T250" s="116">
        <v>3627.85</v>
      </c>
      <c r="U250" s="122">
        <f t="shared" si="27"/>
        <v>5.0000000001091394E-3</v>
      </c>
    </row>
    <row r="251" spans="1:21" ht="63.75" x14ac:dyDescent="0.2">
      <c r="A251" s="120" t="s">
        <v>2833</v>
      </c>
      <c r="B251" s="114" t="s">
        <v>610</v>
      </c>
      <c r="C251" s="114" t="s">
        <v>1575</v>
      </c>
      <c r="D251" s="114" t="s">
        <v>56</v>
      </c>
      <c r="E251" s="114" t="s">
        <v>577</v>
      </c>
      <c r="F251" s="114" t="s">
        <v>99</v>
      </c>
      <c r="G251" s="115">
        <v>172.4</v>
      </c>
      <c r="H251" s="116">
        <v>23.865000000000002</v>
      </c>
      <c r="I251" s="121">
        <v>0.2223</v>
      </c>
      <c r="J251" s="116">
        <f t="shared" si="21"/>
        <v>5.3024999999999984</v>
      </c>
      <c r="K251" s="116">
        <v>29.1675</v>
      </c>
      <c r="L251" s="116">
        <f t="shared" si="22"/>
        <v>4114.3260000000009</v>
      </c>
      <c r="M251" s="116">
        <f t="shared" si="23"/>
        <v>5028.4769999999999</v>
      </c>
      <c r="N251" s="116">
        <v>38.89</v>
      </c>
      <c r="O251" s="116">
        <f t="shared" si="24"/>
        <v>9.7225000000000001</v>
      </c>
      <c r="P251" s="116">
        <f t="shared" si="25"/>
        <v>1676.1590000000001</v>
      </c>
      <c r="Q251" s="116" t="s">
        <v>2349</v>
      </c>
      <c r="R251" s="116" t="s">
        <v>2834</v>
      </c>
      <c r="S251" s="116" t="str">
        <f t="shared" si="26"/>
        <v>OK - FECHA COM PLANILHA</v>
      </c>
      <c r="T251" s="116">
        <v>5028.47</v>
      </c>
      <c r="U251" s="122">
        <f t="shared" si="27"/>
        <v>6.9999999996070983E-3</v>
      </c>
    </row>
    <row r="252" spans="1:21" ht="63.75" x14ac:dyDescent="0.2">
      <c r="A252" s="120" t="s">
        <v>2835</v>
      </c>
      <c r="B252" s="114" t="s">
        <v>611</v>
      </c>
      <c r="C252" s="114" t="s">
        <v>1635</v>
      </c>
      <c r="D252" s="114" t="s">
        <v>56</v>
      </c>
      <c r="E252" s="114" t="s">
        <v>612</v>
      </c>
      <c r="F252" s="114" t="s">
        <v>84</v>
      </c>
      <c r="G252" s="115">
        <v>2</v>
      </c>
      <c r="H252" s="116">
        <v>67.89</v>
      </c>
      <c r="I252" s="121">
        <v>0.2223</v>
      </c>
      <c r="J252" s="116">
        <f t="shared" si="21"/>
        <v>15.090000000000003</v>
      </c>
      <c r="K252" s="116">
        <v>82.98</v>
      </c>
      <c r="L252" s="116">
        <f t="shared" si="22"/>
        <v>135.78</v>
      </c>
      <c r="M252" s="116">
        <f t="shared" si="23"/>
        <v>165.96</v>
      </c>
      <c r="N252" s="116">
        <v>110.64</v>
      </c>
      <c r="O252" s="116">
        <f t="shared" si="24"/>
        <v>27.659999999999997</v>
      </c>
      <c r="P252" s="116">
        <f t="shared" si="25"/>
        <v>55.319999999999993</v>
      </c>
      <c r="Q252" s="116" t="s">
        <v>2349</v>
      </c>
      <c r="R252" s="116" t="s">
        <v>2836</v>
      </c>
      <c r="S252" s="116" t="str">
        <f t="shared" si="26"/>
        <v>OK - FECHA COM PLANILHA</v>
      </c>
      <c r="T252" s="116">
        <v>165.96</v>
      </c>
      <c r="U252" s="122">
        <f t="shared" si="27"/>
        <v>0</v>
      </c>
    </row>
    <row r="253" spans="1:21" ht="63.75" x14ac:dyDescent="0.2">
      <c r="A253" s="120" t="s">
        <v>2837</v>
      </c>
      <c r="B253" s="114" t="s">
        <v>613</v>
      </c>
      <c r="C253" s="114" t="s">
        <v>1584</v>
      </c>
      <c r="D253" s="114" t="s">
        <v>56</v>
      </c>
      <c r="E253" s="114" t="s">
        <v>654</v>
      </c>
      <c r="F253" s="114" t="s">
        <v>84</v>
      </c>
      <c r="G253" s="115">
        <v>5</v>
      </c>
      <c r="H253" s="116">
        <v>69.84</v>
      </c>
      <c r="I253" s="121">
        <v>0.2223</v>
      </c>
      <c r="J253" s="116">
        <f t="shared" si="21"/>
        <v>15.524999999999991</v>
      </c>
      <c r="K253" s="116">
        <v>85.364999999999995</v>
      </c>
      <c r="L253" s="116">
        <f t="shared" si="22"/>
        <v>349.20000000000005</v>
      </c>
      <c r="M253" s="116">
        <f t="shared" si="23"/>
        <v>426.82499999999999</v>
      </c>
      <c r="N253" s="116">
        <v>113.82</v>
      </c>
      <c r="O253" s="116">
        <f t="shared" si="24"/>
        <v>28.454999999999998</v>
      </c>
      <c r="P253" s="116">
        <f t="shared" si="25"/>
        <v>142.27499999999998</v>
      </c>
      <c r="Q253" s="116" t="s">
        <v>2349</v>
      </c>
      <c r="R253" s="116" t="s">
        <v>2838</v>
      </c>
      <c r="S253" s="116" t="str">
        <f t="shared" si="26"/>
        <v>OK - FECHA COM PLANILHA</v>
      </c>
      <c r="T253" s="116">
        <v>426.82</v>
      </c>
      <c r="U253" s="122">
        <f t="shared" si="27"/>
        <v>4.9999999999954525E-3</v>
      </c>
    </row>
    <row r="254" spans="1:21" ht="63.75" x14ac:dyDescent="0.2">
      <c r="A254" s="120" t="s">
        <v>2839</v>
      </c>
      <c r="B254" s="114" t="s">
        <v>614</v>
      </c>
      <c r="C254" s="114" t="s">
        <v>1636</v>
      </c>
      <c r="D254" s="114" t="s">
        <v>56</v>
      </c>
      <c r="E254" s="114" t="s">
        <v>1637</v>
      </c>
      <c r="F254" s="114" t="s">
        <v>84</v>
      </c>
      <c r="G254" s="115">
        <v>28</v>
      </c>
      <c r="H254" s="116">
        <v>61.050000000000004</v>
      </c>
      <c r="I254" s="121">
        <v>0.2223</v>
      </c>
      <c r="J254" s="116">
        <f t="shared" si="21"/>
        <v>13.567499999999988</v>
      </c>
      <c r="K254" s="116">
        <v>74.617499999999993</v>
      </c>
      <c r="L254" s="116">
        <f t="shared" si="22"/>
        <v>1709.4</v>
      </c>
      <c r="M254" s="116">
        <f t="shared" si="23"/>
        <v>2089.29</v>
      </c>
      <c r="N254" s="116">
        <v>99.49</v>
      </c>
      <c r="O254" s="116">
        <f t="shared" si="24"/>
        <v>24.872500000000002</v>
      </c>
      <c r="P254" s="116">
        <f t="shared" si="25"/>
        <v>696.43000000000006</v>
      </c>
      <c r="Q254" s="116" t="s">
        <v>2349</v>
      </c>
      <c r="R254" s="116" t="s">
        <v>2840</v>
      </c>
      <c r="S254" s="116" t="str">
        <f t="shared" si="26"/>
        <v>OK - FECHA COM PLANILHA</v>
      </c>
      <c r="T254" s="116">
        <v>2089.29</v>
      </c>
      <c r="U254" s="122">
        <f t="shared" si="27"/>
        <v>0</v>
      </c>
    </row>
    <row r="255" spans="1:21" ht="63.75" x14ac:dyDescent="0.2">
      <c r="A255" s="120" t="s">
        <v>2841</v>
      </c>
      <c r="B255" s="114" t="s">
        <v>616</v>
      </c>
      <c r="C255" s="114" t="s">
        <v>1638</v>
      </c>
      <c r="D255" s="114" t="s">
        <v>56</v>
      </c>
      <c r="E255" s="114" t="s">
        <v>1639</v>
      </c>
      <c r="F255" s="114" t="s">
        <v>84</v>
      </c>
      <c r="G255" s="115">
        <v>4</v>
      </c>
      <c r="H255" s="116">
        <v>58.252499999999998</v>
      </c>
      <c r="I255" s="121">
        <v>0.2223</v>
      </c>
      <c r="J255" s="116">
        <f t="shared" si="21"/>
        <v>12.945000000000007</v>
      </c>
      <c r="K255" s="116">
        <v>71.197500000000005</v>
      </c>
      <c r="L255" s="116">
        <f t="shared" si="22"/>
        <v>233.01</v>
      </c>
      <c r="M255" s="116">
        <f t="shared" si="23"/>
        <v>284.79000000000002</v>
      </c>
      <c r="N255" s="116">
        <v>94.93</v>
      </c>
      <c r="O255" s="116">
        <f t="shared" si="24"/>
        <v>23.732500000000002</v>
      </c>
      <c r="P255" s="116">
        <f t="shared" si="25"/>
        <v>94.93</v>
      </c>
      <c r="Q255" s="116" t="s">
        <v>2349</v>
      </c>
      <c r="R255" s="116" t="s">
        <v>2842</v>
      </c>
      <c r="S255" s="116" t="str">
        <f t="shared" si="26"/>
        <v>OK - FECHA COM PLANILHA</v>
      </c>
      <c r="T255" s="116">
        <v>284.79000000000002</v>
      </c>
      <c r="U255" s="122">
        <f t="shared" si="27"/>
        <v>0</v>
      </c>
    </row>
    <row r="256" spans="1:21" ht="63.75" x14ac:dyDescent="0.2">
      <c r="A256" s="120" t="s">
        <v>2843</v>
      </c>
      <c r="B256" s="114" t="s">
        <v>618</v>
      </c>
      <c r="C256" s="114" t="s">
        <v>1603</v>
      </c>
      <c r="D256" s="114" t="s">
        <v>56</v>
      </c>
      <c r="E256" s="114" t="s">
        <v>656</v>
      </c>
      <c r="F256" s="114" t="s">
        <v>84</v>
      </c>
      <c r="G256" s="115">
        <v>7</v>
      </c>
      <c r="H256" s="116">
        <v>18.502500000000001</v>
      </c>
      <c r="I256" s="121">
        <v>0.2223</v>
      </c>
      <c r="J256" s="116">
        <f t="shared" si="21"/>
        <v>4.1099999999999959</v>
      </c>
      <c r="K256" s="116">
        <v>22.612499999999997</v>
      </c>
      <c r="L256" s="116">
        <f t="shared" si="22"/>
        <v>129.51750000000001</v>
      </c>
      <c r="M256" s="116">
        <f t="shared" si="23"/>
        <v>158.28749999999997</v>
      </c>
      <c r="N256" s="116">
        <v>30.15</v>
      </c>
      <c r="O256" s="116">
        <f t="shared" si="24"/>
        <v>7.5375000000000014</v>
      </c>
      <c r="P256" s="116">
        <f t="shared" si="25"/>
        <v>52.76250000000001</v>
      </c>
      <c r="Q256" s="116" t="s">
        <v>2349</v>
      </c>
      <c r="R256" s="116" t="s">
        <v>2844</v>
      </c>
      <c r="S256" s="116" t="str">
        <f t="shared" si="26"/>
        <v>OK - FECHA COM PLANILHA</v>
      </c>
      <c r="T256" s="116">
        <v>158.28</v>
      </c>
      <c r="U256" s="122">
        <f t="shared" si="27"/>
        <v>7.4999999999647571E-3</v>
      </c>
    </row>
    <row r="257" spans="1:21" ht="63.75" x14ac:dyDescent="0.2">
      <c r="A257" s="120" t="s">
        <v>2845</v>
      </c>
      <c r="B257" s="114" t="s">
        <v>620</v>
      </c>
      <c r="C257" s="114" t="s">
        <v>1640</v>
      </c>
      <c r="D257" s="114" t="s">
        <v>56</v>
      </c>
      <c r="E257" s="114" t="s">
        <v>621</v>
      </c>
      <c r="F257" s="114" t="s">
        <v>84</v>
      </c>
      <c r="G257" s="115">
        <v>8</v>
      </c>
      <c r="H257" s="116">
        <v>11.73</v>
      </c>
      <c r="I257" s="121">
        <v>0.2223</v>
      </c>
      <c r="J257" s="116">
        <f t="shared" si="21"/>
        <v>2.6024999999999991</v>
      </c>
      <c r="K257" s="116">
        <v>14.3325</v>
      </c>
      <c r="L257" s="116">
        <f t="shared" si="22"/>
        <v>93.84</v>
      </c>
      <c r="M257" s="116">
        <f t="shared" si="23"/>
        <v>114.66</v>
      </c>
      <c r="N257" s="116">
        <v>19.11</v>
      </c>
      <c r="O257" s="116">
        <f t="shared" si="24"/>
        <v>4.7774999999999999</v>
      </c>
      <c r="P257" s="116">
        <f t="shared" si="25"/>
        <v>38.22</v>
      </c>
      <c r="Q257" s="116" t="s">
        <v>2349</v>
      </c>
      <c r="R257" s="116" t="s">
        <v>2846</v>
      </c>
      <c r="S257" s="116" t="str">
        <f t="shared" si="26"/>
        <v>OK - FECHA COM PLANILHA</v>
      </c>
      <c r="T257" s="116">
        <v>114.66</v>
      </c>
      <c r="U257" s="122">
        <f t="shared" si="27"/>
        <v>0</v>
      </c>
    </row>
    <row r="258" spans="1:21" ht="63.75" x14ac:dyDescent="0.2">
      <c r="A258" s="120" t="s">
        <v>2847</v>
      </c>
      <c r="B258" s="114" t="s">
        <v>1641</v>
      </c>
      <c r="C258" s="114" t="s">
        <v>1597</v>
      </c>
      <c r="D258" s="114" t="s">
        <v>56</v>
      </c>
      <c r="E258" s="114" t="s">
        <v>587</v>
      </c>
      <c r="F258" s="114" t="s">
        <v>84</v>
      </c>
      <c r="G258" s="115">
        <v>82</v>
      </c>
      <c r="H258" s="116">
        <v>9.6150000000000002</v>
      </c>
      <c r="I258" s="121">
        <v>0.2223</v>
      </c>
      <c r="J258" s="116">
        <f t="shared" si="21"/>
        <v>2.1300000000000008</v>
      </c>
      <c r="K258" s="116">
        <v>11.745000000000001</v>
      </c>
      <c r="L258" s="116">
        <f t="shared" si="22"/>
        <v>788.43000000000006</v>
      </c>
      <c r="M258" s="116">
        <f t="shared" si="23"/>
        <v>963.09</v>
      </c>
      <c r="N258" s="116">
        <v>15.66</v>
      </c>
      <c r="O258" s="116">
        <f t="shared" si="24"/>
        <v>3.9149999999999991</v>
      </c>
      <c r="P258" s="116">
        <f t="shared" si="25"/>
        <v>321.02999999999992</v>
      </c>
      <c r="Q258" s="116" t="s">
        <v>2349</v>
      </c>
      <c r="R258" s="116" t="s">
        <v>2848</v>
      </c>
      <c r="S258" s="116" t="str">
        <f t="shared" si="26"/>
        <v>OK - FECHA COM PLANILHA</v>
      </c>
      <c r="T258" s="116">
        <v>963.09</v>
      </c>
      <c r="U258" s="122">
        <f t="shared" si="27"/>
        <v>0</v>
      </c>
    </row>
    <row r="259" spans="1:21" ht="63.75" x14ac:dyDescent="0.2">
      <c r="A259" s="120" t="s">
        <v>2849</v>
      </c>
      <c r="B259" s="114" t="s">
        <v>1642</v>
      </c>
      <c r="C259" s="114" t="s">
        <v>1643</v>
      </c>
      <c r="D259" s="114" t="s">
        <v>56</v>
      </c>
      <c r="E259" s="114" t="s">
        <v>622</v>
      </c>
      <c r="F259" s="114" t="s">
        <v>84</v>
      </c>
      <c r="G259" s="115">
        <v>5</v>
      </c>
      <c r="H259" s="116">
        <v>10.215</v>
      </c>
      <c r="I259" s="121">
        <v>0.2223</v>
      </c>
      <c r="J259" s="116">
        <f t="shared" ref="J259:J322" si="28">K259-H259</f>
        <v>2.2650000000000006</v>
      </c>
      <c r="K259" s="116">
        <v>12.48</v>
      </c>
      <c r="L259" s="116">
        <f t="shared" ref="L259:L322" si="29">G259*H259</f>
        <v>51.075000000000003</v>
      </c>
      <c r="M259" s="116">
        <f t="shared" ref="M259:M322" si="30">G259*K259</f>
        <v>62.400000000000006</v>
      </c>
      <c r="N259" s="116">
        <v>16.64</v>
      </c>
      <c r="O259" s="116">
        <f t="shared" ref="O259:O322" si="31">IFERROR(N259-K259,"")</f>
        <v>4.16</v>
      </c>
      <c r="P259" s="116">
        <f t="shared" ref="P259:P322" si="32">IFERROR(G259*O259,"")</f>
        <v>20.8</v>
      </c>
      <c r="Q259" s="116" t="s">
        <v>2349</v>
      </c>
      <c r="R259" s="116" t="s">
        <v>2850</v>
      </c>
      <c r="S259" s="116" t="str">
        <f t="shared" ref="S259:S322" si="33">IF(ABS(M259-T259)&lt;=0.05,"OK - FECHA COM PLANILHA","REVISAR")</f>
        <v>OK - FECHA COM PLANILHA</v>
      </c>
      <c r="T259" s="116">
        <v>62.4</v>
      </c>
      <c r="U259" s="122">
        <f t="shared" ref="U259:U322" si="34">M259-T259</f>
        <v>0</v>
      </c>
    </row>
    <row r="260" spans="1:21" ht="63.75" x14ac:dyDescent="0.2">
      <c r="A260" s="120" t="s">
        <v>2851</v>
      </c>
      <c r="B260" s="114" t="s">
        <v>1644</v>
      </c>
      <c r="C260" s="114" t="s">
        <v>1645</v>
      </c>
      <c r="D260" s="114" t="s">
        <v>56</v>
      </c>
      <c r="E260" s="114" t="s">
        <v>623</v>
      </c>
      <c r="F260" s="114" t="s">
        <v>84</v>
      </c>
      <c r="G260" s="115">
        <v>7</v>
      </c>
      <c r="H260" s="116">
        <v>16.4925</v>
      </c>
      <c r="I260" s="121">
        <v>0.2223</v>
      </c>
      <c r="J260" s="116">
        <f t="shared" si="28"/>
        <v>3.66</v>
      </c>
      <c r="K260" s="116">
        <v>20.1525</v>
      </c>
      <c r="L260" s="116">
        <f t="shared" si="29"/>
        <v>115.44749999999999</v>
      </c>
      <c r="M260" s="116">
        <f t="shared" si="30"/>
        <v>141.0675</v>
      </c>
      <c r="N260" s="116">
        <v>26.87</v>
      </c>
      <c r="O260" s="116">
        <f t="shared" si="31"/>
        <v>6.7175000000000011</v>
      </c>
      <c r="P260" s="116">
        <f t="shared" si="32"/>
        <v>47.022500000000008</v>
      </c>
      <c r="Q260" s="116" t="s">
        <v>2349</v>
      </c>
      <c r="R260" s="116" t="s">
        <v>2852</v>
      </c>
      <c r="S260" s="116" t="str">
        <f t="shared" si="33"/>
        <v>OK - FECHA COM PLANILHA</v>
      </c>
      <c r="T260" s="116">
        <v>141.06</v>
      </c>
      <c r="U260" s="122">
        <f t="shared" si="34"/>
        <v>7.4999999999931788E-3</v>
      </c>
    </row>
    <row r="261" spans="1:21" ht="63.75" x14ac:dyDescent="0.2">
      <c r="A261" s="120" t="s">
        <v>2853</v>
      </c>
      <c r="B261" s="114" t="s">
        <v>1646</v>
      </c>
      <c r="C261" s="114" t="s">
        <v>1647</v>
      </c>
      <c r="D261" s="114" t="s">
        <v>56</v>
      </c>
      <c r="E261" s="114" t="s">
        <v>624</v>
      </c>
      <c r="F261" s="114" t="s">
        <v>84</v>
      </c>
      <c r="G261" s="115">
        <v>1</v>
      </c>
      <c r="H261" s="116">
        <v>14.9175</v>
      </c>
      <c r="I261" s="121">
        <v>0.2223</v>
      </c>
      <c r="J261" s="116">
        <f t="shared" si="28"/>
        <v>3.3149999999999977</v>
      </c>
      <c r="K261" s="116">
        <v>18.232499999999998</v>
      </c>
      <c r="L261" s="116">
        <f t="shared" si="29"/>
        <v>14.9175</v>
      </c>
      <c r="M261" s="116">
        <f t="shared" si="30"/>
        <v>18.232499999999998</v>
      </c>
      <c r="N261" s="116">
        <v>24.31</v>
      </c>
      <c r="O261" s="116">
        <f t="shared" si="31"/>
        <v>6.0775000000000006</v>
      </c>
      <c r="P261" s="116">
        <f t="shared" si="32"/>
        <v>6.0775000000000006</v>
      </c>
      <c r="Q261" s="116" t="s">
        <v>2349</v>
      </c>
      <c r="R261" s="116" t="s">
        <v>2854</v>
      </c>
      <c r="S261" s="116" t="str">
        <f t="shared" si="33"/>
        <v>OK - FECHA COM PLANILHA</v>
      </c>
      <c r="T261" s="116">
        <v>18.23</v>
      </c>
      <c r="U261" s="122">
        <f t="shared" si="34"/>
        <v>2.4999999999977263E-3</v>
      </c>
    </row>
    <row r="262" spans="1:21" ht="63.75" x14ac:dyDescent="0.2">
      <c r="A262" s="120" t="s">
        <v>2855</v>
      </c>
      <c r="B262" s="114" t="s">
        <v>1648</v>
      </c>
      <c r="C262" s="114" t="s">
        <v>1649</v>
      </c>
      <c r="D262" s="114" t="s">
        <v>56</v>
      </c>
      <c r="E262" s="114" t="s">
        <v>625</v>
      </c>
      <c r="F262" s="114" t="s">
        <v>84</v>
      </c>
      <c r="G262" s="115">
        <v>2</v>
      </c>
      <c r="H262" s="116">
        <v>21.8475</v>
      </c>
      <c r="I262" s="121">
        <v>0.2223</v>
      </c>
      <c r="J262" s="116">
        <f t="shared" si="28"/>
        <v>4.8525000000000027</v>
      </c>
      <c r="K262" s="116">
        <v>26.700000000000003</v>
      </c>
      <c r="L262" s="116">
        <f t="shared" si="29"/>
        <v>43.695</v>
      </c>
      <c r="M262" s="116">
        <f t="shared" si="30"/>
        <v>53.400000000000006</v>
      </c>
      <c r="N262" s="116">
        <v>35.6</v>
      </c>
      <c r="O262" s="116">
        <f t="shared" si="31"/>
        <v>8.8999999999999986</v>
      </c>
      <c r="P262" s="116">
        <f t="shared" si="32"/>
        <v>17.799999999999997</v>
      </c>
      <c r="Q262" s="116" t="s">
        <v>2349</v>
      </c>
      <c r="R262" s="116" t="s">
        <v>2856</v>
      </c>
      <c r="S262" s="116" t="str">
        <f t="shared" si="33"/>
        <v>OK - FECHA COM PLANILHA</v>
      </c>
      <c r="T262" s="116">
        <v>53.4</v>
      </c>
      <c r="U262" s="122">
        <f t="shared" si="34"/>
        <v>0</v>
      </c>
    </row>
    <row r="263" spans="1:21" ht="63.75" x14ac:dyDescent="0.2">
      <c r="A263" s="120" t="s">
        <v>2857</v>
      </c>
      <c r="B263" s="114" t="s">
        <v>1650</v>
      </c>
      <c r="C263" s="114" t="s">
        <v>1610</v>
      </c>
      <c r="D263" s="114" t="s">
        <v>56</v>
      </c>
      <c r="E263" s="114" t="s">
        <v>593</v>
      </c>
      <c r="F263" s="114" t="s">
        <v>84</v>
      </c>
      <c r="G263" s="115">
        <v>6</v>
      </c>
      <c r="H263" s="116">
        <v>13.919999999999998</v>
      </c>
      <c r="I263" s="121">
        <v>0.2223</v>
      </c>
      <c r="J263" s="116">
        <f t="shared" si="28"/>
        <v>3.09</v>
      </c>
      <c r="K263" s="116">
        <v>17.009999999999998</v>
      </c>
      <c r="L263" s="116">
        <f t="shared" si="29"/>
        <v>83.519999999999982</v>
      </c>
      <c r="M263" s="116">
        <f t="shared" si="30"/>
        <v>102.05999999999999</v>
      </c>
      <c r="N263" s="116">
        <v>22.68</v>
      </c>
      <c r="O263" s="116">
        <f t="shared" si="31"/>
        <v>5.6700000000000017</v>
      </c>
      <c r="P263" s="116">
        <f t="shared" si="32"/>
        <v>34.02000000000001</v>
      </c>
      <c r="Q263" s="116" t="s">
        <v>2349</v>
      </c>
      <c r="R263" s="116" t="s">
        <v>2858</v>
      </c>
      <c r="S263" s="116" t="str">
        <f t="shared" si="33"/>
        <v>OK - FECHA COM PLANILHA</v>
      </c>
      <c r="T263" s="116">
        <v>102.06</v>
      </c>
      <c r="U263" s="122">
        <f t="shared" si="34"/>
        <v>0</v>
      </c>
    </row>
    <row r="264" spans="1:21" ht="63.75" x14ac:dyDescent="0.2">
      <c r="A264" s="120" t="s">
        <v>2859</v>
      </c>
      <c r="B264" s="114" t="s">
        <v>1651</v>
      </c>
      <c r="C264" s="114" t="s">
        <v>1652</v>
      </c>
      <c r="D264" s="114" t="s">
        <v>56</v>
      </c>
      <c r="E264" s="114" t="s">
        <v>626</v>
      </c>
      <c r="F264" s="114" t="s">
        <v>84</v>
      </c>
      <c r="G264" s="115">
        <v>1</v>
      </c>
      <c r="H264" s="116">
        <v>30.547499999999999</v>
      </c>
      <c r="I264" s="121">
        <v>0.2223</v>
      </c>
      <c r="J264" s="116">
        <f t="shared" si="28"/>
        <v>6.7875000000000014</v>
      </c>
      <c r="K264" s="116">
        <v>37.335000000000001</v>
      </c>
      <c r="L264" s="116">
        <f t="shared" si="29"/>
        <v>30.547499999999999</v>
      </c>
      <c r="M264" s="116">
        <f t="shared" si="30"/>
        <v>37.335000000000001</v>
      </c>
      <c r="N264" s="116">
        <v>49.78</v>
      </c>
      <c r="O264" s="116">
        <f t="shared" si="31"/>
        <v>12.445</v>
      </c>
      <c r="P264" s="116">
        <f t="shared" si="32"/>
        <v>12.445</v>
      </c>
      <c r="Q264" s="116" t="s">
        <v>2349</v>
      </c>
      <c r="R264" s="116" t="s">
        <v>2860</v>
      </c>
      <c r="S264" s="116" t="str">
        <f t="shared" si="33"/>
        <v>OK - FECHA COM PLANILHA</v>
      </c>
      <c r="T264" s="116">
        <v>37.33</v>
      </c>
      <c r="U264" s="122">
        <f t="shared" si="34"/>
        <v>5.000000000002558E-3</v>
      </c>
    </row>
    <row r="265" spans="1:21" ht="63.75" x14ac:dyDescent="0.2">
      <c r="A265" s="120" t="s">
        <v>2861</v>
      </c>
      <c r="B265" s="114" t="s">
        <v>1653</v>
      </c>
      <c r="C265" s="114" t="s">
        <v>1654</v>
      </c>
      <c r="D265" s="114" t="s">
        <v>56</v>
      </c>
      <c r="E265" s="114" t="s">
        <v>627</v>
      </c>
      <c r="F265" s="114" t="s">
        <v>84</v>
      </c>
      <c r="G265" s="115">
        <v>23</v>
      </c>
      <c r="H265" s="116">
        <v>11.73</v>
      </c>
      <c r="I265" s="121">
        <v>0.2223</v>
      </c>
      <c r="J265" s="116">
        <f t="shared" si="28"/>
        <v>2.6024999999999991</v>
      </c>
      <c r="K265" s="116">
        <v>14.3325</v>
      </c>
      <c r="L265" s="116">
        <f t="shared" si="29"/>
        <v>269.79000000000002</v>
      </c>
      <c r="M265" s="116">
        <f t="shared" si="30"/>
        <v>329.64749999999998</v>
      </c>
      <c r="N265" s="116">
        <v>19.11</v>
      </c>
      <c r="O265" s="116">
        <f t="shared" si="31"/>
        <v>4.7774999999999999</v>
      </c>
      <c r="P265" s="116">
        <f t="shared" si="32"/>
        <v>109.88249999999999</v>
      </c>
      <c r="Q265" s="116" t="s">
        <v>2349</v>
      </c>
      <c r="R265" s="116" t="s">
        <v>2862</v>
      </c>
      <c r="S265" s="116" t="str">
        <f t="shared" si="33"/>
        <v>OK - FECHA COM PLANILHA</v>
      </c>
      <c r="T265" s="116">
        <v>329.64</v>
      </c>
      <c r="U265" s="122">
        <f t="shared" si="34"/>
        <v>7.4999999999931788E-3</v>
      </c>
    </row>
    <row r="266" spans="1:21" ht="63.75" x14ac:dyDescent="0.2">
      <c r="A266" s="120" t="s">
        <v>2863</v>
      </c>
      <c r="B266" s="114" t="s">
        <v>1655</v>
      </c>
      <c r="C266" s="114" t="s">
        <v>1656</v>
      </c>
      <c r="D266" s="114" t="s">
        <v>56</v>
      </c>
      <c r="E266" s="114" t="s">
        <v>628</v>
      </c>
      <c r="F266" s="114" t="s">
        <v>84</v>
      </c>
      <c r="G266" s="115">
        <v>28</v>
      </c>
      <c r="H266" s="116">
        <v>6.9674999999999994</v>
      </c>
      <c r="I266" s="121">
        <v>0.2223</v>
      </c>
      <c r="J266" s="116">
        <f t="shared" si="28"/>
        <v>1.5449999999999999</v>
      </c>
      <c r="K266" s="116">
        <v>8.5124999999999993</v>
      </c>
      <c r="L266" s="116">
        <f t="shared" si="29"/>
        <v>195.08999999999997</v>
      </c>
      <c r="M266" s="116">
        <f t="shared" si="30"/>
        <v>238.34999999999997</v>
      </c>
      <c r="N266" s="116">
        <v>11.35</v>
      </c>
      <c r="O266" s="116">
        <f t="shared" si="31"/>
        <v>2.8375000000000004</v>
      </c>
      <c r="P266" s="116">
        <f t="shared" si="32"/>
        <v>79.450000000000017</v>
      </c>
      <c r="Q266" s="116" t="s">
        <v>2349</v>
      </c>
      <c r="R266" s="116" t="s">
        <v>2864</v>
      </c>
      <c r="S266" s="116" t="str">
        <f t="shared" si="33"/>
        <v>OK - FECHA COM PLANILHA</v>
      </c>
      <c r="T266" s="116">
        <v>238.35</v>
      </c>
      <c r="U266" s="122">
        <f t="shared" si="34"/>
        <v>0</v>
      </c>
    </row>
    <row r="267" spans="1:21" ht="63.75" x14ac:dyDescent="0.2">
      <c r="A267" s="120" t="s">
        <v>2865</v>
      </c>
      <c r="B267" s="114" t="s">
        <v>1657</v>
      </c>
      <c r="C267" s="114" t="s">
        <v>1614</v>
      </c>
      <c r="D267" s="114" t="s">
        <v>56</v>
      </c>
      <c r="E267" s="114" t="s">
        <v>595</v>
      </c>
      <c r="F267" s="114" t="s">
        <v>84</v>
      </c>
      <c r="G267" s="115">
        <v>7</v>
      </c>
      <c r="H267" s="116">
        <v>27.39</v>
      </c>
      <c r="I267" s="121">
        <v>0.2223</v>
      </c>
      <c r="J267" s="116">
        <f t="shared" si="28"/>
        <v>6.0825000000000031</v>
      </c>
      <c r="K267" s="116">
        <v>33.472500000000004</v>
      </c>
      <c r="L267" s="116">
        <f t="shared" si="29"/>
        <v>191.73000000000002</v>
      </c>
      <c r="M267" s="116">
        <f t="shared" si="30"/>
        <v>234.30750000000003</v>
      </c>
      <c r="N267" s="116">
        <v>44.63</v>
      </c>
      <c r="O267" s="116">
        <f t="shared" si="31"/>
        <v>11.157499999999999</v>
      </c>
      <c r="P267" s="116">
        <f t="shared" si="32"/>
        <v>78.102499999999992</v>
      </c>
      <c r="Q267" s="116" t="s">
        <v>2349</v>
      </c>
      <c r="R267" s="116" t="s">
        <v>2866</v>
      </c>
      <c r="S267" s="116" t="str">
        <f t="shared" si="33"/>
        <v>OK - FECHA COM PLANILHA</v>
      </c>
      <c r="T267" s="116">
        <v>234.3</v>
      </c>
      <c r="U267" s="122">
        <f t="shared" si="34"/>
        <v>7.5000000000216005E-3</v>
      </c>
    </row>
    <row r="268" spans="1:21" ht="63.75" x14ac:dyDescent="0.2">
      <c r="A268" s="120" t="s">
        <v>2867</v>
      </c>
      <c r="B268" s="114" t="s">
        <v>1658</v>
      </c>
      <c r="C268" s="114" t="s">
        <v>1659</v>
      </c>
      <c r="D268" s="114" t="s">
        <v>56</v>
      </c>
      <c r="E268" s="114" t="s">
        <v>629</v>
      </c>
      <c r="F268" s="114" t="s">
        <v>84</v>
      </c>
      <c r="G268" s="115">
        <v>16</v>
      </c>
      <c r="H268" s="116">
        <v>16.634999999999998</v>
      </c>
      <c r="I268" s="121">
        <v>0.2223</v>
      </c>
      <c r="J268" s="116">
        <f t="shared" si="28"/>
        <v>3.6975000000000016</v>
      </c>
      <c r="K268" s="116">
        <v>20.3325</v>
      </c>
      <c r="L268" s="116">
        <f t="shared" si="29"/>
        <v>266.15999999999997</v>
      </c>
      <c r="M268" s="116">
        <f t="shared" si="30"/>
        <v>325.32</v>
      </c>
      <c r="N268" s="116">
        <v>27.11</v>
      </c>
      <c r="O268" s="116">
        <f t="shared" si="31"/>
        <v>6.7774999999999999</v>
      </c>
      <c r="P268" s="116">
        <f t="shared" si="32"/>
        <v>108.44</v>
      </c>
      <c r="Q268" s="116" t="s">
        <v>2349</v>
      </c>
      <c r="R268" s="116" t="s">
        <v>2868</v>
      </c>
      <c r="S268" s="116" t="str">
        <f t="shared" si="33"/>
        <v>OK - FECHA COM PLANILHA</v>
      </c>
      <c r="T268" s="116">
        <v>325.32</v>
      </c>
      <c r="U268" s="122">
        <f t="shared" si="34"/>
        <v>0</v>
      </c>
    </row>
    <row r="269" spans="1:21" ht="63.75" x14ac:dyDescent="0.2">
      <c r="A269" s="120" t="s">
        <v>2869</v>
      </c>
      <c r="B269" s="114" t="s">
        <v>1660</v>
      </c>
      <c r="C269" s="114" t="s">
        <v>1661</v>
      </c>
      <c r="D269" s="114" t="s">
        <v>56</v>
      </c>
      <c r="E269" s="114" t="s">
        <v>630</v>
      </c>
      <c r="F269" s="114" t="s">
        <v>84</v>
      </c>
      <c r="G269" s="115">
        <v>29</v>
      </c>
      <c r="H269" s="116">
        <v>12</v>
      </c>
      <c r="I269" s="121">
        <v>0.2223</v>
      </c>
      <c r="J269" s="116">
        <f t="shared" si="28"/>
        <v>2.6625000000000014</v>
      </c>
      <c r="K269" s="116">
        <v>14.662500000000001</v>
      </c>
      <c r="L269" s="116">
        <f t="shared" si="29"/>
        <v>348</v>
      </c>
      <c r="M269" s="116">
        <f t="shared" si="30"/>
        <v>425.21250000000003</v>
      </c>
      <c r="N269" s="116">
        <v>19.55</v>
      </c>
      <c r="O269" s="116">
        <f t="shared" si="31"/>
        <v>4.8874999999999993</v>
      </c>
      <c r="P269" s="116">
        <f t="shared" si="32"/>
        <v>141.73749999999998</v>
      </c>
      <c r="Q269" s="116" t="s">
        <v>2349</v>
      </c>
      <c r="R269" s="116" t="s">
        <v>2870</v>
      </c>
      <c r="S269" s="116" t="str">
        <f t="shared" si="33"/>
        <v>OK - FECHA COM PLANILHA</v>
      </c>
      <c r="T269" s="116">
        <v>425.21</v>
      </c>
      <c r="U269" s="122">
        <f t="shared" si="34"/>
        <v>2.5000000000545697E-3</v>
      </c>
    </row>
    <row r="270" spans="1:21" ht="63.75" x14ac:dyDescent="0.2">
      <c r="A270" s="120" t="s">
        <v>2871</v>
      </c>
      <c r="B270" s="114" t="s">
        <v>1662</v>
      </c>
      <c r="C270" s="114" t="s">
        <v>1616</v>
      </c>
      <c r="D270" s="114" t="s">
        <v>56</v>
      </c>
      <c r="E270" s="114" t="s">
        <v>596</v>
      </c>
      <c r="F270" s="114" t="s">
        <v>84</v>
      </c>
      <c r="G270" s="115">
        <v>6</v>
      </c>
      <c r="H270" s="116">
        <v>25.275000000000002</v>
      </c>
      <c r="I270" s="121">
        <v>0.2223</v>
      </c>
      <c r="J270" s="116">
        <f t="shared" si="28"/>
        <v>5.6174999999999962</v>
      </c>
      <c r="K270" s="116">
        <v>30.892499999999998</v>
      </c>
      <c r="L270" s="116">
        <f t="shared" si="29"/>
        <v>151.65</v>
      </c>
      <c r="M270" s="116">
        <f t="shared" si="30"/>
        <v>185.35499999999999</v>
      </c>
      <c r="N270" s="116">
        <v>41.19</v>
      </c>
      <c r="O270" s="116">
        <f t="shared" si="31"/>
        <v>10.297499999999999</v>
      </c>
      <c r="P270" s="116">
        <f t="shared" si="32"/>
        <v>61.784999999999997</v>
      </c>
      <c r="Q270" s="116" t="s">
        <v>2349</v>
      </c>
      <c r="R270" s="116" t="s">
        <v>2872</v>
      </c>
      <c r="S270" s="116" t="str">
        <f t="shared" si="33"/>
        <v>OK - FECHA COM PLANILHA</v>
      </c>
      <c r="T270" s="116">
        <v>185.35</v>
      </c>
      <c r="U270" s="122">
        <f t="shared" si="34"/>
        <v>4.9999999999954525E-3</v>
      </c>
    </row>
    <row r="271" spans="1:21" ht="63.75" x14ac:dyDescent="0.2">
      <c r="A271" s="120" t="s">
        <v>2873</v>
      </c>
      <c r="B271" s="114" t="s">
        <v>1663</v>
      </c>
      <c r="C271" s="114" t="s">
        <v>1664</v>
      </c>
      <c r="D271" s="114" t="s">
        <v>56</v>
      </c>
      <c r="E271" s="114" t="s">
        <v>631</v>
      </c>
      <c r="F271" s="114" t="s">
        <v>84</v>
      </c>
      <c r="G271" s="115">
        <v>1</v>
      </c>
      <c r="H271" s="116">
        <v>18.697499999999998</v>
      </c>
      <c r="I271" s="121">
        <v>0.2223</v>
      </c>
      <c r="J271" s="116">
        <f t="shared" si="28"/>
        <v>4.1550000000000011</v>
      </c>
      <c r="K271" s="116">
        <v>22.852499999999999</v>
      </c>
      <c r="L271" s="116">
        <f t="shared" si="29"/>
        <v>18.697499999999998</v>
      </c>
      <c r="M271" s="116">
        <f t="shared" si="30"/>
        <v>22.852499999999999</v>
      </c>
      <c r="N271" s="116">
        <v>30.47</v>
      </c>
      <c r="O271" s="116">
        <f t="shared" si="31"/>
        <v>7.6174999999999997</v>
      </c>
      <c r="P271" s="116">
        <f t="shared" si="32"/>
        <v>7.6174999999999997</v>
      </c>
      <c r="Q271" s="116" t="s">
        <v>2349</v>
      </c>
      <c r="R271" s="116" t="s">
        <v>2874</v>
      </c>
      <c r="S271" s="116" t="str">
        <f t="shared" si="33"/>
        <v>OK - FECHA COM PLANILHA</v>
      </c>
      <c r="T271" s="116">
        <v>22.85</v>
      </c>
      <c r="U271" s="122">
        <f t="shared" si="34"/>
        <v>2.4999999999977263E-3</v>
      </c>
    </row>
    <row r="272" spans="1:21" ht="63.75" x14ac:dyDescent="0.2">
      <c r="A272" s="120" t="s">
        <v>2875</v>
      </c>
      <c r="B272" s="114" t="s">
        <v>1665</v>
      </c>
      <c r="C272" s="114" t="s">
        <v>1666</v>
      </c>
      <c r="D272" s="114" t="s">
        <v>56</v>
      </c>
      <c r="E272" s="114" t="s">
        <v>632</v>
      </c>
      <c r="F272" s="114" t="s">
        <v>84</v>
      </c>
      <c r="G272" s="115">
        <v>3</v>
      </c>
      <c r="H272" s="116">
        <v>11.4375</v>
      </c>
      <c r="I272" s="121">
        <v>0.2223</v>
      </c>
      <c r="J272" s="116">
        <f t="shared" si="28"/>
        <v>2.5425000000000004</v>
      </c>
      <c r="K272" s="116">
        <v>13.98</v>
      </c>
      <c r="L272" s="116">
        <f t="shared" si="29"/>
        <v>34.3125</v>
      </c>
      <c r="M272" s="116">
        <f t="shared" si="30"/>
        <v>41.94</v>
      </c>
      <c r="N272" s="116">
        <v>18.64</v>
      </c>
      <c r="O272" s="116">
        <f t="shared" si="31"/>
        <v>4.66</v>
      </c>
      <c r="P272" s="116">
        <f t="shared" si="32"/>
        <v>13.98</v>
      </c>
      <c r="Q272" s="116" t="s">
        <v>2349</v>
      </c>
      <c r="R272" s="116" t="s">
        <v>2876</v>
      </c>
      <c r="S272" s="116" t="str">
        <f t="shared" si="33"/>
        <v>OK - FECHA COM PLANILHA</v>
      </c>
      <c r="T272" s="116">
        <v>41.94</v>
      </c>
      <c r="U272" s="122">
        <f t="shared" si="34"/>
        <v>0</v>
      </c>
    </row>
    <row r="273" spans="1:21" ht="63.75" x14ac:dyDescent="0.2">
      <c r="A273" s="120" t="s">
        <v>2877</v>
      </c>
      <c r="B273" s="114" t="s">
        <v>1667</v>
      </c>
      <c r="C273" s="114" t="s">
        <v>1668</v>
      </c>
      <c r="D273" s="114" t="s">
        <v>56</v>
      </c>
      <c r="E273" s="114" t="s">
        <v>1669</v>
      </c>
      <c r="F273" s="114" t="s">
        <v>84</v>
      </c>
      <c r="G273" s="115">
        <v>24</v>
      </c>
      <c r="H273" s="116">
        <v>9.93</v>
      </c>
      <c r="I273" s="121">
        <v>0.2223</v>
      </c>
      <c r="J273" s="116">
        <f t="shared" si="28"/>
        <v>2.2050000000000001</v>
      </c>
      <c r="K273" s="116">
        <v>12.135</v>
      </c>
      <c r="L273" s="116">
        <f t="shared" si="29"/>
        <v>238.32</v>
      </c>
      <c r="M273" s="116">
        <f t="shared" si="30"/>
        <v>291.24</v>
      </c>
      <c r="N273" s="116">
        <v>16.18</v>
      </c>
      <c r="O273" s="116">
        <f t="shared" si="31"/>
        <v>4.0449999999999999</v>
      </c>
      <c r="P273" s="116">
        <f t="shared" si="32"/>
        <v>97.08</v>
      </c>
      <c r="Q273" s="116" t="s">
        <v>2349</v>
      </c>
      <c r="R273" s="116" t="s">
        <v>2878</v>
      </c>
      <c r="S273" s="116" t="str">
        <f t="shared" si="33"/>
        <v>OK - FECHA COM PLANILHA</v>
      </c>
      <c r="T273" s="116">
        <v>291.24</v>
      </c>
      <c r="U273" s="122">
        <f t="shared" si="34"/>
        <v>0</v>
      </c>
    </row>
    <row r="274" spans="1:21" ht="63.75" x14ac:dyDescent="0.2">
      <c r="A274" s="120" t="s">
        <v>2879</v>
      </c>
      <c r="B274" s="114" t="s">
        <v>1670</v>
      </c>
      <c r="C274" s="114" t="s">
        <v>1592</v>
      </c>
      <c r="D274" s="114" t="s">
        <v>56</v>
      </c>
      <c r="E274" s="114" t="s">
        <v>1593</v>
      </c>
      <c r="F274" s="114" t="s">
        <v>84</v>
      </c>
      <c r="G274" s="115">
        <v>4</v>
      </c>
      <c r="H274" s="116">
        <v>12.315000000000001</v>
      </c>
      <c r="I274" s="121">
        <v>0.2223</v>
      </c>
      <c r="J274" s="116">
        <f t="shared" si="28"/>
        <v>2.7374999999999989</v>
      </c>
      <c r="K274" s="116">
        <v>15.0525</v>
      </c>
      <c r="L274" s="116">
        <f t="shared" si="29"/>
        <v>49.260000000000005</v>
      </c>
      <c r="M274" s="116">
        <f t="shared" si="30"/>
        <v>60.21</v>
      </c>
      <c r="N274" s="116">
        <v>20.07</v>
      </c>
      <c r="O274" s="116">
        <f t="shared" si="31"/>
        <v>5.0175000000000001</v>
      </c>
      <c r="P274" s="116">
        <f t="shared" si="32"/>
        <v>20.07</v>
      </c>
      <c r="Q274" s="116" t="s">
        <v>2349</v>
      </c>
      <c r="R274" s="116" t="s">
        <v>2880</v>
      </c>
      <c r="S274" s="116" t="str">
        <f t="shared" si="33"/>
        <v>OK - FECHA COM PLANILHA</v>
      </c>
      <c r="T274" s="116">
        <v>60.21</v>
      </c>
      <c r="U274" s="122">
        <f t="shared" si="34"/>
        <v>0</v>
      </c>
    </row>
    <row r="275" spans="1:21" ht="63.75" x14ac:dyDescent="0.2">
      <c r="A275" s="120" t="s">
        <v>2881</v>
      </c>
      <c r="B275" s="114" t="s">
        <v>1671</v>
      </c>
      <c r="C275" s="114" t="s">
        <v>1672</v>
      </c>
      <c r="D275" s="114" t="s">
        <v>56</v>
      </c>
      <c r="E275" s="114" t="s">
        <v>635</v>
      </c>
      <c r="F275" s="114" t="s">
        <v>84</v>
      </c>
      <c r="G275" s="115">
        <v>2</v>
      </c>
      <c r="H275" s="116">
        <v>29.505000000000003</v>
      </c>
      <c r="I275" s="121">
        <v>0.2223</v>
      </c>
      <c r="J275" s="116">
        <f t="shared" si="28"/>
        <v>6.5549999999999997</v>
      </c>
      <c r="K275" s="116">
        <v>36.06</v>
      </c>
      <c r="L275" s="116">
        <f t="shared" si="29"/>
        <v>59.010000000000005</v>
      </c>
      <c r="M275" s="116">
        <f t="shared" si="30"/>
        <v>72.12</v>
      </c>
      <c r="N275" s="116">
        <v>48.08</v>
      </c>
      <c r="O275" s="116">
        <f t="shared" si="31"/>
        <v>12.019999999999996</v>
      </c>
      <c r="P275" s="116">
        <f t="shared" si="32"/>
        <v>24.039999999999992</v>
      </c>
      <c r="Q275" s="116" t="s">
        <v>2349</v>
      </c>
      <c r="R275" s="116" t="s">
        <v>2882</v>
      </c>
      <c r="S275" s="116" t="str">
        <f t="shared" si="33"/>
        <v>OK - FECHA COM PLANILHA</v>
      </c>
      <c r="T275" s="116">
        <v>72.12</v>
      </c>
      <c r="U275" s="122">
        <f t="shared" si="34"/>
        <v>0</v>
      </c>
    </row>
    <row r="276" spans="1:21" ht="63.75" x14ac:dyDescent="0.2">
      <c r="A276" s="120" t="s">
        <v>2883</v>
      </c>
      <c r="B276" s="114" t="s">
        <v>1673</v>
      </c>
      <c r="C276" s="114" t="s">
        <v>1674</v>
      </c>
      <c r="D276" s="114" t="s">
        <v>56</v>
      </c>
      <c r="E276" s="114" t="s">
        <v>636</v>
      </c>
      <c r="F276" s="114" t="s">
        <v>84</v>
      </c>
      <c r="G276" s="115">
        <v>56</v>
      </c>
      <c r="H276" s="116">
        <v>6.5249999999999995</v>
      </c>
      <c r="I276" s="121">
        <v>0.2223</v>
      </c>
      <c r="J276" s="116">
        <f t="shared" si="28"/>
        <v>1.4475000000000007</v>
      </c>
      <c r="K276" s="116">
        <v>7.9725000000000001</v>
      </c>
      <c r="L276" s="116">
        <f t="shared" si="29"/>
        <v>365.4</v>
      </c>
      <c r="M276" s="116">
        <f t="shared" si="30"/>
        <v>446.46000000000004</v>
      </c>
      <c r="N276" s="116">
        <v>10.63</v>
      </c>
      <c r="O276" s="116">
        <f t="shared" si="31"/>
        <v>2.6575000000000006</v>
      </c>
      <c r="P276" s="116">
        <f t="shared" si="32"/>
        <v>148.82000000000005</v>
      </c>
      <c r="Q276" s="116" t="s">
        <v>2349</v>
      </c>
      <c r="R276" s="116" t="s">
        <v>2884</v>
      </c>
      <c r="S276" s="116" t="str">
        <f t="shared" si="33"/>
        <v>OK - FECHA COM PLANILHA</v>
      </c>
      <c r="T276" s="116">
        <v>446.46</v>
      </c>
      <c r="U276" s="122">
        <f t="shared" si="34"/>
        <v>0</v>
      </c>
    </row>
    <row r="277" spans="1:21" ht="63.75" x14ac:dyDescent="0.2">
      <c r="A277" s="120" t="s">
        <v>2885</v>
      </c>
      <c r="B277" s="114" t="s">
        <v>1675</v>
      </c>
      <c r="C277" s="114" t="s">
        <v>1676</v>
      </c>
      <c r="D277" s="114" t="s">
        <v>56</v>
      </c>
      <c r="E277" s="114" t="s">
        <v>637</v>
      </c>
      <c r="F277" s="114" t="s">
        <v>84</v>
      </c>
      <c r="G277" s="115">
        <v>6</v>
      </c>
      <c r="H277" s="116">
        <v>5.4450000000000003</v>
      </c>
      <c r="I277" s="121">
        <v>0.2223</v>
      </c>
      <c r="J277" s="116">
        <f t="shared" si="28"/>
        <v>1.2074999999999996</v>
      </c>
      <c r="K277" s="116">
        <v>6.6524999999999999</v>
      </c>
      <c r="L277" s="116">
        <f t="shared" si="29"/>
        <v>32.67</v>
      </c>
      <c r="M277" s="116">
        <f t="shared" si="30"/>
        <v>39.914999999999999</v>
      </c>
      <c r="N277" s="116">
        <v>8.8699999999999992</v>
      </c>
      <c r="O277" s="116">
        <f t="shared" si="31"/>
        <v>2.2174999999999994</v>
      </c>
      <c r="P277" s="116">
        <f t="shared" si="32"/>
        <v>13.304999999999996</v>
      </c>
      <c r="Q277" s="116" t="s">
        <v>2349</v>
      </c>
      <c r="R277" s="116" t="s">
        <v>2886</v>
      </c>
      <c r="S277" s="116" t="str">
        <f t="shared" si="33"/>
        <v>OK - FECHA COM PLANILHA</v>
      </c>
      <c r="T277" s="116">
        <v>39.909999999999997</v>
      </c>
      <c r="U277" s="122">
        <f t="shared" si="34"/>
        <v>5.000000000002558E-3</v>
      </c>
    </row>
    <row r="278" spans="1:21" ht="63.75" x14ac:dyDescent="0.2">
      <c r="A278" s="120" t="s">
        <v>2887</v>
      </c>
      <c r="B278" s="114" t="s">
        <v>1677</v>
      </c>
      <c r="C278" s="114" t="s">
        <v>1678</v>
      </c>
      <c r="D278" s="114" t="s">
        <v>56</v>
      </c>
      <c r="E278" s="114" t="s">
        <v>1679</v>
      </c>
      <c r="F278" s="114" t="s">
        <v>84</v>
      </c>
      <c r="G278" s="115">
        <v>51</v>
      </c>
      <c r="H278" s="116">
        <v>11.9925</v>
      </c>
      <c r="I278" s="121">
        <v>0.2223</v>
      </c>
      <c r="J278" s="116">
        <f t="shared" si="28"/>
        <v>2.6624999999999996</v>
      </c>
      <c r="K278" s="116">
        <v>14.654999999999999</v>
      </c>
      <c r="L278" s="116">
        <f t="shared" si="29"/>
        <v>611.61749999999995</v>
      </c>
      <c r="M278" s="116">
        <f t="shared" si="30"/>
        <v>747.40499999999997</v>
      </c>
      <c r="N278" s="116">
        <v>19.54</v>
      </c>
      <c r="O278" s="116">
        <f t="shared" si="31"/>
        <v>4.8849999999999998</v>
      </c>
      <c r="P278" s="116">
        <f t="shared" si="32"/>
        <v>249.13499999999999</v>
      </c>
      <c r="Q278" s="116" t="s">
        <v>2349</v>
      </c>
      <c r="R278" s="116" t="s">
        <v>2888</v>
      </c>
      <c r="S278" s="116" t="str">
        <f t="shared" si="33"/>
        <v>OK - FECHA COM PLANILHA</v>
      </c>
      <c r="T278" s="116">
        <v>747.4</v>
      </c>
      <c r="U278" s="122">
        <f t="shared" si="34"/>
        <v>4.9999999999954525E-3</v>
      </c>
    </row>
    <row r="279" spans="1:21" ht="63.75" x14ac:dyDescent="0.2">
      <c r="A279" s="120" t="s">
        <v>2889</v>
      </c>
      <c r="B279" s="114" t="s">
        <v>1680</v>
      </c>
      <c r="C279" s="114" t="s">
        <v>1681</v>
      </c>
      <c r="D279" s="114" t="s">
        <v>56</v>
      </c>
      <c r="E279" s="114" t="s">
        <v>639</v>
      </c>
      <c r="F279" s="114" t="s">
        <v>84</v>
      </c>
      <c r="G279" s="115">
        <v>24</v>
      </c>
      <c r="H279" s="116">
        <v>18.36</v>
      </c>
      <c r="I279" s="121">
        <v>0.2223</v>
      </c>
      <c r="J279" s="116">
        <f t="shared" si="28"/>
        <v>4.0800000000000018</v>
      </c>
      <c r="K279" s="116">
        <v>22.44</v>
      </c>
      <c r="L279" s="116">
        <f t="shared" si="29"/>
        <v>440.64</v>
      </c>
      <c r="M279" s="116">
        <f t="shared" si="30"/>
        <v>538.56000000000006</v>
      </c>
      <c r="N279" s="116">
        <v>29.92</v>
      </c>
      <c r="O279" s="116">
        <f t="shared" si="31"/>
        <v>7.48</v>
      </c>
      <c r="P279" s="116">
        <f t="shared" si="32"/>
        <v>179.52</v>
      </c>
      <c r="Q279" s="116" t="s">
        <v>2349</v>
      </c>
      <c r="R279" s="116" t="s">
        <v>2890</v>
      </c>
      <c r="S279" s="116" t="str">
        <f t="shared" si="33"/>
        <v>OK - FECHA COM PLANILHA</v>
      </c>
      <c r="T279" s="116">
        <v>538.55999999999995</v>
      </c>
      <c r="U279" s="122">
        <f t="shared" si="34"/>
        <v>0</v>
      </c>
    </row>
    <row r="280" spans="1:21" ht="63.75" x14ac:dyDescent="0.2">
      <c r="A280" s="120" t="s">
        <v>2891</v>
      </c>
      <c r="B280" s="114" t="s">
        <v>1682</v>
      </c>
      <c r="C280" s="114" t="s">
        <v>1683</v>
      </c>
      <c r="D280" s="114" t="s">
        <v>56</v>
      </c>
      <c r="E280" s="114" t="s">
        <v>640</v>
      </c>
      <c r="F280" s="114" t="s">
        <v>84</v>
      </c>
      <c r="G280" s="115">
        <v>1</v>
      </c>
      <c r="H280" s="116">
        <v>9.6449999999999996</v>
      </c>
      <c r="I280" s="121">
        <v>0.2223</v>
      </c>
      <c r="J280" s="116">
        <f t="shared" si="28"/>
        <v>2.1375000000000011</v>
      </c>
      <c r="K280" s="116">
        <v>11.782500000000001</v>
      </c>
      <c r="L280" s="116">
        <f t="shared" si="29"/>
        <v>9.6449999999999996</v>
      </c>
      <c r="M280" s="116">
        <f t="shared" si="30"/>
        <v>11.782500000000001</v>
      </c>
      <c r="N280" s="116">
        <v>15.71</v>
      </c>
      <c r="O280" s="116">
        <f t="shared" si="31"/>
        <v>3.9275000000000002</v>
      </c>
      <c r="P280" s="116">
        <f t="shared" si="32"/>
        <v>3.9275000000000002</v>
      </c>
      <c r="Q280" s="116" t="s">
        <v>2349</v>
      </c>
      <c r="R280" s="116" t="s">
        <v>2892</v>
      </c>
      <c r="S280" s="116" t="str">
        <f t="shared" si="33"/>
        <v>OK - FECHA COM PLANILHA</v>
      </c>
      <c r="T280" s="116">
        <v>11.78</v>
      </c>
      <c r="U280" s="122">
        <f t="shared" si="34"/>
        <v>2.500000000001279E-3</v>
      </c>
    </row>
    <row r="281" spans="1:21" ht="63.75" x14ac:dyDescent="0.2">
      <c r="A281" s="120" t="s">
        <v>2893</v>
      </c>
      <c r="B281" s="114" t="s">
        <v>1684</v>
      </c>
      <c r="C281" s="114" t="s">
        <v>1685</v>
      </c>
      <c r="D281" s="114" t="s">
        <v>56</v>
      </c>
      <c r="E281" s="114" t="s">
        <v>1686</v>
      </c>
      <c r="F281" s="114" t="s">
        <v>99</v>
      </c>
      <c r="G281" s="115">
        <v>107.83</v>
      </c>
      <c r="H281" s="116">
        <v>6.87</v>
      </c>
      <c r="I281" s="121">
        <v>0.2223</v>
      </c>
      <c r="J281" s="116">
        <f t="shared" si="28"/>
        <v>1.5225</v>
      </c>
      <c r="K281" s="116">
        <v>8.3925000000000001</v>
      </c>
      <c r="L281" s="116">
        <f t="shared" si="29"/>
        <v>740.7921</v>
      </c>
      <c r="M281" s="116">
        <f t="shared" si="30"/>
        <v>904.96327499999995</v>
      </c>
      <c r="N281" s="116">
        <v>11.19</v>
      </c>
      <c r="O281" s="116">
        <f t="shared" si="31"/>
        <v>2.7974999999999994</v>
      </c>
      <c r="P281" s="116">
        <f t="shared" si="32"/>
        <v>301.65442499999995</v>
      </c>
      <c r="Q281" s="116" t="s">
        <v>2349</v>
      </c>
      <c r="R281" s="116" t="s">
        <v>2894</v>
      </c>
      <c r="S281" s="116" t="str">
        <f t="shared" si="33"/>
        <v>OK - FECHA COM PLANILHA</v>
      </c>
      <c r="T281" s="116">
        <v>904.96</v>
      </c>
      <c r="U281" s="122">
        <f t="shared" si="34"/>
        <v>3.2749999999168722E-3</v>
      </c>
    </row>
    <row r="282" spans="1:21" ht="63.75" x14ac:dyDescent="0.2">
      <c r="A282" s="120" t="s">
        <v>2895</v>
      </c>
      <c r="B282" s="114" t="s">
        <v>1687</v>
      </c>
      <c r="C282" s="114" t="s">
        <v>1688</v>
      </c>
      <c r="D282" s="114" t="s">
        <v>56</v>
      </c>
      <c r="E282" s="114" t="s">
        <v>1689</v>
      </c>
      <c r="F282" s="114" t="s">
        <v>99</v>
      </c>
      <c r="G282" s="115">
        <v>107.83</v>
      </c>
      <c r="H282" s="116">
        <v>15.375</v>
      </c>
      <c r="I282" s="121">
        <v>0.2223</v>
      </c>
      <c r="J282" s="116">
        <f t="shared" si="28"/>
        <v>3.4125000000000014</v>
      </c>
      <c r="K282" s="116">
        <v>18.787500000000001</v>
      </c>
      <c r="L282" s="116">
        <f t="shared" si="29"/>
        <v>1657.88625</v>
      </c>
      <c r="M282" s="116">
        <f t="shared" si="30"/>
        <v>2025.856125</v>
      </c>
      <c r="N282" s="116">
        <v>25.05</v>
      </c>
      <c r="O282" s="116">
        <f t="shared" si="31"/>
        <v>6.2624999999999993</v>
      </c>
      <c r="P282" s="116">
        <f t="shared" si="32"/>
        <v>675.28537499999993</v>
      </c>
      <c r="Q282" s="116" t="s">
        <v>2349</v>
      </c>
      <c r="R282" s="116" t="s">
        <v>2896</v>
      </c>
      <c r="S282" s="116" t="str">
        <f t="shared" si="33"/>
        <v>OK - FECHA COM PLANILHA</v>
      </c>
      <c r="T282" s="116">
        <v>2025.85</v>
      </c>
      <c r="U282" s="122">
        <f t="shared" si="34"/>
        <v>6.1250000001109584E-3</v>
      </c>
    </row>
    <row r="283" spans="1:21" ht="63.75" x14ac:dyDescent="0.2">
      <c r="A283" s="120" t="s">
        <v>2897</v>
      </c>
      <c r="B283" s="114" t="s">
        <v>645</v>
      </c>
      <c r="C283" s="114" t="s">
        <v>1569</v>
      </c>
      <c r="D283" s="114" t="s">
        <v>56</v>
      </c>
      <c r="E283" s="114" t="s">
        <v>574</v>
      </c>
      <c r="F283" s="114" t="s">
        <v>99</v>
      </c>
      <c r="G283" s="115">
        <v>12.7</v>
      </c>
      <c r="H283" s="116">
        <v>27.022500000000001</v>
      </c>
      <c r="I283" s="121">
        <v>0.2223</v>
      </c>
      <c r="J283" s="116">
        <f t="shared" si="28"/>
        <v>6</v>
      </c>
      <c r="K283" s="116">
        <v>33.022500000000001</v>
      </c>
      <c r="L283" s="116">
        <f t="shared" si="29"/>
        <v>343.18574999999998</v>
      </c>
      <c r="M283" s="116">
        <f t="shared" si="30"/>
        <v>419.38574999999997</v>
      </c>
      <c r="N283" s="116">
        <v>44.03</v>
      </c>
      <c r="O283" s="116">
        <f t="shared" si="31"/>
        <v>11.0075</v>
      </c>
      <c r="P283" s="116">
        <f t="shared" si="32"/>
        <v>139.79525000000001</v>
      </c>
      <c r="Q283" s="116" t="s">
        <v>2349</v>
      </c>
      <c r="R283" s="116" t="s">
        <v>2898</v>
      </c>
      <c r="S283" s="116" t="str">
        <f t="shared" si="33"/>
        <v>OK - FECHA COM PLANILHA</v>
      </c>
      <c r="T283" s="116">
        <v>419.38</v>
      </c>
      <c r="U283" s="122">
        <f t="shared" si="34"/>
        <v>5.7499999999777174E-3</v>
      </c>
    </row>
    <row r="284" spans="1:21" ht="63.75" x14ac:dyDescent="0.2">
      <c r="A284" s="120" t="s">
        <v>2899</v>
      </c>
      <c r="B284" s="114" t="s">
        <v>646</v>
      </c>
      <c r="C284" s="114" t="s">
        <v>1690</v>
      </c>
      <c r="D284" s="114" t="s">
        <v>56</v>
      </c>
      <c r="E284" s="114" t="s">
        <v>647</v>
      </c>
      <c r="F284" s="114" t="s">
        <v>99</v>
      </c>
      <c r="G284" s="115">
        <v>1.1000000000000001</v>
      </c>
      <c r="H284" s="116">
        <v>17.52</v>
      </c>
      <c r="I284" s="121">
        <v>0.2223</v>
      </c>
      <c r="J284" s="116">
        <f t="shared" si="28"/>
        <v>3.8925000000000018</v>
      </c>
      <c r="K284" s="116">
        <v>21.412500000000001</v>
      </c>
      <c r="L284" s="116">
        <f t="shared" si="29"/>
        <v>19.272000000000002</v>
      </c>
      <c r="M284" s="116">
        <f t="shared" si="30"/>
        <v>23.553750000000004</v>
      </c>
      <c r="N284" s="116">
        <v>28.55</v>
      </c>
      <c r="O284" s="116">
        <f t="shared" si="31"/>
        <v>7.1374999999999993</v>
      </c>
      <c r="P284" s="116">
        <f t="shared" si="32"/>
        <v>7.8512500000000003</v>
      </c>
      <c r="Q284" s="116" t="s">
        <v>2349</v>
      </c>
      <c r="R284" s="116" t="s">
        <v>2900</v>
      </c>
      <c r="S284" s="116" t="str">
        <f t="shared" si="33"/>
        <v>OK - FECHA COM PLANILHA</v>
      </c>
      <c r="T284" s="116">
        <v>23.55</v>
      </c>
      <c r="U284" s="122">
        <f t="shared" si="34"/>
        <v>3.7500000000036948E-3</v>
      </c>
    </row>
    <row r="285" spans="1:21" ht="63.75" x14ac:dyDescent="0.2">
      <c r="A285" s="120" t="s">
        <v>2901</v>
      </c>
      <c r="B285" s="114" t="s">
        <v>648</v>
      </c>
      <c r="C285" s="114" t="s">
        <v>1575</v>
      </c>
      <c r="D285" s="114" t="s">
        <v>56</v>
      </c>
      <c r="E285" s="114" t="s">
        <v>577</v>
      </c>
      <c r="F285" s="114" t="s">
        <v>99</v>
      </c>
      <c r="G285" s="115">
        <v>103.2</v>
      </c>
      <c r="H285" s="116">
        <v>23.865000000000002</v>
      </c>
      <c r="I285" s="121">
        <v>0.2223</v>
      </c>
      <c r="J285" s="116">
        <f t="shared" si="28"/>
        <v>5.3024999999999984</v>
      </c>
      <c r="K285" s="116">
        <v>29.1675</v>
      </c>
      <c r="L285" s="116">
        <f t="shared" si="29"/>
        <v>2462.8680000000004</v>
      </c>
      <c r="M285" s="116">
        <f t="shared" si="30"/>
        <v>3010.0860000000002</v>
      </c>
      <c r="N285" s="116">
        <v>38.89</v>
      </c>
      <c r="O285" s="116">
        <f t="shared" si="31"/>
        <v>9.7225000000000001</v>
      </c>
      <c r="P285" s="116">
        <f t="shared" si="32"/>
        <v>1003.3620000000001</v>
      </c>
      <c r="Q285" s="116" t="s">
        <v>2349</v>
      </c>
      <c r="R285" s="116" t="s">
        <v>2902</v>
      </c>
      <c r="S285" s="116" t="str">
        <f t="shared" si="33"/>
        <v>OK - FECHA COM PLANILHA</v>
      </c>
      <c r="T285" s="116">
        <v>3010.08</v>
      </c>
      <c r="U285" s="122">
        <f t="shared" si="34"/>
        <v>6.0000000003128662E-3</v>
      </c>
    </row>
    <row r="286" spans="1:21" ht="63.75" x14ac:dyDescent="0.2">
      <c r="A286" s="120" t="s">
        <v>2903</v>
      </c>
      <c r="B286" s="114" t="s">
        <v>649</v>
      </c>
      <c r="C286" s="114" t="s">
        <v>1580</v>
      </c>
      <c r="D286" s="114" t="s">
        <v>56</v>
      </c>
      <c r="E286" s="114" t="s">
        <v>579</v>
      </c>
      <c r="F286" s="114" t="s">
        <v>84</v>
      </c>
      <c r="G286" s="115">
        <v>2</v>
      </c>
      <c r="H286" s="116">
        <v>33.532499999999999</v>
      </c>
      <c r="I286" s="121">
        <v>0.2223</v>
      </c>
      <c r="J286" s="116">
        <f t="shared" si="28"/>
        <v>7.4475000000000051</v>
      </c>
      <c r="K286" s="116">
        <v>40.980000000000004</v>
      </c>
      <c r="L286" s="116">
        <f t="shared" si="29"/>
        <v>67.064999999999998</v>
      </c>
      <c r="M286" s="116">
        <f t="shared" si="30"/>
        <v>81.960000000000008</v>
      </c>
      <c r="N286" s="116">
        <v>54.64</v>
      </c>
      <c r="O286" s="116">
        <f t="shared" si="31"/>
        <v>13.659999999999997</v>
      </c>
      <c r="P286" s="116">
        <f t="shared" si="32"/>
        <v>27.319999999999993</v>
      </c>
      <c r="Q286" s="116" t="s">
        <v>2349</v>
      </c>
      <c r="R286" s="116" t="s">
        <v>2904</v>
      </c>
      <c r="S286" s="116" t="str">
        <f t="shared" si="33"/>
        <v>OK - FECHA COM PLANILHA</v>
      </c>
      <c r="T286" s="116">
        <v>81.96</v>
      </c>
      <c r="U286" s="122">
        <f t="shared" si="34"/>
        <v>0</v>
      </c>
    </row>
    <row r="287" spans="1:21" ht="63.75" x14ac:dyDescent="0.2">
      <c r="A287" s="120" t="s">
        <v>2905</v>
      </c>
      <c r="B287" s="114" t="s">
        <v>651</v>
      </c>
      <c r="C287" s="114" t="s">
        <v>1582</v>
      </c>
      <c r="D287" s="114" t="s">
        <v>56</v>
      </c>
      <c r="E287" s="114" t="s">
        <v>580</v>
      </c>
      <c r="F287" s="114" t="s">
        <v>84</v>
      </c>
      <c r="G287" s="115">
        <v>2</v>
      </c>
      <c r="H287" s="116">
        <v>49.987500000000004</v>
      </c>
      <c r="I287" s="121">
        <v>0.2223</v>
      </c>
      <c r="J287" s="116">
        <f t="shared" si="28"/>
        <v>11.107499999999995</v>
      </c>
      <c r="K287" s="116">
        <v>61.094999999999999</v>
      </c>
      <c r="L287" s="116">
        <f t="shared" si="29"/>
        <v>99.975000000000009</v>
      </c>
      <c r="M287" s="116">
        <f t="shared" si="30"/>
        <v>122.19</v>
      </c>
      <c r="N287" s="116">
        <v>81.459999999999994</v>
      </c>
      <c r="O287" s="116">
        <f t="shared" si="31"/>
        <v>20.364999999999995</v>
      </c>
      <c r="P287" s="116">
        <f t="shared" si="32"/>
        <v>40.72999999999999</v>
      </c>
      <c r="Q287" s="116" t="s">
        <v>2349</v>
      </c>
      <c r="R287" s="116" t="s">
        <v>2906</v>
      </c>
      <c r="S287" s="116" t="str">
        <f t="shared" si="33"/>
        <v>OK - FECHA COM PLANILHA</v>
      </c>
      <c r="T287" s="116">
        <v>122.19</v>
      </c>
      <c r="U287" s="122">
        <f t="shared" si="34"/>
        <v>0</v>
      </c>
    </row>
    <row r="288" spans="1:21" ht="63.75" x14ac:dyDescent="0.2">
      <c r="A288" s="120" t="s">
        <v>2907</v>
      </c>
      <c r="B288" s="114" t="s">
        <v>653</v>
      </c>
      <c r="C288" s="114" t="s">
        <v>1584</v>
      </c>
      <c r="D288" s="114" t="s">
        <v>56</v>
      </c>
      <c r="E288" s="114" t="s">
        <v>654</v>
      </c>
      <c r="F288" s="114" t="s">
        <v>84</v>
      </c>
      <c r="G288" s="115">
        <v>2</v>
      </c>
      <c r="H288" s="116">
        <v>69.84</v>
      </c>
      <c r="I288" s="121">
        <v>0.2223</v>
      </c>
      <c r="J288" s="116">
        <f t="shared" si="28"/>
        <v>15.524999999999991</v>
      </c>
      <c r="K288" s="116">
        <v>85.364999999999995</v>
      </c>
      <c r="L288" s="116">
        <f t="shared" si="29"/>
        <v>139.68</v>
      </c>
      <c r="M288" s="116">
        <f t="shared" si="30"/>
        <v>170.73</v>
      </c>
      <c r="N288" s="116">
        <v>113.82</v>
      </c>
      <c r="O288" s="116">
        <f t="shared" si="31"/>
        <v>28.454999999999998</v>
      </c>
      <c r="P288" s="116">
        <f t="shared" si="32"/>
        <v>56.91</v>
      </c>
      <c r="Q288" s="116" t="s">
        <v>2349</v>
      </c>
      <c r="R288" s="116" t="s">
        <v>2908</v>
      </c>
      <c r="S288" s="116" t="str">
        <f t="shared" si="33"/>
        <v>OK - FECHA COM PLANILHA</v>
      </c>
      <c r="T288" s="116">
        <v>170.73</v>
      </c>
      <c r="U288" s="122">
        <f t="shared" si="34"/>
        <v>0</v>
      </c>
    </row>
    <row r="289" spans="1:21" ht="63.75" x14ac:dyDescent="0.2">
      <c r="A289" s="120" t="s">
        <v>2909</v>
      </c>
      <c r="B289" s="114" t="s">
        <v>655</v>
      </c>
      <c r="C289" s="114" t="s">
        <v>1603</v>
      </c>
      <c r="D289" s="114" t="s">
        <v>56</v>
      </c>
      <c r="E289" s="114" t="s">
        <v>656</v>
      </c>
      <c r="F289" s="114" t="s">
        <v>84</v>
      </c>
      <c r="G289" s="115">
        <v>6</v>
      </c>
      <c r="H289" s="116">
        <v>18.502500000000001</v>
      </c>
      <c r="I289" s="121">
        <v>0.2223</v>
      </c>
      <c r="J289" s="116">
        <f t="shared" si="28"/>
        <v>4.1099999999999959</v>
      </c>
      <c r="K289" s="116">
        <v>22.612499999999997</v>
      </c>
      <c r="L289" s="116">
        <f t="shared" si="29"/>
        <v>111.01500000000001</v>
      </c>
      <c r="M289" s="116">
        <f t="shared" si="30"/>
        <v>135.67499999999998</v>
      </c>
      <c r="N289" s="116">
        <v>30.15</v>
      </c>
      <c r="O289" s="116">
        <f t="shared" si="31"/>
        <v>7.5375000000000014</v>
      </c>
      <c r="P289" s="116">
        <f t="shared" si="32"/>
        <v>45.225000000000009</v>
      </c>
      <c r="Q289" s="116" t="s">
        <v>2349</v>
      </c>
      <c r="R289" s="116" t="s">
        <v>2910</v>
      </c>
      <c r="S289" s="116" t="str">
        <f t="shared" si="33"/>
        <v>OK - FECHA COM PLANILHA</v>
      </c>
      <c r="T289" s="116">
        <v>135.66999999999999</v>
      </c>
      <c r="U289" s="122">
        <f t="shared" si="34"/>
        <v>4.9999999999954525E-3</v>
      </c>
    </row>
    <row r="290" spans="1:21" ht="63.75" x14ac:dyDescent="0.2">
      <c r="A290" s="120" t="s">
        <v>2911</v>
      </c>
      <c r="B290" s="114" t="s">
        <v>657</v>
      </c>
      <c r="C290" s="114" t="s">
        <v>1691</v>
      </c>
      <c r="D290" s="114" t="s">
        <v>56</v>
      </c>
      <c r="E290" s="114" t="s">
        <v>658</v>
      </c>
      <c r="F290" s="114" t="s">
        <v>84</v>
      </c>
      <c r="G290" s="115">
        <v>1</v>
      </c>
      <c r="H290" s="116">
        <v>11.805</v>
      </c>
      <c r="I290" s="121">
        <v>0.2223</v>
      </c>
      <c r="J290" s="116">
        <f t="shared" si="28"/>
        <v>2.6174999999999997</v>
      </c>
      <c r="K290" s="116">
        <v>14.422499999999999</v>
      </c>
      <c r="L290" s="116">
        <f t="shared" si="29"/>
        <v>11.805</v>
      </c>
      <c r="M290" s="116">
        <f t="shared" si="30"/>
        <v>14.422499999999999</v>
      </c>
      <c r="N290" s="116">
        <v>19.23</v>
      </c>
      <c r="O290" s="116">
        <f t="shared" si="31"/>
        <v>4.807500000000001</v>
      </c>
      <c r="P290" s="116">
        <f t="shared" si="32"/>
        <v>4.807500000000001</v>
      </c>
      <c r="Q290" s="116" t="s">
        <v>2349</v>
      </c>
      <c r="R290" s="116" t="s">
        <v>2912</v>
      </c>
      <c r="S290" s="116" t="str">
        <f t="shared" si="33"/>
        <v>OK - FECHA COM PLANILHA</v>
      </c>
      <c r="T290" s="116">
        <v>14.42</v>
      </c>
      <c r="U290" s="122">
        <f t="shared" si="34"/>
        <v>2.4999999999995026E-3</v>
      </c>
    </row>
    <row r="291" spans="1:21" ht="63.75" x14ac:dyDescent="0.2">
      <c r="A291" s="120" t="s">
        <v>2913</v>
      </c>
      <c r="B291" s="114" t="s">
        <v>659</v>
      </c>
      <c r="C291" s="114" t="s">
        <v>1643</v>
      </c>
      <c r="D291" s="114" t="s">
        <v>56</v>
      </c>
      <c r="E291" s="114" t="s">
        <v>622</v>
      </c>
      <c r="F291" s="114" t="s">
        <v>84</v>
      </c>
      <c r="G291" s="115">
        <v>1</v>
      </c>
      <c r="H291" s="116">
        <v>10.215</v>
      </c>
      <c r="I291" s="121">
        <v>0.2223</v>
      </c>
      <c r="J291" s="116">
        <f t="shared" si="28"/>
        <v>2.2650000000000006</v>
      </c>
      <c r="K291" s="116">
        <v>12.48</v>
      </c>
      <c r="L291" s="116">
        <f t="shared" si="29"/>
        <v>10.215</v>
      </c>
      <c r="M291" s="116">
        <f t="shared" si="30"/>
        <v>12.48</v>
      </c>
      <c r="N291" s="116">
        <v>16.64</v>
      </c>
      <c r="O291" s="116">
        <f t="shared" si="31"/>
        <v>4.16</v>
      </c>
      <c r="P291" s="116">
        <f t="shared" si="32"/>
        <v>4.16</v>
      </c>
      <c r="Q291" s="116" t="s">
        <v>2349</v>
      </c>
      <c r="R291" s="116" t="s">
        <v>2914</v>
      </c>
      <c r="S291" s="116" t="str">
        <f t="shared" si="33"/>
        <v>OK - FECHA COM PLANILHA</v>
      </c>
      <c r="T291" s="116">
        <v>12.48</v>
      </c>
      <c r="U291" s="122">
        <f t="shared" si="34"/>
        <v>0</v>
      </c>
    </row>
    <row r="292" spans="1:21" ht="63.75" x14ac:dyDescent="0.2">
      <c r="A292" s="120" t="s">
        <v>2915</v>
      </c>
      <c r="B292" s="114" t="s">
        <v>1692</v>
      </c>
      <c r="C292" s="114" t="s">
        <v>1597</v>
      </c>
      <c r="D292" s="114" t="s">
        <v>56</v>
      </c>
      <c r="E292" s="114" t="s">
        <v>587</v>
      </c>
      <c r="F292" s="114" t="s">
        <v>84</v>
      </c>
      <c r="G292" s="115">
        <v>5</v>
      </c>
      <c r="H292" s="116">
        <v>9.6150000000000002</v>
      </c>
      <c r="I292" s="121">
        <v>0.2223</v>
      </c>
      <c r="J292" s="116">
        <f t="shared" si="28"/>
        <v>2.1300000000000008</v>
      </c>
      <c r="K292" s="116">
        <v>11.745000000000001</v>
      </c>
      <c r="L292" s="116">
        <f t="shared" si="29"/>
        <v>48.075000000000003</v>
      </c>
      <c r="M292" s="116">
        <f t="shared" si="30"/>
        <v>58.725000000000009</v>
      </c>
      <c r="N292" s="116">
        <v>15.66</v>
      </c>
      <c r="O292" s="116">
        <f t="shared" si="31"/>
        <v>3.9149999999999991</v>
      </c>
      <c r="P292" s="116">
        <f t="shared" si="32"/>
        <v>19.574999999999996</v>
      </c>
      <c r="Q292" s="116" t="s">
        <v>2349</v>
      </c>
      <c r="R292" s="116" t="s">
        <v>2916</v>
      </c>
      <c r="S292" s="116" t="str">
        <f t="shared" si="33"/>
        <v>OK - FECHA COM PLANILHA</v>
      </c>
      <c r="T292" s="116">
        <v>58.72</v>
      </c>
      <c r="U292" s="122">
        <f t="shared" si="34"/>
        <v>5.0000000000096634E-3</v>
      </c>
    </row>
    <row r="293" spans="1:21" ht="63.75" x14ac:dyDescent="0.2">
      <c r="A293" s="120" t="s">
        <v>2917</v>
      </c>
      <c r="B293" s="114" t="s">
        <v>1693</v>
      </c>
      <c r="C293" s="114" t="s">
        <v>1647</v>
      </c>
      <c r="D293" s="114" t="s">
        <v>56</v>
      </c>
      <c r="E293" s="114" t="s">
        <v>624</v>
      </c>
      <c r="F293" s="114" t="s">
        <v>84</v>
      </c>
      <c r="G293" s="115">
        <v>1</v>
      </c>
      <c r="H293" s="116">
        <v>14.9175</v>
      </c>
      <c r="I293" s="121">
        <v>0.2223</v>
      </c>
      <c r="J293" s="116">
        <f t="shared" si="28"/>
        <v>3.3149999999999977</v>
      </c>
      <c r="K293" s="116">
        <v>18.232499999999998</v>
      </c>
      <c r="L293" s="116">
        <f t="shared" si="29"/>
        <v>14.9175</v>
      </c>
      <c r="M293" s="116">
        <f t="shared" si="30"/>
        <v>18.232499999999998</v>
      </c>
      <c r="N293" s="116">
        <v>24.31</v>
      </c>
      <c r="O293" s="116">
        <f t="shared" si="31"/>
        <v>6.0775000000000006</v>
      </c>
      <c r="P293" s="116">
        <f t="shared" si="32"/>
        <v>6.0775000000000006</v>
      </c>
      <c r="Q293" s="116" t="s">
        <v>2349</v>
      </c>
      <c r="R293" s="116" t="s">
        <v>2918</v>
      </c>
      <c r="S293" s="116" t="str">
        <f t="shared" si="33"/>
        <v>OK - FECHA COM PLANILHA</v>
      </c>
      <c r="T293" s="116">
        <v>18.23</v>
      </c>
      <c r="U293" s="122">
        <f t="shared" si="34"/>
        <v>2.4999999999977263E-3</v>
      </c>
    </row>
    <row r="294" spans="1:21" ht="63.75" x14ac:dyDescent="0.2">
      <c r="A294" s="120" t="s">
        <v>2919</v>
      </c>
      <c r="B294" s="114" t="s">
        <v>1694</v>
      </c>
      <c r="C294" s="114" t="s">
        <v>1695</v>
      </c>
      <c r="D294" s="114" t="s">
        <v>56</v>
      </c>
      <c r="E294" s="114" t="s">
        <v>1696</v>
      </c>
      <c r="F294" s="114" t="s">
        <v>84</v>
      </c>
      <c r="G294" s="115">
        <v>1</v>
      </c>
      <c r="H294" s="116">
        <v>9.27</v>
      </c>
      <c r="I294" s="121">
        <v>0.2223</v>
      </c>
      <c r="J294" s="116">
        <f t="shared" si="28"/>
        <v>2.0549999999999997</v>
      </c>
      <c r="K294" s="116">
        <v>11.324999999999999</v>
      </c>
      <c r="L294" s="116">
        <f t="shared" si="29"/>
        <v>9.27</v>
      </c>
      <c r="M294" s="116">
        <f t="shared" si="30"/>
        <v>11.324999999999999</v>
      </c>
      <c r="N294" s="116">
        <v>15.1</v>
      </c>
      <c r="O294" s="116">
        <f t="shared" si="31"/>
        <v>3.7750000000000004</v>
      </c>
      <c r="P294" s="116">
        <f t="shared" si="32"/>
        <v>3.7750000000000004</v>
      </c>
      <c r="Q294" s="116" t="s">
        <v>2349</v>
      </c>
      <c r="R294" s="116" t="s">
        <v>2920</v>
      </c>
      <c r="S294" s="116" t="str">
        <f t="shared" si="33"/>
        <v>OK - FECHA COM PLANILHA</v>
      </c>
      <c r="T294" s="116">
        <v>11.32</v>
      </c>
      <c r="U294" s="122">
        <f t="shared" si="34"/>
        <v>4.9999999999990052E-3</v>
      </c>
    </row>
    <row r="295" spans="1:21" ht="63.75" x14ac:dyDescent="0.2">
      <c r="A295" s="120" t="s">
        <v>2921</v>
      </c>
      <c r="B295" s="114" t="s">
        <v>1697</v>
      </c>
      <c r="C295" s="114" t="s">
        <v>1698</v>
      </c>
      <c r="D295" s="114" t="s">
        <v>56</v>
      </c>
      <c r="E295" s="114" t="s">
        <v>661</v>
      </c>
      <c r="F295" s="114" t="s">
        <v>84</v>
      </c>
      <c r="G295" s="115">
        <v>1</v>
      </c>
      <c r="H295" s="116">
        <v>24.150000000000002</v>
      </c>
      <c r="I295" s="121">
        <v>0.2223</v>
      </c>
      <c r="J295" s="116">
        <f t="shared" si="28"/>
        <v>5.3625000000000007</v>
      </c>
      <c r="K295" s="116">
        <v>29.512500000000003</v>
      </c>
      <c r="L295" s="116">
        <f t="shared" si="29"/>
        <v>24.150000000000002</v>
      </c>
      <c r="M295" s="116">
        <f t="shared" si="30"/>
        <v>29.512500000000003</v>
      </c>
      <c r="N295" s="116">
        <v>39.35</v>
      </c>
      <c r="O295" s="116">
        <f t="shared" si="31"/>
        <v>9.8374999999999986</v>
      </c>
      <c r="P295" s="116">
        <f t="shared" si="32"/>
        <v>9.8374999999999986</v>
      </c>
      <c r="Q295" s="116" t="s">
        <v>2349</v>
      </c>
      <c r="R295" s="116" t="s">
        <v>2922</v>
      </c>
      <c r="S295" s="116" t="str">
        <f t="shared" si="33"/>
        <v>OK - FECHA COM PLANILHA</v>
      </c>
      <c r="T295" s="116">
        <v>29.51</v>
      </c>
      <c r="U295" s="122">
        <f t="shared" si="34"/>
        <v>2.500000000001279E-3</v>
      </c>
    </row>
    <row r="296" spans="1:21" ht="63.75" x14ac:dyDescent="0.2">
      <c r="A296" s="120" t="s">
        <v>2923</v>
      </c>
      <c r="B296" s="114" t="s">
        <v>1699</v>
      </c>
      <c r="C296" s="114" t="s">
        <v>1614</v>
      </c>
      <c r="D296" s="114" t="s">
        <v>56</v>
      </c>
      <c r="E296" s="114" t="s">
        <v>595</v>
      </c>
      <c r="F296" s="114" t="s">
        <v>84</v>
      </c>
      <c r="G296" s="115">
        <v>1</v>
      </c>
      <c r="H296" s="116">
        <v>27.39</v>
      </c>
      <c r="I296" s="121">
        <v>0.2223</v>
      </c>
      <c r="J296" s="116">
        <f t="shared" si="28"/>
        <v>6.0825000000000031</v>
      </c>
      <c r="K296" s="116">
        <v>33.472500000000004</v>
      </c>
      <c r="L296" s="116">
        <f t="shared" si="29"/>
        <v>27.39</v>
      </c>
      <c r="M296" s="116">
        <f t="shared" si="30"/>
        <v>33.472500000000004</v>
      </c>
      <c r="N296" s="116">
        <v>44.63</v>
      </c>
      <c r="O296" s="116">
        <f t="shared" si="31"/>
        <v>11.157499999999999</v>
      </c>
      <c r="P296" s="116">
        <f t="shared" si="32"/>
        <v>11.157499999999999</v>
      </c>
      <c r="Q296" s="116" t="s">
        <v>2349</v>
      </c>
      <c r="R296" s="116" t="s">
        <v>2924</v>
      </c>
      <c r="S296" s="116" t="str">
        <f t="shared" si="33"/>
        <v>OK - FECHA COM PLANILHA</v>
      </c>
      <c r="T296" s="116">
        <v>33.47</v>
      </c>
      <c r="U296" s="122">
        <f t="shared" si="34"/>
        <v>2.5000000000048317E-3</v>
      </c>
    </row>
    <row r="297" spans="1:21" ht="63.75" x14ac:dyDescent="0.2">
      <c r="A297" s="120" t="s">
        <v>2925</v>
      </c>
      <c r="B297" s="114" t="s">
        <v>1700</v>
      </c>
      <c r="C297" s="114" t="s">
        <v>1701</v>
      </c>
      <c r="D297" s="114" t="s">
        <v>56</v>
      </c>
      <c r="E297" s="114" t="s">
        <v>662</v>
      </c>
      <c r="F297" s="114" t="s">
        <v>84</v>
      </c>
      <c r="G297" s="115">
        <v>1</v>
      </c>
      <c r="H297" s="116">
        <v>10.095000000000001</v>
      </c>
      <c r="I297" s="121">
        <v>0.2223</v>
      </c>
      <c r="J297" s="116">
        <f t="shared" si="28"/>
        <v>2.2424999999999979</v>
      </c>
      <c r="K297" s="116">
        <v>12.337499999999999</v>
      </c>
      <c r="L297" s="116">
        <f t="shared" si="29"/>
        <v>10.095000000000001</v>
      </c>
      <c r="M297" s="116">
        <f t="shared" si="30"/>
        <v>12.337499999999999</v>
      </c>
      <c r="N297" s="116">
        <v>16.45</v>
      </c>
      <c r="O297" s="116">
        <f t="shared" si="31"/>
        <v>4.1125000000000007</v>
      </c>
      <c r="P297" s="116">
        <f t="shared" si="32"/>
        <v>4.1125000000000007</v>
      </c>
      <c r="Q297" s="116" t="s">
        <v>2349</v>
      </c>
      <c r="R297" s="116" t="s">
        <v>2926</v>
      </c>
      <c r="S297" s="116" t="str">
        <f t="shared" si="33"/>
        <v>OK - FECHA COM PLANILHA</v>
      </c>
      <c r="T297" s="116">
        <v>12.33</v>
      </c>
      <c r="U297" s="122">
        <f t="shared" si="34"/>
        <v>7.4999999999985079E-3</v>
      </c>
    </row>
    <row r="298" spans="1:21" ht="63.75" x14ac:dyDescent="0.2">
      <c r="A298" s="120" t="s">
        <v>2927</v>
      </c>
      <c r="B298" s="114" t="s">
        <v>1702</v>
      </c>
      <c r="C298" s="114" t="s">
        <v>1661</v>
      </c>
      <c r="D298" s="114" t="s">
        <v>56</v>
      </c>
      <c r="E298" s="114" t="s">
        <v>630</v>
      </c>
      <c r="F298" s="114" t="s">
        <v>84</v>
      </c>
      <c r="G298" s="115">
        <v>1</v>
      </c>
      <c r="H298" s="116">
        <v>12</v>
      </c>
      <c r="I298" s="121">
        <v>0.2223</v>
      </c>
      <c r="J298" s="116">
        <f t="shared" si="28"/>
        <v>2.6625000000000014</v>
      </c>
      <c r="K298" s="116">
        <v>14.662500000000001</v>
      </c>
      <c r="L298" s="116">
        <f t="shared" si="29"/>
        <v>12</v>
      </c>
      <c r="M298" s="116">
        <f t="shared" si="30"/>
        <v>14.662500000000001</v>
      </c>
      <c r="N298" s="116">
        <v>19.55</v>
      </c>
      <c r="O298" s="116">
        <f t="shared" si="31"/>
        <v>4.8874999999999993</v>
      </c>
      <c r="P298" s="116">
        <f t="shared" si="32"/>
        <v>4.8874999999999993</v>
      </c>
      <c r="Q298" s="116" t="s">
        <v>2349</v>
      </c>
      <c r="R298" s="116" t="s">
        <v>2928</v>
      </c>
      <c r="S298" s="116" t="str">
        <f t="shared" si="33"/>
        <v>OK - FECHA COM PLANILHA</v>
      </c>
      <c r="T298" s="116">
        <v>14.66</v>
      </c>
      <c r="U298" s="122">
        <f t="shared" si="34"/>
        <v>2.500000000001279E-3</v>
      </c>
    </row>
    <row r="299" spans="1:21" ht="63.75" x14ac:dyDescent="0.2">
      <c r="A299" s="120" t="s">
        <v>2929</v>
      </c>
      <c r="B299" s="114" t="s">
        <v>1703</v>
      </c>
      <c r="C299" s="114" t="s">
        <v>1704</v>
      </c>
      <c r="D299" s="114" t="s">
        <v>56</v>
      </c>
      <c r="E299" s="114" t="s">
        <v>663</v>
      </c>
      <c r="F299" s="114" t="s">
        <v>84</v>
      </c>
      <c r="G299" s="115">
        <v>2</v>
      </c>
      <c r="H299" s="116">
        <v>17.377500000000001</v>
      </c>
      <c r="I299" s="121">
        <v>0.2223</v>
      </c>
      <c r="J299" s="116">
        <f t="shared" si="28"/>
        <v>3.8625000000000007</v>
      </c>
      <c r="K299" s="116">
        <v>21.240000000000002</v>
      </c>
      <c r="L299" s="116">
        <f t="shared" si="29"/>
        <v>34.755000000000003</v>
      </c>
      <c r="M299" s="116">
        <f t="shared" si="30"/>
        <v>42.480000000000004</v>
      </c>
      <c r="N299" s="116">
        <v>28.32</v>
      </c>
      <c r="O299" s="116">
        <f t="shared" si="31"/>
        <v>7.0799999999999983</v>
      </c>
      <c r="P299" s="116">
        <f t="shared" si="32"/>
        <v>14.159999999999997</v>
      </c>
      <c r="Q299" s="116" t="s">
        <v>2349</v>
      </c>
      <c r="R299" s="116" t="s">
        <v>2930</v>
      </c>
      <c r="S299" s="116" t="str">
        <f t="shared" si="33"/>
        <v>OK - FECHA COM PLANILHA</v>
      </c>
      <c r="T299" s="116">
        <v>42.48</v>
      </c>
      <c r="U299" s="122">
        <f t="shared" si="34"/>
        <v>0</v>
      </c>
    </row>
    <row r="300" spans="1:21" ht="63.75" x14ac:dyDescent="0.2">
      <c r="A300" s="120" t="s">
        <v>2931</v>
      </c>
      <c r="B300" s="114" t="s">
        <v>1705</v>
      </c>
      <c r="C300" s="114" t="s">
        <v>1706</v>
      </c>
      <c r="D300" s="114" t="s">
        <v>56</v>
      </c>
      <c r="E300" s="114" t="s">
        <v>664</v>
      </c>
      <c r="F300" s="114" t="s">
        <v>84</v>
      </c>
      <c r="G300" s="115">
        <v>2</v>
      </c>
      <c r="H300" s="116">
        <v>7.1325000000000003</v>
      </c>
      <c r="I300" s="121">
        <v>0.2223</v>
      </c>
      <c r="J300" s="116">
        <f t="shared" si="28"/>
        <v>1.5824999999999996</v>
      </c>
      <c r="K300" s="116">
        <v>8.7149999999999999</v>
      </c>
      <c r="L300" s="116">
        <f t="shared" si="29"/>
        <v>14.265000000000001</v>
      </c>
      <c r="M300" s="116">
        <f t="shared" si="30"/>
        <v>17.43</v>
      </c>
      <c r="N300" s="116">
        <v>11.62</v>
      </c>
      <c r="O300" s="116">
        <f t="shared" si="31"/>
        <v>2.9049999999999994</v>
      </c>
      <c r="P300" s="116">
        <f t="shared" si="32"/>
        <v>5.8099999999999987</v>
      </c>
      <c r="Q300" s="116" t="s">
        <v>2349</v>
      </c>
      <c r="R300" s="116" t="s">
        <v>2932</v>
      </c>
      <c r="S300" s="116" t="str">
        <f t="shared" si="33"/>
        <v>OK - FECHA COM PLANILHA</v>
      </c>
      <c r="T300" s="116">
        <v>17.43</v>
      </c>
      <c r="U300" s="122">
        <f t="shared" si="34"/>
        <v>0</v>
      </c>
    </row>
    <row r="301" spans="1:21" ht="63.75" x14ac:dyDescent="0.2">
      <c r="A301" s="120" t="s">
        <v>2933</v>
      </c>
      <c r="B301" s="114" t="s">
        <v>1707</v>
      </c>
      <c r="C301" s="114" t="s">
        <v>1674</v>
      </c>
      <c r="D301" s="114" t="s">
        <v>56</v>
      </c>
      <c r="E301" s="114" t="s">
        <v>636</v>
      </c>
      <c r="F301" s="114" t="s">
        <v>84</v>
      </c>
      <c r="G301" s="115">
        <v>2</v>
      </c>
      <c r="H301" s="116">
        <v>6.5249999999999995</v>
      </c>
      <c r="I301" s="121">
        <v>0.2223</v>
      </c>
      <c r="J301" s="116">
        <f t="shared" si="28"/>
        <v>1.4475000000000007</v>
      </c>
      <c r="K301" s="116">
        <v>7.9725000000000001</v>
      </c>
      <c r="L301" s="116">
        <f t="shared" si="29"/>
        <v>13.049999999999999</v>
      </c>
      <c r="M301" s="116">
        <f t="shared" si="30"/>
        <v>15.945</v>
      </c>
      <c r="N301" s="116">
        <v>10.63</v>
      </c>
      <c r="O301" s="116">
        <f t="shared" si="31"/>
        <v>2.6575000000000006</v>
      </c>
      <c r="P301" s="116">
        <f t="shared" si="32"/>
        <v>5.3150000000000013</v>
      </c>
      <c r="Q301" s="116" t="s">
        <v>2349</v>
      </c>
      <c r="R301" s="116" t="s">
        <v>2934</v>
      </c>
      <c r="S301" s="116" t="str">
        <f t="shared" si="33"/>
        <v>OK - FECHA COM PLANILHA</v>
      </c>
      <c r="T301" s="116">
        <v>15.94</v>
      </c>
      <c r="U301" s="122">
        <f t="shared" si="34"/>
        <v>5.0000000000007816E-3</v>
      </c>
    </row>
    <row r="302" spans="1:21" ht="63.75" x14ac:dyDescent="0.2">
      <c r="A302" s="120" t="s">
        <v>2935</v>
      </c>
      <c r="B302" s="114" t="s">
        <v>1708</v>
      </c>
      <c r="C302" s="114" t="s">
        <v>1676</v>
      </c>
      <c r="D302" s="114" t="s">
        <v>56</v>
      </c>
      <c r="E302" s="114" t="s">
        <v>637</v>
      </c>
      <c r="F302" s="114" t="s">
        <v>84</v>
      </c>
      <c r="G302" s="115">
        <v>2</v>
      </c>
      <c r="H302" s="116">
        <v>5.4450000000000003</v>
      </c>
      <c r="I302" s="121">
        <v>0.2223</v>
      </c>
      <c r="J302" s="116">
        <f t="shared" si="28"/>
        <v>1.2074999999999996</v>
      </c>
      <c r="K302" s="116">
        <v>6.6524999999999999</v>
      </c>
      <c r="L302" s="116">
        <f t="shared" si="29"/>
        <v>10.89</v>
      </c>
      <c r="M302" s="116">
        <f t="shared" si="30"/>
        <v>13.305</v>
      </c>
      <c r="N302" s="116">
        <v>8.8699999999999992</v>
      </c>
      <c r="O302" s="116">
        <f t="shared" si="31"/>
        <v>2.2174999999999994</v>
      </c>
      <c r="P302" s="116">
        <f t="shared" si="32"/>
        <v>4.4349999999999987</v>
      </c>
      <c r="Q302" s="116" t="s">
        <v>2349</v>
      </c>
      <c r="R302" s="116" t="s">
        <v>2936</v>
      </c>
      <c r="S302" s="116" t="str">
        <f t="shared" si="33"/>
        <v>OK - FECHA COM PLANILHA</v>
      </c>
      <c r="T302" s="116">
        <v>13.3</v>
      </c>
      <c r="U302" s="122">
        <f t="shared" si="34"/>
        <v>4.9999999999990052E-3</v>
      </c>
    </row>
    <row r="303" spans="1:21" ht="63.75" x14ac:dyDescent="0.2">
      <c r="A303" s="120" t="s">
        <v>2937</v>
      </c>
      <c r="B303" s="114" t="s">
        <v>1709</v>
      </c>
      <c r="C303" s="114" t="s">
        <v>1710</v>
      </c>
      <c r="D303" s="114" t="s">
        <v>56</v>
      </c>
      <c r="E303" s="114" t="s">
        <v>1711</v>
      </c>
      <c r="F303" s="114" t="s">
        <v>84</v>
      </c>
      <c r="G303" s="115">
        <v>3</v>
      </c>
      <c r="H303" s="116">
        <v>19.89</v>
      </c>
      <c r="I303" s="121">
        <v>0.2223</v>
      </c>
      <c r="J303" s="116">
        <f t="shared" si="28"/>
        <v>4.4174999999999969</v>
      </c>
      <c r="K303" s="116">
        <v>24.307499999999997</v>
      </c>
      <c r="L303" s="116">
        <f t="shared" si="29"/>
        <v>59.67</v>
      </c>
      <c r="M303" s="116">
        <f t="shared" si="30"/>
        <v>72.922499999999985</v>
      </c>
      <c r="N303" s="116">
        <v>32.409999999999997</v>
      </c>
      <c r="O303" s="116">
        <f t="shared" si="31"/>
        <v>8.1024999999999991</v>
      </c>
      <c r="P303" s="116">
        <f t="shared" si="32"/>
        <v>24.307499999999997</v>
      </c>
      <c r="Q303" s="116" t="s">
        <v>2349</v>
      </c>
      <c r="R303" s="116" t="s">
        <v>2938</v>
      </c>
      <c r="S303" s="116" t="str">
        <f t="shared" si="33"/>
        <v>OK - FECHA COM PLANILHA</v>
      </c>
      <c r="T303" s="116">
        <v>72.92</v>
      </c>
      <c r="U303" s="122">
        <f t="shared" si="34"/>
        <v>2.4999999999835154E-3</v>
      </c>
    </row>
    <row r="304" spans="1:21" ht="63.75" x14ac:dyDescent="0.2">
      <c r="A304" s="120" t="s">
        <v>2939</v>
      </c>
      <c r="B304" s="114" t="s">
        <v>1712</v>
      </c>
      <c r="C304" s="114" t="s">
        <v>1623</v>
      </c>
      <c r="D304" s="114" t="s">
        <v>56</v>
      </c>
      <c r="E304" s="114" t="s">
        <v>666</v>
      </c>
      <c r="F304" s="114" t="s">
        <v>84</v>
      </c>
      <c r="G304" s="115">
        <v>2</v>
      </c>
      <c r="H304" s="116">
        <v>28.402499999999996</v>
      </c>
      <c r="I304" s="121">
        <v>0.2223</v>
      </c>
      <c r="J304" s="116">
        <f t="shared" si="28"/>
        <v>6.3075000000000045</v>
      </c>
      <c r="K304" s="116">
        <v>34.71</v>
      </c>
      <c r="L304" s="116">
        <f t="shared" si="29"/>
        <v>56.804999999999993</v>
      </c>
      <c r="M304" s="116">
        <f t="shared" si="30"/>
        <v>69.42</v>
      </c>
      <c r="N304" s="116">
        <v>46.28</v>
      </c>
      <c r="O304" s="116">
        <f t="shared" si="31"/>
        <v>11.57</v>
      </c>
      <c r="P304" s="116">
        <f t="shared" si="32"/>
        <v>23.14</v>
      </c>
      <c r="Q304" s="116" t="s">
        <v>2349</v>
      </c>
      <c r="R304" s="116" t="s">
        <v>2940</v>
      </c>
      <c r="S304" s="116" t="str">
        <f t="shared" si="33"/>
        <v>OK - FECHA COM PLANILHA</v>
      </c>
      <c r="T304" s="116">
        <v>69.42</v>
      </c>
      <c r="U304" s="122">
        <f t="shared" si="34"/>
        <v>0</v>
      </c>
    </row>
    <row r="305" spans="1:21" ht="63.75" x14ac:dyDescent="0.2">
      <c r="A305" s="120" t="s">
        <v>2941</v>
      </c>
      <c r="B305" s="114" t="s">
        <v>1713</v>
      </c>
      <c r="C305" s="114" t="s">
        <v>1618</v>
      </c>
      <c r="D305" s="114" t="s">
        <v>56</v>
      </c>
      <c r="E305" s="114" t="s">
        <v>597</v>
      </c>
      <c r="F305" s="114" t="s">
        <v>84</v>
      </c>
      <c r="G305" s="115">
        <v>1</v>
      </c>
      <c r="H305" s="116">
        <v>14.805</v>
      </c>
      <c r="I305" s="121">
        <v>0.2223</v>
      </c>
      <c r="J305" s="116">
        <f t="shared" si="28"/>
        <v>3.2850000000000001</v>
      </c>
      <c r="K305" s="116">
        <v>18.09</v>
      </c>
      <c r="L305" s="116">
        <f t="shared" si="29"/>
        <v>14.805</v>
      </c>
      <c r="M305" s="116">
        <f t="shared" si="30"/>
        <v>18.09</v>
      </c>
      <c r="N305" s="116">
        <v>24.12</v>
      </c>
      <c r="O305" s="116">
        <f t="shared" si="31"/>
        <v>6.0300000000000011</v>
      </c>
      <c r="P305" s="116">
        <f t="shared" si="32"/>
        <v>6.0300000000000011</v>
      </c>
      <c r="Q305" s="116" t="s">
        <v>2349</v>
      </c>
      <c r="R305" s="116" t="s">
        <v>2942</v>
      </c>
      <c r="S305" s="116" t="str">
        <f t="shared" si="33"/>
        <v>OK - FECHA COM PLANILHA</v>
      </c>
      <c r="T305" s="116">
        <v>18.09</v>
      </c>
      <c r="U305" s="122">
        <f t="shared" si="34"/>
        <v>0</v>
      </c>
    </row>
    <row r="306" spans="1:21" ht="63.75" x14ac:dyDescent="0.2">
      <c r="A306" s="120" t="s">
        <v>2943</v>
      </c>
      <c r="B306" s="114" t="s">
        <v>1714</v>
      </c>
      <c r="C306" s="114" t="s">
        <v>1715</v>
      </c>
      <c r="D306" s="114" t="s">
        <v>56</v>
      </c>
      <c r="E306" s="114" t="s">
        <v>1716</v>
      </c>
      <c r="F306" s="114" t="s">
        <v>84</v>
      </c>
      <c r="G306" s="115">
        <v>2</v>
      </c>
      <c r="H306" s="116">
        <v>461.54999999999995</v>
      </c>
      <c r="I306" s="121">
        <v>0.2223</v>
      </c>
      <c r="J306" s="116">
        <f t="shared" si="28"/>
        <v>102.60000000000014</v>
      </c>
      <c r="K306" s="116">
        <v>564.15000000000009</v>
      </c>
      <c r="L306" s="116">
        <f t="shared" si="29"/>
        <v>923.09999999999991</v>
      </c>
      <c r="M306" s="116">
        <f t="shared" si="30"/>
        <v>1128.3000000000002</v>
      </c>
      <c r="N306" s="116">
        <v>752.2</v>
      </c>
      <c r="O306" s="116">
        <f t="shared" si="31"/>
        <v>188.04999999999995</v>
      </c>
      <c r="P306" s="116">
        <f t="shared" si="32"/>
        <v>376.09999999999991</v>
      </c>
      <c r="Q306" s="116" t="s">
        <v>2349</v>
      </c>
      <c r="R306" s="116" t="s">
        <v>2944</v>
      </c>
      <c r="S306" s="116" t="str">
        <f t="shared" si="33"/>
        <v>OK - FECHA COM PLANILHA</v>
      </c>
      <c r="T306" s="116">
        <v>1128.3</v>
      </c>
      <c r="U306" s="122">
        <f t="shared" si="34"/>
        <v>0</v>
      </c>
    </row>
    <row r="307" spans="1:21" ht="63.75" x14ac:dyDescent="0.2">
      <c r="A307" s="120" t="s">
        <v>2945</v>
      </c>
      <c r="B307" s="114" t="s">
        <v>671</v>
      </c>
      <c r="C307" s="114" t="s">
        <v>1717</v>
      </c>
      <c r="D307" s="114" t="s">
        <v>56</v>
      </c>
      <c r="E307" s="114" t="s">
        <v>672</v>
      </c>
      <c r="F307" s="114" t="s">
        <v>84</v>
      </c>
      <c r="G307" s="115">
        <v>1</v>
      </c>
      <c r="H307" s="116">
        <v>164.42249999999999</v>
      </c>
      <c r="I307" s="121">
        <v>0.2223</v>
      </c>
      <c r="J307" s="116">
        <f t="shared" si="28"/>
        <v>36.547499999999985</v>
      </c>
      <c r="K307" s="116">
        <v>200.96999999999997</v>
      </c>
      <c r="L307" s="116">
        <f t="shared" si="29"/>
        <v>164.42249999999999</v>
      </c>
      <c r="M307" s="116">
        <f t="shared" si="30"/>
        <v>200.96999999999997</v>
      </c>
      <c r="N307" s="116">
        <v>267.95999999999998</v>
      </c>
      <c r="O307" s="116">
        <f t="shared" si="31"/>
        <v>66.990000000000009</v>
      </c>
      <c r="P307" s="116">
        <f t="shared" si="32"/>
        <v>66.990000000000009</v>
      </c>
      <c r="Q307" s="116" t="s">
        <v>2349</v>
      </c>
      <c r="R307" s="116" t="s">
        <v>2946</v>
      </c>
      <c r="S307" s="116" t="str">
        <f t="shared" si="33"/>
        <v>OK - FECHA COM PLANILHA</v>
      </c>
      <c r="T307" s="116">
        <v>200.97</v>
      </c>
      <c r="U307" s="122">
        <f t="shared" si="34"/>
        <v>0</v>
      </c>
    </row>
    <row r="308" spans="1:21" ht="63.75" x14ac:dyDescent="0.2">
      <c r="A308" s="120" t="s">
        <v>2947</v>
      </c>
      <c r="B308" s="114" t="s">
        <v>673</v>
      </c>
      <c r="C308" s="114" t="s">
        <v>1718</v>
      </c>
      <c r="D308" s="114" t="s">
        <v>56</v>
      </c>
      <c r="E308" s="114" t="s">
        <v>674</v>
      </c>
      <c r="F308" s="114" t="s">
        <v>84</v>
      </c>
      <c r="G308" s="115">
        <v>9</v>
      </c>
      <c r="H308" s="116">
        <v>444.01499999999999</v>
      </c>
      <c r="I308" s="121">
        <v>0.2223</v>
      </c>
      <c r="J308" s="116">
        <f t="shared" si="28"/>
        <v>98.700000000000045</v>
      </c>
      <c r="K308" s="116">
        <v>542.71500000000003</v>
      </c>
      <c r="L308" s="116">
        <f t="shared" si="29"/>
        <v>3996.1349999999998</v>
      </c>
      <c r="M308" s="116">
        <f t="shared" si="30"/>
        <v>4884.4350000000004</v>
      </c>
      <c r="N308" s="116">
        <v>723.62</v>
      </c>
      <c r="O308" s="116">
        <f t="shared" si="31"/>
        <v>180.90499999999997</v>
      </c>
      <c r="P308" s="116">
        <f t="shared" si="32"/>
        <v>1628.1449999999998</v>
      </c>
      <c r="Q308" s="116" t="s">
        <v>2349</v>
      </c>
      <c r="R308" s="116" t="s">
        <v>2948</v>
      </c>
      <c r="S308" s="116" t="str">
        <f t="shared" si="33"/>
        <v>OK - FECHA COM PLANILHA</v>
      </c>
      <c r="T308" s="116">
        <v>4884.43</v>
      </c>
      <c r="U308" s="122">
        <f t="shared" si="34"/>
        <v>5.0000000001091394E-3</v>
      </c>
    </row>
    <row r="309" spans="1:21" ht="63.75" x14ac:dyDescent="0.2">
      <c r="A309" s="120" t="s">
        <v>2949</v>
      </c>
      <c r="B309" s="114" t="s">
        <v>675</v>
      </c>
      <c r="C309" s="114" t="s">
        <v>1715</v>
      </c>
      <c r="D309" s="114" t="s">
        <v>56</v>
      </c>
      <c r="E309" s="114" t="s">
        <v>1716</v>
      </c>
      <c r="F309" s="114" t="s">
        <v>84</v>
      </c>
      <c r="G309" s="115">
        <v>9</v>
      </c>
      <c r="H309" s="116">
        <v>461.54999999999995</v>
      </c>
      <c r="I309" s="121">
        <v>0.2223</v>
      </c>
      <c r="J309" s="116">
        <f t="shared" si="28"/>
        <v>102.60000000000014</v>
      </c>
      <c r="K309" s="116">
        <v>564.15000000000009</v>
      </c>
      <c r="L309" s="116">
        <f t="shared" si="29"/>
        <v>4153.95</v>
      </c>
      <c r="M309" s="116">
        <f t="shared" si="30"/>
        <v>5077.3500000000004</v>
      </c>
      <c r="N309" s="116">
        <v>752.2</v>
      </c>
      <c r="O309" s="116">
        <f t="shared" si="31"/>
        <v>188.04999999999995</v>
      </c>
      <c r="P309" s="116">
        <f t="shared" si="32"/>
        <v>1692.4499999999996</v>
      </c>
      <c r="Q309" s="116" t="s">
        <v>2349</v>
      </c>
      <c r="R309" s="116" t="s">
        <v>2950</v>
      </c>
      <c r="S309" s="116" t="str">
        <f t="shared" si="33"/>
        <v>OK - FECHA COM PLANILHA</v>
      </c>
      <c r="T309" s="116">
        <v>5077.3500000000004</v>
      </c>
      <c r="U309" s="122">
        <f t="shared" si="34"/>
        <v>0</v>
      </c>
    </row>
    <row r="310" spans="1:21" ht="63.75" x14ac:dyDescent="0.2">
      <c r="A310" s="120" t="s">
        <v>2951</v>
      </c>
      <c r="B310" s="114" t="s">
        <v>676</v>
      </c>
      <c r="C310" s="114" t="s">
        <v>1719</v>
      </c>
      <c r="D310" s="114" t="s">
        <v>56</v>
      </c>
      <c r="E310" s="114" t="s">
        <v>677</v>
      </c>
      <c r="F310" s="114" t="s">
        <v>84</v>
      </c>
      <c r="G310" s="115">
        <v>21</v>
      </c>
      <c r="H310" s="116">
        <v>50.625</v>
      </c>
      <c r="I310" s="121">
        <v>0.2223</v>
      </c>
      <c r="J310" s="116">
        <f t="shared" si="28"/>
        <v>11.25</v>
      </c>
      <c r="K310" s="116">
        <v>61.875</v>
      </c>
      <c r="L310" s="116">
        <f t="shared" si="29"/>
        <v>1063.125</v>
      </c>
      <c r="M310" s="116">
        <f t="shared" si="30"/>
        <v>1299.375</v>
      </c>
      <c r="N310" s="116">
        <v>82.5</v>
      </c>
      <c r="O310" s="116">
        <f t="shared" si="31"/>
        <v>20.625</v>
      </c>
      <c r="P310" s="116">
        <f t="shared" si="32"/>
        <v>433.125</v>
      </c>
      <c r="Q310" s="116" t="s">
        <v>2349</v>
      </c>
      <c r="R310" s="116" t="s">
        <v>2952</v>
      </c>
      <c r="S310" s="116" t="str">
        <f t="shared" si="33"/>
        <v>OK - FECHA COM PLANILHA</v>
      </c>
      <c r="T310" s="116">
        <v>1299.3699999999999</v>
      </c>
      <c r="U310" s="122">
        <f t="shared" si="34"/>
        <v>5.0000000001091394E-3</v>
      </c>
    </row>
    <row r="311" spans="1:21" ht="63.75" x14ac:dyDescent="0.2">
      <c r="A311" s="120" t="s">
        <v>2953</v>
      </c>
      <c r="B311" s="114" t="s">
        <v>678</v>
      </c>
      <c r="C311" s="114" t="s">
        <v>1720</v>
      </c>
      <c r="D311" s="114" t="s">
        <v>56</v>
      </c>
      <c r="E311" s="114" t="s">
        <v>679</v>
      </c>
      <c r="F311" s="114" t="s">
        <v>84</v>
      </c>
      <c r="G311" s="115">
        <v>6</v>
      </c>
      <c r="H311" s="116">
        <v>107.1825</v>
      </c>
      <c r="I311" s="121">
        <v>0.2223</v>
      </c>
      <c r="J311" s="116">
        <f t="shared" si="28"/>
        <v>23.819999999999993</v>
      </c>
      <c r="K311" s="116">
        <v>131.0025</v>
      </c>
      <c r="L311" s="116">
        <f t="shared" si="29"/>
        <v>643.09500000000003</v>
      </c>
      <c r="M311" s="116">
        <f t="shared" si="30"/>
        <v>786.01499999999999</v>
      </c>
      <c r="N311" s="116">
        <v>174.67</v>
      </c>
      <c r="O311" s="116">
        <f t="shared" si="31"/>
        <v>43.66749999999999</v>
      </c>
      <c r="P311" s="116">
        <f t="shared" si="32"/>
        <v>262.00499999999994</v>
      </c>
      <c r="Q311" s="116" t="s">
        <v>2349</v>
      </c>
      <c r="R311" s="116" t="s">
        <v>2954</v>
      </c>
      <c r="S311" s="116" t="str">
        <f t="shared" si="33"/>
        <v>OK - FECHA COM PLANILHA</v>
      </c>
      <c r="T311" s="116">
        <v>786.01</v>
      </c>
      <c r="U311" s="122">
        <f t="shared" si="34"/>
        <v>4.9999999999954525E-3</v>
      </c>
    </row>
    <row r="312" spans="1:21" ht="63.75" x14ac:dyDescent="0.2">
      <c r="A312" s="120" t="s">
        <v>2955</v>
      </c>
      <c r="B312" s="114" t="s">
        <v>680</v>
      </c>
      <c r="C312" s="114" t="s">
        <v>1721</v>
      </c>
      <c r="D312" s="114" t="s">
        <v>56</v>
      </c>
      <c r="E312" s="114" t="s">
        <v>681</v>
      </c>
      <c r="F312" s="114" t="s">
        <v>99</v>
      </c>
      <c r="G312" s="115">
        <v>42.2</v>
      </c>
      <c r="H312" s="116">
        <v>21.337499999999999</v>
      </c>
      <c r="I312" s="121">
        <v>0.2223</v>
      </c>
      <c r="J312" s="116">
        <f t="shared" si="28"/>
        <v>4.740000000000002</v>
      </c>
      <c r="K312" s="116">
        <v>26.077500000000001</v>
      </c>
      <c r="L312" s="116">
        <f t="shared" si="29"/>
        <v>900.4425</v>
      </c>
      <c r="M312" s="116">
        <f t="shared" si="30"/>
        <v>1100.4705000000001</v>
      </c>
      <c r="N312" s="116">
        <v>34.770000000000003</v>
      </c>
      <c r="O312" s="116">
        <f t="shared" si="31"/>
        <v>8.6925000000000026</v>
      </c>
      <c r="P312" s="116">
        <f t="shared" si="32"/>
        <v>366.82350000000014</v>
      </c>
      <c r="Q312" s="116" t="s">
        <v>2349</v>
      </c>
      <c r="R312" s="116" t="s">
        <v>2956</v>
      </c>
      <c r="S312" s="116" t="str">
        <f t="shared" si="33"/>
        <v>OK - FECHA COM PLANILHA</v>
      </c>
      <c r="T312" s="116">
        <v>1100.47</v>
      </c>
      <c r="U312" s="122">
        <f t="shared" si="34"/>
        <v>5.0000000010186341E-4</v>
      </c>
    </row>
    <row r="313" spans="1:21" ht="63.75" x14ac:dyDescent="0.2">
      <c r="A313" s="120" t="s">
        <v>2957</v>
      </c>
      <c r="B313" s="114" t="s">
        <v>682</v>
      </c>
      <c r="C313" s="114" t="s">
        <v>1722</v>
      </c>
      <c r="D313" s="114" t="s">
        <v>56</v>
      </c>
      <c r="E313" s="114" t="s">
        <v>683</v>
      </c>
      <c r="F313" s="114" t="s">
        <v>99</v>
      </c>
      <c r="G313" s="115">
        <v>36.299999999999997</v>
      </c>
      <c r="H313" s="116">
        <v>26.362499999999997</v>
      </c>
      <c r="I313" s="121">
        <v>0.2223</v>
      </c>
      <c r="J313" s="116">
        <f t="shared" si="28"/>
        <v>5.8575000000000017</v>
      </c>
      <c r="K313" s="116">
        <v>32.22</v>
      </c>
      <c r="L313" s="116">
        <f t="shared" si="29"/>
        <v>956.95874999999978</v>
      </c>
      <c r="M313" s="116">
        <f t="shared" si="30"/>
        <v>1169.5859999999998</v>
      </c>
      <c r="N313" s="116">
        <v>42.96</v>
      </c>
      <c r="O313" s="116">
        <f t="shared" si="31"/>
        <v>10.740000000000002</v>
      </c>
      <c r="P313" s="116">
        <f t="shared" si="32"/>
        <v>389.86200000000002</v>
      </c>
      <c r="Q313" s="116" t="s">
        <v>2349</v>
      </c>
      <c r="R313" s="116" t="s">
        <v>2958</v>
      </c>
      <c r="S313" s="116" t="str">
        <f t="shared" si="33"/>
        <v>OK - FECHA COM PLANILHA</v>
      </c>
      <c r="T313" s="116">
        <v>1169.58</v>
      </c>
      <c r="U313" s="122">
        <f t="shared" si="34"/>
        <v>5.9999999998581188E-3</v>
      </c>
    </row>
    <row r="314" spans="1:21" ht="63.75" x14ac:dyDescent="0.2">
      <c r="A314" s="120" t="s">
        <v>2959</v>
      </c>
      <c r="B314" s="114" t="s">
        <v>684</v>
      </c>
      <c r="C314" s="114" t="s">
        <v>1723</v>
      </c>
      <c r="D314" s="114" t="s">
        <v>56</v>
      </c>
      <c r="E314" s="114" t="s">
        <v>1724</v>
      </c>
      <c r="F314" s="114" t="s">
        <v>99</v>
      </c>
      <c r="G314" s="115">
        <v>5.3</v>
      </c>
      <c r="H314" s="116">
        <v>32.655000000000001</v>
      </c>
      <c r="I314" s="121">
        <v>0.2223</v>
      </c>
      <c r="J314" s="116">
        <f t="shared" si="28"/>
        <v>7.2524999999999977</v>
      </c>
      <c r="K314" s="116">
        <v>39.907499999999999</v>
      </c>
      <c r="L314" s="116">
        <f t="shared" si="29"/>
        <v>173.07149999999999</v>
      </c>
      <c r="M314" s="116">
        <f t="shared" si="30"/>
        <v>211.50975</v>
      </c>
      <c r="N314" s="116">
        <v>53.21</v>
      </c>
      <c r="O314" s="116">
        <f t="shared" si="31"/>
        <v>13.302500000000002</v>
      </c>
      <c r="P314" s="116">
        <f t="shared" si="32"/>
        <v>70.503250000000008</v>
      </c>
      <c r="Q314" s="116" t="s">
        <v>2349</v>
      </c>
      <c r="R314" s="116" t="s">
        <v>2960</v>
      </c>
      <c r="S314" s="116" t="str">
        <f t="shared" si="33"/>
        <v>OK - FECHA COM PLANILHA</v>
      </c>
      <c r="T314" s="116">
        <v>211.5</v>
      </c>
      <c r="U314" s="122">
        <f t="shared" si="34"/>
        <v>9.7499999999968168E-3</v>
      </c>
    </row>
    <row r="315" spans="1:21" ht="63.75" x14ac:dyDescent="0.2">
      <c r="A315" s="120" t="s">
        <v>2961</v>
      </c>
      <c r="B315" s="114" t="s">
        <v>686</v>
      </c>
      <c r="C315" s="114" t="s">
        <v>1725</v>
      </c>
      <c r="D315" s="114" t="s">
        <v>56</v>
      </c>
      <c r="E315" s="114" t="s">
        <v>1726</v>
      </c>
      <c r="F315" s="114" t="s">
        <v>99</v>
      </c>
      <c r="G315" s="115">
        <v>227.2</v>
      </c>
      <c r="H315" s="116">
        <v>36.727499999999999</v>
      </c>
      <c r="I315" s="121">
        <v>0.2223</v>
      </c>
      <c r="J315" s="116">
        <f t="shared" si="28"/>
        <v>8.1600000000000037</v>
      </c>
      <c r="K315" s="116">
        <v>44.887500000000003</v>
      </c>
      <c r="L315" s="116">
        <f t="shared" si="29"/>
        <v>8344.4879999999994</v>
      </c>
      <c r="M315" s="116">
        <f t="shared" si="30"/>
        <v>10198.44</v>
      </c>
      <c r="N315" s="116">
        <v>59.85</v>
      </c>
      <c r="O315" s="116">
        <f t="shared" si="31"/>
        <v>14.962499999999999</v>
      </c>
      <c r="P315" s="116">
        <f t="shared" si="32"/>
        <v>3399.4799999999996</v>
      </c>
      <c r="Q315" s="116" t="s">
        <v>2349</v>
      </c>
      <c r="R315" s="116" t="s">
        <v>2962</v>
      </c>
      <c r="S315" s="116" t="str">
        <f t="shared" si="33"/>
        <v>OK - FECHA COM PLANILHA</v>
      </c>
      <c r="T315" s="116">
        <v>10198.44</v>
      </c>
      <c r="U315" s="122">
        <f t="shared" si="34"/>
        <v>0</v>
      </c>
    </row>
    <row r="316" spans="1:21" ht="63.75" x14ac:dyDescent="0.2">
      <c r="A316" s="120" t="s">
        <v>2963</v>
      </c>
      <c r="B316" s="114" t="s">
        <v>1727</v>
      </c>
      <c r="C316" s="114" t="s">
        <v>1728</v>
      </c>
      <c r="D316" s="114" t="s">
        <v>56</v>
      </c>
      <c r="E316" s="114" t="s">
        <v>1729</v>
      </c>
      <c r="F316" s="114" t="s">
        <v>99</v>
      </c>
      <c r="G316" s="115">
        <v>11.5</v>
      </c>
      <c r="H316" s="116">
        <v>82.905000000000001</v>
      </c>
      <c r="I316" s="121">
        <v>0.2223</v>
      </c>
      <c r="J316" s="116">
        <f t="shared" si="28"/>
        <v>18.427500000000009</v>
      </c>
      <c r="K316" s="116">
        <v>101.33250000000001</v>
      </c>
      <c r="L316" s="116">
        <f t="shared" si="29"/>
        <v>953.40750000000003</v>
      </c>
      <c r="M316" s="116">
        <f t="shared" si="30"/>
        <v>1165.32375</v>
      </c>
      <c r="N316" s="116">
        <v>135.11000000000001</v>
      </c>
      <c r="O316" s="116">
        <f t="shared" si="31"/>
        <v>33.777500000000003</v>
      </c>
      <c r="P316" s="116">
        <f t="shared" si="32"/>
        <v>388.44125000000003</v>
      </c>
      <c r="Q316" s="116" t="s">
        <v>2349</v>
      </c>
      <c r="R316" s="116" t="s">
        <v>2964</v>
      </c>
      <c r="S316" s="116" t="str">
        <f t="shared" si="33"/>
        <v>OK - FECHA COM PLANILHA</v>
      </c>
      <c r="T316" s="116">
        <v>1165.32</v>
      </c>
      <c r="U316" s="122">
        <f t="shared" si="34"/>
        <v>3.7500000000818545E-3</v>
      </c>
    </row>
    <row r="317" spans="1:21" ht="63.75" x14ac:dyDescent="0.2">
      <c r="A317" s="120" t="s">
        <v>2965</v>
      </c>
      <c r="B317" s="114" t="s">
        <v>1730</v>
      </c>
      <c r="C317" s="114" t="s">
        <v>1731</v>
      </c>
      <c r="D317" s="114" t="s">
        <v>56</v>
      </c>
      <c r="E317" s="114" t="s">
        <v>689</v>
      </c>
      <c r="F317" s="114" t="s">
        <v>84</v>
      </c>
      <c r="G317" s="115">
        <v>6</v>
      </c>
      <c r="H317" s="116">
        <v>58.342500000000001</v>
      </c>
      <c r="I317" s="121">
        <v>0.2223</v>
      </c>
      <c r="J317" s="116">
        <f t="shared" si="28"/>
        <v>12.967500000000001</v>
      </c>
      <c r="K317" s="116">
        <v>71.31</v>
      </c>
      <c r="L317" s="116">
        <f t="shared" si="29"/>
        <v>350.05500000000001</v>
      </c>
      <c r="M317" s="116">
        <f t="shared" si="30"/>
        <v>427.86</v>
      </c>
      <c r="N317" s="116">
        <v>95.08</v>
      </c>
      <c r="O317" s="116">
        <f t="shared" si="31"/>
        <v>23.769999999999996</v>
      </c>
      <c r="P317" s="116">
        <f t="shared" si="32"/>
        <v>142.61999999999998</v>
      </c>
      <c r="Q317" s="116" t="s">
        <v>2349</v>
      </c>
      <c r="R317" s="116" t="s">
        <v>2966</v>
      </c>
      <c r="S317" s="116" t="str">
        <f t="shared" si="33"/>
        <v>OK - FECHA COM PLANILHA</v>
      </c>
      <c r="T317" s="116">
        <v>427.86</v>
      </c>
      <c r="U317" s="122">
        <f t="shared" si="34"/>
        <v>0</v>
      </c>
    </row>
    <row r="318" spans="1:21" ht="63.75" x14ac:dyDescent="0.2">
      <c r="A318" s="120" t="s">
        <v>2967</v>
      </c>
      <c r="B318" s="114" t="s">
        <v>1732</v>
      </c>
      <c r="C318" s="114" t="s">
        <v>1733</v>
      </c>
      <c r="D318" s="114" t="s">
        <v>56</v>
      </c>
      <c r="E318" s="114" t="s">
        <v>690</v>
      </c>
      <c r="F318" s="114" t="s">
        <v>84</v>
      </c>
      <c r="G318" s="115">
        <v>14</v>
      </c>
      <c r="H318" s="116">
        <v>24.907499999999999</v>
      </c>
      <c r="I318" s="121">
        <v>0.2223</v>
      </c>
      <c r="J318" s="116">
        <f t="shared" si="28"/>
        <v>5.5350000000000037</v>
      </c>
      <c r="K318" s="116">
        <v>30.442500000000003</v>
      </c>
      <c r="L318" s="116">
        <f t="shared" si="29"/>
        <v>348.70499999999998</v>
      </c>
      <c r="M318" s="116">
        <f t="shared" si="30"/>
        <v>426.19500000000005</v>
      </c>
      <c r="N318" s="116">
        <v>40.590000000000003</v>
      </c>
      <c r="O318" s="116">
        <f t="shared" si="31"/>
        <v>10.147500000000001</v>
      </c>
      <c r="P318" s="116">
        <f t="shared" si="32"/>
        <v>142.065</v>
      </c>
      <c r="Q318" s="116" t="s">
        <v>2349</v>
      </c>
      <c r="R318" s="116" t="s">
        <v>2968</v>
      </c>
      <c r="S318" s="116" t="str">
        <f t="shared" si="33"/>
        <v>OK - FECHA COM PLANILHA</v>
      </c>
      <c r="T318" s="116">
        <v>426.19</v>
      </c>
      <c r="U318" s="122">
        <f t="shared" si="34"/>
        <v>5.0000000000522959E-3</v>
      </c>
    </row>
    <row r="319" spans="1:21" ht="63.75" x14ac:dyDescent="0.2">
      <c r="A319" s="120" t="s">
        <v>2969</v>
      </c>
      <c r="B319" s="114" t="s">
        <v>1734</v>
      </c>
      <c r="C319" s="114" t="s">
        <v>1735</v>
      </c>
      <c r="D319" s="114" t="s">
        <v>56</v>
      </c>
      <c r="E319" s="114" t="s">
        <v>691</v>
      </c>
      <c r="F319" s="114" t="s">
        <v>84</v>
      </c>
      <c r="G319" s="115">
        <v>2</v>
      </c>
      <c r="H319" s="116">
        <v>20.774999999999999</v>
      </c>
      <c r="I319" s="121">
        <v>0.2223</v>
      </c>
      <c r="J319" s="116">
        <f t="shared" si="28"/>
        <v>4.6125000000000043</v>
      </c>
      <c r="K319" s="116">
        <v>25.387500000000003</v>
      </c>
      <c r="L319" s="116">
        <f t="shared" si="29"/>
        <v>41.55</v>
      </c>
      <c r="M319" s="116">
        <f t="shared" si="30"/>
        <v>50.775000000000006</v>
      </c>
      <c r="N319" s="116">
        <v>33.85</v>
      </c>
      <c r="O319" s="116">
        <f t="shared" si="31"/>
        <v>8.4624999999999986</v>
      </c>
      <c r="P319" s="116">
        <f t="shared" si="32"/>
        <v>16.924999999999997</v>
      </c>
      <c r="Q319" s="116" t="s">
        <v>2349</v>
      </c>
      <c r="R319" s="116" t="s">
        <v>2970</v>
      </c>
      <c r="S319" s="116" t="str">
        <f t="shared" si="33"/>
        <v>OK - FECHA COM PLANILHA</v>
      </c>
      <c r="T319" s="116">
        <v>50.77</v>
      </c>
      <c r="U319" s="122">
        <f t="shared" si="34"/>
        <v>5.000000000002558E-3</v>
      </c>
    </row>
    <row r="320" spans="1:21" ht="63.75" x14ac:dyDescent="0.2">
      <c r="A320" s="120" t="s">
        <v>2971</v>
      </c>
      <c r="B320" s="114" t="s">
        <v>1736</v>
      </c>
      <c r="C320" s="114" t="s">
        <v>1737</v>
      </c>
      <c r="D320" s="114" t="s">
        <v>56</v>
      </c>
      <c r="E320" s="114" t="s">
        <v>692</v>
      </c>
      <c r="F320" s="114" t="s">
        <v>84</v>
      </c>
      <c r="G320" s="115">
        <v>23</v>
      </c>
      <c r="H320" s="116">
        <v>14.145</v>
      </c>
      <c r="I320" s="121">
        <v>0.2223</v>
      </c>
      <c r="J320" s="116">
        <f t="shared" si="28"/>
        <v>3.1425000000000018</v>
      </c>
      <c r="K320" s="116">
        <v>17.287500000000001</v>
      </c>
      <c r="L320" s="116">
        <f t="shared" si="29"/>
        <v>325.33499999999998</v>
      </c>
      <c r="M320" s="116">
        <f t="shared" si="30"/>
        <v>397.61250000000001</v>
      </c>
      <c r="N320" s="116">
        <v>23.05</v>
      </c>
      <c r="O320" s="116">
        <f t="shared" si="31"/>
        <v>5.7624999999999993</v>
      </c>
      <c r="P320" s="116">
        <f t="shared" si="32"/>
        <v>132.53749999999999</v>
      </c>
      <c r="Q320" s="116" t="s">
        <v>2349</v>
      </c>
      <c r="R320" s="116" t="s">
        <v>2972</v>
      </c>
      <c r="S320" s="116" t="str">
        <f t="shared" si="33"/>
        <v>OK - FECHA COM PLANILHA</v>
      </c>
      <c r="T320" s="116">
        <v>397.61</v>
      </c>
      <c r="U320" s="122">
        <f t="shared" si="34"/>
        <v>2.4999999999977263E-3</v>
      </c>
    </row>
    <row r="321" spans="1:21" ht="63.75" x14ac:dyDescent="0.2">
      <c r="A321" s="120" t="s">
        <v>2973</v>
      </c>
      <c r="B321" s="114" t="s">
        <v>1738</v>
      </c>
      <c r="C321" s="114" t="s">
        <v>1739</v>
      </c>
      <c r="D321" s="114" t="s">
        <v>56</v>
      </c>
      <c r="E321" s="114" t="s">
        <v>693</v>
      </c>
      <c r="F321" s="114" t="s">
        <v>84</v>
      </c>
      <c r="G321" s="115">
        <v>16</v>
      </c>
      <c r="H321" s="116">
        <v>10.17</v>
      </c>
      <c r="I321" s="121">
        <v>0.2223</v>
      </c>
      <c r="J321" s="116">
        <f t="shared" si="28"/>
        <v>2.2575000000000003</v>
      </c>
      <c r="K321" s="116">
        <v>12.4275</v>
      </c>
      <c r="L321" s="116">
        <f t="shared" si="29"/>
        <v>162.72</v>
      </c>
      <c r="M321" s="116">
        <f t="shared" si="30"/>
        <v>198.84</v>
      </c>
      <c r="N321" s="116">
        <v>16.57</v>
      </c>
      <c r="O321" s="116">
        <f t="shared" si="31"/>
        <v>4.1425000000000001</v>
      </c>
      <c r="P321" s="116">
        <f t="shared" si="32"/>
        <v>66.28</v>
      </c>
      <c r="Q321" s="116" t="s">
        <v>2349</v>
      </c>
      <c r="R321" s="116" t="s">
        <v>2974</v>
      </c>
      <c r="S321" s="116" t="str">
        <f t="shared" si="33"/>
        <v>OK - FECHA COM PLANILHA</v>
      </c>
      <c r="T321" s="116">
        <v>198.84</v>
      </c>
      <c r="U321" s="122">
        <f t="shared" si="34"/>
        <v>0</v>
      </c>
    </row>
    <row r="322" spans="1:21" ht="63.75" x14ac:dyDescent="0.2">
      <c r="A322" s="120" t="s">
        <v>2975</v>
      </c>
      <c r="B322" s="114" t="s">
        <v>1740</v>
      </c>
      <c r="C322" s="114" t="s">
        <v>1741</v>
      </c>
      <c r="D322" s="114" t="s">
        <v>56</v>
      </c>
      <c r="E322" s="114" t="s">
        <v>694</v>
      </c>
      <c r="F322" s="114" t="s">
        <v>84</v>
      </c>
      <c r="G322" s="115">
        <v>28</v>
      </c>
      <c r="H322" s="116">
        <v>24.217500000000001</v>
      </c>
      <c r="I322" s="121">
        <v>0.2223</v>
      </c>
      <c r="J322" s="116">
        <f t="shared" si="28"/>
        <v>5.3774999999999977</v>
      </c>
      <c r="K322" s="116">
        <v>29.594999999999999</v>
      </c>
      <c r="L322" s="116">
        <f t="shared" si="29"/>
        <v>678.09</v>
      </c>
      <c r="M322" s="116">
        <f t="shared" si="30"/>
        <v>828.66</v>
      </c>
      <c r="N322" s="116">
        <v>39.46</v>
      </c>
      <c r="O322" s="116">
        <f t="shared" si="31"/>
        <v>9.865000000000002</v>
      </c>
      <c r="P322" s="116">
        <f t="shared" si="32"/>
        <v>276.22000000000003</v>
      </c>
      <c r="Q322" s="116" t="s">
        <v>2349</v>
      </c>
      <c r="R322" s="116" t="s">
        <v>2976</v>
      </c>
      <c r="S322" s="116" t="str">
        <f t="shared" si="33"/>
        <v>OK - FECHA COM PLANILHA</v>
      </c>
      <c r="T322" s="116">
        <v>828.66</v>
      </c>
      <c r="U322" s="122">
        <f t="shared" si="34"/>
        <v>0</v>
      </c>
    </row>
    <row r="323" spans="1:21" ht="63.75" x14ac:dyDescent="0.2">
      <c r="A323" s="120" t="s">
        <v>2977</v>
      </c>
      <c r="B323" s="114" t="s">
        <v>1742</v>
      </c>
      <c r="C323" s="114" t="s">
        <v>1743</v>
      </c>
      <c r="D323" s="114" t="s">
        <v>56</v>
      </c>
      <c r="E323" s="114" t="s">
        <v>695</v>
      </c>
      <c r="F323" s="114" t="s">
        <v>84</v>
      </c>
      <c r="G323" s="115">
        <v>3</v>
      </c>
      <c r="H323" s="116">
        <v>13.544999999999998</v>
      </c>
      <c r="I323" s="121">
        <v>0.2223</v>
      </c>
      <c r="J323" s="116">
        <f t="shared" ref="J323:J386" si="35">K323-H323</f>
        <v>3.0075000000000038</v>
      </c>
      <c r="K323" s="116">
        <v>16.552500000000002</v>
      </c>
      <c r="L323" s="116">
        <f t="shared" ref="L323:L386" si="36">G323*H323</f>
        <v>40.634999999999991</v>
      </c>
      <c r="M323" s="116">
        <f t="shared" ref="M323:M386" si="37">G323*K323</f>
        <v>49.657500000000006</v>
      </c>
      <c r="N323" s="116">
        <v>22.07</v>
      </c>
      <c r="O323" s="116">
        <f t="shared" ref="O323:O386" si="38">IFERROR(N323-K323,"")</f>
        <v>5.5174999999999983</v>
      </c>
      <c r="P323" s="116">
        <f t="shared" ref="P323:P386" si="39">IFERROR(G323*O323,"")</f>
        <v>16.552499999999995</v>
      </c>
      <c r="Q323" s="116" t="s">
        <v>2349</v>
      </c>
      <c r="R323" s="116" t="s">
        <v>2978</v>
      </c>
      <c r="S323" s="116" t="str">
        <f t="shared" ref="S323:S386" si="40">IF(ABS(M323-T323)&lt;=0.05,"OK - FECHA COM PLANILHA","REVISAR")</f>
        <v>OK - FECHA COM PLANILHA</v>
      </c>
      <c r="T323" s="116">
        <v>49.65</v>
      </c>
      <c r="U323" s="122">
        <f t="shared" ref="U323:U386" si="41">M323-T323</f>
        <v>7.5000000000073896E-3</v>
      </c>
    </row>
    <row r="324" spans="1:21" ht="63.75" x14ac:dyDescent="0.2">
      <c r="A324" s="120" t="s">
        <v>2979</v>
      </c>
      <c r="B324" s="114" t="s">
        <v>1744</v>
      </c>
      <c r="C324" s="114" t="s">
        <v>1745</v>
      </c>
      <c r="D324" s="114" t="s">
        <v>56</v>
      </c>
      <c r="E324" s="114" t="s">
        <v>696</v>
      </c>
      <c r="F324" s="114" t="s">
        <v>84</v>
      </c>
      <c r="G324" s="115">
        <v>36</v>
      </c>
      <c r="H324" s="116">
        <v>9.9824999999999999</v>
      </c>
      <c r="I324" s="121">
        <v>0.2223</v>
      </c>
      <c r="J324" s="116">
        <f t="shared" si="35"/>
        <v>2.2125000000000004</v>
      </c>
      <c r="K324" s="116">
        <v>12.195</v>
      </c>
      <c r="L324" s="116">
        <f t="shared" si="36"/>
        <v>359.37</v>
      </c>
      <c r="M324" s="116">
        <f t="shared" si="37"/>
        <v>439.02</v>
      </c>
      <c r="N324" s="116">
        <v>16.260000000000002</v>
      </c>
      <c r="O324" s="116">
        <f t="shared" si="38"/>
        <v>4.0650000000000013</v>
      </c>
      <c r="P324" s="116">
        <f t="shared" si="39"/>
        <v>146.34000000000003</v>
      </c>
      <c r="Q324" s="116" t="s">
        <v>2349</v>
      </c>
      <c r="R324" s="116" t="s">
        <v>2980</v>
      </c>
      <c r="S324" s="116" t="str">
        <f t="shared" si="40"/>
        <v>OK - FECHA COM PLANILHA</v>
      </c>
      <c r="T324" s="116">
        <v>439.02</v>
      </c>
      <c r="U324" s="122">
        <f t="shared" si="41"/>
        <v>0</v>
      </c>
    </row>
    <row r="325" spans="1:21" ht="63.75" x14ac:dyDescent="0.2">
      <c r="A325" s="120" t="s">
        <v>2981</v>
      </c>
      <c r="B325" s="114" t="s">
        <v>1746</v>
      </c>
      <c r="C325" s="114" t="s">
        <v>1747</v>
      </c>
      <c r="D325" s="114" t="s">
        <v>56</v>
      </c>
      <c r="E325" s="114" t="s">
        <v>697</v>
      </c>
      <c r="F325" s="114" t="s">
        <v>84</v>
      </c>
      <c r="G325" s="115">
        <v>18</v>
      </c>
      <c r="H325" s="116">
        <v>36.555</v>
      </c>
      <c r="I325" s="121">
        <v>0.2223</v>
      </c>
      <c r="J325" s="116">
        <f t="shared" si="35"/>
        <v>8.1225000000000023</v>
      </c>
      <c r="K325" s="116">
        <v>44.677500000000002</v>
      </c>
      <c r="L325" s="116">
        <f t="shared" si="36"/>
        <v>657.99</v>
      </c>
      <c r="M325" s="116">
        <f t="shared" si="37"/>
        <v>804.19500000000005</v>
      </c>
      <c r="N325" s="116">
        <v>59.57</v>
      </c>
      <c r="O325" s="116">
        <f t="shared" si="38"/>
        <v>14.892499999999998</v>
      </c>
      <c r="P325" s="116">
        <f t="shared" si="39"/>
        <v>268.06499999999994</v>
      </c>
      <c r="Q325" s="116" t="s">
        <v>2349</v>
      </c>
      <c r="R325" s="116" t="s">
        <v>2982</v>
      </c>
      <c r="S325" s="116" t="str">
        <f t="shared" si="40"/>
        <v>OK - FECHA COM PLANILHA</v>
      </c>
      <c r="T325" s="116">
        <v>804.19</v>
      </c>
      <c r="U325" s="122">
        <f t="shared" si="41"/>
        <v>4.9999999999954525E-3</v>
      </c>
    </row>
    <row r="326" spans="1:21" ht="63.75" x14ac:dyDescent="0.2">
      <c r="A326" s="120" t="s">
        <v>2983</v>
      </c>
      <c r="B326" s="114" t="s">
        <v>1748</v>
      </c>
      <c r="C326" s="114" t="s">
        <v>1749</v>
      </c>
      <c r="D326" s="114" t="s">
        <v>56</v>
      </c>
      <c r="E326" s="114" t="s">
        <v>698</v>
      </c>
      <c r="F326" s="114" t="s">
        <v>84</v>
      </c>
      <c r="G326" s="115">
        <v>1</v>
      </c>
      <c r="H326" s="116">
        <v>33.974999999999994</v>
      </c>
      <c r="I326" s="121">
        <v>0.2223</v>
      </c>
      <c r="J326" s="116">
        <f t="shared" si="35"/>
        <v>7.552500000000002</v>
      </c>
      <c r="K326" s="116">
        <v>41.527499999999996</v>
      </c>
      <c r="L326" s="116">
        <f t="shared" si="36"/>
        <v>33.974999999999994</v>
      </c>
      <c r="M326" s="116">
        <f t="shared" si="37"/>
        <v>41.527499999999996</v>
      </c>
      <c r="N326" s="116">
        <v>55.37</v>
      </c>
      <c r="O326" s="116">
        <f t="shared" si="38"/>
        <v>13.842500000000001</v>
      </c>
      <c r="P326" s="116">
        <f t="shared" si="39"/>
        <v>13.842500000000001</v>
      </c>
      <c r="Q326" s="116" t="s">
        <v>2349</v>
      </c>
      <c r="R326" s="116" t="s">
        <v>2984</v>
      </c>
      <c r="S326" s="116" t="str">
        <f t="shared" si="40"/>
        <v>OK - FECHA COM PLANILHA</v>
      </c>
      <c r="T326" s="116">
        <v>41.52</v>
      </c>
      <c r="U326" s="122">
        <f t="shared" si="41"/>
        <v>7.4999999999931788E-3</v>
      </c>
    </row>
    <row r="327" spans="1:21" ht="63.75" x14ac:dyDescent="0.2">
      <c r="A327" s="120" t="s">
        <v>2985</v>
      </c>
      <c r="B327" s="114" t="s">
        <v>1750</v>
      </c>
      <c r="C327" s="114" t="s">
        <v>1751</v>
      </c>
      <c r="D327" s="114" t="s">
        <v>56</v>
      </c>
      <c r="E327" s="114" t="s">
        <v>699</v>
      </c>
      <c r="F327" s="114" t="s">
        <v>84</v>
      </c>
      <c r="G327" s="115">
        <v>1</v>
      </c>
      <c r="H327" s="116">
        <v>20.482499999999998</v>
      </c>
      <c r="I327" s="121">
        <v>0.2223</v>
      </c>
      <c r="J327" s="116">
        <f t="shared" si="35"/>
        <v>4.5525000000000055</v>
      </c>
      <c r="K327" s="116">
        <v>25.035000000000004</v>
      </c>
      <c r="L327" s="116">
        <f t="shared" si="36"/>
        <v>20.482499999999998</v>
      </c>
      <c r="M327" s="116">
        <f t="shared" si="37"/>
        <v>25.035000000000004</v>
      </c>
      <c r="N327" s="116">
        <v>33.380000000000003</v>
      </c>
      <c r="O327" s="116">
        <f t="shared" si="38"/>
        <v>8.3449999999999989</v>
      </c>
      <c r="P327" s="116">
        <f t="shared" si="39"/>
        <v>8.3449999999999989</v>
      </c>
      <c r="Q327" s="116" t="s">
        <v>2349</v>
      </c>
      <c r="R327" s="116" t="s">
        <v>2986</v>
      </c>
      <c r="S327" s="116" t="str">
        <f t="shared" si="40"/>
        <v>OK - FECHA COM PLANILHA</v>
      </c>
      <c r="T327" s="116">
        <v>25.03</v>
      </c>
      <c r="U327" s="122">
        <f t="shared" si="41"/>
        <v>5.000000000002558E-3</v>
      </c>
    </row>
    <row r="328" spans="1:21" ht="63.75" x14ac:dyDescent="0.2">
      <c r="A328" s="120" t="s">
        <v>2987</v>
      </c>
      <c r="B328" s="114" t="s">
        <v>1752</v>
      </c>
      <c r="C328" s="114" t="s">
        <v>1753</v>
      </c>
      <c r="D328" s="114" t="s">
        <v>56</v>
      </c>
      <c r="E328" s="114" t="s">
        <v>700</v>
      </c>
      <c r="F328" s="114" t="s">
        <v>84</v>
      </c>
      <c r="G328" s="115">
        <v>36</v>
      </c>
      <c r="H328" s="116">
        <v>12.375</v>
      </c>
      <c r="I328" s="121">
        <v>0.2223</v>
      </c>
      <c r="J328" s="116">
        <f t="shared" si="35"/>
        <v>2.745000000000001</v>
      </c>
      <c r="K328" s="116">
        <v>15.120000000000001</v>
      </c>
      <c r="L328" s="116">
        <f t="shared" si="36"/>
        <v>445.5</v>
      </c>
      <c r="M328" s="116">
        <f t="shared" si="37"/>
        <v>544.32000000000005</v>
      </c>
      <c r="N328" s="116">
        <v>20.16</v>
      </c>
      <c r="O328" s="116">
        <f t="shared" si="38"/>
        <v>5.0399999999999991</v>
      </c>
      <c r="P328" s="116">
        <f t="shared" si="39"/>
        <v>181.43999999999997</v>
      </c>
      <c r="Q328" s="116" t="s">
        <v>2349</v>
      </c>
      <c r="R328" s="116" t="s">
        <v>2988</v>
      </c>
      <c r="S328" s="116" t="str">
        <f t="shared" si="40"/>
        <v>OK - FECHA COM PLANILHA</v>
      </c>
      <c r="T328" s="116">
        <v>544.32000000000005</v>
      </c>
      <c r="U328" s="122">
        <f t="shared" si="41"/>
        <v>0</v>
      </c>
    </row>
    <row r="329" spans="1:21" ht="63.75" x14ac:dyDescent="0.2">
      <c r="A329" s="120" t="s">
        <v>2989</v>
      </c>
      <c r="B329" s="114" t="s">
        <v>1754</v>
      </c>
      <c r="C329" s="114" t="s">
        <v>1755</v>
      </c>
      <c r="D329" s="114" t="s">
        <v>56</v>
      </c>
      <c r="E329" s="114" t="s">
        <v>701</v>
      </c>
      <c r="F329" s="114" t="s">
        <v>84</v>
      </c>
      <c r="G329" s="115">
        <v>21</v>
      </c>
      <c r="H329" s="116">
        <v>44.107500000000002</v>
      </c>
      <c r="I329" s="121">
        <v>0.2223</v>
      </c>
      <c r="J329" s="116">
        <f t="shared" si="35"/>
        <v>9.8024999999999949</v>
      </c>
      <c r="K329" s="116">
        <v>53.91</v>
      </c>
      <c r="L329" s="116">
        <f t="shared" si="36"/>
        <v>926.25750000000005</v>
      </c>
      <c r="M329" s="116">
        <f t="shared" si="37"/>
        <v>1132.1099999999999</v>
      </c>
      <c r="N329" s="116">
        <v>71.88</v>
      </c>
      <c r="O329" s="116">
        <f t="shared" si="38"/>
        <v>17.97</v>
      </c>
      <c r="P329" s="116">
        <f t="shared" si="39"/>
        <v>377.37</v>
      </c>
      <c r="Q329" s="116" t="s">
        <v>2349</v>
      </c>
      <c r="R329" s="116" t="s">
        <v>2990</v>
      </c>
      <c r="S329" s="116" t="str">
        <f t="shared" si="40"/>
        <v>OK - FECHA COM PLANILHA</v>
      </c>
      <c r="T329" s="116">
        <v>1132.1099999999999</v>
      </c>
      <c r="U329" s="122">
        <f t="shared" si="41"/>
        <v>0</v>
      </c>
    </row>
    <row r="330" spans="1:21" ht="63.75" x14ac:dyDescent="0.2">
      <c r="A330" s="120" t="s">
        <v>2991</v>
      </c>
      <c r="B330" s="114" t="s">
        <v>1756</v>
      </c>
      <c r="C330" s="114" t="s">
        <v>1757</v>
      </c>
      <c r="D330" s="114" t="s">
        <v>56</v>
      </c>
      <c r="E330" s="114" t="s">
        <v>1758</v>
      </c>
      <c r="F330" s="114" t="s">
        <v>84</v>
      </c>
      <c r="G330" s="115">
        <v>19</v>
      </c>
      <c r="H330" s="116">
        <v>37.027499999999996</v>
      </c>
      <c r="I330" s="121">
        <v>0.2223</v>
      </c>
      <c r="J330" s="116">
        <f t="shared" si="35"/>
        <v>8.2275000000000063</v>
      </c>
      <c r="K330" s="116">
        <v>45.255000000000003</v>
      </c>
      <c r="L330" s="116">
        <f t="shared" si="36"/>
        <v>703.52249999999992</v>
      </c>
      <c r="M330" s="116">
        <f t="shared" si="37"/>
        <v>859.84500000000003</v>
      </c>
      <c r="N330" s="116">
        <v>60.34</v>
      </c>
      <c r="O330" s="116">
        <f t="shared" si="38"/>
        <v>15.085000000000001</v>
      </c>
      <c r="P330" s="116">
        <f t="shared" si="39"/>
        <v>286.61500000000001</v>
      </c>
      <c r="Q330" s="116" t="s">
        <v>2349</v>
      </c>
      <c r="R330" s="116" t="s">
        <v>2992</v>
      </c>
      <c r="S330" s="116" t="str">
        <f t="shared" si="40"/>
        <v>OK - FECHA COM PLANILHA</v>
      </c>
      <c r="T330" s="116">
        <v>859.84</v>
      </c>
      <c r="U330" s="122">
        <f t="shared" si="41"/>
        <v>4.9999999999954525E-3</v>
      </c>
    </row>
    <row r="331" spans="1:21" ht="63.75" x14ac:dyDescent="0.2">
      <c r="A331" s="120" t="s">
        <v>2993</v>
      </c>
      <c r="B331" s="114" t="s">
        <v>1759</v>
      </c>
      <c r="C331" s="114" t="s">
        <v>1760</v>
      </c>
      <c r="D331" s="114" t="s">
        <v>56</v>
      </c>
      <c r="E331" s="114" t="s">
        <v>703</v>
      </c>
      <c r="F331" s="114" t="s">
        <v>84</v>
      </c>
      <c r="G331" s="115">
        <v>1</v>
      </c>
      <c r="H331" s="116">
        <v>35.2575</v>
      </c>
      <c r="I331" s="121">
        <v>0.2223</v>
      </c>
      <c r="J331" s="116">
        <f t="shared" si="35"/>
        <v>7.8374999999999986</v>
      </c>
      <c r="K331" s="116">
        <v>43.094999999999999</v>
      </c>
      <c r="L331" s="116">
        <f t="shared" si="36"/>
        <v>35.2575</v>
      </c>
      <c r="M331" s="116">
        <f t="shared" si="37"/>
        <v>43.094999999999999</v>
      </c>
      <c r="N331" s="116">
        <v>57.46</v>
      </c>
      <c r="O331" s="116">
        <f t="shared" si="38"/>
        <v>14.365000000000002</v>
      </c>
      <c r="P331" s="116">
        <f t="shared" si="39"/>
        <v>14.365000000000002</v>
      </c>
      <c r="Q331" s="116" t="s">
        <v>2349</v>
      </c>
      <c r="R331" s="116" t="s">
        <v>2994</v>
      </c>
      <c r="S331" s="116" t="str">
        <f t="shared" si="40"/>
        <v>OK - FECHA COM PLANILHA</v>
      </c>
      <c r="T331" s="116">
        <v>43.09</v>
      </c>
      <c r="U331" s="122">
        <f t="shared" si="41"/>
        <v>4.9999999999954525E-3</v>
      </c>
    </row>
    <row r="332" spans="1:21" ht="63.75" x14ac:dyDescent="0.2">
      <c r="A332" s="120" t="s">
        <v>2995</v>
      </c>
      <c r="B332" s="114" t="s">
        <v>1761</v>
      </c>
      <c r="C332" s="114" t="s">
        <v>1762</v>
      </c>
      <c r="D332" s="114" t="s">
        <v>56</v>
      </c>
      <c r="E332" s="114" t="s">
        <v>704</v>
      </c>
      <c r="F332" s="114" t="s">
        <v>84</v>
      </c>
      <c r="G332" s="115">
        <v>8</v>
      </c>
      <c r="H332" s="116">
        <v>14.362499999999999</v>
      </c>
      <c r="I332" s="121">
        <v>0.2223</v>
      </c>
      <c r="J332" s="116">
        <f t="shared" si="35"/>
        <v>3.1874999999999982</v>
      </c>
      <c r="K332" s="116">
        <v>17.549999999999997</v>
      </c>
      <c r="L332" s="116">
        <f t="shared" si="36"/>
        <v>114.89999999999999</v>
      </c>
      <c r="M332" s="116">
        <f t="shared" si="37"/>
        <v>140.39999999999998</v>
      </c>
      <c r="N332" s="116">
        <v>23.4</v>
      </c>
      <c r="O332" s="116">
        <f t="shared" si="38"/>
        <v>5.8500000000000014</v>
      </c>
      <c r="P332" s="116">
        <f t="shared" si="39"/>
        <v>46.800000000000011</v>
      </c>
      <c r="Q332" s="116" t="s">
        <v>2349</v>
      </c>
      <c r="R332" s="116" t="s">
        <v>2996</v>
      </c>
      <c r="S332" s="116" t="str">
        <f t="shared" si="40"/>
        <v>OK - FECHA COM PLANILHA</v>
      </c>
      <c r="T332" s="116">
        <v>140.4</v>
      </c>
      <c r="U332" s="122">
        <f t="shared" si="41"/>
        <v>0</v>
      </c>
    </row>
    <row r="333" spans="1:21" ht="63.75" x14ac:dyDescent="0.2">
      <c r="A333" s="120" t="s">
        <v>2997</v>
      </c>
      <c r="B333" s="114" t="s">
        <v>1763</v>
      </c>
      <c r="C333" s="114" t="s">
        <v>1764</v>
      </c>
      <c r="D333" s="114" t="s">
        <v>56</v>
      </c>
      <c r="E333" s="114" t="s">
        <v>705</v>
      </c>
      <c r="F333" s="114" t="s">
        <v>84</v>
      </c>
      <c r="G333" s="115">
        <v>2</v>
      </c>
      <c r="H333" s="116">
        <v>29.122499999999999</v>
      </c>
      <c r="I333" s="121">
        <v>0.2223</v>
      </c>
      <c r="J333" s="116">
        <f t="shared" si="35"/>
        <v>6.4725000000000001</v>
      </c>
      <c r="K333" s="116">
        <v>35.594999999999999</v>
      </c>
      <c r="L333" s="116">
        <f t="shared" si="36"/>
        <v>58.244999999999997</v>
      </c>
      <c r="M333" s="116">
        <f t="shared" si="37"/>
        <v>71.19</v>
      </c>
      <c r="N333" s="116">
        <v>47.46</v>
      </c>
      <c r="O333" s="116">
        <f t="shared" si="38"/>
        <v>11.865000000000002</v>
      </c>
      <c r="P333" s="116">
        <f t="shared" si="39"/>
        <v>23.730000000000004</v>
      </c>
      <c r="Q333" s="116" t="s">
        <v>2349</v>
      </c>
      <c r="R333" s="116" t="s">
        <v>2998</v>
      </c>
      <c r="S333" s="116" t="str">
        <f t="shared" si="40"/>
        <v>OK - FECHA COM PLANILHA</v>
      </c>
      <c r="T333" s="116">
        <v>71.19</v>
      </c>
      <c r="U333" s="122">
        <f t="shared" si="41"/>
        <v>0</v>
      </c>
    </row>
    <row r="334" spans="1:21" ht="63.75" x14ac:dyDescent="0.2">
      <c r="A334" s="120" t="s">
        <v>2999</v>
      </c>
      <c r="B334" s="114" t="s">
        <v>1765</v>
      </c>
      <c r="C334" s="114" t="s">
        <v>1766</v>
      </c>
      <c r="D334" s="114" t="s">
        <v>56</v>
      </c>
      <c r="E334" s="114" t="s">
        <v>706</v>
      </c>
      <c r="F334" s="114" t="s">
        <v>84</v>
      </c>
      <c r="G334" s="115">
        <v>3</v>
      </c>
      <c r="H334" s="116">
        <v>17.82</v>
      </c>
      <c r="I334" s="121">
        <v>0.2223</v>
      </c>
      <c r="J334" s="116">
        <f t="shared" si="35"/>
        <v>3.9600000000000009</v>
      </c>
      <c r="K334" s="116">
        <v>21.78</v>
      </c>
      <c r="L334" s="116">
        <f t="shared" si="36"/>
        <v>53.46</v>
      </c>
      <c r="M334" s="116">
        <f t="shared" si="37"/>
        <v>65.34</v>
      </c>
      <c r="N334" s="116">
        <v>29.04</v>
      </c>
      <c r="O334" s="116">
        <f t="shared" si="38"/>
        <v>7.259999999999998</v>
      </c>
      <c r="P334" s="116">
        <f t="shared" si="39"/>
        <v>21.779999999999994</v>
      </c>
      <c r="Q334" s="116" t="s">
        <v>2349</v>
      </c>
      <c r="R334" s="116" t="s">
        <v>3000</v>
      </c>
      <c r="S334" s="116" t="str">
        <f t="shared" si="40"/>
        <v>OK - FECHA COM PLANILHA</v>
      </c>
      <c r="T334" s="116">
        <v>65.34</v>
      </c>
      <c r="U334" s="122">
        <f t="shared" si="41"/>
        <v>0</v>
      </c>
    </row>
    <row r="335" spans="1:21" ht="63.75" x14ac:dyDescent="0.2">
      <c r="A335" s="120" t="s">
        <v>3001</v>
      </c>
      <c r="B335" s="114" t="s">
        <v>1767</v>
      </c>
      <c r="C335" s="114" t="s">
        <v>1768</v>
      </c>
      <c r="D335" s="114" t="s">
        <v>56</v>
      </c>
      <c r="E335" s="114" t="s">
        <v>1769</v>
      </c>
      <c r="F335" s="114" t="s">
        <v>84</v>
      </c>
      <c r="G335" s="115">
        <v>1</v>
      </c>
      <c r="H335" s="116">
        <v>25.912499999999998</v>
      </c>
      <c r="I335" s="121">
        <v>0.2223</v>
      </c>
      <c r="J335" s="116">
        <f t="shared" si="35"/>
        <v>5.7600000000000016</v>
      </c>
      <c r="K335" s="116">
        <v>31.672499999999999</v>
      </c>
      <c r="L335" s="116">
        <f t="shared" si="36"/>
        <v>25.912499999999998</v>
      </c>
      <c r="M335" s="116">
        <f t="shared" si="37"/>
        <v>31.672499999999999</v>
      </c>
      <c r="N335" s="116">
        <v>42.23</v>
      </c>
      <c r="O335" s="116">
        <f t="shared" si="38"/>
        <v>10.557499999999997</v>
      </c>
      <c r="P335" s="116">
        <f t="shared" si="39"/>
        <v>10.557499999999997</v>
      </c>
      <c r="Q335" s="116" t="s">
        <v>2349</v>
      </c>
      <c r="R335" s="116" t="s">
        <v>3002</v>
      </c>
      <c r="S335" s="116" t="str">
        <f t="shared" si="40"/>
        <v>OK - FECHA COM PLANILHA</v>
      </c>
      <c r="T335" s="116">
        <v>31.67</v>
      </c>
      <c r="U335" s="122">
        <f t="shared" si="41"/>
        <v>2.4999999999977263E-3</v>
      </c>
    </row>
    <row r="336" spans="1:21" ht="63.75" x14ac:dyDescent="0.2">
      <c r="A336" s="120" t="s">
        <v>3003</v>
      </c>
      <c r="B336" s="114" t="s">
        <v>1770</v>
      </c>
      <c r="C336" s="114" t="s">
        <v>1771</v>
      </c>
      <c r="D336" s="114" t="s">
        <v>335</v>
      </c>
      <c r="E336" s="114" t="s">
        <v>708</v>
      </c>
      <c r="F336" s="114" t="s">
        <v>84</v>
      </c>
      <c r="G336" s="115">
        <v>4</v>
      </c>
      <c r="H336" s="116">
        <v>28.724999999999998</v>
      </c>
      <c r="I336" s="121">
        <v>0.2223</v>
      </c>
      <c r="J336" s="116">
        <f t="shared" si="35"/>
        <v>6.3825000000000038</v>
      </c>
      <c r="K336" s="116">
        <v>35.107500000000002</v>
      </c>
      <c r="L336" s="116">
        <f t="shared" si="36"/>
        <v>114.89999999999999</v>
      </c>
      <c r="M336" s="116">
        <f t="shared" si="37"/>
        <v>140.43</v>
      </c>
      <c r="N336" s="116">
        <v>46.81</v>
      </c>
      <c r="O336" s="116">
        <f t="shared" si="38"/>
        <v>11.702500000000001</v>
      </c>
      <c r="P336" s="116">
        <f t="shared" si="39"/>
        <v>46.81</v>
      </c>
      <c r="Q336" s="116" t="s">
        <v>2589</v>
      </c>
      <c r="R336" s="116" t="s">
        <v>3004</v>
      </c>
      <c r="S336" s="116" t="str">
        <f t="shared" si="40"/>
        <v>OK - FECHA COM PLANILHA</v>
      </c>
      <c r="T336" s="116">
        <v>140.43</v>
      </c>
      <c r="U336" s="122">
        <f t="shared" si="41"/>
        <v>0</v>
      </c>
    </row>
    <row r="337" spans="1:21" ht="63.75" x14ac:dyDescent="0.2">
      <c r="A337" s="120" t="s">
        <v>3005</v>
      </c>
      <c r="B337" s="114" t="s">
        <v>1772</v>
      </c>
      <c r="C337" s="114" t="s">
        <v>1773</v>
      </c>
      <c r="D337" s="114" t="s">
        <v>56</v>
      </c>
      <c r="E337" s="114" t="s">
        <v>737</v>
      </c>
      <c r="F337" s="114" t="s">
        <v>84</v>
      </c>
      <c r="G337" s="115">
        <v>2</v>
      </c>
      <c r="H337" s="116">
        <v>15.51</v>
      </c>
      <c r="I337" s="121">
        <v>0.2223</v>
      </c>
      <c r="J337" s="116">
        <f t="shared" si="35"/>
        <v>3.4425000000000008</v>
      </c>
      <c r="K337" s="116">
        <v>18.952500000000001</v>
      </c>
      <c r="L337" s="116">
        <f t="shared" si="36"/>
        <v>31.02</v>
      </c>
      <c r="M337" s="116">
        <f t="shared" si="37"/>
        <v>37.905000000000001</v>
      </c>
      <c r="N337" s="116">
        <v>25.27</v>
      </c>
      <c r="O337" s="116">
        <f t="shared" si="38"/>
        <v>6.317499999999999</v>
      </c>
      <c r="P337" s="116">
        <f t="shared" si="39"/>
        <v>12.634999999999998</v>
      </c>
      <c r="Q337" s="116" t="s">
        <v>2349</v>
      </c>
      <c r="R337" s="116" t="s">
        <v>3006</v>
      </c>
      <c r="S337" s="116" t="str">
        <f t="shared" si="40"/>
        <v>OK - FECHA COM PLANILHA</v>
      </c>
      <c r="T337" s="116">
        <v>37.9</v>
      </c>
      <c r="U337" s="122">
        <f t="shared" si="41"/>
        <v>5.000000000002558E-3</v>
      </c>
    </row>
    <row r="338" spans="1:21" ht="63.75" x14ac:dyDescent="0.2">
      <c r="A338" s="120" t="s">
        <v>3007</v>
      </c>
      <c r="B338" s="114" t="s">
        <v>1774</v>
      </c>
      <c r="C338" s="114" t="s">
        <v>1775</v>
      </c>
      <c r="D338" s="114" t="s">
        <v>56</v>
      </c>
      <c r="E338" s="114" t="s">
        <v>710</v>
      </c>
      <c r="F338" s="114" t="s">
        <v>84</v>
      </c>
      <c r="G338" s="115">
        <v>1</v>
      </c>
      <c r="H338" s="116">
        <v>37.515000000000001</v>
      </c>
      <c r="I338" s="121">
        <v>0.2223</v>
      </c>
      <c r="J338" s="116">
        <f t="shared" si="35"/>
        <v>8.3325000000000031</v>
      </c>
      <c r="K338" s="116">
        <v>45.847500000000004</v>
      </c>
      <c r="L338" s="116">
        <f t="shared" si="36"/>
        <v>37.515000000000001</v>
      </c>
      <c r="M338" s="116">
        <f t="shared" si="37"/>
        <v>45.847500000000004</v>
      </c>
      <c r="N338" s="116">
        <v>61.13</v>
      </c>
      <c r="O338" s="116">
        <f t="shared" si="38"/>
        <v>15.282499999999999</v>
      </c>
      <c r="P338" s="116">
        <f t="shared" si="39"/>
        <v>15.282499999999999</v>
      </c>
      <c r="Q338" s="116" t="s">
        <v>2349</v>
      </c>
      <c r="R338" s="116" t="s">
        <v>3008</v>
      </c>
      <c r="S338" s="116" t="str">
        <f t="shared" si="40"/>
        <v>OK - FECHA COM PLANILHA</v>
      </c>
      <c r="T338" s="116">
        <v>45.84</v>
      </c>
      <c r="U338" s="122">
        <f t="shared" si="41"/>
        <v>7.5000000000002842E-3</v>
      </c>
    </row>
    <row r="339" spans="1:21" ht="63.75" x14ac:dyDescent="0.2">
      <c r="A339" s="120" t="s">
        <v>3009</v>
      </c>
      <c r="B339" s="114" t="s">
        <v>1776</v>
      </c>
      <c r="C339" s="114" t="s">
        <v>1777</v>
      </c>
      <c r="D339" s="114" t="s">
        <v>56</v>
      </c>
      <c r="E339" s="114" t="s">
        <v>711</v>
      </c>
      <c r="F339" s="114" t="s">
        <v>84</v>
      </c>
      <c r="G339" s="115">
        <v>3</v>
      </c>
      <c r="H339" s="116">
        <v>35.325000000000003</v>
      </c>
      <c r="I339" s="121">
        <v>0.2223</v>
      </c>
      <c r="J339" s="116">
        <f t="shared" si="35"/>
        <v>7.8524999999999991</v>
      </c>
      <c r="K339" s="116">
        <v>43.177500000000002</v>
      </c>
      <c r="L339" s="116">
        <f t="shared" si="36"/>
        <v>105.97500000000001</v>
      </c>
      <c r="M339" s="116">
        <f t="shared" si="37"/>
        <v>129.5325</v>
      </c>
      <c r="N339" s="116">
        <v>57.57</v>
      </c>
      <c r="O339" s="116">
        <f t="shared" si="38"/>
        <v>14.392499999999998</v>
      </c>
      <c r="P339" s="116">
        <f t="shared" si="39"/>
        <v>43.177499999999995</v>
      </c>
      <c r="Q339" s="116" t="s">
        <v>2349</v>
      </c>
      <c r="R339" s="116" t="s">
        <v>3010</v>
      </c>
      <c r="S339" s="116" t="str">
        <f t="shared" si="40"/>
        <v>OK - FECHA COM PLANILHA</v>
      </c>
      <c r="T339" s="116">
        <v>129.53</v>
      </c>
      <c r="U339" s="122">
        <f t="shared" si="41"/>
        <v>2.4999999999977263E-3</v>
      </c>
    </row>
    <row r="340" spans="1:21" ht="63.75" x14ac:dyDescent="0.2">
      <c r="A340" s="120" t="s">
        <v>3011</v>
      </c>
      <c r="B340" s="114" t="s">
        <v>1778</v>
      </c>
      <c r="C340" s="114" t="s">
        <v>1779</v>
      </c>
      <c r="D340" s="114" t="s">
        <v>56</v>
      </c>
      <c r="E340" s="114" t="s">
        <v>712</v>
      </c>
      <c r="F340" s="114" t="s">
        <v>84</v>
      </c>
      <c r="G340" s="115">
        <v>1</v>
      </c>
      <c r="H340" s="116">
        <v>21.502500000000001</v>
      </c>
      <c r="I340" s="121">
        <v>0.2223</v>
      </c>
      <c r="J340" s="116">
        <f t="shared" si="35"/>
        <v>4.7774999999999999</v>
      </c>
      <c r="K340" s="116">
        <v>26.28</v>
      </c>
      <c r="L340" s="116">
        <f t="shared" si="36"/>
        <v>21.502500000000001</v>
      </c>
      <c r="M340" s="116">
        <f t="shared" si="37"/>
        <v>26.28</v>
      </c>
      <c r="N340" s="116">
        <v>35.04</v>
      </c>
      <c r="O340" s="116">
        <f t="shared" si="38"/>
        <v>8.759999999999998</v>
      </c>
      <c r="P340" s="116">
        <f t="shared" si="39"/>
        <v>8.759999999999998</v>
      </c>
      <c r="Q340" s="116" t="s">
        <v>2349</v>
      </c>
      <c r="R340" s="116" t="s">
        <v>3012</v>
      </c>
      <c r="S340" s="116" t="str">
        <f t="shared" si="40"/>
        <v>OK - FECHA COM PLANILHA</v>
      </c>
      <c r="T340" s="116">
        <v>26.28</v>
      </c>
      <c r="U340" s="122">
        <f t="shared" si="41"/>
        <v>0</v>
      </c>
    </row>
    <row r="341" spans="1:21" ht="63.75" x14ac:dyDescent="0.2">
      <c r="A341" s="120" t="s">
        <v>3013</v>
      </c>
      <c r="B341" s="114" t="s">
        <v>1780</v>
      </c>
      <c r="C341" s="114" t="s">
        <v>1781</v>
      </c>
      <c r="D341" s="114" t="s">
        <v>56</v>
      </c>
      <c r="E341" s="114" t="s">
        <v>1782</v>
      </c>
      <c r="F341" s="114" t="s">
        <v>84</v>
      </c>
      <c r="G341" s="115">
        <v>2</v>
      </c>
      <c r="H341" s="116">
        <v>9.81</v>
      </c>
      <c r="I341" s="121">
        <v>0.2223</v>
      </c>
      <c r="J341" s="116">
        <f t="shared" si="35"/>
        <v>2.1749999999999989</v>
      </c>
      <c r="K341" s="116">
        <v>11.984999999999999</v>
      </c>
      <c r="L341" s="116">
        <f t="shared" si="36"/>
        <v>19.62</v>
      </c>
      <c r="M341" s="116">
        <f t="shared" si="37"/>
        <v>23.97</v>
      </c>
      <c r="N341" s="116">
        <v>15.98</v>
      </c>
      <c r="O341" s="116">
        <f t="shared" si="38"/>
        <v>3.995000000000001</v>
      </c>
      <c r="P341" s="116">
        <f t="shared" si="39"/>
        <v>7.990000000000002</v>
      </c>
      <c r="Q341" s="116" t="s">
        <v>2349</v>
      </c>
      <c r="R341" s="116" t="s">
        <v>3014</v>
      </c>
      <c r="S341" s="116" t="str">
        <f t="shared" si="40"/>
        <v>OK - FECHA COM PLANILHA</v>
      </c>
      <c r="T341" s="116">
        <v>23.97</v>
      </c>
      <c r="U341" s="122">
        <f t="shared" si="41"/>
        <v>0</v>
      </c>
    </row>
    <row r="342" spans="1:21" ht="63.75" x14ac:dyDescent="0.2">
      <c r="A342" s="120" t="s">
        <v>3015</v>
      </c>
      <c r="B342" s="114" t="s">
        <v>716</v>
      </c>
      <c r="C342" s="114" t="s">
        <v>1783</v>
      </c>
      <c r="D342" s="114" t="s">
        <v>56</v>
      </c>
      <c r="E342" s="114" t="s">
        <v>1784</v>
      </c>
      <c r="F342" s="114" t="s">
        <v>99</v>
      </c>
      <c r="G342" s="115">
        <v>6.6</v>
      </c>
      <c r="H342" s="116">
        <v>20.377500000000001</v>
      </c>
      <c r="I342" s="121">
        <v>0.2223</v>
      </c>
      <c r="J342" s="116">
        <f t="shared" si="35"/>
        <v>4.5225000000000009</v>
      </c>
      <c r="K342" s="116">
        <v>24.900000000000002</v>
      </c>
      <c r="L342" s="116">
        <f t="shared" si="36"/>
        <v>134.4915</v>
      </c>
      <c r="M342" s="116">
        <f t="shared" si="37"/>
        <v>164.34</v>
      </c>
      <c r="N342" s="116">
        <v>33.200000000000003</v>
      </c>
      <c r="O342" s="116">
        <f t="shared" si="38"/>
        <v>8.3000000000000007</v>
      </c>
      <c r="P342" s="116">
        <f t="shared" si="39"/>
        <v>54.78</v>
      </c>
      <c r="Q342" s="116" t="s">
        <v>2349</v>
      </c>
      <c r="R342" s="116" t="s">
        <v>3016</v>
      </c>
      <c r="S342" s="116" t="str">
        <f t="shared" si="40"/>
        <v>OK - FECHA COM PLANILHA</v>
      </c>
      <c r="T342" s="116">
        <v>164.34</v>
      </c>
      <c r="U342" s="122">
        <f t="shared" si="41"/>
        <v>0</v>
      </c>
    </row>
    <row r="343" spans="1:21" ht="63.75" x14ac:dyDescent="0.2">
      <c r="A343" s="120" t="s">
        <v>3017</v>
      </c>
      <c r="B343" s="114" t="s">
        <v>718</v>
      </c>
      <c r="C343" s="114" t="s">
        <v>1785</v>
      </c>
      <c r="D343" s="114" t="s">
        <v>56</v>
      </c>
      <c r="E343" s="114" t="s">
        <v>1786</v>
      </c>
      <c r="F343" s="114" t="s">
        <v>99</v>
      </c>
      <c r="G343" s="115">
        <v>154.5</v>
      </c>
      <c r="H343" s="116">
        <v>11.557500000000001</v>
      </c>
      <c r="I343" s="121">
        <v>0.2223</v>
      </c>
      <c r="J343" s="116">
        <f t="shared" si="35"/>
        <v>2.5649999999999977</v>
      </c>
      <c r="K343" s="116">
        <v>14.122499999999999</v>
      </c>
      <c r="L343" s="116">
        <f t="shared" si="36"/>
        <v>1785.6337500000002</v>
      </c>
      <c r="M343" s="116">
        <f t="shared" si="37"/>
        <v>2181.92625</v>
      </c>
      <c r="N343" s="116">
        <v>18.829999999999998</v>
      </c>
      <c r="O343" s="116">
        <f t="shared" si="38"/>
        <v>4.7074999999999996</v>
      </c>
      <c r="P343" s="116">
        <f t="shared" si="39"/>
        <v>727.30874999999992</v>
      </c>
      <c r="Q343" s="116" t="s">
        <v>2349</v>
      </c>
      <c r="R343" s="116" t="s">
        <v>3018</v>
      </c>
      <c r="S343" s="116" t="str">
        <f t="shared" si="40"/>
        <v>OK - FECHA COM PLANILHA</v>
      </c>
      <c r="T343" s="116">
        <v>2181.92</v>
      </c>
      <c r="U343" s="122">
        <f t="shared" si="41"/>
        <v>6.2499999999090505E-3</v>
      </c>
    </row>
    <row r="344" spans="1:21" ht="63.75" x14ac:dyDescent="0.2">
      <c r="A344" s="120" t="s">
        <v>3019</v>
      </c>
      <c r="B344" s="114" t="s">
        <v>720</v>
      </c>
      <c r="C344" s="114" t="s">
        <v>1787</v>
      </c>
      <c r="D344" s="114" t="s">
        <v>56</v>
      </c>
      <c r="E344" s="114" t="s">
        <v>721</v>
      </c>
      <c r="F344" s="114" t="s">
        <v>84</v>
      </c>
      <c r="G344" s="115">
        <v>2</v>
      </c>
      <c r="H344" s="116">
        <v>18.66</v>
      </c>
      <c r="I344" s="121">
        <v>0.2223</v>
      </c>
      <c r="J344" s="116">
        <f t="shared" si="35"/>
        <v>4.1475000000000009</v>
      </c>
      <c r="K344" s="116">
        <v>22.807500000000001</v>
      </c>
      <c r="L344" s="116">
        <f t="shared" si="36"/>
        <v>37.32</v>
      </c>
      <c r="M344" s="116">
        <f t="shared" si="37"/>
        <v>45.615000000000002</v>
      </c>
      <c r="N344" s="116">
        <v>30.41</v>
      </c>
      <c r="O344" s="116">
        <f t="shared" si="38"/>
        <v>7.6024999999999991</v>
      </c>
      <c r="P344" s="116">
        <f t="shared" si="39"/>
        <v>15.204999999999998</v>
      </c>
      <c r="Q344" s="116" t="s">
        <v>2349</v>
      </c>
      <c r="R344" s="116" t="s">
        <v>3020</v>
      </c>
      <c r="S344" s="116" t="str">
        <f t="shared" si="40"/>
        <v>OK - FECHA COM PLANILHA</v>
      </c>
      <c r="T344" s="116">
        <v>45.61</v>
      </c>
      <c r="U344" s="122">
        <f t="shared" si="41"/>
        <v>5.000000000002558E-3</v>
      </c>
    </row>
    <row r="345" spans="1:21" ht="63.75" x14ac:dyDescent="0.2">
      <c r="A345" s="120" t="s">
        <v>3021</v>
      </c>
      <c r="B345" s="114" t="s">
        <v>722</v>
      </c>
      <c r="C345" s="114" t="s">
        <v>1788</v>
      </c>
      <c r="D345" s="114" t="s">
        <v>56</v>
      </c>
      <c r="E345" s="114" t="s">
        <v>723</v>
      </c>
      <c r="F345" s="114" t="s">
        <v>84</v>
      </c>
      <c r="G345" s="115">
        <v>41</v>
      </c>
      <c r="H345" s="116">
        <v>8.6025000000000009</v>
      </c>
      <c r="I345" s="121">
        <v>0.2223</v>
      </c>
      <c r="J345" s="116">
        <f t="shared" si="35"/>
        <v>1.9049999999999994</v>
      </c>
      <c r="K345" s="116">
        <v>10.5075</v>
      </c>
      <c r="L345" s="116">
        <f t="shared" si="36"/>
        <v>352.70250000000004</v>
      </c>
      <c r="M345" s="116">
        <f t="shared" si="37"/>
        <v>430.8075</v>
      </c>
      <c r="N345" s="116">
        <v>14.01</v>
      </c>
      <c r="O345" s="116">
        <f t="shared" si="38"/>
        <v>3.5024999999999995</v>
      </c>
      <c r="P345" s="116">
        <f t="shared" si="39"/>
        <v>143.60249999999999</v>
      </c>
      <c r="Q345" s="116" t="s">
        <v>2349</v>
      </c>
      <c r="R345" s="116" t="s">
        <v>3022</v>
      </c>
      <c r="S345" s="116" t="str">
        <f t="shared" si="40"/>
        <v>OK - FECHA COM PLANILHA</v>
      </c>
      <c r="T345" s="116">
        <v>430.8</v>
      </c>
      <c r="U345" s="122">
        <f t="shared" si="41"/>
        <v>7.4999999999931788E-3</v>
      </c>
    </row>
    <row r="346" spans="1:21" ht="63.75" x14ac:dyDescent="0.2">
      <c r="A346" s="120" t="s">
        <v>3023</v>
      </c>
      <c r="B346" s="114" t="s">
        <v>724</v>
      </c>
      <c r="C346" s="114" t="s">
        <v>1789</v>
      </c>
      <c r="D346" s="114" t="s">
        <v>56</v>
      </c>
      <c r="E346" s="114" t="s">
        <v>725</v>
      </c>
      <c r="F346" s="114" t="s">
        <v>84</v>
      </c>
      <c r="G346" s="115">
        <v>45</v>
      </c>
      <c r="H346" s="116">
        <v>8.0024999999999995</v>
      </c>
      <c r="I346" s="121">
        <v>0.2223</v>
      </c>
      <c r="J346" s="116">
        <f t="shared" si="35"/>
        <v>1.7774999999999999</v>
      </c>
      <c r="K346" s="116">
        <v>9.7799999999999994</v>
      </c>
      <c r="L346" s="116">
        <f t="shared" si="36"/>
        <v>360.11249999999995</v>
      </c>
      <c r="M346" s="116">
        <f t="shared" si="37"/>
        <v>440.09999999999997</v>
      </c>
      <c r="N346" s="116">
        <v>13.04</v>
      </c>
      <c r="O346" s="116">
        <f t="shared" si="38"/>
        <v>3.26</v>
      </c>
      <c r="P346" s="116">
        <f t="shared" si="39"/>
        <v>146.69999999999999</v>
      </c>
      <c r="Q346" s="116" t="s">
        <v>2349</v>
      </c>
      <c r="R346" s="116" t="s">
        <v>3024</v>
      </c>
      <c r="S346" s="116" t="str">
        <f t="shared" si="40"/>
        <v>OK - FECHA COM PLANILHA</v>
      </c>
      <c r="T346" s="116">
        <v>440.1</v>
      </c>
      <c r="U346" s="122">
        <f t="shared" si="41"/>
        <v>0</v>
      </c>
    </row>
    <row r="347" spans="1:21" ht="63.75" x14ac:dyDescent="0.2">
      <c r="A347" s="120" t="s">
        <v>3025</v>
      </c>
      <c r="B347" s="114" t="s">
        <v>726</v>
      </c>
      <c r="C347" s="114" t="s">
        <v>1790</v>
      </c>
      <c r="D347" s="114" t="s">
        <v>56</v>
      </c>
      <c r="E347" s="114" t="s">
        <v>727</v>
      </c>
      <c r="F347" s="114" t="s">
        <v>84</v>
      </c>
      <c r="G347" s="115">
        <v>24</v>
      </c>
      <c r="H347" s="116">
        <v>14.940000000000001</v>
      </c>
      <c r="I347" s="121">
        <v>0.2223</v>
      </c>
      <c r="J347" s="116">
        <f t="shared" si="35"/>
        <v>3.3149999999999977</v>
      </c>
      <c r="K347" s="116">
        <v>18.254999999999999</v>
      </c>
      <c r="L347" s="116">
        <f t="shared" si="36"/>
        <v>358.56000000000006</v>
      </c>
      <c r="M347" s="116">
        <f t="shared" si="37"/>
        <v>438.12</v>
      </c>
      <c r="N347" s="116">
        <v>24.34</v>
      </c>
      <c r="O347" s="116">
        <f t="shared" si="38"/>
        <v>6.0850000000000009</v>
      </c>
      <c r="P347" s="116">
        <f t="shared" si="39"/>
        <v>146.04000000000002</v>
      </c>
      <c r="Q347" s="116" t="s">
        <v>2349</v>
      </c>
      <c r="R347" s="116" t="s">
        <v>3026</v>
      </c>
      <c r="S347" s="116" t="str">
        <f t="shared" si="40"/>
        <v>OK - FECHA COM PLANILHA</v>
      </c>
      <c r="T347" s="116">
        <v>438.12</v>
      </c>
      <c r="U347" s="122">
        <f t="shared" si="41"/>
        <v>0</v>
      </c>
    </row>
    <row r="348" spans="1:21" ht="63.75" x14ac:dyDescent="0.2">
      <c r="A348" s="120" t="s">
        <v>3027</v>
      </c>
      <c r="B348" s="114" t="s">
        <v>728</v>
      </c>
      <c r="C348" s="114" t="s">
        <v>1791</v>
      </c>
      <c r="D348" s="114" t="s">
        <v>56</v>
      </c>
      <c r="E348" s="114" t="s">
        <v>729</v>
      </c>
      <c r="F348" s="114" t="s">
        <v>84</v>
      </c>
      <c r="G348" s="115">
        <v>3</v>
      </c>
      <c r="H348" s="116">
        <v>31.86</v>
      </c>
      <c r="I348" s="121">
        <v>0.2223</v>
      </c>
      <c r="J348" s="116">
        <f t="shared" si="35"/>
        <v>7.0799999999999983</v>
      </c>
      <c r="K348" s="116">
        <v>38.94</v>
      </c>
      <c r="L348" s="116">
        <f t="shared" si="36"/>
        <v>95.58</v>
      </c>
      <c r="M348" s="116">
        <f t="shared" si="37"/>
        <v>116.82</v>
      </c>
      <c r="N348" s="116">
        <v>51.92</v>
      </c>
      <c r="O348" s="116">
        <f t="shared" si="38"/>
        <v>12.980000000000004</v>
      </c>
      <c r="P348" s="116">
        <f t="shared" si="39"/>
        <v>38.940000000000012</v>
      </c>
      <c r="Q348" s="116" t="s">
        <v>2349</v>
      </c>
      <c r="R348" s="116" t="s">
        <v>3028</v>
      </c>
      <c r="S348" s="116" t="str">
        <f t="shared" si="40"/>
        <v>OK - FECHA COM PLANILHA</v>
      </c>
      <c r="T348" s="116">
        <v>116.82</v>
      </c>
      <c r="U348" s="122">
        <f t="shared" si="41"/>
        <v>0</v>
      </c>
    </row>
    <row r="349" spans="1:21" ht="63.75" x14ac:dyDescent="0.2">
      <c r="A349" s="120" t="s">
        <v>3029</v>
      </c>
      <c r="B349" s="114" t="s">
        <v>730</v>
      </c>
      <c r="C349" s="114" t="s">
        <v>1792</v>
      </c>
      <c r="D349" s="114" t="s">
        <v>56</v>
      </c>
      <c r="E349" s="114" t="s">
        <v>731</v>
      </c>
      <c r="F349" s="114" t="s">
        <v>84</v>
      </c>
      <c r="G349" s="115">
        <v>3</v>
      </c>
      <c r="H349" s="116">
        <v>16.035</v>
      </c>
      <c r="I349" s="121">
        <v>0.2223</v>
      </c>
      <c r="J349" s="116">
        <f t="shared" si="35"/>
        <v>3.5625</v>
      </c>
      <c r="K349" s="116">
        <v>19.5975</v>
      </c>
      <c r="L349" s="116">
        <f t="shared" si="36"/>
        <v>48.105000000000004</v>
      </c>
      <c r="M349" s="116">
        <f t="shared" si="37"/>
        <v>58.792500000000004</v>
      </c>
      <c r="N349" s="116">
        <v>26.13</v>
      </c>
      <c r="O349" s="116">
        <f t="shared" si="38"/>
        <v>6.5324999999999989</v>
      </c>
      <c r="P349" s="116">
        <f t="shared" si="39"/>
        <v>19.597499999999997</v>
      </c>
      <c r="Q349" s="116" t="s">
        <v>2349</v>
      </c>
      <c r="R349" s="116" t="s">
        <v>3030</v>
      </c>
      <c r="S349" s="116" t="str">
        <f t="shared" si="40"/>
        <v>OK - FECHA COM PLANILHA</v>
      </c>
      <c r="T349" s="116">
        <v>58.79</v>
      </c>
      <c r="U349" s="122">
        <f t="shared" si="41"/>
        <v>2.5000000000048317E-3</v>
      </c>
    </row>
    <row r="350" spans="1:21" ht="63.75" x14ac:dyDescent="0.2">
      <c r="A350" s="120" t="s">
        <v>3031</v>
      </c>
      <c r="B350" s="114" t="s">
        <v>732</v>
      </c>
      <c r="C350" s="114" t="s">
        <v>1793</v>
      </c>
      <c r="D350" s="114" t="s">
        <v>56</v>
      </c>
      <c r="E350" s="114" t="s">
        <v>733</v>
      </c>
      <c r="F350" s="114" t="s">
        <v>84</v>
      </c>
      <c r="G350" s="115">
        <v>3</v>
      </c>
      <c r="H350" s="116">
        <v>25.244999999999997</v>
      </c>
      <c r="I350" s="121">
        <v>0.2223</v>
      </c>
      <c r="J350" s="116">
        <f t="shared" si="35"/>
        <v>5.610000000000003</v>
      </c>
      <c r="K350" s="116">
        <v>30.855</v>
      </c>
      <c r="L350" s="116">
        <f t="shared" si="36"/>
        <v>75.734999999999985</v>
      </c>
      <c r="M350" s="116">
        <f t="shared" si="37"/>
        <v>92.564999999999998</v>
      </c>
      <c r="N350" s="116">
        <v>41.14</v>
      </c>
      <c r="O350" s="116">
        <f t="shared" si="38"/>
        <v>10.285</v>
      </c>
      <c r="P350" s="116">
        <f t="shared" si="39"/>
        <v>30.855</v>
      </c>
      <c r="Q350" s="116" t="s">
        <v>2349</v>
      </c>
      <c r="R350" s="116" t="s">
        <v>3032</v>
      </c>
      <c r="S350" s="116" t="str">
        <f t="shared" si="40"/>
        <v>OK - FECHA COM PLANILHA</v>
      </c>
      <c r="T350" s="116">
        <v>92.56</v>
      </c>
      <c r="U350" s="122">
        <f t="shared" si="41"/>
        <v>4.9999999999954525E-3</v>
      </c>
    </row>
    <row r="351" spans="1:21" ht="63.75" x14ac:dyDescent="0.2">
      <c r="A351" s="120" t="s">
        <v>3033</v>
      </c>
      <c r="B351" s="114" t="s">
        <v>1794</v>
      </c>
      <c r="C351" s="114" t="s">
        <v>1795</v>
      </c>
      <c r="D351" s="114" t="s">
        <v>56</v>
      </c>
      <c r="E351" s="114" t="s">
        <v>734</v>
      </c>
      <c r="F351" s="114" t="s">
        <v>84</v>
      </c>
      <c r="G351" s="115">
        <v>1</v>
      </c>
      <c r="H351" s="116">
        <v>14.115</v>
      </c>
      <c r="I351" s="121">
        <v>0.2223</v>
      </c>
      <c r="J351" s="116">
        <f t="shared" si="35"/>
        <v>3.1349999999999998</v>
      </c>
      <c r="K351" s="116">
        <v>17.25</v>
      </c>
      <c r="L351" s="116">
        <f t="shared" si="36"/>
        <v>14.115</v>
      </c>
      <c r="M351" s="116">
        <f t="shared" si="37"/>
        <v>17.25</v>
      </c>
      <c r="N351" s="116">
        <v>23</v>
      </c>
      <c r="O351" s="116">
        <f t="shared" si="38"/>
        <v>5.75</v>
      </c>
      <c r="P351" s="116">
        <f t="shared" si="39"/>
        <v>5.75</v>
      </c>
      <c r="Q351" s="116" t="s">
        <v>2349</v>
      </c>
      <c r="R351" s="116" t="s">
        <v>3034</v>
      </c>
      <c r="S351" s="116" t="str">
        <f t="shared" si="40"/>
        <v>OK - FECHA COM PLANILHA</v>
      </c>
      <c r="T351" s="116">
        <v>17.25</v>
      </c>
      <c r="U351" s="122">
        <f t="shared" si="41"/>
        <v>0</v>
      </c>
    </row>
    <row r="352" spans="1:21" ht="63.75" x14ac:dyDescent="0.2">
      <c r="A352" s="120" t="s">
        <v>3035</v>
      </c>
      <c r="B352" s="114" t="s">
        <v>1796</v>
      </c>
      <c r="C352" s="114" t="s">
        <v>1797</v>
      </c>
      <c r="D352" s="114" t="s">
        <v>56</v>
      </c>
      <c r="E352" s="114" t="s">
        <v>1798</v>
      </c>
      <c r="F352" s="114" t="s">
        <v>84</v>
      </c>
      <c r="G352" s="115">
        <v>38</v>
      </c>
      <c r="H352" s="116">
        <v>14.107499999999998</v>
      </c>
      <c r="I352" s="121">
        <v>0.2223</v>
      </c>
      <c r="J352" s="116">
        <f t="shared" si="35"/>
        <v>3.1350000000000016</v>
      </c>
      <c r="K352" s="116">
        <v>17.2425</v>
      </c>
      <c r="L352" s="116">
        <f t="shared" si="36"/>
        <v>536.08499999999992</v>
      </c>
      <c r="M352" s="116">
        <f t="shared" si="37"/>
        <v>655.21500000000003</v>
      </c>
      <c r="N352" s="116">
        <v>22.99</v>
      </c>
      <c r="O352" s="116">
        <f t="shared" si="38"/>
        <v>5.7474999999999987</v>
      </c>
      <c r="P352" s="116">
        <f t="shared" si="39"/>
        <v>218.40499999999994</v>
      </c>
      <c r="Q352" s="116" t="s">
        <v>2349</v>
      </c>
      <c r="R352" s="116" t="s">
        <v>3036</v>
      </c>
      <c r="S352" s="116" t="str">
        <f t="shared" si="40"/>
        <v>OK - FECHA COM PLANILHA</v>
      </c>
      <c r="T352" s="116">
        <v>655.21</v>
      </c>
      <c r="U352" s="122">
        <f t="shared" si="41"/>
        <v>4.9999999999954525E-3</v>
      </c>
    </row>
    <row r="353" spans="1:21" ht="63.75" x14ac:dyDescent="0.2">
      <c r="A353" s="120" t="s">
        <v>3037</v>
      </c>
      <c r="B353" s="114" t="s">
        <v>1799</v>
      </c>
      <c r="C353" s="114" t="s">
        <v>1800</v>
      </c>
      <c r="D353" s="114" t="s">
        <v>335</v>
      </c>
      <c r="E353" s="114" t="s">
        <v>736</v>
      </c>
      <c r="F353" s="114" t="s">
        <v>84</v>
      </c>
      <c r="G353" s="115">
        <v>1</v>
      </c>
      <c r="H353" s="116">
        <v>32.917500000000004</v>
      </c>
      <c r="I353" s="121">
        <v>0.2223</v>
      </c>
      <c r="J353" s="116">
        <f t="shared" si="35"/>
        <v>7.3125</v>
      </c>
      <c r="K353" s="116">
        <v>40.230000000000004</v>
      </c>
      <c r="L353" s="116">
        <f t="shared" si="36"/>
        <v>32.917500000000004</v>
      </c>
      <c r="M353" s="116">
        <f t="shared" si="37"/>
        <v>40.230000000000004</v>
      </c>
      <c r="N353" s="116">
        <v>53.64</v>
      </c>
      <c r="O353" s="116">
        <f t="shared" si="38"/>
        <v>13.409999999999997</v>
      </c>
      <c r="P353" s="116">
        <f t="shared" si="39"/>
        <v>13.409999999999997</v>
      </c>
      <c r="Q353" s="116" t="s">
        <v>2589</v>
      </c>
      <c r="R353" s="116" t="s">
        <v>3038</v>
      </c>
      <c r="S353" s="116" t="str">
        <f t="shared" si="40"/>
        <v>OK - FECHA COM PLANILHA</v>
      </c>
      <c r="T353" s="116">
        <v>40.229999999999997</v>
      </c>
      <c r="U353" s="122">
        <f t="shared" si="41"/>
        <v>0</v>
      </c>
    </row>
    <row r="354" spans="1:21" ht="63.75" x14ac:dyDescent="0.2">
      <c r="A354" s="120" t="s">
        <v>3039</v>
      </c>
      <c r="B354" s="114" t="s">
        <v>1801</v>
      </c>
      <c r="C354" s="114" t="s">
        <v>1773</v>
      </c>
      <c r="D354" s="114" t="s">
        <v>56</v>
      </c>
      <c r="E354" s="114" t="s">
        <v>737</v>
      </c>
      <c r="F354" s="114" t="s">
        <v>84</v>
      </c>
      <c r="G354" s="115">
        <v>3</v>
      </c>
      <c r="H354" s="116">
        <v>15.51</v>
      </c>
      <c r="I354" s="121">
        <v>0.2223</v>
      </c>
      <c r="J354" s="116">
        <f t="shared" si="35"/>
        <v>3.4425000000000008</v>
      </c>
      <c r="K354" s="116">
        <v>18.952500000000001</v>
      </c>
      <c r="L354" s="116">
        <f t="shared" si="36"/>
        <v>46.53</v>
      </c>
      <c r="M354" s="116">
        <f t="shared" si="37"/>
        <v>56.857500000000002</v>
      </c>
      <c r="N354" s="116">
        <v>25.27</v>
      </c>
      <c r="O354" s="116">
        <f t="shared" si="38"/>
        <v>6.317499999999999</v>
      </c>
      <c r="P354" s="116">
        <f t="shared" si="39"/>
        <v>18.952499999999997</v>
      </c>
      <c r="Q354" s="116" t="s">
        <v>2349</v>
      </c>
      <c r="R354" s="116" t="s">
        <v>3040</v>
      </c>
      <c r="S354" s="116" t="str">
        <f t="shared" si="40"/>
        <v>OK - FECHA COM PLANILHA</v>
      </c>
      <c r="T354" s="116">
        <v>56.85</v>
      </c>
      <c r="U354" s="122">
        <f t="shared" si="41"/>
        <v>7.5000000000002842E-3</v>
      </c>
    </row>
    <row r="355" spans="1:21" ht="63.75" x14ac:dyDescent="0.2">
      <c r="A355" s="120" t="s">
        <v>3041</v>
      </c>
      <c r="B355" s="114" t="s">
        <v>1802</v>
      </c>
      <c r="C355" s="114" t="s">
        <v>1803</v>
      </c>
      <c r="D355" s="114" t="s">
        <v>56</v>
      </c>
      <c r="E355" s="114" t="s">
        <v>738</v>
      </c>
      <c r="F355" s="114" t="s">
        <v>84</v>
      </c>
      <c r="G355" s="115">
        <v>3</v>
      </c>
      <c r="H355" s="116">
        <v>19.2075</v>
      </c>
      <c r="I355" s="121">
        <v>0.2223</v>
      </c>
      <c r="J355" s="116">
        <f t="shared" si="35"/>
        <v>4.2675000000000018</v>
      </c>
      <c r="K355" s="116">
        <v>23.475000000000001</v>
      </c>
      <c r="L355" s="116">
        <f t="shared" si="36"/>
        <v>57.622500000000002</v>
      </c>
      <c r="M355" s="116">
        <f t="shared" si="37"/>
        <v>70.425000000000011</v>
      </c>
      <c r="N355" s="116">
        <v>31.3</v>
      </c>
      <c r="O355" s="116">
        <f t="shared" si="38"/>
        <v>7.8249999999999993</v>
      </c>
      <c r="P355" s="116">
        <f t="shared" si="39"/>
        <v>23.474999999999998</v>
      </c>
      <c r="Q355" s="116" t="s">
        <v>2349</v>
      </c>
      <c r="R355" s="116" t="s">
        <v>3042</v>
      </c>
      <c r="S355" s="116" t="str">
        <f t="shared" si="40"/>
        <v>OK - FECHA COM PLANILHA</v>
      </c>
      <c r="T355" s="116">
        <v>70.42</v>
      </c>
      <c r="U355" s="122">
        <f t="shared" si="41"/>
        <v>5.0000000000096634E-3</v>
      </c>
    </row>
    <row r="356" spans="1:21" ht="63.75" x14ac:dyDescent="0.2">
      <c r="A356" s="120" t="s">
        <v>3043</v>
      </c>
      <c r="B356" s="114" t="s">
        <v>1804</v>
      </c>
      <c r="C356" s="114" t="s">
        <v>1805</v>
      </c>
      <c r="D356" s="114" t="s">
        <v>56</v>
      </c>
      <c r="E356" s="114" t="s">
        <v>739</v>
      </c>
      <c r="F356" s="114" t="s">
        <v>84</v>
      </c>
      <c r="G356" s="115">
        <v>7</v>
      </c>
      <c r="H356" s="116">
        <v>9.18</v>
      </c>
      <c r="I356" s="121">
        <v>0.2223</v>
      </c>
      <c r="J356" s="116">
        <f t="shared" si="35"/>
        <v>2.0400000000000009</v>
      </c>
      <c r="K356" s="116">
        <v>11.22</v>
      </c>
      <c r="L356" s="116">
        <f t="shared" si="36"/>
        <v>64.259999999999991</v>
      </c>
      <c r="M356" s="116">
        <f t="shared" si="37"/>
        <v>78.540000000000006</v>
      </c>
      <c r="N356" s="116">
        <v>14.96</v>
      </c>
      <c r="O356" s="116">
        <f t="shared" si="38"/>
        <v>3.74</v>
      </c>
      <c r="P356" s="116">
        <f t="shared" si="39"/>
        <v>26.18</v>
      </c>
      <c r="Q356" s="116" t="s">
        <v>2349</v>
      </c>
      <c r="R356" s="116" t="s">
        <v>3044</v>
      </c>
      <c r="S356" s="116" t="str">
        <f t="shared" si="40"/>
        <v>OK - FECHA COM PLANILHA</v>
      </c>
      <c r="T356" s="116">
        <v>78.540000000000006</v>
      </c>
      <c r="U356" s="122">
        <f t="shared" si="41"/>
        <v>0</v>
      </c>
    </row>
    <row r="357" spans="1:21" ht="63.75" x14ac:dyDescent="0.2">
      <c r="A357" s="120" t="s">
        <v>3045</v>
      </c>
      <c r="B357" s="114" t="s">
        <v>742</v>
      </c>
      <c r="C357" s="114" t="s">
        <v>1806</v>
      </c>
      <c r="D357" s="114" t="s">
        <v>56</v>
      </c>
      <c r="E357" s="114" t="s">
        <v>743</v>
      </c>
      <c r="F357" s="114" t="s">
        <v>84</v>
      </c>
      <c r="G357" s="115">
        <v>6</v>
      </c>
      <c r="H357" s="116">
        <v>1477.23</v>
      </c>
      <c r="I357" s="121">
        <v>0.2223</v>
      </c>
      <c r="J357" s="116">
        <f t="shared" si="35"/>
        <v>328.38749999999982</v>
      </c>
      <c r="K357" s="116">
        <v>1805.6174999999998</v>
      </c>
      <c r="L357" s="116">
        <f t="shared" si="36"/>
        <v>8863.380000000001</v>
      </c>
      <c r="M357" s="116">
        <f t="shared" si="37"/>
        <v>10833.704999999998</v>
      </c>
      <c r="N357" s="116">
        <v>2407.4899999999998</v>
      </c>
      <c r="O357" s="116">
        <f t="shared" si="38"/>
        <v>601.87249999999995</v>
      </c>
      <c r="P357" s="116">
        <f t="shared" si="39"/>
        <v>3611.2349999999997</v>
      </c>
      <c r="Q357" s="116" t="s">
        <v>2349</v>
      </c>
      <c r="R357" s="116" t="s">
        <v>3046</v>
      </c>
      <c r="S357" s="116" t="str">
        <f t="shared" si="40"/>
        <v>OK - FECHA COM PLANILHA</v>
      </c>
      <c r="T357" s="116">
        <v>10833.7</v>
      </c>
      <c r="U357" s="122">
        <f t="shared" si="41"/>
        <v>4.9999999973806553E-3</v>
      </c>
    </row>
    <row r="358" spans="1:21" ht="63.75" x14ac:dyDescent="0.2">
      <c r="A358" s="120" t="s">
        <v>3047</v>
      </c>
      <c r="B358" s="114" t="s">
        <v>744</v>
      </c>
      <c r="C358" s="114" t="s">
        <v>1807</v>
      </c>
      <c r="D358" s="114" t="s">
        <v>56</v>
      </c>
      <c r="E358" s="114" t="s">
        <v>745</v>
      </c>
      <c r="F358" s="114" t="s">
        <v>84</v>
      </c>
      <c r="G358" s="115">
        <v>7</v>
      </c>
      <c r="H358" s="116">
        <v>1173.105</v>
      </c>
      <c r="I358" s="121">
        <v>0.2223</v>
      </c>
      <c r="J358" s="116">
        <f t="shared" si="35"/>
        <v>260.77499999999986</v>
      </c>
      <c r="K358" s="116">
        <v>1433.8799999999999</v>
      </c>
      <c r="L358" s="116">
        <f t="shared" si="36"/>
        <v>8211.7350000000006</v>
      </c>
      <c r="M358" s="116">
        <f t="shared" si="37"/>
        <v>10037.16</v>
      </c>
      <c r="N358" s="116">
        <v>1911.84</v>
      </c>
      <c r="O358" s="116">
        <f t="shared" si="38"/>
        <v>477.96000000000004</v>
      </c>
      <c r="P358" s="116">
        <f t="shared" si="39"/>
        <v>3345.7200000000003</v>
      </c>
      <c r="Q358" s="116" t="s">
        <v>2349</v>
      </c>
      <c r="R358" s="116" t="s">
        <v>3048</v>
      </c>
      <c r="S358" s="116" t="str">
        <f t="shared" si="40"/>
        <v>OK - FECHA COM PLANILHA</v>
      </c>
      <c r="T358" s="116">
        <v>10037.16</v>
      </c>
      <c r="U358" s="122">
        <f t="shared" si="41"/>
        <v>0</v>
      </c>
    </row>
    <row r="359" spans="1:21" ht="63.75" x14ac:dyDescent="0.2">
      <c r="A359" s="120" t="s">
        <v>3049</v>
      </c>
      <c r="B359" s="114" t="s">
        <v>746</v>
      </c>
      <c r="C359" s="114" t="s">
        <v>1808</v>
      </c>
      <c r="D359" s="114" t="s">
        <v>56</v>
      </c>
      <c r="E359" s="114" t="s">
        <v>747</v>
      </c>
      <c r="F359" s="114" t="s">
        <v>84</v>
      </c>
      <c r="G359" s="115">
        <v>13</v>
      </c>
      <c r="H359" s="116">
        <v>1017.4875000000001</v>
      </c>
      <c r="I359" s="121">
        <v>0.2223</v>
      </c>
      <c r="J359" s="116">
        <f t="shared" si="35"/>
        <v>226.18500000000006</v>
      </c>
      <c r="K359" s="116">
        <v>1243.6725000000001</v>
      </c>
      <c r="L359" s="116">
        <f t="shared" si="36"/>
        <v>13227.337500000001</v>
      </c>
      <c r="M359" s="116">
        <f t="shared" si="37"/>
        <v>16167.742500000002</v>
      </c>
      <c r="N359" s="116">
        <v>1658.23</v>
      </c>
      <c r="O359" s="116">
        <f t="shared" si="38"/>
        <v>414.55749999999989</v>
      </c>
      <c r="P359" s="116">
        <f t="shared" si="39"/>
        <v>5389.2474999999986</v>
      </c>
      <c r="Q359" s="116" t="s">
        <v>2349</v>
      </c>
      <c r="R359" s="116" t="s">
        <v>3050</v>
      </c>
      <c r="S359" s="116" t="str">
        <f t="shared" si="40"/>
        <v>OK - FECHA COM PLANILHA</v>
      </c>
      <c r="T359" s="116">
        <v>16167.74</v>
      </c>
      <c r="U359" s="122">
        <f t="shared" si="41"/>
        <v>2.5000000023283064E-3</v>
      </c>
    </row>
    <row r="360" spans="1:21" ht="63.75" x14ac:dyDescent="0.2">
      <c r="A360" s="120" t="s">
        <v>3051</v>
      </c>
      <c r="B360" s="114" t="s">
        <v>748</v>
      </c>
      <c r="C360" s="114" t="s">
        <v>1809</v>
      </c>
      <c r="D360" s="114" t="s">
        <v>335</v>
      </c>
      <c r="E360" s="114" t="s">
        <v>749</v>
      </c>
      <c r="F360" s="114" t="s">
        <v>99</v>
      </c>
      <c r="G360" s="115">
        <v>6</v>
      </c>
      <c r="H360" s="116">
        <v>72.352499999999992</v>
      </c>
      <c r="I360" s="121">
        <v>0.2223</v>
      </c>
      <c r="J360" s="116">
        <f t="shared" si="35"/>
        <v>16.080000000000013</v>
      </c>
      <c r="K360" s="116">
        <v>88.432500000000005</v>
      </c>
      <c r="L360" s="116">
        <f t="shared" si="36"/>
        <v>434.11499999999995</v>
      </c>
      <c r="M360" s="116">
        <f t="shared" si="37"/>
        <v>530.59500000000003</v>
      </c>
      <c r="N360" s="116">
        <v>117.91</v>
      </c>
      <c r="O360" s="116">
        <f t="shared" si="38"/>
        <v>29.477499999999992</v>
      </c>
      <c r="P360" s="116">
        <f t="shared" si="39"/>
        <v>176.86499999999995</v>
      </c>
      <c r="Q360" s="116" t="s">
        <v>2589</v>
      </c>
      <c r="R360" s="116" t="s">
        <v>3052</v>
      </c>
      <c r="S360" s="116" t="str">
        <f t="shared" si="40"/>
        <v>OK - FECHA COM PLANILHA</v>
      </c>
      <c r="T360" s="116">
        <v>530.59</v>
      </c>
      <c r="U360" s="122">
        <f t="shared" si="41"/>
        <v>4.9999999999954525E-3</v>
      </c>
    </row>
    <row r="361" spans="1:21" ht="63.75" x14ac:dyDescent="0.2">
      <c r="A361" s="120" t="s">
        <v>3053</v>
      </c>
      <c r="B361" s="114" t="s">
        <v>750</v>
      </c>
      <c r="C361" s="114" t="s">
        <v>1715</v>
      </c>
      <c r="D361" s="114" t="s">
        <v>56</v>
      </c>
      <c r="E361" s="114" t="s">
        <v>1716</v>
      </c>
      <c r="F361" s="114" t="s">
        <v>84</v>
      </c>
      <c r="G361" s="115">
        <v>7</v>
      </c>
      <c r="H361" s="116">
        <v>461.54999999999995</v>
      </c>
      <c r="I361" s="121">
        <v>0.2223</v>
      </c>
      <c r="J361" s="116">
        <f t="shared" si="35"/>
        <v>102.60000000000014</v>
      </c>
      <c r="K361" s="116">
        <v>564.15000000000009</v>
      </c>
      <c r="L361" s="116">
        <f t="shared" si="36"/>
        <v>3230.8499999999995</v>
      </c>
      <c r="M361" s="116">
        <f t="shared" si="37"/>
        <v>3949.0500000000006</v>
      </c>
      <c r="N361" s="116">
        <v>752.2</v>
      </c>
      <c r="O361" s="116">
        <f t="shared" si="38"/>
        <v>188.04999999999995</v>
      </c>
      <c r="P361" s="116">
        <f t="shared" si="39"/>
        <v>1316.3499999999997</v>
      </c>
      <c r="Q361" s="116" t="s">
        <v>2349</v>
      </c>
      <c r="R361" s="116" t="s">
        <v>3054</v>
      </c>
      <c r="S361" s="116" t="str">
        <f t="shared" si="40"/>
        <v>OK - FECHA COM PLANILHA</v>
      </c>
      <c r="T361" s="116">
        <v>3949.05</v>
      </c>
      <c r="U361" s="122">
        <f t="shared" si="41"/>
        <v>0</v>
      </c>
    </row>
    <row r="362" spans="1:21" ht="63.75" x14ac:dyDescent="0.2">
      <c r="A362" s="120" t="s">
        <v>3055</v>
      </c>
      <c r="B362" s="114" t="s">
        <v>751</v>
      </c>
      <c r="C362" s="114" t="s">
        <v>1810</v>
      </c>
      <c r="D362" s="114" t="s">
        <v>56</v>
      </c>
      <c r="E362" s="114" t="s">
        <v>752</v>
      </c>
      <c r="F362" s="114" t="s">
        <v>99</v>
      </c>
      <c r="G362" s="115">
        <v>259.8</v>
      </c>
      <c r="H362" s="116">
        <v>45.435000000000002</v>
      </c>
      <c r="I362" s="121">
        <v>0.2223</v>
      </c>
      <c r="J362" s="116">
        <f t="shared" si="35"/>
        <v>10.094999999999999</v>
      </c>
      <c r="K362" s="116">
        <v>55.53</v>
      </c>
      <c r="L362" s="116">
        <f t="shared" si="36"/>
        <v>11804.013000000001</v>
      </c>
      <c r="M362" s="116">
        <f t="shared" si="37"/>
        <v>14426.694000000001</v>
      </c>
      <c r="N362" s="116">
        <v>74.040000000000006</v>
      </c>
      <c r="O362" s="116">
        <f t="shared" si="38"/>
        <v>18.510000000000005</v>
      </c>
      <c r="P362" s="116">
        <f t="shared" si="39"/>
        <v>4808.898000000002</v>
      </c>
      <c r="Q362" s="116" t="s">
        <v>2349</v>
      </c>
      <c r="R362" s="116" t="s">
        <v>3056</v>
      </c>
      <c r="S362" s="116" t="str">
        <f t="shared" si="40"/>
        <v>OK - FECHA COM PLANILHA</v>
      </c>
      <c r="T362" s="116">
        <v>14426.69</v>
      </c>
      <c r="U362" s="122">
        <f t="shared" si="41"/>
        <v>4.0000000008149073E-3</v>
      </c>
    </row>
    <row r="363" spans="1:21" ht="63.75" x14ac:dyDescent="0.2">
      <c r="A363" s="120" t="s">
        <v>3057</v>
      </c>
      <c r="B363" s="114" t="s">
        <v>753</v>
      </c>
      <c r="C363" s="114" t="s">
        <v>1811</v>
      </c>
      <c r="D363" s="114" t="s">
        <v>56</v>
      </c>
      <c r="E363" s="114" t="s">
        <v>754</v>
      </c>
      <c r="F363" s="114" t="s">
        <v>99</v>
      </c>
      <c r="G363" s="115">
        <v>59.4</v>
      </c>
      <c r="H363" s="116">
        <v>63.997500000000002</v>
      </c>
      <c r="I363" s="121">
        <v>0.2223</v>
      </c>
      <c r="J363" s="116">
        <f t="shared" si="35"/>
        <v>14.219999999999999</v>
      </c>
      <c r="K363" s="116">
        <v>78.217500000000001</v>
      </c>
      <c r="L363" s="116">
        <f t="shared" si="36"/>
        <v>3801.4515000000001</v>
      </c>
      <c r="M363" s="116">
        <f t="shared" si="37"/>
        <v>4646.1194999999998</v>
      </c>
      <c r="N363" s="116">
        <v>104.29</v>
      </c>
      <c r="O363" s="116">
        <f t="shared" si="38"/>
        <v>26.072500000000005</v>
      </c>
      <c r="P363" s="116">
        <f t="shared" si="39"/>
        <v>1548.7065000000002</v>
      </c>
      <c r="Q363" s="116" t="s">
        <v>2349</v>
      </c>
      <c r="R363" s="116" t="s">
        <v>3058</v>
      </c>
      <c r="S363" s="116" t="str">
        <f t="shared" si="40"/>
        <v>OK - FECHA COM PLANILHA</v>
      </c>
      <c r="T363" s="116">
        <v>4646.1099999999997</v>
      </c>
      <c r="U363" s="122">
        <f t="shared" si="41"/>
        <v>9.5000000001164153E-3</v>
      </c>
    </row>
    <row r="364" spans="1:21" ht="63.75" x14ac:dyDescent="0.2">
      <c r="A364" s="120" t="s">
        <v>3059</v>
      </c>
      <c r="B364" s="114" t="s">
        <v>755</v>
      </c>
      <c r="C364" s="114" t="s">
        <v>1812</v>
      </c>
      <c r="D364" s="114" t="s">
        <v>56</v>
      </c>
      <c r="E364" s="114" t="s">
        <v>1813</v>
      </c>
      <c r="F364" s="114" t="s">
        <v>99</v>
      </c>
      <c r="G364" s="115">
        <v>46.6</v>
      </c>
      <c r="H364" s="116">
        <v>121.185</v>
      </c>
      <c r="I364" s="121">
        <v>0.2223</v>
      </c>
      <c r="J364" s="116">
        <f t="shared" si="35"/>
        <v>26.932500000000005</v>
      </c>
      <c r="K364" s="116">
        <v>148.11750000000001</v>
      </c>
      <c r="L364" s="116">
        <f t="shared" si="36"/>
        <v>5647.2210000000005</v>
      </c>
      <c r="M364" s="116">
        <f t="shared" si="37"/>
        <v>6902.2755000000006</v>
      </c>
      <c r="N364" s="116">
        <v>197.49</v>
      </c>
      <c r="O364" s="116">
        <f t="shared" si="38"/>
        <v>49.372500000000002</v>
      </c>
      <c r="P364" s="116">
        <f t="shared" si="39"/>
        <v>2300.7585000000004</v>
      </c>
      <c r="Q364" s="116" t="s">
        <v>2349</v>
      </c>
      <c r="R364" s="116" t="s">
        <v>3060</v>
      </c>
      <c r="S364" s="116" t="str">
        <f t="shared" si="40"/>
        <v>OK - FECHA COM PLANILHA</v>
      </c>
      <c r="T364" s="116">
        <v>6902.27</v>
      </c>
      <c r="U364" s="122">
        <f t="shared" si="41"/>
        <v>5.5000000002110028E-3</v>
      </c>
    </row>
    <row r="365" spans="1:21" ht="63.75" x14ac:dyDescent="0.2">
      <c r="A365" s="120" t="s">
        <v>3061</v>
      </c>
      <c r="B365" s="114" t="s">
        <v>757</v>
      </c>
      <c r="C365" s="114" t="s">
        <v>1814</v>
      </c>
      <c r="D365" s="114" t="s">
        <v>56</v>
      </c>
      <c r="E365" s="114" t="s">
        <v>1815</v>
      </c>
      <c r="F365" s="114" t="s">
        <v>99</v>
      </c>
      <c r="G365" s="115">
        <v>48.2</v>
      </c>
      <c r="H365" s="116">
        <v>187.3425</v>
      </c>
      <c r="I365" s="121">
        <v>0.2223</v>
      </c>
      <c r="J365" s="116">
        <f t="shared" si="35"/>
        <v>41.640000000000015</v>
      </c>
      <c r="K365" s="116">
        <v>228.98250000000002</v>
      </c>
      <c r="L365" s="116">
        <f t="shared" si="36"/>
        <v>9029.9085000000014</v>
      </c>
      <c r="M365" s="116">
        <f t="shared" si="37"/>
        <v>11036.956500000002</v>
      </c>
      <c r="N365" s="116">
        <v>305.31</v>
      </c>
      <c r="O365" s="116">
        <f t="shared" si="38"/>
        <v>76.327499999999986</v>
      </c>
      <c r="P365" s="116">
        <f t="shared" si="39"/>
        <v>3678.9854999999998</v>
      </c>
      <c r="Q365" s="116" t="s">
        <v>2349</v>
      </c>
      <c r="R365" s="116" t="s">
        <v>3062</v>
      </c>
      <c r="S365" s="116" t="str">
        <f t="shared" si="40"/>
        <v>OK - FECHA COM PLANILHA</v>
      </c>
      <c r="T365" s="116">
        <v>11036.95</v>
      </c>
      <c r="U365" s="122">
        <f t="shared" si="41"/>
        <v>6.5000000013242243E-3</v>
      </c>
    </row>
    <row r="366" spans="1:21" ht="63.75" x14ac:dyDescent="0.2">
      <c r="A366" s="120" t="s">
        <v>3063</v>
      </c>
      <c r="B366" s="114" t="s">
        <v>1816</v>
      </c>
      <c r="C366" s="114" t="s">
        <v>1817</v>
      </c>
      <c r="D366" s="114" t="s">
        <v>56</v>
      </c>
      <c r="E366" s="114" t="s">
        <v>1818</v>
      </c>
      <c r="F366" s="114" t="s">
        <v>99</v>
      </c>
      <c r="G366" s="115">
        <v>88.7</v>
      </c>
      <c r="H366" s="116">
        <v>285.59250000000003</v>
      </c>
      <c r="I366" s="121">
        <v>0.2223</v>
      </c>
      <c r="J366" s="116">
        <f t="shared" si="35"/>
        <v>63.479999999999961</v>
      </c>
      <c r="K366" s="116">
        <v>349.07249999999999</v>
      </c>
      <c r="L366" s="116">
        <f t="shared" si="36"/>
        <v>25332.054750000003</v>
      </c>
      <c r="M366" s="116">
        <f t="shared" si="37"/>
        <v>30962.730749999999</v>
      </c>
      <c r="N366" s="116">
        <v>465.43</v>
      </c>
      <c r="O366" s="116">
        <f t="shared" si="38"/>
        <v>116.35750000000002</v>
      </c>
      <c r="P366" s="116">
        <f t="shared" si="39"/>
        <v>10320.910250000003</v>
      </c>
      <c r="Q366" s="116" t="s">
        <v>2349</v>
      </c>
      <c r="R366" s="116" t="s">
        <v>3064</v>
      </c>
      <c r="S366" s="116" t="str">
        <f t="shared" si="40"/>
        <v>OK - FECHA COM PLANILHA</v>
      </c>
      <c r="T366" s="116">
        <v>30962.73</v>
      </c>
      <c r="U366" s="122">
        <f t="shared" si="41"/>
        <v>7.4999999924330041E-4</v>
      </c>
    </row>
    <row r="367" spans="1:21" ht="63.75" x14ac:dyDescent="0.2">
      <c r="A367" s="120" t="s">
        <v>3065</v>
      </c>
      <c r="B367" s="114" t="s">
        <v>1819</v>
      </c>
      <c r="C367" s="114" t="s">
        <v>1820</v>
      </c>
      <c r="D367" s="114" t="s">
        <v>56</v>
      </c>
      <c r="E367" s="114" t="s">
        <v>1821</v>
      </c>
      <c r="F367" s="114" t="s">
        <v>84</v>
      </c>
      <c r="G367" s="115">
        <v>1</v>
      </c>
      <c r="H367" s="116">
        <v>96.877499999999998</v>
      </c>
      <c r="I367" s="121">
        <v>0.2223</v>
      </c>
      <c r="J367" s="116">
        <f t="shared" si="35"/>
        <v>21.532499999999999</v>
      </c>
      <c r="K367" s="116">
        <v>118.41</v>
      </c>
      <c r="L367" s="116">
        <f t="shared" si="36"/>
        <v>96.877499999999998</v>
      </c>
      <c r="M367" s="116">
        <f t="shared" si="37"/>
        <v>118.41</v>
      </c>
      <c r="N367" s="116">
        <v>157.88</v>
      </c>
      <c r="O367" s="116">
        <f t="shared" si="38"/>
        <v>39.47</v>
      </c>
      <c r="P367" s="116">
        <f t="shared" si="39"/>
        <v>39.47</v>
      </c>
      <c r="Q367" s="116" t="s">
        <v>2349</v>
      </c>
      <c r="R367" s="116" t="s">
        <v>3066</v>
      </c>
      <c r="S367" s="116" t="str">
        <f t="shared" si="40"/>
        <v>OK - FECHA COM PLANILHA</v>
      </c>
      <c r="T367" s="116">
        <v>118.41</v>
      </c>
      <c r="U367" s="122">
        <f t="shared" si="41"/>
        <v>0</v>
      </c>
    </row>
    <row r="368" spans="1:21" ht="63.75" x14ac:dyDescent="0.2">
      <c r="A368" s="120" t="s">
        <v>3067</v>
      </c>
      <c r="B368" s="114" t="s">
        <v>1822</v>
      </c>
      <c r="C368" s="114" t="s">
        <v>1823</v>
      </c>
      <c r="D368" s="114" t="s">
        <v>56</v>
      </c>
      <c r="E368" s="114" t="s">
        <v>1824</v>
      </c>
      <c r="F368" s="114" t="s">
        <v>84</v>
      </c>
      <c r="G368" s="115">
        <v>14</v>
      </c>
      <c r="H368" s="116">
        <v>30.697499999999998</v>
      </c>
      <c r="I368" s="121">
        <v>0.2223</v>
      </c>
      <c r="J368" s="116">
        <f t="shared" si="35"/>
        <v>6.8175000000000026</v>
      </c>
      <c r="K368" s="116">
        <v>37.515000000000001</v>
      </c>
      <c r="L368" s="116">
        <f t="shared" si="36"/>
        <v>429.76499999999999</v>
      </c>
      <c r="M368" s="116">
        <f t="shared" si="37"/>
        <v>525.21</v>
      </c>
      <c r="N368" s="116">
        <v>50.02</v>
      </c>
      <c r="O368" s="116">
        <f t="shared" si="38"/>
        <v>12.505000000000003</v>
      </c>
      <c r="P368" s="116">
        <f t="shared" si="39"/>
        <v>175.07000000000005</v>
      </c>
      <c r="Q368" s="116" t="s">
        <v>2349</v>
      </c>
      <c r="R368" s="116" t="s">
        <v>3068</v>
      </c>
      <c r="S368" s="116" t="str">
        <f t="shared" si="40"/>
        <v>OK - FECHA COM PLANILHA</v>
      </c>
      <c r="T368" s="116">
        <v>525.21</v>
      </c>
      <c r="U368" s="122">
        <f t="shared" si="41"/>
        <v>0</v>
      </c>
    </row>
    <row r="369" spans="1:21" ht="63.75" x14ac:dyDescent="0.2">
      <c r="A369" s="120" t="s">
        <v>3069</v>
      </c>
      <c r="B369" s="114" t="s">
        <v>1825</v>
      </c>
      <c r="C369" s="114" t="s">
        <v>1826</v>
      </c>
      <c r="D369" s="114" t="s">
        <v>56</v>
      </c>
      <c r="E369" s="114" t="s">
        <v>762</v>
      </c>
      <c r="F369" s="114" t="s">
        <v>84</v>
      </c>
      <c r="G369" s="115">
        <v>1</v>
      </c>
      <c r="H369" s="116">
        <v>99.45750000000001</v>
      </c>
      <c r="I369" s="121">
        <v>0.2223</v>
      </c>
      <c r="J369" s="116">
        <f t="shared" si="35"/>
        <v>22.102499999999992</v>
      </c>
      <c r="K369" s="116">
        <v>121.56</v>
      </c>
      <c r="L369" s="116">
        <f t="shared" si="36"/>
        <v>99.45750000000001</v>
      </c>
      <c r="M369" s="116">
        <f t="shared" si="37"/>
        <v>121.56</v>
      </c>
      <c r="N369" s="116">
        <v>162.08000000000001</v>
      </c>
      <c r="O369" s="116">
        <f t="shared" si="38"/>
        <v>40.52000000000001</v>
      </c>
      <c r="P369" s="116">
        <f t="shared" si="39"/>
        <v>40.52000000000001</v>
      </c>
      <c r="Q369" s="116" t="s">
        <v>2349</v>
      </c>
      <c r="R369" s="116" t="s">
        <v>3070</v>
      </c>
      <c r="S369" s="116" t="str">
        <f t="shared" si="40"/>
        <v>OK - FECHA COM PLANILHA</v>
      </c>
      <c r="T369" s="116">
        <v>121.56</v>
      </c>
      <c r="U369" s="122">
        <f t="shared" si="41"/>
        <v>0</v>
      </c>
    </row>
    <row r="370" spans="1:21" ht="63.75" x14ac:dyDescent="0.2">
      <c r="A370" s="120" t="s">
        <v>3071</v>
      </c>
      <c r="B370" s="114" t="s">
        <v>1827</v>
      </c>
      <c r="C370" s="114" t="s">
        <v>1828</v>
      </c>
      <c r="D370" s="114" t="s">
        <v>335</v>
      </c>
      <c r="E370" s="114" t="s">
        <v>763</v>
      </c>
      <c r="F370" s="114" t="s">
        <v>84</v>
      </c>
      <c r="G370" s="115">
        <v>1</v>
      </c>
      <c r="H370" s="116">
        <v>189.39000000000001</v>
      </c>
      <c r="I370" s="121">
        <v>0.2223</v>
      </c>
      <c r="J370" s="116">
        <f t="shared" si="35"/>
        <v>42.097499999999968</v>
      </c>
      <c r="K370" s="116">
        <v>231.48749999999998</v>
      </c>
      <c r="L370" s="116">
        <f t="shared" si="36"/>
        <v>189.39000000000001</v>
      </c>
      <c r="M370" s="116">
        <f t="shared" si="37"/>
        <v>231.48749999999998</v>
      </c>
      <c r="N370" s="116">
        <v>308.64999999999998</v>
      </c>
      <c r="O370" s="116">
        <f t="shared" si="38"/>
        <v>77.162499999999994</v>
      </c>
      <c r="P370" s="116">
        <f t="shared" si="39"/>
        <v>77.162499999999994</v>
      </c>
      <c r="Q370" s="116" t="s">
        <v>2589</v>
      </c>
      <c r="R370" s="116" t="s">
        <v>3072</v>
      </c>
      <c r="S370" s="116" t="str">
        <f t="shared" si="40"/>
        <v>OK - FECHA COM PLANILHA</v>
      </c>
      <c r="T370" s="116">
        <v>231.48</v>
      </c>
      <c r="U370" s="122">
        <f t="shared" si="41"/>
        <v>7.4999999999931788E-3</v>
      </c>
    </row>
    <row r="371" spans="1:21" ht="63.75" x14ac:dyDescent="0.2">
      <c r="A371" s="120" t="s">
        <v>3073</v>
      </c>
      <c r="B371" s="114" t="s">
        <v>1829</v>
      </c>
      <c r="C371" s="114" t="s">
        <v>1830</v>
      </c>
      <c r="D371" s="114" t="s">
        <v>335</v>
      </c>
      <c r="E371" s="114" t="s">
        <v>764</v>
      </c>
      <c r="F371" s="114" t="s">
        <v>84</v>
      </c>
      <c r="G371" s="115">
        <v>14</v>
      </c>
      <c r="H371" s="116">
        <v>69.254999999999995</v>
      </c>
      <c r="I371" s="121">
        <v>0.2223</v>
      </c>
      <c r="J371" s="116">
        <f t="shared" si="35"/>
        <v>15.39</v>
      </c>
      <c r="K371" s="116">
        <v>84.644999999999996</v>
      </c>
      <c r="L371" s="116">
        <f t="shared" si="36"/>
        <v>969.56999999999994</v>
      </c>
      <c r="M371" s="116">
        <f t="shared" si="37"/>
        <v>1185.03</v>
      </c>
      <c r="N371" s="116">
        <v>112.86</v>
      </c>
      <c r="O371" s="116">
        <f t="shared" si="38"/>
        <v>28.215000000000003</v>
      </c>
      <c r="P371" s="116">
        <f t="shared" si="39"/>
        <v>395.01000000000005</v>
      </c>
      <c r="Q371" s="116" t="s">
        <v>2589</v>
      </c>
      <c r="R371" s="116" t="s">
        <v>3074</v>
      </c>
      <c r="S371" s="116" t="str">
        <f t="shared" si="40"/>
        <v>OK - FECHA COM PLANILHA</v>
      </c>
      <c r="T371" s="116">
        <v>1185.03</v>
      </c>
      <c r="U371" s="122">
        <f t="shared" si="41"/>
        <v>0</v>
      </c>
    </row>
    <row r="372" spans="1:21" ht="63.75" x14ac:dyDescent="0.2">
      <c r="A372" s="120" t="s">
        <v>3075</v>
      </c>
      <c r="B372" s="114" t="s">
        <v>1831</v>
      </c>
      <c r="C372" s="114" t="s">
        <v>1832</v>
      </c>
      <c r="D372" s="114" t="s">
        <v>335</v>
      </c>
      <c r="E372" s="114" t="s">
        <v>765</v>
      </c>
      <c r="F372" s="114" t="s">
        <v>84</v>
      </c>
      <c r="G372" s="115">
        <v>1</v>
      </c>
      <c r="H372" s="116">
        <v>184.45499999999998</v>
      </c>
      <c r="I372" s="121">
        <v>0.2223</v>
      </c>
      <c r="J372" s="116">
        <f t="shared" si="35"/>
        <v>41.002500000000026</v>
      </c>
      <c r="K372" s="116">
        <v>225.45750000000001</v>
      </c>
      <c r="L372" s="116">
        <f t="shared" si="36"/>
        <v>184.45499999999998</v>
      </c>
      <c r="M372" s="116">
        <f t="shared" si="37"/>
        <v>225.45750000000001</v>
      </c>
      <c r="N372" s="116">
        <v>300.61</v>
      </c>
      <c r="O372" s="116">
        <f t="shared" si="38"/>
        <v>75.152500000000003</v>
      </c>
      <c r="P372" s="116">
        <f t="shared" si="39"/>
        <v>75.152500000000003</v>
      </c>
      <c r="Q372" s="116" t="s">
        <v>2589</v>
      </c>
      <c r="R372" s="116" t="s">
        <v>3076</v>
      </c>
      <c r="S372" s="116" t="str">
        <f t="shared" si="40"/>
        <v>OK - FECHA COM PLANILHA</v>
      </c>
      <c r="T372" s="116">
        <v>225.45</v>
      </c>
      <c r="U372" s="122">
        <f t="shared" si="41"/>
        <v>7.5000000000216005E-3</v>
      </c>
    </row>
    <row r="373" spans="1:21" ht="63.75" x14ac:dyDescent="0.2">
      <c r="A373" s="120" t="s">
        <v>3077</v>
      </c>
      <c r="B373" s="114" t="s">
        <v>1833</v>
      </c>
      <c r="C373" s="114" t="s">
        <v>1834</v>
      </c>
      <c r="D373" s="114" t="s">
        <v>56</v>
      </c>
      <c r="E373" s="114" t="s">
        <v>1835</v>
      </c>
      <c r="F373" s="114" t="s">
        <v>84</v>
      </c>
      <c r="G373" s="115">
        <v>29</v>
      </c>
      <c r="H373" s="116">
        <v>43.897500000000001</v>
      </c>
      <c r="I373" s="121">
        <v>0.2223</v>
      </c>
      <c r="J373" s="116">
        <f t="shared" si="35"/>
        <v>9.7575000000000003</v>
      </c>
      <c r="K373" s="116">
        <v>53.655000000000001</v>
      </c>
      <c r="L373" s="116">
        <f t="shared" si="36"/>
        <v>1273.0274999999999</v>
      </c>
      <c r="M373" s="116">
        <f t="shared" si="37"/>
        <v>1555.9950000000001</v>
      </c>
      <c r="N373" s="116">
        <v>71.540000000000006</v>
      </c>
      <c r="O373" s="116">
        <f t="shared" si="38"/>
        <v>17.885000000000005</v>
      </c>
      <c r="P373" s="116">
        <f t="shared" si="39"/>
        <v>518.66500000000019</v>
      </c>
      <c r="Q373" s="116" t="s">
        <v>2349</v>
      </c>
      <c r="R373" s="116" t="s">
        <v>3078</v>
      </c>
      <c r="S373" s="116" t="str">
        <f t="shared" si="40"/>
        <v>OK - FECHA COM PLANILHA</v>
      </c>
      <c r="T373" s="116">
        <v>1555.99</v>
      </c>
      <c r="U373" s="122">
        <f t="shared" si="41"/>
        <v>5.0000000001091394E-3</v>
      </c>
    </row>
    <row r="374" spans="1:21" ht="63.75" x14ac:dyDescent="0.2">
      <c r="A374" s="120" t="s">
        <v>3079</v>
      </c>
      <c r="B374" s="114" t="s">
        <v>1836</v>
      </c>
      <c r="C374" s="114" t="s">
        <v>1837</v>
      </c>
      <c r="D374" s="114" t="s">
        <v>335</v>
      </c>
      <c r="E374" s="114" t="s">
        <v>767</v>
      </c>
      <c r="F374" s="114" t="s">
        <v>84</v>
      </c>
      <c r="G374" s="115">
        <v>2</v>
      </c>
      <c r="H374" s="116">
        <v>422.86500000000001</v>
      </c>
      <c r="I374" s="121">
        <v>0.2223</v>
      </c>
      <c r="J374" s="116">
        <f t="shared" si="35"/>
        <v>93.997499999999945</v>
      </c>
      <c r="K374" s="116">
        <v>516.86249999999995</v>
      </c>
      <c r="L374" s="116">
        <f t="shared" si="36"/>
        <v>845.73</v>
      </c>
      <c r="M374" s="116">
        <f t="shared" si="37"/>
        <v>1033.7249999999999</v>
      </c>
      <c r="N374" s="116">
        <v>689.15</v>
      </c>
      <c r="O374" s="116">
        <f t="shared" si="38"/>
        <v>172.28750000000002</v>
      </c>
      <c r="P374" s="116">
        <f t="shared" si="39"/>
        <v>344.57500000000005</v>
      </c>
      <c r="Q374" s="116" t="s">
        <v>2589</v>
      </c>
      <c r="R374" s="116" t="s">
        <v>3080</v>
      </c>
      <c r="S374" s="116" t="str">
        <f t="shared" si="40"/>
        <v>OK - FECHA COM PLANILHA</v>
      </c>
      <c r="T374" s="116">
        <v>1033.72</v>
      </c>
      <c r="U374" s="122">
        <f t="shared" si="41"/>
        <v>4.9999999998817657E-3</v>
      </c>
    </row>
    <row r="375" spans="1:21" ht="63.75" x14ac:dyDescent="0.2">
      <c r="A375" s="120" t="s">
        <v>3081</v>
      </c>
      <c r="B375" s="114" t="s">
        <v>1838</v>
      </c>
      <c r="C375" s="114" t="s">
        <v>1839</v>
      </c>
      <c r="D375" s="114" t="s">
        <v>56</v>
      </c>
      <c r="E375" s="114" t="s">
        <v>1840</v>
      </c>
      <c r="F375" s="114" t="s">
        <v>84</v>
      </c>
      <c r="G375" s="115">
        <v>2</v>
      </c>
      <c r="H375" s="116">
        <v>153.02250000000001</v>
      </c>
      <c r="I375" s="121">
        <v>0.2223</v>
      </c>
      <c r="J375" s="116">
        <f t="shared" si="35"/>
        <v>34.012499999999989</v>
      </c>
      <c r="K375" s="116">
        <v>187.035</v>
      </c>
      <c r="L375" s="116">
        <f t="shared" si="36"/>
        <v>306.04500000000002</v>
      </c>
      <c r="M375" s="116">
        <f t="shared" si="37"/>
        <v>374.07</v>
      </c>
      <c r="N375" s="116">
        <v>249.38</v>
      </c>
      <c r="O375" s="116">
        <f t="shared" si="38"/>
        <v>62.344999999999999</v>
      </c>
      <c r="P375" s="116">
        <f t="shared" si="39"/>
        <v>124.69</v>
      </c>
      <c r="Q375" s="116" t="s">
        <v>2349</v>
      </c>
      <c r="R375" s="116" t="s">
        <v>3082</v>
      </c>
      <c r="S375" s="116" t="str">
        <f t="shared" si="40"/>
        <v>OK - FECHA COM PLANILHA</v>
      </c>
      <c r="T375" s="116">
        <v>374.07</v>
      </c>
      <c r="U375" s="122">
        <f t="shared" si="41"/>
        <v>0</v>
      </c>
    </row>
    <row r="376" spans="1:21" ht="63.75" x14ac:dyDescent="0.2">
      <c r="A376" s="120" t="s">
        <v>3083</v>
      </c>
      <c r="B376" s="114" t="s">
        <v>1841</v>
      </c>
      <c r="C376" s="114" t="s">
        <v>1842</v>
      </c>
      <c r="D376" s="114" t="s">
        <v>56</v>
      </c>
      <c r="E376" s="114" t="s">
        <v>1843</v>
      </c>
      <c r="F376" s="114" t="s">
        <v>84</v>
      </c>
      <c r="G376" s="115">
        <v>16</v>
      </c>
      <c r="H376" s="116">
        <v>32.594999999999999</v>
      </c>
      <c r="I376" s="121">
        <v>0.2223</v>
      </c>
      <c r="J376" s="116">
        <f t="shared" si="35"/>
        <v>7.2449999999999974</v>
      </c>
      <c r="K376" s="116">
        <v>39.839999999999996</v>
      </c>
      <c r="L376" s="116">
        <f t="shared" si="36"/>
        <v>521.52</v>
      </c>
      <c r="M376" s="116">
        <f t="shared" si="37"/>
        <v>637.43999999999994</v>
      </c>
      <c r="N376" s="116">
        <v>53.12</v>
      </c>
      <c r="O376" s="116">
        <f t="shared" si="38"/>
        <v>13.280000000000001</v>
      </c>
      <c r="P376" s="116">
        <f t="shared" si="39"/>
        <v>212.48000000000002</v>
      </c>
      <c r="Q376" s="116" t="s">
        <v>2349</v>
      </c>
      <c r="R376" s="116" t="s">
        <v>3084</v>
      </c>
      <c r="S376" s="116" t="str">
        <f t="shared" si="40"/>
        <v>OK - FECHA COM PLANILHA</v>
      </c>
      <c r="T376" s="116">
        <v>637.44000000000005</v>
      </c>
      <c r="U376" s="122">
        <f t="shared" si="41"/>
        <v>0</v>
      </c>
    </row>
    <row r="377" spans="1:21" ht="63.75" x14ac:dyDescent="0.2">
      <c r="A377" s="120" t="s">
        <v>3085</v>
      </c>
      <c r="B377" s="114" t="s">
        <v>1844</v>
      </c>
      <c r="C377" s="114" t="s">
        <v>1845</v>
      </c>
      <c r="D377" s="114" t="s">
        <v>56</v>
      </c>
      <c r="E377" s="114" t="s">
        <v>1846</v>
      </c>
      <c r="F377" s="114" t="s">
        <v>84</v>
      </c>
      <c r="G377" s="115">
        <v>3</v>
      </c>
      <c r="H377" s="116">
        <v>68.557500000000005</v>
      </c>
      <c r="I377" s="121">
        <v>0.2223</v>
      </c>
      <c r="J377" s="116">
        <f t="shared" si="35"/>
        <v>15.239999999999995</v>
      </c>
      <c r="K377" s="116">
        <v>83.797499999999999</v>
      </c>
      <c r="L377" s="116">
        <f t="shared" si="36"/>
        <v>205.67250000000001</v>
      </c>
      <c r="M377" s="116">
        <f t="shared" si="37"/>
        <v>251.39249999999998</v>
      </c>
      <c r="N377" s="116">
        <v>111.73</v>
      </c>
      <c r="O377" s="116">
        <f t="shared" si="38"/>
        <v>27.932500000000005</v>
      </c>
      <c r="P377" s="116">
        <f t="shared" si="39"/>
        <v>83.797500000000014</v>
      </c>
      <c r="Q377" s="116" t="s">
        <v>2349</v>
      </c>
      <c r="R377" s="116" t="s">
        <v>3086</v>
      </c>
      <c r="S377" s="116" t="str">
        <f t="shared" si="40"/>
        <v>OK - FECHA COM PLANILHA</v>
      </c>
      <c r="T377" s="116">
        <v>251.39</v>
      </c>
      <c r="U377" s="122">
        <f t="shared" si="41"/>
        <v>2.4999999999977263E-3</v>
      </c>
    </row>
    <row r="378" spans="1:21" ht="63.75" x14ac:dyDescent="0.2">
      <c r="A378" s="120" t="s">
        <v>3087</v>
      </c>
      <c r="B378" s="114" t="s">
        <v>1847</v>
      </c>
      <c r="C378" s="114" t="s">
        <v>1848</v>
      </c>
      <c r="D378" s="114" t="s">
        <v>24</v>
      </c>
      <c r="E378" s="114" t="s">
        <v>772</v>
      </c>
      <c r="F378" s="114" t="s">
        <v>84</v>
      </c>
      <c r="G378" s="115">
        <v>14</v>
      </c>
      <c r="H378" s="116">
        <v>32.647500000000001</v>
      </c>
      <c r="I378" s="121">
        <v>0.2223</v>
      </c>
      <c r="J378" s="116">
        <f t="shared" si="35"/>
        <v>7.2525000000000048</v>
      </c>
      <c r="K378" s="116">
        <v>39.900000000000006</v>
      </c>
      <c r="L378" s="116">
        <f t="shared" si="36"/>
        <v>457.065</v>
      </c>
      <c r="M378" s="116">
        <f t="shared" si="37"/>
        <v>558.60000000000014</v>
      </c>
      <c r="N378" s="116">
        <v>53.2</v>
      </c>
      <c r="O378" s="116">
        <f t="shared" si="38"/>
        <v>13.299999999999997</v>
      </c>
      <c r="P378" s="116">
        <f t="shared" si="39"/>
        <v>186.19999999999996</v>
      </c>
      <c r="Q378" s="116" t="s">
        <v>2332</v>
      </c>
      <c r="R378" s="116" t="s">
        <v>3088</v>
      </c>
      <c r="S378" s="116" t="str">
        <f t="shared" si="40"/>
        <v>OK - FECHA COM PLANILHA</v>
      </c>
      <c r="T378" s="116">
        <v>558.6</v>
      </c>
      <c r="U378" s="122">
        <f t="shared" si="41"/>
        <v>0</v>
      </c>
    </row>
    <row r="379" spans="1:21" ht="102" x14ac:dyDescent="0.2">
      <c r="A379" s="120" t="s">
        <v>3089</v>
      </c>
      <c r="B379" s="114" t="s">
        <v>1849</v>
      </c>
      <c r="C379" s="114" t="s">
        <v>773</v>
      </c>
      <c r="D379" s="114" t="s">
        <v>774</v>
      </c>
      <c r="E379" s="114" t="s">
        <v>775</v>
      </c>
      <c r="F379" s="114" t="s">
        <v>776</v>
      </c>
      <c r="G379" s="115">
        <v>1</v>
      </c>
      <c r="H379" s="116">
        <v>14017.5</v>
      </c>
      <c r="I379" s="121">
        <v>0.2223</v>
      </c>
      <c r="J379" s="116">
        <f t="shared" si="35"/>
        <v>3116.0849999999991</v>
      </c>
      <c r="K379" s="116">
        <v>17133.584999999999</v>
      </c>
      <c r="L379" s="116">
        <f t="shared" si="36"/>
        <v>14017.5</v>
      </c>
      <c r="M379" s="116">
        <f t="shared" si="37"/>
        <v>17133.584999999999</v>
      </c>
      <c r="N379" s="116">
        <v>22844.78</v>
      </c>
      <c r="O379" s="116">
        <f t="shared" si="38"/>
        <v>5711.1949999999997</v>
      </c>
      <c r="P379" s="116">
        <f t="shared" si="39"/>
        <v>5711.1949999999997</v>
      </c>
      <c r="Q379" s="116" t="s">
        <v>3090</v>
      </c>
      <c r="R379" s="116" t="s">
        <v>3091</v>
      </c>
      <c r="S379" s="116" t="str">
        <f t="shared" si="40"/>
        <v>OK - FECHA COM PLANILHA</v>
      </c>
      <c r="T379" s="116">
        <v>17133.580000000002</v>
      </c>
      <c r="U379" s="122">
        <f t="shared" si="41"/>
        <v>4.9999999973806553E-3</v>
      </c>
    </row>
    <row r="380" spans="1:21" ht="63.75" x14ac:dyDescent="0.2">
      <c r="A380" s="120" t="s">
        <v>3092</v>
      </c>
      <c r="B380" s="114" t="s">
        <v>1850</v>
      </c>
      <c r="C380" s="114" t="s">
        <v>777</v>
      </c>
      <c r="D380" s="114" t="s">
        <v>774</v>
      </c>
      <c r="E380" s="114" t="s">
        <v>778</v>
      </c>
      <c r="F380" s="114" t="s">
        <v>776</v>
      </c>
      <c r="G380" s="115">
        <v>1</v>
      </c>
      <c r="H380" s="116">
        <v>933.75</v>
      </c>
      <c r="I380" s="121">
        <v>0.2223</v>
      </c>
      <c r="J380" s="116">
        <f t="shared" si="35"/>
        <v>207.56999999999994</v>
      </c>
      <c r="K380" s="116">
        <v>1141.32</v>
      </c>
      <c r="L380" s="116">
        <f t="shared" si="36"/>
        <v>933.75</v>
      </c>
      <c r="M380" s="116">
        <f t="shared" si="37"/>
        <v>1141.32</v>
      </c>
      <c r="N380" s="116">
        <v>1521.76</v>
      </c>
      <c r="O380" s="116">
        <f t="shared" si="38"/>
        <v>380.44000000000005</v>
      </c>
      <c r="P380" s="116">
        <f t="shared" si="39"/>
        <v>380.44000000000005</v>
      </c>
      <c r="Q380" s="116" t="s">
        <v>3090</v>
      </c>
      <c r="R380" s="116" t="s">
        <v>3093</v>
      </c>
      <c r="S380" s="116" t="str">
        <f t="shared" si="40"/>
        <v>OK - FECHA COM PLANILHA</v>
      </c>
      <c r="T380" s="116">
        <v>1141.32</v>
      </c>
      <c r="U380" s="122">
        <f t="shared" si="41"/>
        <v>0</v>
      </c>
    </row>
    <row r="381" spans="1:21" ht="63.75" x14ac:dyDescent="0.2">
      <c r="A381" s="120" t="s">
        <v>3094</v>
      </c>
      <c r="B381" s="114" t="s">
        <v>1851</v>
      </c>
      <c r="C381" s="114" t="s">
        <v>779</v>
      </c>
      <c r="D381" s="114" t="s">
        <v>774</v>
      </c>
      <c r="E381" s="114" t="s">
        <v>780</v>
      </c>
      <c r="F381" s="114" t="s">
        <v>776</v>
      </c>
      <c r="G381" s="115">
        <v>1</v>
      </c>
      <c r="H381" s="116">
        <v>1612.5</v>
      </c>
      <c r="I381" s="121">
        <v>0.2223</v>
      </c>
      <c r="J381" s="116">
        <f t="shared" si="35"/>
        <v>358.45499999999993</v>
      </c>
      <c r="K381" s="116">
        <v>1970.9549999999999</v>
      </c>
      <c r="L381" s="116">
        <f t="shared" si="36"/>
        <v>1612.5</v>
      </c>
      <c r="M381" s="116">
        <f t="shared" si="37"/>
        <v>1970.9549999999999</v>
      </c>
      <c r="N381" s="116">
        <v>2627.94</v>
      </c>
      <c r="O381" s="116">
        <f t="shared" si="38"/>
        <v>656.98500000000013</v>
      </c>
      <c r="P381" s="116">
        <f t="shared" si="39"/>
        <v>656.98500000000013</v>
      </c>
      <c r="Q381" s="116" t="s">
        <v>3090</v>
      </c>
      <c r="R381" s="116" t="s">
        <v>3095</v>
      </c>
      <c r="S381" s="116" t="str">
        <f t="shared" si="40"/>
        <v>OK - FECHA COM PLANILHA</v>
      </c>
      <c r="T381" s="116">
        <v>1970.95</v>
      </c>
      <c r="U381" s="122">
        <f t="shared" si="41"/>
        <v>4.9999999998817657E-3</v>
      </c>
    </row>
    <row r="382" spans="1:21" ht="63.75" x14ac:dyDescent="0.2">
      <c r="A382" s="120" t="s">
        <v>3096</v>
      </c>
      <c r="B382" s="114" t="s">
        <v>783</v>
      </c>
      <c r="C382" s="114" t="s">
        <v>1852</v>
      </c>
      <c r="D382" s="114" t="s">
        <v>56</v>
      </c>
      <c r="E382" s="114" t="s">
        <v>784</v>
      </c>
      <c r="F382" s="114" t="s">
        <v>99</v>
      </c>
      <c r="G382" s="115">
        <v>216.2</v>
      </c>
      <c r="H382" s="116">
        <v>21.997499999999999</v>
      </c>
      <c r="I382" s="121">
        <v>0.2223</v>
      </c>
      <c r="J382" s="116">
        <f t="shared" si="35"/>
        <v>4.8900000000000041</v>
      </c>
      <c r="K382" s="116">
        <v>26.887500000000003</v>
      </c>
      <c r="L382" s="116">
        <f t="shared" si="36"/>
        <v>4755.8594999999996</v>
      </c>
      <c r="M382" s="116">
        <f t="shared" si="37"/>
        <v>5813.0775000000003</v>
      </c>
      <c r="N382" s="116">
        <v>35.85</v>
      </c>
      <c r="O382" s="116">
        <f t="shared" si="38"/>
        <v>8.9624999999999986</v>
      </c>
      <c r="P382" s="116">
        <f t="shared" si="39"/>
        <v>1937.6924999999997</v>
      </c>
      <c r="Q382" s="116" t="s">
        <v>2349</v>
      </c>
      <c r="R382" s="116" t="s">
        <v>3097</v>
      </c>
      <c r="S382" s="116" t="str">
        <f t="shared" si="40"/>
        <v>OK - FECHA COM PLANILHA</v>
      </c>
      <c r="T382" s="116">
        <v>5813.07</v>
      </c>
      <c r="U382" s="122">
        <f t="shared" si="41"/>
        <v>7.5000000006184564E-3</v>
      </c>
    </row>
    <row r="383" spans="1:21" ht="63.75" x14ac:dyDescent="0.2">
      <c r="A383" s="120" t="s">
        <v>3098</v>
      </c>
      <c r="B383" s="114" t="s">
        <v>785</v>
      </c>
      <c r="C383" s="114" t="s">
        <v>1853</v>
      </c>
      <c r="D383" s="114" t="s">
        <v>56</v>
      </c>
      <c r="E383" s="114" t="s">
        <v>786</v>
      </c>
      <c r="F383" s="114" t="s">
        <v>99</v>
      </c>
      <c r="G383" s="115">
        <v>78.400000000000006</v>
      </c>
      <c r="H383" s="116">
        <v>15.877500000000001</v>
      </c>
      <c r="I383" s="121">
        <v>0.2223</v>
      </c>
      <c r="J383" s="116">
        <f t="shared" si="35"/>
        <v>3.5249999999999986</v>
      </c>
      <c r="K383" s="116">
        <v>19.4025</v>
      </c>
      <c r="L383" s="116">
        <f t="shared" si="36"/>
        <v>1244.7960000000003</v>
      </c>
      <c r="M383" s="116">
        <f t="shared" si="37"/>
        <v>1521.1560000000002</v>
      </c>
      <c r="N383" s="116">
        <v>25.87</v>
      </c>
      <c r="O383" s="116">
        <f t="shared" si="38"/>
        <v>6.4675000000000011</v>
      </c>
      <c r="P383" s="116">
        <f t="shared" si="39"/>
        <v>507.05200000000013</v>
      </c>
      <c r="Q383" s="116" t="s">
        <v>2349</v>
      </c>
      <c r="R383" s="116" t="s">
        <v>3099</v>
      </c>
      <c r="S383" s="116" t="str">
        <f t="shared" si="40"/>
        <v>OK - FECHA COM PLANILHA</v>
      </c>
      <c r="T383" s="116">
        <v>1521.15</v>
      </c>
      <c r="U383" s="122">
        <f t="shared" si="41"/>
        <v>6.0000000000854925E-3</v>
      </c>
    </row>
    <row r="384" spans="1:21" ht="63.75" x14ac:dyDescent="0.2">
      <c r="A384" s="120" t="s">
        <v>3100</v>
      </c>
      <c r="B384" s="114" t="s">
        <v>787</v>
      </c>
      <c r="C384" s="114" t="s">
        <v>1854</v>
      </c>
      <c r="D384" s="114" t="s">
        <v>56</v>
      </c>
      <c r="E384" s="114" t="s">
        <v>788</v>
      </c>
      <c r="F384" s="114" t="s">
        <v>84</v>
      </c>
      <c r="G384" s="115">
        <v>83</v>
      </c>
      <c r="H384" s="116">
        <v>10.754999999999999</v>
      </c>
      <c r="I384" s="121">
        <v>0.2223</v>
      </c>
      <c r="J384" s="116">
        <f t="shared" si="35"/>
        <v>2.3850000000000016</v>
      </c>
      <c r="K384" s="116">
        <v>13.14</v>
      </c>
      <c r="L384" s="116">
        <f t="shared" si="36"/>
        <v>892.66499999999996</v>
      </c>
      <c r="M384" s="116">
        <f t="shared" si="37"/>
        <v>1090.6200000000001</v>
      </c>
      <c r="N384" s="116">
        <v>17.52</v>
      </c>
      <c r="O384" s="116">
        <f t="shared" si="38"/>
        <v>4.379999999999999</v>
      </c>
      <c r="P384" s="116">
        <f t="shared" si="39"/>
        <v>363.53999999999991</v>
      </c>
      <c r="Q384" s="116" t="s">
        <v>2349</v>
      </c>
      <c r="R384" s="116" t="s">
        <v>3101</v>
      </c>
      <c r="S384" s="116" t="str">
        <f t="shared" si="40"/>
        <v>OK - FECHA COM PLANILHA</v>
      </c>
      <c r="T384" s="116">
        <v>1090.6199999999999</v>
      </c>
      <c r="U384" s="122">
        <f t="shared" si="41"/>
        <v>0</v>
      </c>
    </row>
    <row r="385" spans="1:21" ht="63.75" x14ac:dyDescent="0.2">
      <c r="A385" s="120" t="s">
        <v>3102</v>
      </c>
      <c r="B385" s="114" t="s">
        <v>789</v>
      </c>
      <c r="C385" s="114" t="s">
        <v>1855</v>
      </c>
      <c r="D385" s="114" t="s">
        <v>56</v>
      </c>
      <c r="E385" s="114" t="s">
        <v>790</v>
      </c>
      <c r="F385" s="114" t="s">
        <v>84</v>
      </c>
      <c r="G385" s="115">
        <v>157</v>
      </c>
      <c r="H385" s="116">
        <v>9.4125000000000014</v>
      </c>
      <c r="I385" s="121">
        <v>0.2223</v>
      </c>
      <c r="J385" s="116">
        <f t="shared" si="35"/>
        <v>2.0849999999999991</v>
      </c>
      <c r="K385" s="116">
        <v>11.4975</v>
      </c>
      <c r="L385" s="116">
        <f t="shared" si="36"/>
        <v>1477.7625000000003</v>
      </c>
      <c r="M385" s="116">
        <f t="shared" si="37"/>
        <v>1805.1075000000001</v>
      </c>
      <c r="N385" s="116">
        <v>15.33</v>
      </c>
      <c r="O385" s="116">
        <f t="shared" si="38"/>
        <v>3.8324999999999996</v>
      </c>
      <c r="P385" s="116">
        <f t="shared" si="39"/>
        <v>601.70249999999999</v>
      </c>
      <c r="Q385" s="116" t="s">
        <v>2349</v>
      </c>
      <c r="R385" s="116" t="s">
        <v>3103</v>
      </c>
      <c r="S385" s="116" t="str">
        <f t="shared" si="40"/>
        <v>OK - FECHA COM PLANILHA</v>
      </c>
      <c r="T385" s="116">
        <v>1805.1</v>
      </c>
      <c r="U385" s="122">
        <f t="shared" si="41"/>
        <v>7.500000000163709E-3</v>
      </c>
    </row>
    <row r="386" spans="1:21" ht="63.75" x14ac:dyDescent="0.2">
      <c r="A386" s="120" t="s">
        <v>3104</v>
      </c>
      <c r="B386" s="114" t="s">
        <v>791</v>
      </c>
      <c r="C386" s="114" t="s">
        <v>1856</v>
      </c>
      <c r="D386" s="114" t="s">
        <v>56</v>
      </c>
      <c r="E386" s="114" t="s">
        <v>792</v>
      </c>
      <c r="F386" s="114" t="s">
        <v>84</v>
      </c>
      <c r="G386" s="115">
        <v>8</v>
      </c>
      <c r="H386" s="116">
        <v>11.5425</v>
      </c>
      <c r="I386" s="121">
        <v>0.2223</v>
      </c>
      <c r="J386" s="116">
        <f t="shared" si="35"/>
        <v>2.5649999999999977</v>
      </c>
      <c r="K386" s="116">
        <v>14.107499999999998</v>
      </c>
      <c r="L386" s="116">
        <f t="shared" si="36"/>
        <v>92.34</v>
      </c>
      <c r="M386" s="116">
        <f t="shared" si="37"/>
        <v>112.85999999999999</v>
      </c>
      <c r="N386" s="116">
        <v>18.809999999999999</v>
      </c>
      <c r="O386" s="116">
        <f t="shared" si="38"/>
        <v>4.7025000000000006</v>
      </c>
      <c r="P386" s="116">
        <f t="shared" si="39"/>
        <v>37.620000000000005</v>
      </c>
      <c r="Q386" s="116" t="s">
        <v>2349</v>
      </c>
      <c r="R386" s="116" t="s">
        <v>3105</v>
      </c>
      <c r="S386" s="116" t="str">
        <f t="shared" si="40"/>
        <v>OK - FECHA COM PLANILHA</v>
      </c>
      <c r="T386" s="116">
        <v>112.86</v>
      </c>
      <c r="U386" s="122">
        <f t="shared" si="41"/>
        <v>0</v>
      </c>
    </row>
    <row r="387" spans="1:21" ht="63.75" x14ac:dyDescent="0.2">
      <c r="A387" s="120" t="s">
        <v>3106</v>
      </c>
      <c r="B387" s="114" t="s">
        <v>793</v>
      </c>
      <c r="C387" s="114" t="s">
        <v>1652</v>
      </c>
      <c r="D387" s="114" t="s">
        <v>56</v>
      </c>
      <c r="E387" s="114" t="s">
        <v>626</v>
      </c>
      <c r="F387" s="114" t="s">
        <v>84</v>
      </c>
      <c r="G387" s="115">
        <v>1</v>
      </c>
      <c r="H387" s="116">
        <v>30.547499999999999</v>
      </c>
      <c r="I387" s="121">
        <v>0.2223</v>
      </c>
      <c r="J387" s="116">
        <f t="shared" ref="J387:J450" si="42">K387-H387</f>
        <v>6.7875000000000014</v>
      </c>
      <c r="K387" s="116">
        <v>37.335000000000001</v>
      </c>
      <c r="L387" s="116">
        <f t="shared" ref="L387:L450" si="43">G387*H387</f>
        <v>30.547499999999999</v>
      </c>
      <c r="M387" s="116">
        <f t="shared" ref="M387:M450" si="44">G387*K387</f>
        <v>37.335000000000001</v>
      </c>
      <c r="N387" s="116">
        <v>49.78</v>
      </c>
      <c r="O387" s="116">
        <f t="shared" ref="O387:O450" si="45">IFERROR(N387-K387,"")</f>
        <v>12.445</v>
      </c>
      <c r="P387" s="116">
        <f t="shared" ref="P387:P450" si="46">IFERROR(G387*O387,"")</f>
        <v>12.445</v>
      </c>
      <c r="Q387" s="116" t="s">
        <v>2349</v>
      </c>
      <c r="R387" s="116" t="s">
        <v>3107</v>
      </c>
      <c r="S387" s="116" t="str">
        <f t="shared" ref="S387:S450" si="47">IF(ABS(M387-T387)&lt;=0.05,"OK - FECHA COM PLANILHA","REVISAR")</f>
        <v>OK - FECHA COM PLANILHA</v>
      </c>
      <c r="T387" s="116">
        <v>37.33</v>
      </c>
      <c r="U387" s="122">
        <f t="shared" ref="U387:U450" si="48">M387-T387</f>
        <v>5.000000000002558E-3</v>
      </c>
    </row>
    <row r="388" spans="1:21" ht="63.75" x14ac:dyDescent="0.2">
      <c r="A388" s="120" t="s">
        <v>3108</v>
      </c>
      <c r="B388" s="114" t="s">
        <v>794</v>
      </c>
      <c r="C388" s="114" t="s">
        <v>1857</v>
      </c>
      <c r="D388" s="114" t="s">
        <v>56</v>
      </c>
      <c r="E388" s="114" t="s">
        <v>795</v>
      </c>
      <c r="F388" s="114" t="s">
        <v>84</v>
      </c>
      <c r="G388" s="115">
        <v>9</v>
      </c>
      <c r="H388" s="116">
        <v>8.6174999999999997</v>
      </c>
      <c r="I388" s="121">
        <v>0.2223</v>
      </c>
      <c r="J388" s="116">
        <f t="shared" si="42"/>
        <v>1.9124999999999996</v>
      </c>
      <c r="K388" s="116">
        <v>10.53</v>
      </c>
      <c r="L388" s="116">
        <f t="shared" si="43"/>
        <v>77.557500000000005</v>
      </c>
      <c r="M388" s="116">
        <f t="shared" si="44"/>
        <v>94.77</v>
      </c>
      <c r="N388" s="116">
        <v>14.04</v>
      </c>
      <c r="O388" s="116">
        <f t="shared" si="45"/>
        <v>3.51</v>
      </c>
      <c r="P388" s="116">
        <f t="shared" si="46"/>
        <v>31.589999999999996</v>
      </c>
      <c r="Q388" s="116" t="s">
        <v>2349</v>
      </c>
      <c r="R388" s="116" t="s">
        <v>3109</v>
      </c>
      <c r="S388" s="116" t="str">
        <f t="shared" si="47"/>
        <v>OK - FECHA COM PLANILHA</v>
      </c>
      <c r="T388" s="116">
        <v>94.77</v>
      </c>
      <c r="U388" s="122">
        <f t="shared" si="48"/>
        <v>0</v>
      </c>
    </row>
    <row r="389" spans="1:21" ht="63.75" x14ac:dyDescent="0.2">
      <c r="A389" s="120" t="s">
        <v>3110</v>
      </c>
      <c r="B389" s="114" t="s">
        <v>796</v>
      </c>
      <c r="C389" s="114" t="s">
        <v>1858</v>
      </c>
      <c r="D389" s="114" t="s">
        <v>56</v>
      </c>
      <c r="E389" s="114" t="s">
        <v>797</v>
      </c>
      <c r="F389" s="114" t="s">
        <v>84</v>
      </c>
      <c r="G389" s="115">
        <v>36</v>
      </c>
      <c r="H389" s="116">
        <v>6.9674999999999994</v>
      </c>
      <c r="I389" s="121">
        <v>0.2223</v>
      </c>
      <c r="J389" s="116">
        <f t="shared" si="42"/>
        <v>1.5449999999999999</v>
      </c>
      <c r="K389" s="116">
        <v>8.5124999999999993</v>
      </c>
      <c r="L389" s="116">
        <f t="shared" si="43"/>
        <v>250.82999999999998</v>
      </c>
      <c r="M389" s="116">
        <f t="shared" si="44"/>
        <v>306.45</v>
      </c>
      <c r="N389" s="116">
        <v>11.35</v>
      </c>
      <c r="O389" s="116">
        <f t="shared" si="45"/>
        <v>2.8375000000000004</v>
      </c>
      <c r="P389" s="116">
        <f t="shared" si="46"/>
        <v>102.15</v>
      </c>
      <c r="Q389" s="116" t="s">
        <v>2349</v>
      </c>
      <c r="R389" s="116" t="s">
        <v>3111</v>
      </c>
      <c r="S389" s="116" t="str">
        <f t="shared" si="47"/>
        <v>OK - FECHA COM PLANILHA</v>
      </c>
      <c r="T389" s="116">
        <v>306.45</v>
      </c>
      <c r="U389" s="122">
        <f t="shared" si="48"/>
        <v>0</v>
      </c>
    </row>
    <row r="390" spans="1:21" ht="63.75" x14ac:dyDescent="0.2">
      <c r="A390" s="120" t="s">
        <v>3112</v>
      </c>
      <c r="B390" s="114" t="s">
        <v>798</v>
      </c>
      <c r="C390" s="114" t="s">
        <v>1859</v>
      </c>
      <c r="D390" s="114" t="s">
        <v>56</v>
      </c>
      <c r="E390" s="114" t="s">
        <v>799</v>
      </c>
      <c r="F390" s="114" t="s">
        <v>84</v>
      </c>
      <c r="G390" s="115">
        <v>24</v>
      </c>
      <c r="H390" s="116">
        <v>13.162500000000001</v>
      </c>
      <c r="I390" s="121">
        <v>0.2223</v>
      </c>
      <c r="J390" s="116">
        <f t="shared" si="42"/>
        <v>2.9249999999999972</v>
      </c>
      <c r="K390" s="116">
        <v>16.087499999999999</v>
      </c>
      <c r="L390" s="116">
        <f t="shared" si="43"/>
        <v>315.90000000000003</v>
      </c>
      <c r="M390" s="116">
        <f t="shared" si="44"/>
        <v>386.09999999999997</v>
      </c>
      <c r="N390" s="116">
        <v>21.45</v>
      </c>
      <c r="O390" s="116">
        <f t="shared" si="45"/>
        <v>5.3625000000000007</v>
      </c>
      <c r="P390" s="116">
        <f t="shared" si="46"/>
        <v>128.70000000000002</v>
      </c>
      <c r="Q390" s="116" t="s">
        <v>2349</v>
      </c>
      <c r="R390" s="116" t="s">
        <v>3113</v>
      </c>
      <c r="S390" s="116" t="str">
        <f t="shared" si="47"/>
        <v>OK - FECHA COM PLANILHA</v>
      </c>
      <c r="T390" s="116">
        <v>386.1</v>
      </c>
      <c r="U390" s="122">
        <f t="shared" si="48"/>
        <v>0</v>
      </c>
    </row>
    <row r="391" spans="1:21" ht="63.75" x14ac:dyDescent="0.2">
      <c r="A391" s="120" t="s">
        <v>3114</v>
      </c>
      <c r="B391" s="114" t="s">
        <v>1860</v>
      </c>
      <c r="C391" s="114" t="s">
        <v>1659</v>
      </c>
      <c r="D391" s="114" t="s">
        <v>56</v>
      </c>
      <c r="E391" s="114" t="s">
        <v>629</v>
      </c>
      <c r="F391" s="114" t="s">
        <v>84</v>
      </c>
      <c r="G391" s="115">
        <v>5</v>
      </c>
      <c r="H391" s="116">
        <v>16.634999999999998</v>
      </c>
      <c r="I391" s="121">
        <v>0.2223</v>
      </c>
      <c r="J391" s="116">
        <f t="shared" si="42"/>
        <v>3.6975000000000016</v>
      </c>
      <c r="K391" s="116">
        <v>20.3325</v>
      </c>
      <c r="L391" s="116">
        <f t="shared" si="43"/>
        <v>83.174999999999983</v>
      </c>
      <c r="M391" s="116">
        <f t="shared" si="44"/>
        <v>101.66249999999999</v>
      </c>
      <c r="N391" s="116">
        <v>27.11</v>
      </c>
      <c r="O391" s="116">
        <f t="shared" si="45"/>
        <v>6.7774999999999999</v>
      </c>
      <c r="P391" s="116">
        <f t="shared" si="46"/>
        <v>33.887500000000003</v>
      </c>
      <c r="Q391" s="116" t="s">
        <v>2349</v>
      </c>
      <c r="R391" s="116" t="s">
        <v>3115</v>
      </c>
      <c r="S391" s="116" t="str">
        <f t="shared" si="47"/>
        <v>OK - FECHA COM PLANILHA</v>
      </c>
      <c r="T391" s="116">
        <v>101.66</v>
      </c>
      <c r="U391" s="122">
        <f t="shared" si="48"/>
        <v>2.4999999999977263E-3</v>
      </c>
    </row>
    <row r="392" spans="1:21" ht="63.75" x14ac:dyDescent="0.2">
      <c r="A392" s="120" t="s">
        <v>3116</v>
      </c>
      <c r="B392" s="114" t="s">
        <v>1861</v>
      </c>
      <c r="C392" s="114" t="s">
        <v>1862</v>
      </c>
      <c r="D392" s="114" t="s">
        <v>56</v>
      </c>
      <c r="E392" s="114" t="s">
        <v>1863</v>
      </c>
      <c r="F392" s="114" t="s">
        <v>99</v>
      </c>
      <c r="G392" s="115">
        <v>216.2</v>
      </c>
      <c r="H392" s="116">
        <v>3.7874999999999996</v>
      </c>
      <c r="I392" s="121">
        <v>0.2223</v>
      </c>
      <c r="J392" s="116">
        <f t="shared" si="42"/>
        <v>0.83999999999999986</v>
      </c>
      <c r="K392" s="116">
        <v>4.6274999999999995</v>
      </c>
      <c r="L392" s="116">
        <f t="shared" si="43"/>
        <v>818.85749999999985</v>
      </c>
      <c r="M392" s="116">
        <f t="shared" si="44"/>
        <v>1000.4654999999998</v>
      </c>
      <c r="N392" s="116">
        <v>6.17</v>
      </c>
      <c r="O392" s="116">
        <f t="shared" si="45"/>
        <v>1.5425000000000004</v>
      </c>
      <c r="P392" s="116">
        <f t="shared" si="46"/>
        <v>333.4885000000001</v>
      </c>
      <c r="Q392" s="116" t="s">
        <v>2349</v>
      </c>
      <c r="R392" s="116" t="s">
        <v>3117</v>
      </c>
      <c r="S392" s="116" t="str">
        <f t="shared" si="47"/>
        <v>OK - FECHA COM PLANILHA</v>
      </c>
      <c r="T392" s="116">
        <v>1000.46</v>
      </c>
      <c r="U392" s="122">
        <f t="shared" si="48"/>
        <v>5.4999999997562554E-3</v>
      </c>
    </row>
    <row r="393" spans="1:21" ht="63.75" x14ac:dyDescent="0.2">
      <c r="A393" s="120" t="s">
        <v>3118</v>
      </c>
      <c r="B393" s="114" t="s">
        <v>803</v>
      </c>
      <c r="C393" s="114" t="s">
        <v>1864</v>
      </c>
      <c r="D393" s="114" t="s">
        <v>56</v>
      </c>
      <c r="E393" s="114" t="s">
        <v>804</v>
      </c>
      <c r="F393" s="114" t="s">
        <v>84</v>
      </c>
      <c r="G393" s="115">
        <v>1</v>
      </c>
      <c r="H393" s="116">
        <v>5704.7550000000001</v>
      </c>
      <c r="I393" s="121">
        <v>0.2223</v>
      </c>
      <c r="J393" s="116">
        <f t="shared" si="42"/>
        <v>1268.1599999999989</v>
      </c>
      <c r="K393" s="116">
        <v>6972.9149999999991</v>
      </c>
      <c r="L393" s="116">
        <f t="shared" si="43"/>
        <v>5704.7550000000001</v>
      </c>
      <c r="M393" s="116">
        <f t="shared" si="44"/>
        <v>6972.9149999999991</v>
      </c>
      <c r="N393" s="116">
        <v>9297.2199999999993</v>
      </c>
      <c r="O393" s="116">
        <f t="shared" si="45"/>
        <v>2324.3050000000003</v>
      </c>
      <c r="P393" s="116">
        <f t="shared" si="46"/>
        <v>2324.3050000000003</v>
      </c>
      <c r="Q393" s="116" t="s">
        <v>2349</v>
      </c>
      <c r="R393" s="116" t="s">
        <v>3119</v>
      </c>
      <c r="S393" s="116" t="str">
        <f t="shared" si="47"/>
        <v>OK - FECHA COM PLANILHA</v>
      </c>
      <c r="T393" s="116">
        <v>6972.91</v>
      </c>
      <c r="U393" s="122">
        <f t="shared" si="48"/>
        <v>4.9999999991996447E-3</v>
      </c>
    </row>
    <row r="394" spans="1:21" ht="63.75" x14ac:dyDescent="0.2">
      <c r="A394" s="120" t="s">
        <v>3120</v>
      </c>
      <c r="B394" s="114" t="s">
        <v>805</v>
      </c>
      <c r="C394" s="114" t="s">
        <v>1865</v>
      </c>
      <c r="D394" s="114" t="s">
        <v>56</v>
      </c>
      <c r="E394" s="114" t="s">
        <v>806</v>
      </c>
      <c r="F394" s="114" t="s">
        <v>84</v>
      </c>
      <c r="G394" s="115">
        <v>1</v>
      </c>
      <c r="H394" s="116">
        <v>6581.5949999999993</v>
      </c>
      <c r="I394" s="121">
        <v>0.2223</v>
      </c>
      <c r="J394" s="116">
        <f t="shared" si="42"/>
        <v>1463.0850000000009</v>
      </c>
      <c r="K394" s="116">
        <v>8044.68</v>
      </c>
      <c r="L394" s="116">
        <f t="shared" si="43"/>
        <v>6581.5949999999993</v>
      </c>
      <c r="M394" s="116">
        <f t="shared" si="44"/>
        <v>8044.68</v>
      </c>
      <c r="N394" s="116">
        <v>10726.24</v>
      </c>
      <c r="O394" s="116">
        <f t="shared" si="45"/>
        <v>2681.5599999999995</v>
      </c>
      <c r="P394" s="116">
        <f t="shared" si="46"/>
        <v>2681.5599999999995</v>
      </c>
      <c r="Q394" s="116" t="s">
        <v>2349</v>
      </c>
      <c r="R394" s="116" t="s">
        <v>3121</v>
      </c>
      <c r="S394" s="116" t="str">
        <f t="shared" si="47"/>
        <v>OK - FECHA COM PLANILHA</v>
      </c>
      <c r="T394" s="116">
        <v>8044.68</v>
      </c>
      <c r="U394" s="122">
        <f t="shared" si="48"/>
        <v>0</v>
      </c>
    </row>
    <row r="395" spans="1:21" ht="63.75" x14ac:dyDescent="0.2">
      <c r="A395" s="120" t="s">
        <v>3122</v>
      </c>
      <c r="B395" s="114" t="s">
        <v>807</v>
      </c>
      <c r="C395" s="114" t="s">
        <v>1866</v>
      </c>
      <c r="D395" s="114" t="s">
        <v>24</v>
      </c>
      <c r="E395" s="114" t="s">
        <v>809</v>
      </c>
      <c r="F395" s="114" t="s">
        <v>84</v>
      </c>
      <c r="G395" s="115">
        <v>2</v>
      </c>
      <c r="H395" s="116">
        <v>7293.1350000000002</v>
      </c>
      <c r="I395" s="121">
        <v>0.2223</v>
      </c>
      <c r="J395" s="116">
        <f t="shared" si="42"/>
        <v>1621.2600000000002</v>
      </c>
      <c r="K395" s="116">
        <v>8914.3950000000004</v>
      </c>
      <c r="L395" s="116">
        <f t="shared" si="43"/>
        <v>14586.27</v>
      </c>
      <c r="M395" s="116">
        <f t="shared" si="44"/>
        <v>17828.79</v>
      </c>
      <c r="N395" s="116">
        <v>11885.86</v>
      </c>
      <c r="O395" s="116">
        <f t="shared" si="45"/>
        <v>2971.4650000000001</v>
      </c>
      <c r="P395" s="116">
        <f t="shared" si="46"/>
        <v>5942.93</v>
      </c>
      <c r="Q395" s="116" t="s">
        <v>2332</v>
      </c>
      <c r="R395" s="116" t="s">
        <v>3123</v>
      </c>
      <c r="S395" s="116" t="str">
        <f t="shared" si="47"/>
        <v>OK - FECHA COM PLANILHA</v>
      </c>
      <c r="T395" s="116">
        <v>17828.79</v>
      </c>
      <c r="U395" s="122">
        <f t="shared" si="48"/>
        <v>0</v>
      </c>
    </row>
    <row r="396" spans="1:21" ht="63.75" x14ac:dyDescent="0.2">
      <c r="A396" s="120" t="s">
        <v>3124</v>
      </c>
      <c r="B396" s="114" t="s">
        <v>810</v>
      </c>
      <c r="C396" s="114" t="s">
        <v>1715</v>
      </c>
      <c r="D396" s="114" t="s">
        <v>56</v>
      </c>
      <c r="E396" s="114" t="s">
        <v>1716</v>
      </c>
      <c r="F396" s="114" t="s">
        <v>84</v>
      </c>
      <c r="G396" s="115">
        <v>4</v>
      </c>
      <c r="H396" s="116">
        <v>461.54999999999995</v>
      </c>
      <c r="I396" s="121">
        <v>0.2223</v>
      </c>
      <c r="J396" s="116">
        <f t="shared" si="42"/>
        <v>102.60000000000014</v>
      </c>
      <c r="K396" s="116">
        <v>564.15000000000009</v>
      </c>
      <c r="L396" s="116">
        <f t="shared" si="43"/>
        <v>1846.1999999999998</v>
      </c>
      <c r="M396" s="116">
        <f t="shared" si="44"/>
        <v>2256.6000000000004</v>
      </c>
      <c r="N396" s="116">
        <v>752.2</v>
      </c>
      <c r="O396" s="116">
        <f t="shared" si="45"/>
        <v>188.04999999999995</v>
      </c>
      <c r="P396" s="116">
        <f t="shared" si="46"/>
        <v>752.19999999999982</v>
      </c>
      <c r="Q396" s="116" t="s">
        <v>2349</v>
      </c>
      <c r="R396" s="116" t="s">
        <v>3125</v>
      </c>
      <c r="S396" s="116" t="str">
        <f t="shared" si="47"/>
        <v>OK - FECHA COM PLANILHA</v>
      </c>
      <c r="T396" s="116">
        <v>2256.6</v>
      </c>
      <c r="U396" s="122">
        <f t="shared" si="48"/>
        <v>0</v>
      </c>
    </row>
    <row r="397" spans="1:21" ht="63.75" x14ac:dyDescent="0.2">
      <c r="A397" s="120" t="s">
        <v>3126</v>
      </c>
      <c r="B397" s="114" t="s">
        <v>813</v>
      </c>
      <c r="C397" s="114" t="s">
        <v>1867</v>
      </c>
      <c r="D397" s="114" t="s">
        <v>56</v>
      </c>
      <c r="E397" s="114" t="s">
        <v>814</v>
      </c>
      <c r="F397" s="114" t="s">
        <v>84</v>
      </c>
      <c r="G397" s="115">
        <v>25</v>
      </c>
      <c r="H397" s="116">
        <v>465.27750000000003</v>
      </c>
      <c r="I397" s="121">
        <v>0.2223</v>
      </c>
      <c r="J397" s="116">
        <f t="shared" si="42"/>
        <v>103.42499999999995</v>
      </c>
      <c r="K397" s="116">
        <v>568.70249999999999</v>
      </c>
      <c r="L397" s="116">
        <f t="shared" si="43"/>
        <v>11631.9375</v>
      </c>
      <c r="M397" s="116">
        <f t="shared" si="44"/>
        <v>14217.5625</v>
      </c>
      <c r="N397" s="116">
        <v>758.27</v>
      </c>
      <c r="O397" s="116">
        <f t="shared" si="45"/>
        <v>189.5675</v>
      </c>
      <c r="P397" s="116">
        <f t="shared" si="46"/>
        <v>4739.1875</v>
      </c>
      <c r="Q397" s="116" t="s">
        <v>2349</v>
      </c>
      <c r="R397" s="116" t="s">
        <v>3127</v>
      </c>
      <c r="S397" s="116" t="str">
        <f t="shared" si="47"/>
        <v>OK - FECHA COM PLANILHA</v>
      </c>
      <c r="T397" s="116">
        <v>14217.56</v>
      </c>
      <c r="U397" s="122">
        <f t="shared" si="48"/>
        <v>2.500000000509317E-3</v>
      </c>
    </row>
    <row r="398" spans="1:21" ht="63.75" x14ac:dyDescent="0.2">
      <c r="A398" s="120" t="s">
        <v>3128</v>
      </c>
      <c r="B398" s="114" t="s">
        <v>815</v>
      </c>
      <c r="C398" s="114" t="s">
        <v>816</v>
      </c>
      <c r="D398" s="114" t="s">
        <v>209</v>
      </c>
      <c r="E398" s="114" t="s">
        <v>1868</v>
      </c>
      <c r="F398" s="114" t="s">
        <v>84</v>
      </c>
      <c r="G398" s="115">
        <v>2</v>
      </c>
      <c r="H398" s="116">
        <v>752.95500000000004</v>
      </c>
      <c r="I398" s="121">
        <v>0.2223</v>
      </c>
      <c r="J398" s="116">
        <f t="shared" si="42"/>
        <v>167.37749999999994</v>
      </c>
      <c r="K398" s="116">
        <v>920.33249999999998</v>
      </c>
      <c r="L398" s="116">
        <f t="shared" si="43"/>
        <v>1505.91</v>
      </c>
      <c r="M398" s="116">
        <f t="shared" si="44"/>
        <v>1840.665</v>
      </c>
      <c r="N398" s="116">
        <v>1227.1099999999999</v>
      </c>
      <c r="O398" s="116">
        <f t="shared" si="45"/>
        <v>306.77749999999992</v>
      </c>
      <c r="P398" s="116">
        <f t="shared" si="46"/>
        <v>613.55499999999984</v>
      </c>
      <c r="Q398" s="116" t="s">
        <v>2458</v>
      </c>
      <c r="R398" s="116" t="s">
        <v>3129</v>
      </c>
      <c r="S398" s="116" t="str">
        <f t="shared" si="47"/>
        <v>OK - FECHA COM PLANILHA</v>
      </c>
      <c r="T398" s="116">
        <v>1840.66</v>
      </c>
      <c r="U398" s="122">
        <f t="shared" si="48"/>
        <v>4.9999999998817657E-3</v>
      </c>
    </row>
    <row r="399" spans="1:21" ht="63.75" x14ac:dyDescent="0.2">
      <c r="A399" s="120" t="s">
        <v>3130</v>
      </c>
      <c r="B399" s="114" t="s">
        <v>818</v>
      </c>
      <c r="C399" s="114" t="s">
        <v>1869</v>
      </c>
      <c r="D399" s="114" t="s">
        <v>56</v>
      </c>
      <c r="E399" s="114" t="s">
        <v>819</v>
      </c>
      <c r="F399" s="114" t="s">
        <v>84</v>
      </c>
      <c r="G399" s="115">
        <v>27</v>
      </c>
      <c r="H399" s="116">
        <v>34.14</v>
      </c>
      <c r="I399" s="121">
        <v>0.2223</v>
      </c>
      <c r="J399" s="116">
        <f t="shared" si="42"/>
        <v>7.5825000000000031</v>
      </c>
      <c r="K399" s="116">
        <v>41.722500000000004</v>
      </c>
      <c r="L399" s="116">
        <f t="shared" si="43"/>
        <v>921.78</v>
      </c>
      <c r="M399" s="116">
        <f t="shared" si="44"/>
        <v>1126.5075000000002</v>
      </c>
      <c r="N399" s="116">
        <v>55.63</v>
      </c>
      <c r="O399" s="116">
        <f t="shared" si="45"/>
        <v>13.907499999999999</v>
      </c>
      <c r="P399" s="116">
        <f t="shared" si="46"/>
        <v>375.50249999999994</v>
      </c>
      <c r="Q399" s="116" t="s">
        <v>2349</v>
      </c>
      <c r="R399" s="116" t="s">
        <v>3131</v>
      </c>
      <c r="S399" s="116" t="str">
        <f t="shared" si="47"/>
        <v>OK - FECHA COM PLANILHA</v>
      </c>
      <c r="T399" s="116">
        <v>1126.5</v>
      </c>
      <c r="U399" s="122">
        <f t="shared" si="48"/>
        <v>7.500000000163709E-3</v>
      </c>
    </row>
    <row r="400" spans="1:21" ht="140.25" x14ac:dyDescent="0.2">
      <c r="A400" s="120" t="s">
        <v>3132</v>
      </c>
      <c r="B400" s="114" t="s">
        <v>820</v>
      </c>
      <c r="C400" s="114" t="s">
        <v>821</v>
      </c>
      <c r="D400" s="114" t="s">
        <v>209</v>
      </c>
      <c r="E400" s="114" t="s">
        <v>822</v>
      </c>
      <c r="F400" s="114" t="s">
        <v>84</v>
      </c>
      <c r="G400" s="115">
        <v>2</v>
      </c>
      <c r="H400" s="116">
        <v>545.65499999999997</v>
      </c>
      <c r="I400" s="121">
        <v>0.2223</v>
      </c>
      <c r="J400" s="116">
        <f t="shared" si="42"/>
        <v>121.29750000000001</v>
      </c>
      <c r="K400" s="116">
        <v>666.95249999999999</v>
      </c>
      <c r="L400" s="116">
        <f t="shared" si="43"/>
        <v>1091.31</v>
      </c>
      <c r="M400" s="116">
        <f t="shared" si="44"/>
        <v>1333.905</v>
      </c>
      <c r="N400" s="116">
        <v>889.27</v>
      </c>
      <c r="O400" s="116">
        <f t="shared" si="45"/>
        <v>222.3175</v>
      </c>
      <c r="P400" s="116">
        <f t="shared" si="46"/>
        <v>444.63499999999999</v>
      </c>
      <c r="Q400" s="116" t="s">
        <v>2458</v>
      </c>
      <c r="R400" s="116" t="s">
        <v>3133</v>
      </c>
      <c r="S400" s="116" t="str">
        <f t="shared" si="47"/>
        <v>OK - FECHA COM PLANILHA</v>
      </c>
      <c r="T400" s="116">
        <v>1333.9</v>
      </c>
      <c r="U400" s="122">
        <f t="shared" si="48"/>
        <v>4.9999999998817657E-3</v>
      </c>
    </row>
    <row r="401" spans="1:21" ht="102" x14ac:dyDescent="0.2">
      <c r="A401" s="120" t="s">
        <v>3134</v>
      </c>
      <c r="B401" s="114" t="s">
        <v>823</v>
      </c>
      <c r="C401" s="114" t="s">
        <v>824</v>
      </c>
      <c r="D401" s="114" t="s">
        <v>209</v>
      </c>
      <c r="E401" s="114" t="s">
        <v>825</v>
      </c>
      <c r="F401" s="114" t="s">
        <v>84</v>
      </c>
      <c r="G401" s="115">
        <v>27</v>
      </c>
      <c r="H401" s="116">
        <v>745.43999999999994</v>
      </c>
      <c r="I401" s="121">
        <v>0.2223</v>
      </c>
      <c r="J401" s="116">
        <f t="shared" si="42"/>
        <v>165.70500000000004</v>
      </c>
      <c r="K401" s="116">
        <v>911.14499999999998</v>
      </c>
      <c r="L401" s="116">
        <f t="shared" si="43"/>
        <v>20126.879999999997</v>
      </c>
      <c r="M401" s="116">
        <f t="shared" si="44"/>
        <v>24600.915000000001</v>
      </c>
      <c r="N401" s="116">
        <v>1214.8599999999999</v>
      </c>
      <c r="O401" s="116">
        <f t="shared" si="45"/>
        <v>303.71499999999992</v>
      </c>
      <c r="P401" s="116">
        <f t="shared" si="46"/>
        <v>8200.3049999999985</v>
      </c>
      <c r="Q401" s="116" t="s">
        <v>2458</v>
      </c>
      <c r="R401" s="116" t="s">
        <v>3135</v>
      </c>
      <c r="S401" s="116" t="str">
        <f t="shared" si="47"/>
        <v>OK - FECHA COM PLANILHA</v>
      </c>
      <c r="T401" s="116">
        <v>24600.91</v>
      </c>
      <c r="U401" s="122">
        <f t="shared" si="48"/>
        <v>5.0000000010186341E-3</v>
      </c>
    </row>
    <row r="402" spans="1:21" ht="63.75" x14ac:dyDescent="0.2">
      <c r="A402" s="120" t="s">
        <v>3136</v>
      </c>
      <c r="B402" s="114" t="s">
        <v>826</v>
      </c>
      <c r="C402" s="114" t="s">
        <v>1870</v>
      </c>
      <c r="D402" s="114" t="s">
        <v>56</v>
      </c>
      <c r="E402" s="114" t="s">
        <v>827</v>
      </c>
      <c r="F402" s="114" t="s">
        <v>84</v>
      </c>
      <c r="G402" s="115">
        <v>2</v>
      </c>
      <c r="H402" s="116">
        <v>744.59999999999991</v>
      </c>
      <c r="I402" s="121">
        <v>0.2223</v>
      </c>
      <c r="J402" s="116">
        <f t="shared" si="42"/>
        <v>165.51750000000015</v>
      </c>
      <c r="K402" s="116">
        <v>910.11750000000006</v>
      </c>
      <c r="L402" s="116">
        <f t="shared" si="43"/>
        <v>1489.1999999999998</v>
      </c>
      <c r="M402" s="116">
        <f t="shared" si="44"/>
        <v>1820.2350000000001</v>
      </c>
      <c r="N402" s="116">
        <v>1213.49</v>
      </c>
      <c r="O402" s="116">
        <f t="shared" si="45"/>
        <v>303.37249999999995</v>
      </c>
      <c r="P402" s="116">
        <f t="shared" si="46"/>
        <v>606.74499999999989</v>
      </c>
      <c r="Q402" s="116" t="s">
        <v>2349</v>
      </c>
      <c r="R402" s="116" t="s">
        <v>3137</v>
      </c>
      <c r="S402" s="116" t="str">
        <f t="shared" si="47"/>
        <v>OK - FECHA COM PLANILHA</v>
      </c>
      <c r="T402" s="116">
        <v>1820.23</v>
      </c>
      <c r="U402" s="122">
        <f t="shared" si="48"/>
        <v>5.0000000001091394E-3</v>
      </c>
    </row>
    <row r="403" spans="1:21" ht="63.75" x14ac:dyDescent="0.2">
      <c r="A403" s="120" t="s">
        <v>3138</v>
      </c>
      <c r="B403" s="114" t="s">
        <v>828</v>
      </c>
      <c r="C403" s="114" t="s">
        <v>1871</v>
      </c>
      <c r="D403" s="114" t="s">
        <v>56</v>
      </c>
      <c r="E403" s="114" t="s">
        <v>1872</v>
      </c>
      <c r="F403" s="114" t="s">
        <v>84</v>
      </c>
      <c r="G403" s="115">
        <v>4</v>
      </c>
      <c r="H403" s="116">
        <v>556.74</v>
      </c>
      <c r="I403" s="121">
        <v>0.2223</v>
      </c>
      <c r="J403" s="116">
        <f t="shared" si="42"/>
        <v>123.75750000000005</v>
      </c>
      <c r="K403" s="116">
        <v>680.49750000000006</v>
      </c>
      <c r="L403" s="116">
        <f t="shared" si="43"/>
        <v>2226.96</v>
      </c>
      <c r="M403" s="116">
        <f t="shared" si="44"/>
        <v>2721.9900000000002</v>
      </c>
      <c r="N403" s="116">
        <v>907.33</v>
      </c>
      <c r="O403" s="116">
        <f t="shared" si="45"/>
        <v>226.83249999999998</v>
      </c>
      <c r="P403" s="116">
        <f t="shared" si="46"/>
        <v>907.32999999999993</v>
      </c>
      <c r="Q403" s="116" t="s">
        <v>2349</v>
      </c>
      <c r="R403" s="116" t="s">
        <v>3139</v>
      </c>
      <c r="S403" s="116" t="str">
        <f t="shared" si="47"/>
        <v>OK - FECHA COM PLANILHA</v>
      </c>
      <c r="T403" s="116">
        <v>2721.99</v>
      </c>
      <c r="U403" s="122">
        <f t="shared" si="48"/>
        <v>0</v>
      </c>
    </row>
    <row r="404" spans="1:21" ht="63.75" x14ac:dyDescent="0.2">
      <c r="A404" s="120" t="s">
        <v>3140</v>
      </c>
      <c r="B404" s="114" t="s">
        <v>830</v>
      </c>
      <c r="C404" s="114" t="s">
        <v>1873</v>
      </c>
      <c r="D404" s="114" t="s">
        <v>56</v>
      </c>
      <c r="E404" s="114" t="s">
        <v>1874</v>
      </c>
      <c r="F404" s="114" t="s">
        <v>84</v>
      </c>
      <c r="G404" s="115">
        <v>1</v>
      </c>
      <c r="H404" s="116">
        <v>410.61750000000001</v>
      </c>
      <c r="I404" s="121">
        <v>0.2223</v>
      </c>
      <c r="J404" s="116">
        <f t="shared" si="42"/>
        <v>91.275000000000034</v>
      </c>
      <c r="K404" s="116">
        <v>501.89250000000004</v>
      </c>
      <c r="L404" s="116">
        <f t="shared" si="43"/>
        <v>410.61750000000001</v>
      </c>
      <c r="M404" s="116">
        <f t="shared" si="44"/>
        <v>501.89250000000004</v>
      </c>
      <c r="N404" s="116">
        <v>669.19</v>
      </c>
      <c r="O404" s="116">
        <f t="shared" si="45"/>
        <v>167.29750000000001</v>
      </c>
      <c r="P404" s="116">
        <f t="shared" si="46"/>
        <v>167.29750000000001</v>
      </c>
      <c r="Q404" s="116" t="s">
        <v>2349</v>
      </c>
      <c r="R404" s="116" t="s">
        <v>3141</v>
      </c>
      <c r="S404" s="116" t="str">
        <f t="shared" si="47"/>
        <v>OK - FECHA COM PLANILHA</v>
      </c>
      <c r="T404" s="116">
        <v>501.89</v>
      </c>
      <c r="U404" s="122">
        <f t="shared" si="48"/>
        <v>2.5000000000545697E-3</v>
      </c>
    </row>
    <row r="405" spans="1:21" ht="63.75" x14ac:dyDescent="0.2">
      <c r="A405" s="120" t="s">
        <v>3142</v>
      </c>
      <c r="B405" s="114" t="s">
        <v>832</v>
      </c>
      <c r="C405" s="114" t="s">
        <v>1875</v>
      </c>
      <c r="D405" s="114" t="s">
        <v>56</v>
      </c>
      <c r="E405" s="114" t="s">
        <v>1876</v>
      </c>
      <c r="F405" s="114" t="s">
        <v>84</v>
      </c>
      <c r="G405" s="115">
        <v>1</v>
      </c>
      <c r="H405" s="116">
        <v>104.21249999999999</v>
      </c>
      <c r="I405" s="121">
        <v>0.2223</v>
      </c>
      <c r="J405" s="116">
        <f t="shared" si="42"/>
        <v>23.160000000000011</v>
      </c>
      <c r="K405" s="116">
        <v>127.3725</v>
      </c>
      <c r="L405" s="116">
        <f t="shared" si="43"/>
        <v>104.21249999999999</v>
      </c>
      <c r="M405" s="116">
        <f t="shared" si="44"/>
        <v>127.3725</v>
      </c>
      <c r="N405" s="116">
        <v>169.83</v>
      </c>
      <c r="O405" s="116">
        <f t="shared" si="45"/>
        <v>42.45750000000001</v>
      </c>
      <c r="P405" s="116">
        <f t="shared" si="46"/>
        <v>42.45750000000001</v>
      </c>
      <c r="Q405" s="116" t="s">
        <v>2349</v>
      </c>
      <c r="R405" s="116" t="s">
        <v>3143</v>
      </c>
      <c r="S405" s="116" t="str">
        <f t="shared" si="47"/>
        <v>OK - FECHA COM PLANILHA</v>
      </c>
      <c r="T405" s="116">
        <v>127.37</v>
      </c>
      <c r="U405" s="122">
        <f t="shared" si="48"/>
        <v>2.4999999999977263E-3</v>
      </c>
    </row>
    <row r="406" spans="1:21" ht="63.75" x14ac:dyDescent="0.2">
      <c r="A406" s="120" t="s">
        <v>3144</v>
      </c>
      <c r="B406" s="114" t="s">
        <v>1877</v>
      </c>
      <c r="C406" s="114" t="s">
        <v>1878</v>
      </c>
      <c r="D406" s="114" t="s">
        <v>335</v>
      </c>
      <c r="E406" s="114" t="s">
        <v>834</v>
      </c>
      <c r="F406" s="114" t="s">
        <v>84</v>
      </c>
      <c r="G406" s="115">
        <v>17</v>
      </c>
      <c r="H406" s="116">
        <v>375.75749999999999</v>
      </c>
      <c r="I406" s="121">
        <v>0.2223</v>
      </c>
      <c r="J406" s="116">
        <f t="shared" si="42"/>
        <v>83.527499999999975</v>
      </c>
      <c r="K406" s="116">
        <v>459.28499999999997</v>
      </c>
      <c r="L406" s="116">
        <f t="shared" si="43"/>
        <v>6387.8774999999996</v>
      </c>
      <c r="M406" s="116">
        <f t="shared" si="44"/>
        <v>7807.8449999999993</v>
      </c>
      <c r="N406" s="116">
        <v>612.38</v>
      </c>
      <c r="O406" s="116">
        <f t="shared" si="45"/>
        <v>153.09500000000003</v>
      </c>
      <c r="P406" s="116">
        <f t="shared" si="46"/>
        <v>2602.6150000000007</v>
      </c>
      <c r="Q406" s="116" t="s">
        <v>2589</v>
      </c>
      <c r="R406" s="116" t="s">
        <v>3145</v>
      </c>
      <c r="S406" s="116" t="str">
        <f t="shared" si="47"/>
        <v>OK - FECHA COM PLANILHA</v>
      </c>
      <c r="T406" s="116">
        <v>7807.84</v>
      </c>
      <c r="U406" s="122">
        <f t="shared" si="48"/>
        <v>4.9999999991996447E-3</v>
      </c>
    </row>
    <row r="407" spans="1:21" ht="63.75" x14ac:dyDescent="0.2">
      <c r="A407" s="120" t="s">
        <v>3146</v>
      </c>
      <c r="B407" s="114" t="s">
        <v>1879</v>
      </c>
      <c r="C407" s="114" t="s">
        <v>1880</v>
      </c>
      <c r="D407" s="114" t="s">
        <v>56</v>
      </c>
      <c r="E407" s="114" t="s">
        <v>835</v>
      </c>
      <c r="F407" s="114" t="s">
        <v>84</v>
      </c>
      <c r="G407" s="115">
        <v>4</v>
      </c>
      <c r="H407" s="116">
        <v>84.082499999999996</v>
      </c>
      <c r="I407" s="121">
        <v>0.2223</v>
      </c>
      <c r="J407" s="116">
        <f t="shared" si="42"/>
        <v>18.690000000000012</v>
      </c>
      <c r="K407" s="116">
        <v>102.77250000000001</v>
      </c>
      <c r="L407" s="116">
        <f t="shared" si="43"/>
        <v>336.33</v>
      </c>
      <c r="M407" s="116">
        <f t="shared" si="44"/>
        <v>411.09000000000003</v>
      </c>
      <c r="N407" s="116">
        <v>137.03</v>
      </c>
      <c r="O407" s="116">
        <f t="shared" si="45"/>
        <v>34.257499999999993</v>
      </c>
      <c r="P407" s="116">
        <f t="shared" si="46"/>
        <v>137.02999999999997</v>
      </c>
      <c r="Q407" s="116" t="s">
        <v>2349</v>
      </c>
      <c r="R407" s="116" t="s">
        <v>3147</v>
      </c>
      <c r="S407" s="116" t="str">
        <f t="shared" si="47"/>
        <v>OK - FECHA COM PLANILHA</v>
      </c>
      <c r="T407" s="116">
        <v>411.09</v>
      </c>
      <c r="U407" s="122">
        <f t="shared" si="48"/>
        <v>0</v>
      </c>
    </row>
    <row r="408" spans="1:21" ht="63.75" x14ac:dyDescent="0.2">
      <c r="A408" s="120" t="s">
        <v>3148</v>
      </c>
      <c r="B408" s="114" t="s">
        <v>1881</v>
      </c>
      <c r="C408" s="114" t="s">
        <v>1882</v>
      </c>
      <c r="D408" s="114" t="s">
        <v>24</v>
      </c>
      <c r="E408" s="114" t="s">
        <v>837</v>
      </c>
      <c r="F408" s="114" t="s">
        <v>84</v>
      </c>
      <c r="G408" s="115">
        <v>1</v>
      </c>
      <c r="H408" s="116">
        <v>667.67250000000001</v>
      </c>
      <c r="I408" s="121">
        <v>0.2223</v>
      </c>
      <c r="J408" s="116">
        <f t="shared" si="42"/>
        <v>148.4174999999999</v>
      </c>
      <c r="K408" s="116">
        <v>816.08999999999992</v>
      </c>
      <c r="L408" s="116">
        <f t="shared" si="43"/>
        <v>667.67250000000001</v>
      </c>
      <c r="M408" s="116">
        <f t="shared" si="44"/>
        <v>816.08999999999992</v>
      </c>
      <c r="N408" s="116">
        <v>1088.1199999999999</v>
      </c>
      <c r="O408" s="116">
        <f t="shared" si="45"/>
        <v>272.02999999999997</v>
      </c>
      <c r="P408" s="116">
        <f t="shared" si="46"/>
        <v>272.02999999999997</v>
      </c>
      <c r="Q408" s="116" t="s">
        <v>2332</v>
      </c>
      <c r="R408" s="116" t="s">
        <v>3149</v>
      </c>
      <c r="S408" s="116" t="str">
        <f t="shared" si="47"/>
        <v>OK - FECHA COM PLANILHA</v>
      </c>
      <c r="T408" s="116">
        <v>816.09</v>
      </c>
      <c r="U408" s="122">
        <f t="shared" si="48"/>
        <v>0</v>
      </c>
    </row>
    <row r="409" spans="1:21" ht="63.75" x14ac:dyDescent="0.2">
      <c r="A409" s="120" t="s">
        <v>3150</v>
      </c>
      <c r="B409" s="114" t="s">
        <v>1883</v>
      </c>
      <c r="C409" s="114" t="s">
        <v>838</v>
      </c>
      <c r="D409" s="114" t="s">
        <v>24</v>
      </c>
      <c r="E409" s="114" t="s">
        <v>1884</v>
      </c>
      <c r="F409" s="114" t="s">
        <v>84</v>
      </c>
      <c r="G409" s="115">
        <v>5</v>
      </c>
      <c r="H409" s="116">
        <v>21.9375</v>
      </c>
      <c r="I409" s="121">
        <v>0.2223</v>
      </c>
      <c r="J409" s="116">
        <f t="shared" si="42"/>
        <v>4.875</v>
      </c>
      <c r="K409" s="116">
        <v>26.8125</v>
      </c>
      <c r="L409" s="116">
        <f t="shared" si="43"/>
        <v>109.6875</v>
      </c>
      <c r="M409" s="116">
        <f t="shared" si="44"/>
        <v>134.0625</v>
      </c>
      <c r="N409" s="116">
        <v>35.75</v>
      </c>
      <c r="O409" s="116">
        <f t="shared" si="45"/>
        <v>8.9375</v>
      </c>
      <c r="P409" s="116">
        <f t="shared" si="46"/>
        <v>44.6875</v>
      </c>
      <c r="Q409" s="116" t="s">
        <v>2332</v>
      </c>
      <c r="R409" s="116" t="s">
        <v>3151</v>
      </c>
      <c r="S409" s="116" t="str">
        <f t="shared" si="47"/>
        <v>OK - FECHA COM PLANILHA</v>
      </c>
      <c r="T409" s="116">
        <v>134.06</v>
      </c>
      <c r="U409" s="122">
        <f t="shared" si="48"/>
        <v>2.4999999999977263E-3</v>
      </c>
    </row>
    <row r="410" spans="1:21" ht="63.75" x14ac:dyDescent="0.2">
      <c r="A410" s="120" t="s">
        <v>3152</v>
      </c>
      <c r="B410" s="114" t="s">
        <v>1885</v>
      </c>
      <c r="C410" s="114" t="s">
        <v>1886</v>
      </c>
      <c r="D410" s="114" t="s">
        <v>56</v>
      </c>
      <c r="E410" s="114" t="s">
        <v>840</v>
      </c>
      <c r="F410" s="114" t="s">
        <v>84</v>
      </c>
      <c r="G410" s="115">
        <v>6</v>
      </c>
      <c r="H410" s="116">
        <v>226.70249999999999</v>
      </c>
      <c r="I410" s="121">
        <v>0.2223</v>
      </c>
      <c r="J410" s="116">
        <f t="shared" si="42"/>
        <v>50.392499999999984</v>
      </c>
      <c r="K410" s="116">
        <v>277.09499999999997</v>
      </c>
      <c r="L410" s="116">
        <f t="shared" si="43"/>
        <v>1360.2149999999999</v>
      </c>
      <c r="M410" s="116">
        <f t="shared" si="44"/>
        <v>1662.5699999999997</v>
      </c>
      <c r="N410" s="116">
        <v>369.46</v>
      </c>
      <c r="O410" s="116">
        <f t="shared" si="45"/>
        <v>92.365000000000009</v>
      </c>
      <c r="P410" s="116">
        <f t="shared" si="46"/>
        <v>554.19000000000005</v>
      </c>
      <c r="Q410" s="116" t="s">
        <v>2349</v>
      </c>
      <c r="R410" s="116" t="s">
        <v>3153</v>
      </c>
      <c r="S410" s="116" t="str">
        <f t="shared" si="47"/>
        <v>OK - FECHA COM PLANILHA</v>
      </c>
      <c r="T410" s="116">
        <v>1662.57</v>
      </c>
      <c r="U410" s="122">
        <f t="shared" si="48"/>
        <v>0</v>
      </c>
    </row>
    <row r="411" spans="1:21" ht="63.75" x14ac:dyDescent="0.2">
      <c r="A411" s="120" t="s">
        <v>3154</v>
      </c>
      <c r="B411" s="114" t="s">
        <v>1887</v>
      </c>
      <c r="C411" s="114" t="s">
        <v>1888</v>
      </c>
      <c r="D411" s="114" t="s">
        <v>56</v>
      </c>
      <c r="E411" s="114" t="s">
        <v>841</v>
      </c>
      <c r="F411" s="114" t="s">
        <v>84</v>
      </c>
      <c r="G411" s="115">
        <v>4</v>
      </c>
      <c r="H411" s="116">
        <v>319.63499999999999</v>
      </c>
      <c r="I411" s="121">
        <v>0.2223</v>
      </c>
      <c r="J411" s="116">
        <f t="shared" si="42"/>
        <v>71.047500000000014</v>
      </c>
      <c r="K411" s="116">
        <v>390.6825</v>
      </c>
      <c r="L411" s="116">
        <f t="shared" si="43"/>
        <v>1278.54</v>
      </c>
      <c r="M411" s="116">
        <f t="shared" si="44"/>
        <v>1562.73</v>
      </c>
      <c r="N411" s="116">
        <v>520.91</v>
      </c>
      <c r="O411" s="116">
        <f t="shared" si="45"/>
        <v>130.22749999999996</v>
      </c>
      <c r="P411" s="116">
        <f t="shared" si="46"/>
        <v>520.90999999999985</v>
      </c>
      <c r="Q411" s="116" t="s">
        <v>2349</v>
      </c>
      <c r="R411" s="116" t="s">
        <v>3155</v>
      </c>
      <c r="S411" s="116" t="str">
        <f t="shared" si="47"/>
        <v>OK - FECHA COM PLANILHA</v>
      </c>
      <c r="T411" s="116">
        <v>1562.73</v>
      </c>
      <c r="U411" s="122">
        <f t="shared" si="48"/>
        <v>0</v>
      </c>
    </row>
    <row r="412" spans="1:21" ht="63.75" x14ac:dyDescent="0.2">
      <c r="A412" s="120" t="s">
        <v>3156</v>
      </c>
      <c r="B412" s="114" t="s">
        <v>1889</v>
      </c>
      <c r="C412" s="114" t="s">
        <v>1890</v>
      </c>
      <c r="D412" s="114" t="s">
        <v>56</v>
      </c>
      <c r="E412" s="114" t="s">
        <v>842</v>
      </c>
      <c r="F412" s="114" t="s">
        <v>84</v>
      </c>
      <c r="G412" s="115">
        <v>4</v>
      </c>
      <c r="H412" s="116">
        <v>211.41749999999999</v>
      </c>
      <c r="I412" s="121">
        <v>0.2223</v>
      </c>
      <c r="J412" s="116">
        <f t="shared" si="42"/>
        <v>46.995000000000033</v>
      </c>
      <c r="K412" s="116">
        <v>258.41250000000002</v>
      </c>
      <c r="L412" s="116">
        <f t="shared" si="43"/>
        <v>845.67</v>
      </c>
      <c r="M412" s="116">
        <f t="shared" si="44"/>
        <v>1033.6500000000001</v>
      </c>
      <c r="N412" s="116">
        <v>344.55</v>
      </c>
      <c r="O412" s="116">
        <f t="shared" si="45"/>
        <v>86.137499999999989</v>
      </c>
      <c r="P412" s="116">
        <f t="shared" si="46"/>
        <v>344.54999999999995</v>
      </c>
      <c r="Q412" s="116" t="s">
        <v>2349</v>
      </c>
      <c r="R412" s="116" t="s">
        <v>3157</v>
      </c>
      <c r="S412" s="116" t="str">
        <f t="shared" si="47"/>
        <v>OK - FECHA COM PLANILHA</v>
      </c>
      <c r="T412" s="116">
        <v>1033.6500000000001</v>
      </c>
      <c r="U412" s="122">
        <f t="shared" si="48"/>
        <v>0</v>
      </c>
    </row>
    <row r="413" spans="1:21" ht="63.75" x14ac:dyDescent="0.2">
      <c r="A413" s="120" t="s">
        <v>3158</v>
      </c>
      <c r="B413" s="114" t="s">
        <v>1891</v>
      </c>
      <c r="C413" s="114" t="s">
        <v>1892</v>
      </c>
      <c r="D413" s="114" t="s">
        <v>56</v>
      </c>
      <c r="E413" s="114" t="s">
        <v>843</v>
      </c>
      <c r="F413" s="114" t="s">
        <v>26</v>
      </c>
      <c r="G413" s="115">
        <v>24.318999999999999</v>
      </c>
      <c r="H413" s="116">
        <v>322.5</v>
      </c>
      <c r="I413" s="121">
        <v>0.2223</v>
      </c>
      <c r="J413" s="116">
        <f t="shared" si="42"/>
        <v>71.685000000000059</v>
      </c>
      <c r="K413" s="116">
        <v>394.18500000000006</v>
      </c>
      <c r="L413" s="116">
        <f t="shared" si="43"/>
        <v>7842.8774999999996</v>
      </c>
      <c r="M413" s="116">
        <f t="shared" si="44"/>
        <v>9586.1850150000009</v>
      </c>
      <c r="N413" s="116">
        <v>525.58000000000004</v>
      </c>
      <c r="O413" s="116">
        <f t="shared" si="45"/>
        <v>131.39499999999998</v>
      </c>
      <c r="P413" s="116">
        <f t="shared" si="46"/>
        <v>3195.3950049999994</v>
      </c>
      <c r="Q413" s="116" t="s">
        <v>2349</v>
      </c>
      <c r="R413" s="116" t="s">
        <v>3159</v>
      </c>
      <c r="S413" s="116" t="str">
        <f t="shared" si="47"/>
        <v>OK - FECHA COM PLANILHA</v>
      </c>
      <c r="T413" s="116">
        <v>9586.18</v>
      </c>
      <c r="U413" s="122">
        <f t="shared" si="48"/>
        <v>5.0150000006397022E-3</v>
      </c>
    </row>
    <row r="414" spans="1:21" ht="63.75" x14ac:dyDescent="0.2">
      <c r="A414" s="120" t="s">
        <v>3160</v>
      </c>
      <c r="B414" s="114" t="s">
        <v>1893</v>
      </c>
      <c r="C414" s="114" t="s">
        <v>1894</v>
      </c>
      <c r="D414" s="114" t="s">
        <v>56</v>
      </c>
      <c r="E414" s="114" t="s">
        <v>847</v>
      </c>
      <c r="F414" s="114" t="s">
        <v>99</v>
      </c>
      <c r="G414" s="115">
        <v>80</v>
      </c>
      <c r="H414" s="116">
        <v>21.315000000000001</v>
      </c>
      <c r="I414" s="121">
        <v>0.2223</v>
      </c>
      <c r="J414" s="116">
        <f t="shared" si="42"/>
        <v>4.7324999999999982</v>
      </c>
      <c r="K414" s="116">
        <v>26.047499999999999</v>
      </c>
      <c r="L414" s="116">
        <f t="shared" si="43"/>
        <v>1705.2</v>
      </c>
      <c r="M414" s="116">
        <f t="shared" si="44"/>
        <v>2083.8000000000002</v>
      </c>
      <c r="N414" s="116">
        <v>34.729999999999997</v>
      </c>
      <c r="O414" s="116">
        <f t="shared" si="45"/>
        <v>8.6824999999999974</v>
      </c>
      <c r="P414" s="116">
        <f t="shared" si="46"/>
        <v>694.5999999999998</v>
      </c>
      <c r="Q414" s="116" t="s">
        <v>2349</v>
      </c>
      <c r="R414" s="116" t="s">
        <v>3161</v>
      </c>
      <c r="S414" s="116" t="str">
        <f t="shared" si="47"/>
        <v>OK - FECHA COM PLANILHA</v>
      </c>
      <c r="T414" s="116">
        <v>2083.8000000000002</v>
      </c>
      <c r="U414" s="122">
        <f t="shared" si="48"/>
        <v>0</v>
      </c>
    </row>
    <row r="415" spans="1:21" ht="63.75" x14ac:dyDescent="0.2">
      <c r="A415" s="120" t="s">
        <v>3162</v>
      </c>
      <c r="B415" s="114" t="s">
        <v>1895</v>
      </c>
      <c r="C415" s="114" t="s">
        <v>1896</v>
      </c>
      <c r="D415" s="114" t="s">
        <v>56</v>
      </c>
      <c r="E415" s="114" t="s">
        <v>1897</v>
      </c>
      <c r="F415" s="114" t="s">
        <v>99</v>
      </c>
      <c r="G415" s="115">
        <v>80</v>
      </c>
      <c r="H415" s="116">
        <v>35.144999999999996</v>
      </c>
      <c r="I415" s="121">
        <v>0.2223</v>
      </c>
      <c r="J415" s="116">
        <f t="shared" si="42"/>
        <v>7.8075000000000045</v>
      </c>
      <c r="K415" s="116">
        <v>42.952500000000001</v>
      </c>
      <c r="L415" s="116">
        <f t="shared" si="43"/>
        <v>2811.5999999999995</v>
      </c>
      <c r="M415" s="116">
        <f t="shared" si="44"/>
        <v>3436.2</v>
      </c>
      <c r="N415" s="116">
        <v>57.27</v>
      </c>
      <c r="O415" s="116">
        <f t="shared" si="45"/>
        <v>14.317500000000003</v>
      </c>
      <c r="P415" s="116">
        <f t="shared" si="46"/>
        <v>1145.4000000000001</v>
      </c>
      <c r="Q415" s="116" t="s">
        <v>2349</v>
      </c>
      <c r="R415" s="116" t="s">
        <v>3163</v>
      </c>
      <c r="S415" s="116" t="str">
        <f t="shared" si="47"/>
        <v>OK - FECHA COM PLANILHA</v>
      </c>
      <c r="T415" s="116">
        <v>3436.2</v>
      </c>
      <c r="U415" s="122">
        <f t="shared" si="48"/>
        <v>0</v>
      </c>
    </row>
    <row r="416" spans="1:21" ht="63.75" x14ac:dyDescent="0.2">
      <c r="A416" s="120" t="s">
        <v>3164</v>
      </c>
      <c r="B416" s="114" t="s">
        <v>1898</v>
      </c>
      <c r="C416" s="114" t="s">
        <v>1899</v>
      </c>
      <c r="D416" s="114" t="s">
        <v>56</v>
      </c>
      <c r="E416" s="114" t="s">
        <v>1900</v>
      </c>
      <c r="F416" s="114" t="s">
        <v>99</v>
      </c>
      <c r="G416" s="115">
        <v>190</v>
      </c>
      <c r="H416" s="116">
        <v>45.082499999999996</v>
      </c>
      <c r="I416" s="121">
        <v>0.2223</v>
      </c>
      <c r="J416" s="116">
        <f t="shared" si="42"/>
        <v>10.020000000000003</v>
      </c>
      <c r="K416" s="116">
        <v>55.102499999999999</v>
      </c>
      <c r="L416" s="116">
        <f t="shared" si="43"/>
        <v>8565.6749999999993</v>
      </c>
      <c r="M416" s="116">
        <f t="shared" si="44"/>
        <v>10469.475</v>
      </c>
      <c r="N416" s="116">
        <v>73.47</v>
      </c>
      <c r="O416" s="116">
        <f t="shared" si="45"/>
        <v>18.3675</v>
      </c>
      <c r="P416" s="116">
        <f t="shared" si="46"/>
        <v>3489.8249999999998</v>
      </c>
      <c r="Q416" s="116" t="s">
        <v>2349</v>
      </c>
      <c r="R416" s="116" t="s">
        <v>3165</v>
      </c>
      <c r="S416" s="116" t="str">
        <f t="shared" si="47"/>
        <v>OK - FECHA COM PLANILHA</v>
      </c>
      <c r="T416" s="116">
        <v>10469.469999999999</v>
      </c>
      <c r="U416" s="122">
        <f t="shared" si="48"/>
        <v>5.0000000010186341E-3</v>
      </c>
    </row>
    <row r="417" spans="1:21" ht="63.75" x14ac:dyDescent="0.2">
      <c r="A417" s="120" t="s">
        <v>3166</v>
      </c>
      <c r="B417" s="114" t="s">
        <v>1901</v>
      </c>
      <c r="C417" s="114" t="s">
        <v>1902</v>
      </c>
      <c r="D417" s="114" t="s">
        <v>56</v>
      </c>
      <c r="E417" s="114" t="s">
        <v>1903</v>
      </c>
      <c r="F417" s="114" t="s">
        <v>99</v>
      </c>
      <c r="G417" s="115">
        <v>90</v>
      </c>
      <c r="H417" s="116">
        <v>58.994999999999997</v>
      </c>
      <c r="I417" s="121">
        <v>0.2223</v>
      </c>
      <c r="J417" s="116">
        <f t="shared" si="42"/>
        <v>13.110000000000007</v>
      </c>
      <c r="K417" s="116">
        <v>72.105000000000004</v>
      </c>
      <c r="L417" s="116">
        <f t="shared" si="43"/>
        <v>5309.55</v>
      </c>
      <c r="M417" s="116">
        <f t="shared" si="44"/>
        <v>6489.4500000000007</v>
      </c>
      <c r="N417" s="116">
        <v>96.14</v>
      </c>
      <c r="O417" s="116">
        <f t="shared" si="45"/>
        <v>24.034999999999997</v>
      </c>
      <c r="P417" s="116">
        <f t="shared" si="46"/>
        <v>2163.1499999999996</v>
      </c>
      <c r="Q417" s="116" t="s">
        <v>2349</v>
      </c>
      <c r="R417" s="116" t="s">
        <v>3167</v>
      </c>
      <c r="S417" s="116" t="str">
        <f t="shared" si="47"/>
        <v>OK - FECHA COM PLANILHA</v>
      </c>
      <c r="T417" s="116">
        <v>6489.45</v>
      </c>
      <c r="U417" s="122">
        <f t="shared" si="48"/>
        <v>0</v>
      </c>
    </row>
    <row r="418" spans="1:21" ht="63.75" x14ac:dyDescent="0.2">
      <c r="A418" s="120" t="s">
        <v>3168</v>
      </c>
      <c r="B418" s="114" t="s">
        <v>1904</v>
      </c>
      <c r="C418" s="114" t="s">
        <v>1905</v>
      </c>
      <c r="D418" s="114" t="s">
        <v>56</v>
      </c>
      <c r="E418" s="114" t="s">
        <v>1906</v>
      </c>
      <c r="F418" s="114" t="s">
        <v>99</v>
      </c>
      <c r="G418" s="115">
        <v>100</v>
      </c>
      <c r="H418" s="116">
        <v>97.41749999999999</v>
      </c>
      <c r="I418" s="121">
        <v>0.2223</v>
      </c>
      <c r="J418" s="116">
        <f t="shared" si="42"/>
        <v>21.652500000000003</v>
      </c>
      <c r="K418" s="116">
        <v>119.07</v>
      </c>
      <c r="L418" s="116">
        <f t="shared" si="43"/>
        <v>9741.7499999999982</v>
      </c>
      <c r="M418" s="116">
        <f t="shared" si="44"/>
        <v>11907</v>
      </c>
      <c r="N418" s="116">
        <v>158.76</v>
      </c>
      <c r="O418" s="116">
        <f t="shared" si="45"/>
        <v>39.69</v>
      </c>
      <c r="P418" s="116">
        <f t="shared" si="46"/>
        <v>3969</v>
      </c>
      <c r="Q418" s="116" t="s">
        <v>2349</v>
      </c>
      <c r="R418" s="116" t="s">
        <v>3169</v>
      </c>
      <c r="S418" s="116" t="str">
        <f t="shared" si="47"/>
        <v>OK - FECHA COM PLANILHA</v>
      </c>
      <c r="T418" s="116">
        <v>11907</v>
      </c>
      <c r="U418" s="122">
        <f t="shared" si="48"/>
        <v>0</v>
      </c>
    </row>
    <row r="419" spans="1:21" ht="63.75" x14ac:dyDescent="0.2">
      <c r="A419" s="120" t="s">
        <v>3170</v>
      </c>
      <c r="B419" s="114" t="s">
        <v>1907</v>
      </c>
      <c r="C419" s="114" t="s">
        <v>852</v>
      </c>
      <c r="D419" s="114" t="s">
        <v>209</v>
      </c>
      <c r="E419" s="114" t="s">
        <v>1908</v>
      </c>
      <c r="F419" s="114" t="s">
        <v>99</v>
      </c>
      <c r="G419" s="115">
        <v>70</v>
      </c>
      <c r="H419" s="116">
        <v>84.292500000000004</v>
      </c>
      <c r="I419" s="121">
        <v>0.2223</v>
      </c>
      <c r="J419" s="116">
        <f t="shared" si="42"/>
        <v>18.734999999999999</v>
      </c>
      <c r="K419" s="116">
        <v>103.0275</v>
      </c>
      <c r="L419" s="116">
        <f t="shared" si="43"/>
        <v>5900.4750000000004</v>
      </c>
      <c r="M419" s="116">
        <f t="shared" si="44"/>
        <v>7211.9250000000002</v>
      </c>
      <c r="N419" s="116">
        <v>137.37</v>
      </c>
      <c r="O419" s="116">
        <f t="shared" si="45"/>
        <v>34.342500000000001</v>
      </c>
      <c r="P419" s="116">
        <f t="shared" si="46"/>
        <v>2403.9749999999999</v>
      </c>
      <c r="Q419" s="116" t="s">
        <v>2458</v>
      </c>
      <c r="R419" s="116" t="s">
        <v>3171</v>
      </c>
      <c r="S419" s="116" t="str">
        <f t="shared" si="47"/>
        <v>OK - FECHA COM PLANILHA</v>
      </c>
      <c r="T419" s="116">
        <v>7211.92</v>
      </c>
      <c r="U419" s="122">
        <f t="shared" si="48"/>
        <v>5.0000000001091394E-3</v>
      </c>
    </row>
    <row r="420" spans="1:21" ht="63.75" x14ac:dyDescent="0.2">
      <c r="A420" s="120" t="s">
        <v>3172</v>
      </c>
      <c r="B420" s="114" t="s">
        <v>1909</v>
      </c>
      <c r="C420" s="114" t="s">
        <v>854</v>
      </c>
      <c r="D420" s="114" t="s">
        <v>209</v>
      </c>
      <c r="E420" s="114" t="s">
        <v>855</v>
      </c>
      <c r="F420" s="114" t="s">
        <v>99</v>
      </c>
      <c r="G420" s="115">
        <v>30</v>
      </c>
      <c r="H420" s="116">
        <v>115.77000000000001</v>
      </c>
      <c r="I420" s="121">
        <v>0.2223</v>
      </c>
      <c r="J420" s="116">
        <f t="shared" si="42"/>
        <v>25.732499999999987</v>
      </c>
      <c r="K420" s="116">
        <v>141.5025</v>
      </c>
      <c r="L420" s="116">
        <f t="shared" si="43"/>
        <v>3473.1000000000004</v>
      </c>
      <c r="M420" s="116">
        <f t="shared" si="44"/>
        <v>4245.0749999999998</v>
      </c>
      <c r="N420" s="116">
        <v>188.67</v>
      </c>
      <c r="O420" s="116">
        <f t="shared" si="45"/>
        <v>47.16749999999999</v>
      </c>
      <c r="P420" s="116">
        <f t="shared" si="46"/>
        <v>1415.0249999999996</v>
      </c>
      <c r="Q420" s="116" t="s">
        <v>2458</v>
      </c>
      <c r="R420" s="116" t="s">
        <v>3173</v>
      </c>
      <c r="S420" s="116" t="str">
        <f t="shared" si="47"/>
        <v>OK - FECHA COM PLANILHA</v>
      </c>
      <c r="T420" s="116">
        <v>4245.07</v>
      </c>
      <c r="U420" s="122">
        <f t="shared" si="48"/>
        <v>5.0000000001091394E-3</v>
      </c>
    </row>
    <row r="421" spans="1:21" ht="63.75" x14ac:dyDescent="0.2">
      <c r="A421" s="120" t="s">
        <v>3174</v>
      </c>
      <c r="B421" s="114" t="s">
        <v>1910</v>
      </c>
      <c r="C421" s="114" t="s">
        <v>856</v>
      </c>
      <c r="D421" s="114" t="s">
        <v>209</v>
      </c>
      <c r="E421" s="114" t="s">
        <v>857</v>
      </c>
      <c r="F421" s="114" t="s">
        <v>99</v>
      </c>
      <c r="G421" s="115">
        <v>50</v>
      </c>
      <c r="H421" s="116">
        <v>160.22999999999999</v>
      </c>
      <c r="I421" s="121">
        <v>0.2223</v>
      </c>
      <c r="J421" s="116">
        <f t="shared" si="42"/>
        <v>35.617500000000007</v>
      </c>
      <c r="K421" s="116">
        <v>195.8475</v>
      </c>
      <c r="L421" s="116">
        <f t="shared" si="43"/>
        <v>8011.4999999999991</v>
      </c>
      <c r="M421" s="116">
        <f t="shared" si="44"/>
        <v>9792.375</v>
      </c>
      <c r="N421" s="116">
        <v>261.13</v>
      </c>
      <c r="O421" s="116">
        <f t="shared" si="45"/>
        <v>65.282499999999999</v>
      </c>
      <c r="P421" s="116">
        <f t="shared" si="46"/>
        <v>3264.125</v>
      </c>
      <c r="Q421" s="116" t="s">
        <v>2458</v>
      </c>
      <c r="R421" s="116" t="s">
        <v>3175</v>
      </c>
      <c r="S421" s="116" t="str">
        <f t="shared" si="47"/>
        <v>OK - FECHA COM PLANILHA</v>
      </c>
      <c r="T421" s="116">
        <v>9792.3700000000008</v>
      </c>
      <c r="U421" s="122">
        <f t="shared" si="48"/>
        <v>4.9999999991996447E-3</v>
      </c>
    </row>
    <row r="422" spans="1:21" ht="63.75" x14ac:dyDescent="0.2">
      <c r="A422" s="120" t="s">
        <v>3176</v>
      </c>
      <c r="B422" s="114" t="s">
        <v>1911</v>
      </c>
      <c r="C422" s="114" t="s">
        <v>858</v>
      </c>
      <c r="D422" s="114" t="s">
        <v>209</v>
      </c>
      <c r="E422" s="114" t="s">
        <v>859</v>
      </c>
      <c r="F422" s="114" t="s">
        <v>99</v>
      </c>
      <c r="G422" s="115">
        <v>40</v>
      </c>
      <c r="H422" s="116">
        <v>200.01</v>
      </c>
      <c r="I422" s="121">
        <v>0.2223</v>
      </c>
      <c r="J422" s="116">
        <f t="shared" si="42"/>
        <v>44.45999999999998</v>
      </c>
      <c r="K422" s="116">
        <v>244.46999999999997</v>
      </c>
      <c r="L422" s="116">
        <f t="shared" si="43"/>
        <v>8000.4</v>
      </c>
      <c r="M422" s="116">
        <f t="shared" si="44"/>
        <v>9778.7999999999993</v>
      </c>
      <c r="N422" s="116">
        <v>325.95999999999998</v>
      </c>
      <c r="O422" s="116">
        <f t="shared" si="45"/>
        <v>81.490000000000009</v>
      </c>
      <c r="P422" s="116">
        <f t="shared" si="46"/>
        <v>3259.6000000000004</v>
      </c>
      <c r="Q422" s="116" t="s">
        <v>2458</v>
      </c>
      <c r="R422" s="116" t="s">
        <v>3177</v>
      </c>
      <c r="S422" s="116" t="str">
        <f t="shared" si="47"/>
        <v>OK - FECHA COM PLANILHA</v>
      </c>
      <c r="T422" s="116">
        <v>9778.7999999999993</v>
      </c>
      <c r="U422" s="122">
        <f t="shared" si="48"/>
        <v>0</v>
      </c>
    </row>
    <row r="423" spans="1:21" ht="63.75" x14ac:dyDescent="0.2">
      <c r="A423" s="120" t="s">
        <v>3178</v>
      </c>
      <c r="B423" s="114" t="s">
        <v>1912</v>
      </c>
      <c r="C423" s="114" t="s">
        <v>860</v>
      </c>
      <c r="D423" s="114" t="s">
        <v>209</v>
      </c>
      <c r="E423" s="114" t="s">
        <v>861</v>
      </c>
      <c r="F423" s="114" t="s">
        <v>99</v>
      </c>
      <c r="G423" s="115">
        <v>10</v>
      </c>
      <c r="H423" s="116">
        <v>259.38750000000005</v>
      </c>
      <c r="I423" s="121">
        <v>0.2223</v>
      </c>
      <c r="J423" s="116">
        <f t="shared" si="42"/>
        <v>57.659999999999968</v>
      </c>
      <c r="K423" s="116">
        <v>317.04750000000001</v>
      </c>
      <c r="L423" s="116">
        <f t="shared" si="43"/>
        <v>2593.8750000000005</v>
      </c>
      <c r="M423" s="116">
        <f t="shared" si="44"/>
        <v>3170.4750000000004</v>
      </c>
      <c r="N423" s="116">
        <v>422.73</v>
      </c>
      <c r="O423" s="116">
        <f t="shared" si="45"/>
        <v>105.6825</v>
      </c>
      <c r="P423" s="116">
        <f t="shared" si="46"/>
        <v>1056.825</v>
      </c>
      <c r="Q423" s="116" t="s">
        <v>2549</v>
      </c>
      <c r="R423" s="116" t="s">
        <v>3179</v>
      </c>
      <c r="S423" s="116" t="str">
        <f t="shared" si="47"/>
        <v>OK - FECHA COM PLANILHA</v>
      </c>
      <c r="T423" s="116">
        <v>3170.47</v>
      </c>
      <c r="U423" s="122">
        <f t="shared" si="48"/>
        <v>5.0000000005638867E-3</v>
      </c>
    </row>
    <row r="424" spans="1:21" ht="63.75" x14ac:dyDescent="0.2">
      <c r="A424" s="120" t="s">
        <v>3180</v>
      </c>
      <c r="B424" s="114" t="s">
        <v>1913</v>
      </c>
      <c r="C424" s="114" t="s">
        <v>862</v>
      </c>
      <c r="D424" s="114" t="s">
        <v>209</v>
      </c>
      <c r="E424" s="114" t="s">
        <v>863</v>
      </c>
      <c r="F424" s="114" t="s">
        <v>99</v>
      </c>
      <c r="G424" s="115">
        <v>20</v>
      </c>
      <c r="H424" s="116">
        <v>340.85250000000002</v>
      </c>
      <c r="I424" s="121">
        <v>0.2223</v>
      </c>
      <c r="J424" s="116">
        <f t="shared" si="42"/>
        <v>75.764999999999986</v>
      </c>
      <c r="K424" s="116">
        <v>416.61750000000001</v>
      </c>
      <c r="L424" s="116">
        <f t="shared" si="43"/>
        <v>6817.05</v>
      </c>
      <c r="M424" s="116">
        <f t="shared" si="44"/>
        <v>8332.35</v>
      </c>
      <c r="N424" s="116">
        <v>555.49</v>
      </c>
      <c r="O424" s="116">
        <f t="shared" si="45"/>
        <v>138.8725</v>
      </c>
      <c r="P424" s="116">
        <f t="shared" si="46"/>
        <v>2777.45</v>
      </c>
      <c r="Q424" s="116" t="s">
        <v>2458</v>
      </c>
      <c r="R424" s="116" t="s">
        <v>3181</v>
      </c>
      <c r="S424" s="116" t="str">
        <f t="shared" si="47"/>
        <v>OK - FECHA COM PLANILHA</v>
      </c>
      <c r="T424" s="116">
        <v>8332.35</v>
      </c>
      <c r="U424" s="122">
        <f t="shared" si="48"/>
        <v>0</v>
      </c>
    </row>
    <row r="425" spans="1:21" ht="76.5" x14ac:dyDescent="0.2">
      <c r="A425" s="120" t="s">
        <v>3182</v>
      </c>
      <c r="B425" s="114" t="s">
        <v>1914</v>
      </c>
      <c r="C425" s="114" t="s">
        <v>1915</v>
      </c>
      <c r="D425" s="114" t="s">
        <v>24</v>
      </c>
      <c r="E425" s="114" t="s">
        <v>865</v>
      </c>
      <c r="F425" s="114" t="s">
        <v>84</v>
      </c>
      <c r="G425" s="115">
        <v>3</v>
      </c>
      <c r="H425" s="116">
        <v>1006.2825</v>
      </c>
      <c r="I425" s="121">
        <v>0.2223</v>
      </c>
      <c r="J425" s="116">
        <f t="shared" si="42"/>
        <v>223.69499999999994</v>
      </c>
      <c r="K425" s="116">
        <v>1229.9775</v>
      </c>
      <c r="L425" s="116">
        <f t="shared" si="43"/>
        <v>3018.8474999999999</v>
      </c>
      <c r="M425" s="116">
        <f t="shared" si="44"/>
        <v>3689.9324999999999</v>
      </c>
      <c r="N425" s="116">
        <v>1639.97</v>
      </c>
      <c r="O425" s="116">
        <f t="shared" si="45"/>
        <v>409.99250000000006</v>
      </c>
      <c r="P425" s="116">
        <f t="shared" si="46"/>
        <v>1229.9775000000002</v>
      </c>
      <c r="Q425" s="116" t="s">
        <v>2332</v>
      </c>
      <c r="R425" s="116" t="s">
        <v>3183</v>
      </c>
      <c r="S425" s="116" t="str">
        <f t="shared" si="47"/>
        <v>OK - FECHA COM PLANILHA</v>
      </c>
      <c r="T425" s="116">
        <v>3689.93</v>
      </c>
      <c r="U425" s="122">
        <f t="shared" si="48"/>
        <v>2.5000000000545697E-3</v>
      </c>
    </row>
    <row r="426" spans="1:21" ht="76.5" x14ac:dyDescent="0.2">
      <c r="A426" s="120" t="s">
        <v>3184</v>
      </c>
      <c r="B426" s="114" t="s">
        <v>1916</v>
      </c>
      <c r="C426" s="114" t="s">
        <v>1917</v>
      </c>
      <c r="D426" s="114" t="s">
        <v>24</v>
      </c>
      <c r="E426" s="114" t="s">
        <v>1918</v>
      </c>
      <c r="F426" s="114" t="s">
        <v>84</v>
      </c>
      <c r="G426" s="115">
        <v>4</v>
      </c>
      <c r="H426" s="116">
        <v>931.52250000000004</v>
      </c>
      <c r="I426" s="121">
        <v>0.2223</v>
      </c>
      <c r="J426" s="116">
        <f t="shared" si="42"/>
        <v>207.07500000000005</v>
      </c>
      <c r="K426" s="116">
        <v>1138.5975000000001</v>
      </c>
      <c r="L426" s="116">
        <f t="shared" si="43"/>
        <v>3726.09</v>
      </c>
      <c r="M426" s="116">
        <f t="shared" si="44"/>
        <v>4554.3900000000003</v>
      </c>
      <c r="N426" s="116">
        <v>1518.13</v>
      </c>
      <c r="O426" s="116">
        <f t="shared" si="45"/>
        <v>379.53250000000003</v>
      </c>
      <c r="P426" s="116">
        <f t="shared" si="46"/>
        <v>1518.13</v>
      </c>
      <c r="Q426" s="116" t="s">
        <v>2332</v>
      </c>
      <c r="R426" s="116" t="s">
        <v>3185</v>
      </c>
      <c r="S426" s="116" t="str">
        <f t="shared" si="47"/>
        <v>OK - FECHA COM PLANILHA</v>
      </c>
      <c r="T426" s="116">
        <v>4554.3900000000003</v>
      </c>
      <c r="U426" s="122">
        <f t="shared" si="48"/>
        <v>0</v>
      </c>
    </row>
    <row r="427" spans="1:21" ht="76.5" x14ac:dyDescent="0.2">
      <c r="A427" s="120" t="s">
        <v>3186</v>
      </c>
      <c r="B427" s="114" t="s">
        <v>1919</v>
      </c>
      <c r="C427" s="114" t="s">
        <v>1920</v>
      </c>
      <c r="D427" s="114" t="s">
        <v>24</v>
      </c>
      <c r="E427" s="114" t="s">
        <v>1921</v>
      </c>
      <c r="F427" s="114" t="s">
        <v>84</v>
      </c>
      <c r="G427" s="115">
        <v>21</v>
      </c>
      <c r="H427" s="116">
        <v>294.11249999999995</v>
      </c>
      <c r="I427" s="121">
        <v>0.2223</v>
      </c>
      <c r="J427" s="116">
        <f t="shared" si="42"/>
        <v>65.377500000000055</v>
      </c>
      <c r="K427" s="116">
        <v>359.49</v>
      </c>
      <c r="L427" s="116">
        <f t="shared" si="43"/>
        <v>6176.3624999999993</v>
      </c>
      <c r="M427" s="116">
        <f t="shared" si="44"/>
        <v>7549.29</v>
      </c>
      <c r="N427" s="116">
        <v>479.32</v>
      </c>
      <c r="O427" s="116">
        <f t="shared" si="45"/>
        <v>119.82999999999998</v>
      </c>
      <c r="P427" s="116">
        <f t="shared" si="46"/>
        <v>2516.4299999999998</v>
      </c>
      <c r="Q427" s="116" t="s">
        <v>2332</v>
      </c>
      <c r="R427" s="116" t="s">
        <v>3187</v>
      </c>
      <c r="S427" s="116" t="str">
        <f t="shared" si="47"/>
        <v>OK - FECHA COM PLANILHA</v>
      </c>
      <c r="T427" s="116">
        <v>7549.29</v>
      </c>
      <c r="U427" s="122">
        <f t="shared" si="48"/>
        <v>0</v>
      </c>
    </row>
    <row r="428" spans="1:21" ht="76.5" x14ac:dyDescent="0.2">
      <c r="A428" s="120" t="s">
        <v>3188</v>
      </c>
      <c r="B428" s="114" t="s">
        <v>1922</v>
      </c>
      <c r="C428" s="114" t="s">
        <v>1923</v>
      </c>
      <c r="D428" s="114" t="s">
        <v>24</v>
      </c>
      <c r="E428" s="114" t="s">
        <v>1924</v>
      </c>
      <c r="F428" s="114" t="s">
        <v>84</v>
      </c>
      <c r="G428" s="115">
        <v>7</v>
      </c>
      <c r="H428" s="116">
        <v>652.755</v>
      </c>
      <c r="I428" s="121">
        <v>0.2223</v>
      </c>
      <c r="J428" s="116">
        <f t="shared" si="42"/>
        <v>145.10249999999996</v>
      </c>
      <c r="K428" s="116">
        <v>797.85749999999996</v>
      </c>
      <c r="L428" s="116">
        <f t="shared" si="43"/>
        <v>4569.2849999999999</v>
      </c>
      <c r="M428" s="116">
        <f t="shared" si="44"/>
        <v>5585.0024999999996</v>
      </c>
      <c r="N428" s="116">
        <v>1063.81</v>
      </c>
      <c r="O428" s="116">
        <f t="shared" si="45"/>
        <v>265.95249999999999</v>
      </c>
      <c r="P428" s="116">
        <f t="shared" si="46"/>
        <v>1861.6675</v>
      </c>
      <c r="Q428" s="116" t="s">
        <v>2332</v>
      </c>
      <c r="R428" s="116" t="s">
        <v>3189</v>
      </c>
      <c r="S428" s="116" t="str">
        <f t="shared" si="47"/>
        <v>OK - FECHA COM PLANILHA</v>
      </c>
      <c r="T428" s="116">
        <v>5585</v>
      </c>
      <c r="U428" s="122">
        <f t="shared" si="48"/>
        <v>2.4999999995998223E-3</v>
      </c>
    </row>
    <row r="429" spans="1:21" ht="63.75" x14ac:dyDescent="0.2">
      <c r="A429" s="120" t="s">
        <v>3190</v>
      </c>
      <c r="B429" s="114" t="s">
        <v>1925</v>
      </c>
      <c r="C429" s="114" t="s">
        <v>872</v>
      </c>
      <c r="D429" s="114" t="s">
        <v>209</v>
      </c>
      <c r="E429" s="114" t="s">
        <v>873</v>
      </c>
      <c r="F429" s="114" t="s">
        <v>84</v>
      </c>
      <c r="G429" s="115">
        <v>16</v>
      </c>
      <c r="H429" s="116">
        <v>167.08500000000001</v>
      </c>
      <c r="I429" s="121">
        <v>0.2223</v>
      </c>
      <c r="J429" s="116">
        <f t="shared" si="42"/>
        <v>37.140000000000015</v>
      </c>
      <c r="K429" s="116">
        <v>204.22500000000002</v>
      </c>
      <c r="L429" s="116">
        <f t="shared" si="43"/>
        <v>2673.36</v>
      </c>
      <c r="M429" s="116">
        <f t="shared" si="44"/>
        <v>3267.6000000000004</v>
      </c>
      <c r="N429" s="116">
        <v>272.3</v>
      </c>
      <c r="O429" s="116">
        <f t="shared" si="45"/>
        <v>68.074999999999989</v>
      </c>
      <c r="P429" s="116">
        <f t="shared" si="46"/>
        <v>1089.1999999999998</v>
      </c>
      <c r="Q429" s="116" t="s">
        <v>2458</v>
      </c>
      <c r="R429" s="116" t="s">
        <v>3191</v>
      </c>
      <c r="S429" s="116" t="str">
        <f t="shared" si="47"/>
        <v>OK - FECHA COM PLANILHA</v>
      </c>
      <c r="T429" s="116">
        <v>3267.6</v>
      </c>
      <c r="U429" s="122">
        <f t="shared" si="48"/>
        <v>0</v>
      </c>
    </row>
    <row r="430" spans="1:21" ht="63.75" x14ac:dyDescent="0.2">
      <c r="A430" s="120" t="s">
        <v>3192</v>
      </c>
      <c r="B430" s="114" t="s">
        <v>1926</v>
      </c>
      <c r="C430" s="114" t="s">
        <v>874</v>
      </c>
      <c r="D430" s="114" t="s">
        <v>209</v>
      </c>
      <c r="E430" s="114" t="s">
        <v>875</v>
      </c>
      <c r="F430" s="114" t="s">
        <v>84</v>
      </c>
      <c r="G430" s="115">
        <v>17</v>
      </c>
      <c r="H430" s="116">
        <v>168.20250000000001</v>
      </c>
      <c r="I430" s="121">
        <v>0.2223</v>
      </c>
      <c r="J430" s="116">
        <f t="shared" si="42"/>
        <v>37.387499999999989</v>
      </c>
      <c r="K430" s="116">
        <v>205.59</v>
      </c>
      <c r="L430" s="116">
        <f t="shared" si="43"/>
        <v>2859.4425000000001</v>
      </c>
      <c r="M430" s="116">
        <f t="shared" si="44"/>
        <v>3495.03</v>
      </c>
      <c r="N430" s="116">
        <v>274.12</v>
      </c>
      <c r="O430" s="116">
        <f t="shared" si="45"/>
        <v>68.53</v>
      </c>
      <c r="P430" s="116">
        <f t="shared" si="46"/>
        <v>1165.01</v>
      </c>
      <c r="Q430" s="116" t="s">
        <v>2458</v>
      </c>
      <c r="R430" s="116" t="s">
        <v>3193</v>
      </c>
      <c r="S430" s="116" t="str">
        <f t="shared" si="47"/>
        <v>OK - FECHA COM PLANILHA</v>
      </c>
      <c r="T430" s="116">
        <v>3495.03</v>
      </c>
      <c r="U430" s="122">
        <f t="shared" si="48"/>
        <v>0</v>
      </c>
    </row>
    <row r="431" spans="1:21" ht="63.75" x14ac:dyDescent="0.2">
      <c r="A431" s="120" t="s">
        <v>3194</v>
      </c>
      <c r="B431" s="114" t="s">
        <v>1927</v>
      </c>
      <c r="C431" s="114" t="s">
        <v>876</v>
      </c>
      <c r="D431" s="114" t="s">
        <v>209</v>
      </c>
      <c r="E431" s="114" t="s">
        <v>877</v>
      </c>
      <c r="F431" s="114" t="s">
        <v>84</v>
      </c>
      <c r="G431" s="115">
        <v>18</v>
      </c>
      <c r="H431" s="116">
        <v>170.26500000000001</v>
      </c>
      <c r="I431" s="121">
        <v>0.2223</v>
      </c>
      <c r="J431" s="116">
        <f t="shared" si="42"/>
        <v>37.844999999999999</v>
      </c>
      <c r="K431" s="116">
        <v>208.11</v>
      </c>
      <c r="L431" s="116">
        <f t="shared" si="43"/>
        <v>3064.7700000000004</v>
      </c>
      <c r="M431" s="116">
        <f t="shared" si="44"/>
        <v>3745.9800000000005</v>
      </c>
      <c r="N431" s="116">
        <v>277.48</v>
      </c>
      <c r="O431" s="116">
        <f t="shared" si="45"/>
        <v>69.37</v>
      </c>
      <c r="P431" s="116">
        <f t="shared" si="46"/>
        <v>1248.6600000000001</v>
      </c>
      <c r="Q431" s="116" t="s">
        <v>2458</v>
      </c>
      <c r="R431" s="116" t="s">
        <v>3195</v>
      </c>
      <c r="S431" s="116" t="str">
        <f t="shared" si="47"/>
        <v>OK - FECHA COM PLANILHA</v>
      </c>
      <c r="T431" s="116">
        <v>3745.98</v>
      </c>
      <c r="U431" s="122">
        <f t="shared" si="48"/>
        <v>0</v>
      </c>
    </row>
    <row r="432" spans="1:21" ht="63.75" x14ac:dyDescent="0.2">
      <c r="A432" s="120" t="s">
        <v>3196</v>
      </c>
      <c r="B432" s="114" t="s">
        <v>1928</v>
      </c>
      <c r="C432" s="114" t="s">
        <v>1929</v>
      </c>
      <c r="D432" s="114" t="s">
        <v>209</v>
      </c>
      <c r="E432" s="114" t="s">
        <v>1930</v>
      </c>
      <c r="F432" s="114" t="s">
        <v>84</v>
      </c>
      <c r="G432" s="115">
        <v>17</v>
      </c>
      <c r="H432" s="116">
        <v>174.91499999999999</v>
      </c>
      <c r="I432" s="121">
        <v>0.2223</v>
      </c>
      <c r="J432" s="116">
        <f t="shared" si="42"/>
        <v>38.880000000000024</v>
      </c>
      <c r="K432" s="116">
        <v>213.79500000000002</v>
      </c>
      <c r="L432" s="116">
        <f t="shared" si="43"/>
        <v>2973.5549999999998</v>
      </c>
      <c r="M432" s="116">
        <f t="shared" si="44"/>
        <v>3634.5150000000003</v>
      </c>
      <c r="N432" s="116">
        <v>285.06</v>
      </c>
      <c r="O432" s="116">
        <f t="shared" si="45"/>
        <v>71.264999999999986</v>
      </c>
      <c r="P432" s="116">
        <f t="shared" si="46"/>
        <v>1211.5049999999997</v>
      </c>
      <c r="Q432" s="116" t="s">
        <v>2458</v>
      </c>
      <c r="R432" s="116" t="s">
        <v>3197</v>
      </c>
      <c r="S432" s="116" t="str">
        <f t="shared" si="47"/>
        <v>OK - FECHA COM PLANILHA</v>
      </c>
      <c r="T432" s="116">
        <v>3634.51</v>
      </c>
      <c r="U432" s="122">
        <f t="shared" si="48"/>
        <v>5.0000000001091394E-3</v>
      </c>
    </row>
    <row r="433" spans="1:21" ht="63.75" x14ac:dyDescent="0.2">
      <c r="A433" s="120" t="s">
        <v>3198</v>
      </c>
      <c r="B433" s="114" t="s">
        <v>1931</v>
      </c>
      <c r="C433" s="114" t="s">
        <v>1932</v>
      </c>
      <c r="D433" s="114" t="s">
        <v>209</v>
      </c>
      <c r="E433" s="114" t="s">
        <v>1933</v>
      </c>
      <c r="F433" s="114" t="s">
        <v>84</v>
      </c>
      <c r="G433" s="115">
        <v>2</v>
      </c>
      <c r="H433" s="116">
        <v>233.38499999999999</v>
      </c>
      <c r="I433" s="121">
        <v>0.2223</v>
      </c>
      <c r="J433" s="116">
        <f t="shared" si="42"/>
        <v>51.877500000000055</v>
      </c>
      <c r="K433" s="116">
        <v>285.26250000000005</v>
      </c>
      <c r="L433" s="116">
        <f t="shared" si="43"/>
        <v>466.77</v>
      </c>
      <c r="M433" s="116">
        <f t="shared" si="44"/>
        <v>570.52500000000009</v>
      </c>
      <c r="N433" s="116">
        <v>380.35</v>
      </c>
      <c r="O433" s="116">
        <f t="shared" si="45"/>
        <v>95.087499999999977</v>
      </c>
      <c r="P433" s="116">
        <f t="shared" si="46"/>
        <v>190.17499999999995</v>
      </c>
      <c r="Q433" s="116" t="s">
        <v>2458</v>
      </c>
      <c r="R433" s="116" t="s">
        <v>3199</v>
      </c>
      <c r="S433" s="116" t="str">
        <f t="shared" si="47"/>
        <v>OK - FECHA COM PLANILHA</v>
      </c>
      <c r="T433" s="116">
        <v>570.52</v>
      </c>
      <c r="U433" s="122">
        <f t="shared" si="48"/>
        <v>5.0000000001091394E-3</v>
      </c>
    </row>
    <row r="434" spans="1:21" ht="63.75" x14ac:dyDescent="0.2">
      <c r="A434" s="120" t="s">
        <v>3200</v>
      </c>
      <c r="B434" s="114" t="s">
        <v>1934</v>
      </c>
      <c r="C434" s="114" t="s">
        <v>1935</v>
      </c>
      <c r="D434" s="114" t="s">
        <v>335</v>
      </c>
      <c r="E434" s="114" t="s">
        <v>882</v>
      </c>
      <c r="F434" s="114" t="s">
        <v>99</v>
      </c>
      <c r="G434" s="115">
        <v>490</v>
      </c>
      <c r="H434" s="116">
        <v>12.285</v>
      </c>
      <c r="I434" s="121">
        <v>0.2223</v>
      </c>
      <c r="J434" s="116">
        <f t="shared" si="42"/>
        <v>2.7300000000000004</v>
      </c>
      <c r="K434" s="116">
        <v>15.015000000000001</v>
      </c>
      <c r="L434" s="116">
        <f t="shared" si="43"/>
        <v>6019.65</v>
      </c>
      <c r="M434" s="116">
        <f t="shared" si="44"/>
        <v>7357.35</v>
      </c>
      <c r="N434" s="116">
        <v>20.02</v>
      </c>
      <c r="O434" s="116">
        <f t="shared" si="45"/>
        <v>5.004999999999999</v>
      </c>
      <c r="P434" s="116">
        <f t="shared" si="46"/>
        <v>2452.4499999999994</v>
      </c>
      <c r="Q434" s="116" t="s">
        <v>2589</v>
      </c>
      <c r="R434" s="116" t="s">
        <v>3201</v>
      </c>
      <c r="S434" s="116" t="str">
        <f t="shared" si="47"/>
        <v>OK - FECHA COM PLANILHA</v>
      </c>
      <c r="T434" s="116">
        <v>7357.35</v>
      </c>
      <c r="U434" s="122">
        <f t="shared" si="48"/>
        <v>0</v>
      </c>
    </row>
    <row r="435" spans="1:21" ht="63.75" x14ac:dyDescent="0.2">
      <c r="A435" s="120" t="s">
        <v>3202</v>
      </c>
      <c r="B435" s="114" t="s">
        <v>1936</v>
      </c>
      <c r="C435" s="114" t="s">
        <v>1937</v>
      </c>
      <c r="D435" s="114" t="s">
        <v>56</v>
      </c>
      <c r="E435" s="114" t="s">
        <v>885</v>
      </c>
      <c r="F435" s="114" t="s">
        <v>84</v>
      </c>
      <c r="G435" s="115">
        <v>17</v>
      </c>
      <c r="H435" s="116">
        <v>5068.1025</v>
      </c>
      <c r="I435" s="121">
        <v>0.2223</v>
      </c>
      <c r="J435" s="116">
        <f t="shared" si="42"/>
        <v>774.30000000000018</v>
      </c>
      <c r="K435" s="116">
        <v>5842.4025000000001</v>
      </c>
      <c r="L435" s="116">
        <f t="shared" si="43"/>
        <v>86157.742499999993</v>
      </c>
      <c r="M435" s="116">
        <f t="shared" si="44"/>
        <v>99320.842499999999</v>
      </c>
      <c r="N435" s="116">
        <v>7789.87</v>
      </c>
      <c r="O435" s="116">
        <f t="shared" si="45"/>
        <v>1947.4674999999997</v>
      </c>
      <c r="P435" s="116">
        <f t="shared" si="46"/>
        <v>33106.947499999995</v>
      </c>
      <c r="Q435" s="116" t="s">
        <v>2349</v>
      </c>
      <c r="R435" s="116" t="s">
        <v>3203</v>
      </c>
      <c r="S435" s="116" t="str">
        <f t="shared" si="47"/>
        <v>OK - FECHA COM PLANILHA</v>
      </c>
      <c r="T435" s="116">
        <v>99320.84</v>
      </c>
      <c r="U435" s="122">
        <f t="shared" si="48"/>
        <v>2.5000000023283064E-3</v>
      </c>
    </row>
    <row r="436" spans="1:21" ht="63.75" x14ac:dyDescent="0.2">
      <c r="A436" s="120" t="s">
        <v>3204</v>
      </c>
      <c r="B436" s="114" t="s">
        <v>1938</v>
      </c>
      <c r="C436" s="114" t="s">
        <v>1939</v>
      </c>
      <c r="D436" s="114" t="s">
        <v>56</v>
      </c>
      <c r="E436" s="114" t="s">
        <v>887</v>
      </c>
      <c r="F436" s="114" t="s">
        <v>84</v>
      </c>
      <c r="G436" s="115">
        <v>14</v>
      </c>
      <c r="H436" s="116">
        <v>6224.7150000000001</v>
      </c>
      <c r="I436" s="121">
        <v>0.2223</v>
      </c>
      <c r="J436" s="116">
        <f t="shared" si="42"/>
        <v>951.01499999999942</v>
      </c>
      <c r="K436" s="116">
        <v>7175.73</v>
      </c>
      <c r="L436" s="116">
        <f t="shared" si="43"/>
        <v>87146.010000000009</v>
      </c>
      <c r="M436" s="116">
        <f t="shared" si="44"/>
        <v>100460.22</v>
      </c>
      <c r="N436" s="116">
        <v>9567.64</v>
      </c>
      <c r="O436" s="116">
        <f t="shared" si="45"/>
        <v>2391.91</v>
      </c>
      <c r="P436" s="116">
        <f t="shared" si="46"/>
        <v>33486.74</v>
      </c>
      <c r="Q436" s="116" t="s">
        <v>2349</v>
      </c>
      <c r="R436" s="116" t="s">
        <v>3205</v>
      </c>
      <c r="S436" s="116" t="str">
        <f t="shared" si="47"/>
        <v>OK - FECHA COM PLANILHA</v>
      </c>
      <c r="T436" s="116">
        <v>100460.22</v>
      </c>
      <c r="U436" s="122">
        <f t="shared" si="48"/>
        <v>0</v>
      </c>
    </row>
    <row r="437" spans="1:21" ht="63.75" x14ac:dyDescent="0.2">
      <c r="A437" s="120" t="s">
        <v>3206</v>
      </c>
      <c r="B437" s="114" t="s">
        <v>1940</v>
      </c>
      <c r="C437" s="114" t="s">
        <v>1941</v>
      </c>
      <c r="D437" s="114" t="s">
        <v>56</v>
      </c>
      <c r="E437" s="114" t="s">
        <v>889</v>
      </c>
      <c r="F437" s="114" t="s">
        <v>84</v>
      </c>
      <c r="G437" s="115">
        <v>2</v>
      </c>
      <c r="H437" s="116">
        <v>9147.067500000001</v>
      </c>
      <c r="I437" s="121">
        <v>0.2223</v>
      </c>
      <c r="J437" s="116">
        <f t="shared" si="42"/>
        <v>1397.489999999998</v>
      </c>
      <c r="K437" s="116">
        <v>10544.557499999999</v>
      </c>
      <c r="L437" s="116">
        <f t="shared" si="43"/>
        <v>18294.135000000002</v>
      </c>
      <c r="M437" s="116">
        <f t="shared" si="44"/>
        <v>21089.114999999998</v>
      </c>
      <c r="N437" s="116">
        <v>14059.41</v>
      </c>
      <c r="O437" s="116">
        <f t="shared" si="45"/>
        <v>3514.8525000000009</v>
      </c>
      <c r="P437" s="116">
        <f t="shared" si="46"/>
        <v>7029.7050000000017</v>
      </c>
      <c r="Q437" s="116" t="s">
        <v>2349</v>
      </c>
      <c r="R437" s="116" t="s">
        <v>3207</v>
      </c>
      <c r="S437" s="116" t="str">
        <f t="shared" si="47"/>
        <v>OK - FECHA COM PLANILHA</v>
      </c>
      <c r="T437" s="116">
        <v>21089.11</v>
      </c>
      <c r="U437" s="122">
        <f t="shared" si="48"/>
        <v>4.9999999973806553E-3</v>
      </c>
    </row>
    <row r="438" spans="1:21" ht="63.75" x14ac:dyDescent="0.2">
      <c r="A438" s="120" t="s">
        <v>3208</v>
      </c>
      <c r="B438" s="114" t="s">
        <v>1942</v>
      </c>
      <c r="C438" s="114" t="s">
        <v>1943</v>
      </c>
      <c r="D438" s="114" t="s">
        <v>56</v>
      </c>
      <c r="E438" s="114" t="s">
        <v>891</v>
      </c>
      <c r="F438" s="114" t="s">
        <v>84</v>
      </c>
      <c r="G438" s="115">
        <v>2</v>
      </c>
      <c r="H438" s="116">
        <v>9726.2024999999994</v>
      </c>
      <c r="I438" s="121">
        <v>0.2223</v>
      </c>
      <c r="J438" s="116">
        <f t="shared" si="42"/>
        <v>1485.9675000000007</v>
      </c>
      <c r="K438" s="116">
        <v>11212.17</v>
      </c>
      <c r="L438" s="116">
        <f t="shared" si="43"/>
        <v>19452.404999999999</v>
      </c>
      <c r="M438" s="116">
        <f t="shared" si="44"/>
        <v>22424.34</v>
      </c>
      <c r="N438" s="116">
        <v>14949.56</v>
      </c>
      <c r="O438" s="116">
        <f t="shared" si="45"/>
        <v>3737.3899999999994</v>
      </c>
      <c r="P438" s="116">
        <f t="shared" si="46"/>
        <v>7474.7799999999988</v>
      </c>
      <c r="Q438" s="116" t="s">
        <v>2349</v>
      </c>
      <c r="R438" s="116" t="s">
        <v>3209</v>
      </c>
      <c r="S438" s="116" t="str">
        <f t="shared" si="47"/>
        <v>OK - FECHA COM PLANILHA</v>
      </c>
      <c r="T438" s="116">
        <v>22424.34</v>
      </c>
      <c r="U438" s="122">
        <f t="shared" si="48"/>
        <v>0</v>
      </c>
    </row>
    <row r="439" spans="1:21" ht="63.75" x14ac:dyDescent="0.2">
      <c r="A439" s="120" t="s">
        <v>3210</v>
      </c>
      <c r="B439" s="114" t="s">
        <v>1944</v>
      </c>
      <c r="C439" s="114" t="s">
        <v>1945</v>
      </c>
      <c r="D439" s="114" t="s">
        <v>24</v>
      </c>
      <c r="E439" s="114" t="s">
        <v>894</v>
      </c>
      <c r="F439" s="114" t="s">
        <v>84</v>
      </c>
      <c r="G439" s="115">
        <v>1</v>
      </c>
      <c r="H439" s="116">
        <v>44898.21</v>
      </c>
      <c r="I439" s="121">
        <v>0.2223</v>
      </c>
      <c r="J439" s="116">
        <f t="shared" si="42"/>
        <v>6859.5674999999974</v>
      </c>
      <c r="K439" s="116">
        <v>51757.777499999997</v>
      </c>
      <c r="L439" s="116">
        <f t="shared" si="43"/>
        <v>44898.21</v>
      </c>
      <c r="M439" s="116">
        <f t="shared" si="44"/>
        <v>51757.777499999997</v>
      </c>
      <c r="N439" s="116">
        <v>69010.37</v>
      </c>
      <c r="O439" s="116">
        <f t="shared" si="45"/>
        <v>17252.592499999999</v>
      </c>
      <c r="P439" s="116">
        <f t="shared" si="46"/>
        <v>17252.592499999999</v>
      </c>
      <c r="Q439" s="116" t="s">
        <v>2332</v>
      </c>
      <c r="R439" s="116" t="s">
        <v>3211</v>
      </c>
      <c r="S439" s="116" t="str">
        <f t="shared" si="47"/>
        <v>OK - FECHA COM PLANILHA</v>
      </c>
      <c r="T439" s="116">
        <v>51757.77</v>
      </c>
      <c r="U439" s="122">
        <f t="shared" si="48"/>
        <v>7.4999999997089617E-3</v>
      </c>
    </row>
    <row r="440" spans="1:21" ht="63.75" x14ac:dyDescent="0.2">
      <c r="A440" s="120" t="s">
        <v>3212</v>
      </c>
      <c r="B440" s="114" t="s">
        <v>1946</v>
      </c>
      <c r="C440" s="114" t="s">
        <v>1947</v>
      </c>
      <c r="D440" s="114" t="s">
        <v>24</v>
      </c>
      <c r="E440" s="114" t="s">
        <v>897</v>
      </c>
      <c r="F440" s="114" t="s">
        <v>84</v>
      </c>
      <c r="G440" s="115">
        <v>2</v>
      </c>
      <c r="H440" s="116">
        <v>60936.967499999999</v>
      </c>
      <c r="I440" s="121">
        <v>0.2223</v>
      </c>
      <c r="J440" s="116">
        <f t="shared" si="42"/>
        <v>9309.9750000000058</v>
      </c>
      <c r="K440" s="116">
        <v>70246.942500000005</v>
      </c>
      <c r="L440" s="116">
        <f t="shared" si="43"/>
        <v>121873.935</v>
      </c>
      <c r="M440" s="116">
        <f t="shared" si="44"/>
        <v>140493.88500000001</v>
      </c>
      <c r="N440" s="116">
        <v>93662.59</v>
      </c>
      <c r="O440" s="116">
        <f t="shared" si="45"/>
        <v>23415.647499999992</v>
      </c>
      <c r="P440" s="116">
        <f t="shared" si="46"/>
        <v>46831.294999999984</v>
      </c>
      <c r="Q440" s="116" t="s">
        <v>2332</v>
      </c>
      <c r="R440" s="116" t="s">
        <v>3213</v>
      </c>
      <c r="S440" s="116" t="str">
        <f t="shared" si="47"/>
        <v>OK - FECHA COM PLANILHA</v>
      </c>
      <c r="T440" s="116">
        <v>140493.88</v>
      </c>
      <c r="U440" s="122">
        <f t="shared" si="48"/>
        <v>5.0000000046566129E-3</v>
      </c>
    </row>
    <row r="441" spans="1:21" ht="102" x14ac:dyDescent="0.2">
      <c r="A441" s="120" t="s">
        <v>3214</v>
      </c>
      <c r="B441" s="114" t="s">
        <v>1948</v>
      </c>
      <c r="C441" s="114" t="s">
        <v>1949</v>
      </c>
      <c r="D441" s="114" t="s">
        <v>24</v>
      </c>
      <c r="E441" s="114" t="s">
        <v>900</v>
      </c>
      <c r="F441" s="114" t="s">
        <v>84</v>
      </c>
      <c r="G441" s="115">
        <v>1</v>
      </c>
      <c r="H441" s="116">
        <v>541.08750000000009</v>
      </c>
      <c r="I441" s="121">
        <v>0.2223</v>
      </c>
      <c r="J441" s="116">
        <f t="shared" si="42"/>
        <v>120.27749999999992</v>
      </c>
      <c r="K441" s="116">
        <v>661.36500000000001</v>
      </c>
      <c r="L441" s="116">
        <f t="shared" si="43"/>
        <v>541.08750000000009</v>
      </c>
      <c r="M441" s="116">
        <f t="shared" si="44"/>
        <v>661.36500000000001</v>
      </c>
      <c r="N441" s="116">
        <v>881.82</v>
      </c>
      <c r="O441" s="116">
        <f t="shared" si="45"/>
        <v>220.45500000000004</v>
      </c>
      <c r="P441" s="116">
        <f t="shared" si="46"/>
        <v>220.45500000000004</v>
      </c>
      <c r="Q441" s="116" t="s">
        <v>2332</v>
      </c>
      <c r="R441" s="116" t="s">
        <v>3215</v>
      </c>
      <c r="S441" s="116" t="str">
        <f t="shared" si="47"/>
        <v>OK - FECHA COM PLANILHA</v>
      </c>
      <c r="T441" s="116">
        <v>661.36</v>
      </c>
      <c r="U441" s="122">
        <f t="shared" si="48"/>
        <v>4.9999999999954525E-3</v>
      </c>
    </row>
    <row r="442" spans="1:21" ht="102" x14ac:dyDescent="0.2">
      <c r="A442" s="120" t="s">
        <v>3216</v>
      </c>
      <c r="B442" s="114" t="s">
        <v>1950</v>
      </c>
      <c r="C442" s="114" t="s">
        <v>1951</v>
      </c>
      <c r="D442" s="114" t="s">
        <v>24</v>
      </c>
      <c r="E442" s="114" t="s">
        <v>902</v>
      </c>
      <c r="F442" s="114" t="s">
        <v>84</v>
      </c>
      <c r="G442" s="115">
        <v>2</v>
      </c>
      <c r="H442" s="116">
        <v>613.26</v>
      </c>
      <c r="I442" s="121">
        <v>0.2223</v>
      </c>
      <c r="J442" s="116">
        <f t="shared" si="42"/>
        <v>136.3275000000001</v>
      </c>
      <c r="K442" s="116">
        <v>749.58750000000009</v>
      </c>
      <c r="L442" s="116">
        <f t="shared" si="43"/>
        <v>1226.52</v>
      </c>
      <c r="M442" s="116">
        <f t="shared" si="44"/>
        <v>1499.1750000000002</v>
      </c>
      <c r="N442" s="116">
        <v>999.45</v>
      </c>
      <c r="O442" s="116">
        <f t="shared" si="45"/>
        <v>249.86249999999995</v>
      </c>
      <c r="P442" s="116">
        <f t="shared" si="46"/>
        <v>499.72499999999991</v>
      </c>
      <c r="Q442" s="116" t="s">
        <v>2332</v>
      </c>
      <c r="R442" s="116" t="s">
        <v>3217</v>
      </c>
      <c r="S442" s="116" t="str">
        <f t="shared" si="47"/>
        <v>OK - FECHA COM PLANILHA</v>
      </c>
      <c r="T442" s="116">
        <v>1499.17</v>
      </c>
      <c r="U442" s="122">
        <f t="shared" si="48"/>
        <v>5.0000000001091394E-3</v>
      </c>
    </row>
    <row r="443" spans="1:21" ht="63.75" x14ac:dyDescent="0.2">
      <c r="A443" s="120" t="s">
        <v>3218</v>
      </c>
      <c r="B443" s="114" t="s">
        <v>1952</v>
      </c>
      <c r="C443" s="114" t="s">
        <v>1953</v>
      </c>
      <c r="D443" s="114" t="s">
        <v>209</v>
      </c>
      <c r="E443" s="114" t="s">
        <v>1954</v>
      </c>
      <c r="F443" s="114" t="s">
        <v>84</v>
      </c>
      <c r="G443" s="115">
        <v>7</v>
      </c>
      <c r="H443" s="116">
        <v>1497.5025000000001</v>
      </c>
      <c r="I443" s="121">
        <v>0.2223</v>
      </c>
      <c r="J443" s="116">
        <f t="shared" si="42"/>
        <v>332.88749999999982</v>
      </c>
      <c r="K443" s="116">
        <v>1830.3899999999999</v>
      </c>
      <c r="L443" s="116">
        <f t="shared" si="43"/>
        <v>10482.5175</v>
      </c>
      <c r="M443" s="116">
        <f t="shared" si="44"/>
        <v>12812.73</v>
      </c>
      <c r="N443" s="116">
        <v>2440.52</v>
      </c>
      <c r="O443" s="116">
        <f t="shared" si="45"/>
        <v>610.13000000000011</v>
      </c>
      <c r="P443" s="116">
        <f t="shared" si="46"/>
        <v>4270.9100000000008</v>
      </c>
      <c r="Q443" s="116" t="s">
        <v>2458</v>
      </c>
      <c r="R443" s="116" t="s">
        <v>3219</v>
      </c>
      <c r="S443" s="116" t="str">
        <f t="shared" si="47"/>
        <v>OK - FECHA COM PLANILHA</v>
      </c>
      <c r="T443" s="116">
        <v>12812.73</v>
      </c>
      <c r="U443" s="122">
        <f t="shared" si="48"/>
        <v>0</v>
      </c>
    </row>
    <row r="444" spans="1:21" ht="63.75" x14ac:dyDescent="0.2">
      <c r="A444" s="120" t="s">
        <v>3220</v>
      </c>
      <c r="B444" s="114" t="s">
        <v>1955</v>
      </c>
      <c r="C444" s="114" t="s">
        <v>907</v>
      </c>
      <c r="D444" s="114" t="s">
        <v>209</v>
      </c>
      <c r="E444" s="114" t="s">
        <v>908</v>
      </c>
      <c r="F444" s="114" t="s">
        <v>84</v>
      </c>
      <c r="G444" s="115">
        <v>3</v>
      </c>
      <c r="H444" s="116">
        <v>2238.12</v>
      </c>
      <c r="I444" s="121">
        <v>0.2223</v>
      </c>
      <c r="J444" s="116">
        <f t="shared" si="42"/>
        <v>497.52750000000015</v>
      </c>
      <c r="K444" s="116">
        <v>2735.6475</v>
      </c>
      <c r="L444" s="116">
        <f t="shared" si="43"/>
        <v>6714.36</v>
      </c>
      <c r="M444" s="116">
        <f t="shared" si="44"/>
        <v>8206.942500000001</v>
      </c>
      <c r="N444" s="116">
        <v>3647.53</v>
      </c>
      <c r="O444" s="116">
        <f t="shared" si="45"/>
        <v>911.88250000000016</v>
      </c>
      <c r="P444" s="116">
        <f t="shared" si="46"/>
        <v>2735.6475000000005</v>
      </c>
      <c r="Q444" s="116" t="s">
        <v>2458</v>
      </c>
      <c r="R444" s="116" t="s">
        <v>3221</v>
      </c>
      <c r="S444" s="116" t="str">
        <f t="shared" si="47"/>
        <v>OK - FECHA COM PLANILHA</v>
      </c>
      <c r="T444" s="116">
        <v>8206.94</v>
      </c>
      <c r="U444" s="122">
        <f t="shared" si="48"/>
        <v>2.500000000509317E-3</v>
      </c>
    </row>
    <row r="445" spans="1:21" ht="63.75" x14ac:dyDescent="0.2">
      <c r="A445" s="120" t="s">
        <v>3222</v>
      </c>
      <c r="B445" s="114" t="s">
        <v>1956</v>
      </c>
      <c r="C445" s="114" t="s">
        <v>1957</v>
      </c>
      <c r="D445" s="114" t="s">
        <v>335</v>
      </c>
      <c r="E445" s="114" t="s">
        <v>909</v>
      </c>
      <c r="F445" s="114" t="s">
        <v>84</v>
      </c>
      <c r="G445" s="115">
        <v>29</v>
      </c>
      <c r="H445" s="116">
        <v>309.27750000000003</v>
      </c>
      <c r="I445" s="121">
        <v>0.2223</v>
      </c>
      <c r="J445" s="116">
        <f t="shared" si="42"/>
        <v>68.744999999999948</v>
      </c>
      <c r="K445" s="116">
        <v>378.02249999999998</v>
      </c>
      <c r="L445" s="116">
        <f t="shared" si="43"/>
        <v>8969.0475000000006</v>
      </c>
      <c r="M445" s="116">
        <f t="shared" si="44"/>
        <v>10962.6525</v>
      </c>
      <c r="N445" s="116">
        <v>504.03</v>
      </c>
      <c r="O445" s="116">
        <f t="shared" si="45"/>
        <v>126.00749999999999</v>
      </c>
      <c r="P445" s="116">
        <f t="shared" si="46"/>
        <v>3654.2174999999997</v>
      </c>
      <c r="Q445" s="116" t="s">
        <v>2589</v>
      </c>
      <c r="R445" s="116" t="s">
        <v>3223</v>
      </c>
      <c r="S445" s="116" t="str">
        <f t="shared" si="47"/>
        <v>OK - FECHA COM PLANILHA</v>
      </c>
      <c r="T445" s="116">
        <v>10962.65</v>
      </c>
      <c r="U445" s="122">
        <f t="shared" si="48"/>
        <v>2.500000000509317E-3</v>
      </c>
    </row>
    <row r="446" spans="1:21" ht="63.75" x14ac:dyDescent="0.2">
      <c r="A446" s="120" t="s">
        <v>3224</v>
      </c>
      <c r="B446" s="114" t="s">
        <v>1958</v>
      </c>
      <c r="C446" s="114" t="s">
        <v>1959</v>
      </c>
      <c r="D446" s="114" t="s">
        <v>335</v>
      </c>
      <c r="E446" s="114" t="s">
        <v>910</v>
      </c>
      <c r="F446" s="114" t="s">
        <v>99</v>
      </c>
      <c r="G446" s="115">
        <v>109.81</v>
      </c>
      <c r="H446" s="116">
        <v>16.905000000000001</v>
      </c>
      <c r="I446" s="121">
        <v>0.2223</v>
      </c>
      <c r="J446" s="116">
        <f t="shared" si="42"/>
        <v>3.7575000000000003</v>
      </c>
      <c r="K446" s="116">
        <v>20.662500000000001</v>
      </c>
      <c r="L446" s="116">
        <f t="shared" si="43"/>
        <v>1856.3380500000001</v>
      </c>
      <c r="M446" s="116">
        <f t="shared" si="44"/>
        <v>2268.9491250000001</v>
      </c>
      <c r="N446" s="116">
        <v>27.55</v>
      </c>
      <c r="O446" s="116">
        <f t="shared" si="45"/>
        <v>6.8874999999999993</v>
      </c>
      <c r="P446" s="116">
        <f t="shared" si="46"/>
        <v>756.31637499999999</v>
      </c>
      <c r="Q446" s="116" t="s">
        <v>2589</v>
      </c>
      <c r="R446" s="116" t="s">
        <v>3225</v>
      </c>
      <c r="S446" s="116" t="str">
        <f t="shared" si="47"/>
        <v>OK - FECHA COM PLANILHA</v>
      </c>
      <c r="T446" s="116">
        <v>2268.94</v>
      </c>
      <c r="U446" s="122">
        <f t="shared" si="48"/>
        <v>9.1250000000400178E-3</v>
      </c>
    </row>
    <row r="447" spans="1:21" ht="63.75" x14ac:dyDescent="0.2">
      <c r="A447" s="120" t="s">
        <v>3226</v>
      </c>
      <c r="B447" s="114" t="s">
        <v>1960</v>
      </c>
      <c r="C447" s="114" t="s">
        <v>1961</v>
      </c>
      <c r="D447" s="114" t="s">
        <v>335</v>
      </c>
      <c r="E447" s="114" t="s">
        <v>911</v>
      </c>
      <c r="F447" s="114" t="s">
        <v>99</v>
      </c>
      <c r="G447" s="115">
        <v>145.71</v>
      </c>
      <c r="H447" s="116">
        <v>30.93</v>
      </c>
      <c r="I447" s="121">
        <v>0.2223</v>
      </c>
      <c r="J447" s="116">
        <f t="shared" si="42"/>
        <v>6.8699999999999974</v>
      </c>
      <c r="K447" s="116">
        <v>37.799999999999997</v>
      </c>
      <c r="L447" s="116">
        <f t="shared" si="43"/>
        <v>4506.8103000000001</v>
      </c>
      <c r="M447" s="116">
        <f t="shared" si="44"/>
        <v>5507.8379999999997</v>
      </c>
      <c r="N447" s="116">
        <v>50.4</v>
      </c>
      <c r="O447" s="116">
        <f t="shared" si="45"/>
        <v>12.600000000000001</v>
      </c>
      <c r="P447" s="116">
        <f t="shared" si="46"/>
        <v>1835.9460000000004</v>
      </c>
      <c r="Q447" s="116" t="s">
        <v>2589</v>
      </c>
      <c r="R447" s="116" t="s">
        <v>3227</v>
      </c>
      <c r="S447" s="116" t="str">
        <f t="shared" si="47"/>
        <v>OK - FECHA COM PLANILHA</v>
      </c>
      <c r="T447" s="116">
        <v>5507.83</v>
      </c>
      <c r="U447" s="122">
        <f t="shared" si="48"/>
        <v>7.9999999998108251E-3</v>
      </c>
    </row>
    <row r="448" spans="1:21" ht="63.75" x14ac:dyDescent="0.2">
      <c r="A448" s="120" t="s">
        <v>3228</v>
      </c>
      <c r="B448" s="114" t="s">
        <v>1962</v>
      </c>
      <c r="C448" s="114" t="s">
        <v>1963</v>
      </c>
      <c r="D448" s="114" t="s">
        <v>335</v>
      </c>
      <c r="E448" s="114" t="s">
        <v>912</v>
      </c>
      <c r="F448" s="114" t="s">
        <v>84</v>
      </c>
      <c r="G448" s="115">
        <v>10</v>
      </c>
      <c r="H448" s="116">
        <v>30.375</v>
      </c>
      <c r="I448" s="121">
        <v>0.2223</v>
      </c>
      <c r="J448" s="116">
        <f t="shared" si="42"/>
        <v>6.75</v>
      </c>
      <c r="K448" s="116">
        <v>37.125</v>
      </c>
      <c r="L448" s="116">
        <f t="shared" si="43"/>
        <v>303.75</v>
      </c>
      <c r="M448" s="116">
        <f t="shared" si="44"/>
        <v>371.25</v>
      </c>
      <c r="N448" s="116">
        <v>49.5</v>
      </c>
      <c r="O448" s="116">
        <f t="shared" si="45"/>
        <v>12.375</v>
      </c>
      <c r="P448" s="116">
        <f t="shared" si="46"/>
        <v>123.75</v>
      </c>
      <c r="Q448" s="116" t="s">
        <v>2589</v>
      </c>
      <c r="R448" s="116" t="s">
        <v>3229</v>
      </c>
      <c r="S448" s="116" t="str">
        <f t="shared" si="47"/>
        <v>OK - FECHA COM PLANILHA</v>
      </c>
      <c r="T448" s="116">
        <v>371.25</v>
      </c>
      <c r="U448" s="122">
        <f t="shared" si="48"/>
        <v>0</v>
      </c>
    </row>
    <row r="449" spans="1:21" ht="63.75" x14ac:dyDescent="0.2">
      <c r="A449" s="120" t="s">
        <v>3230</v>
      </c>
      <c r="B449" s="114" t="s">
        <v>1964</v>
      </c>
      <c r="C449" s="114" t="s">
        <v>1965</v>
      </c>
      <c r="D449" s="114" t="s">
        <v>335</v>
      </c>
      <c r="E449" s="114" t="s">
        <v>1966</v>
      </c>
      <c r="F449" s="114" t="s">
        <v>84</v>
      </c>
      <c r="G449" s="115">
        <v>4</v>
      </c>
      <c r="H449" s="116">
        <v>13.5</v>
      </c>
      <c r="I449" s="121">
        <v>0.2223</v>
      </c>
      <c r="J449" s="116">
        <f t="shared" si="42"/>
        <v>3</v>
      </c>
      <c r="K449" s="116">
        <v>16.5</v>
      </c>
      <c r="L449" s="116">
        <f t="shared" si="43"/>
        <v>54</v>
      </c>
      <c r="M449" s="116">
        <f t="shared" si="44"/>
        <v>66</v>
      </c>
      <c r="N449" s="116">
        <v>22</v>
      </c>
      <c r="O449" s="116">
        <f t="shared" si="45"/>
        <v>5.5</v>
      </c>
      <c r="P449" s="116">
        <f t="shared" si="46"/>
        <v>22</v>
      </c>
      <c r="Q449" s="116" t="s">
        <v>2589</v>
      </c>
      <c r="R449" s="116" t="s">
        <v>3231</v>
      </c>
      <c r="S449" s="116" t="str">
        <f t="shared" si="47"/>
        <v>OK - FECHA COM PLANILHA</v>
      </c>
      <c r="T449" s="116">
        <v>66</v>
      </c>
      <c r="U449" s="122">
        <f t="shared" si="48"/>
        <v>0</v>
      </c>
    </row>
    <row r="450" spans="1:21" ht="63.75" x14ac:dyDescent="0.2">
      <c r="A450" s="120" t="s">
        <v>3232</v>
      </c>
      <c r="B450" s="114" t="s">
        <v>1967</v>
      </c>
      <c r="C450" s="114" t="s">
        <v>1968</v>
      </c>
      <c r="D450" s="114" t="s">
        <v>335</v>
      </c>
      <c r="E450" s="114" t="s">
        <v>914</v>
      </c>
      <c r="F450" s="114" t="s">
        <v>84</v>
      </c>
      <c r="G450" s="115">
        <v>34</v>
      </c>
      <c r="H450" s="116">
        <v>263.1825</v>
      </c>
      <c r="I450" s="121">
        <v>0.2223</v>
      </c>
      <c r="J450" s="116">
        <f t="shared" si="42"/>
        <v>58.5</v>
      </c>
      <c r="K450" s="116">
        <v>321.6825</v>
      </c>
      <c r="L450" s="116">
        <f t="shared" si="43"/>
        <v>8948.2049999999999</v>
      </c>
      <c r="M450" s="116">
        <f t="shared" si="44"/>
        <v>10937.205</v>
      </c>
      <c r="N450" s="116">
        <v>428.91</v>
      </c>
      <c r="O450" s="116">
        <f t="shared" si="45"/>
        <v>107.22750000000002</v>
      </c>
      <c r="P450" s="116">
        <f t="shared" si="46"/>
        <v>3645.7350000000006</v>
      </c>
      <c r="Q450" s="116" t="s">
        <v>2589</v>
      </c>
      <c r="R450" s="116" t="s">
        <v>3233</v>
      </c>
      <c r="S450" s="116" t="str">
        <f t="shared" si="47"/>
        <v>OK - FECHA COM PLANILHA</v>
      </c>
      <c r="T450" s="116">
        <v>10937.2</v>
      </c>
      <c r="U450" s="122">
        <f t="shared" si="48"/>
        <v>4.9999999991996447E-3</v>
      </c>
    </row>
    <row r="451" spans="1:21" ht="63.75" x14ac:dyDescent="0.2">
      <c r="A451" s="120" t="s">
        <v>3234</v>
      </c>
      <c r="B451" s="114" t="s">
        <v>1969</v>
      </c>
      <c r="C451" s="114" t="s">
        <v>1970</v>
      </c>
      <c r="D451" s="114" t="s">
        <v>24</v>
      </c>
      <c r="E451" s="114" t="s">
        <v>918</v>
      </c>
      <c r="F451" s="114" t="s">
        <v>84</v>
      </c>
      <c r="G451" s="115">
        <v>1</v>
      </c>
      <c r="H451" s="116">
        <v>63435.345000000001</v>
      </c>
      <c r="I451" s="121">
        <v>0.2223</v>
      </c>
      <c r="J451" s="116">
        <f t="shared" ref="J451:J514" si="49">K451-H451</f>
        <v>14101.672500000001</v>
      </c>
      <c r="K451" s="116">
        <v>77537.017500000002</v>
      </c>
      <c r="L451" s="116">
        <f t="shared" ref="L451:L514" si="50">G451*H451</f>
        <v>63435.345000000001</v>
      </c>
      <c r="M451" s="116">
        <f t="shared" ref="M451:M514" si="51">G451*K451</f>
        <v>77537.017500000002</v>
      </c>
      <c r="N451" s="116">
        <v>103382.69</v>
      </c>
      <c r="O451" s="116">
        <f t="shared" ref="O451:O514" si="52">IFERROR(N451-K451,"")</f>
        <v>25845.672500000001</v>
      </c>
      <c r="P451" s="116">
        <f t="shared" ref="P451:P514" si="53">IFERROR(G451*O451,"")</f>
        <v>25845.672500000001</v>
      </c>
      <c r="Q451" s="116" t="s">
        <v>2332</v>
      </c>
      <c r="R451" s="116" t="s">
        <v>3235</v>
      </c>
      <c r="S451" s="116" t="str">
        <f t="shared" ref="S451:S514" si="54">IF(ABS(M451-T451)&lt;=0.05,"OK - FECHA COM PLANILHA","REVISAR")</f>
        <v>OK - FECHA COM PLANILHA</v>
      </c>
      <c r="T451" s="116">
        <v>77537.009999999995</v>
      </c>
      <c r="U451" s="122">
        <f t="shared" ref="U451:U514" si="55">M451-T451</f>
        <v>7.5000000069849193E-3</v>
      </c>
    </row>
    <row r="452" spans="1:21" ht="63.75" x14ac:dyDescent="0.2">
      <c r="A452" s="120" t="s">
        <v>3236</v>
      </c>
      <c r="B452" s="114" t="s">
        <v>1387</v>
      </c>
      <c r="C452" s="114" t="s">
        <v>1971</v>
      </c>
      <c r="D452" s="114" t="s">
        <v>56</v>
      </c>
      <c r="E452" s="114" t="s">
        <v>921</v>
      </c>
      <c r="F452" s="114" t="s">
        <v>84</v>
      </c>
      <c r="G452" s="115">
        <v>242</v>
      </c>
      <c r="H452" s="116">
        <v>18.945</v>
      </c>
      <c r="I452" s="121">
        <v>0.2223</v>
      </c>
      <c r="J452" s="116">
        <f t="shared" si="49"/>
        <v>4.2074999999999996</v>
      </c>
      <c r="K452" s="116">
        <v>23.1525</v>
      </c>
      <c r="L452" s="116">
        <f t="shared" si="50"/>
        <v>4584.6900000000005</v>
      </c>
      <c r="M452" s="116">
        <f t="shared" si="51"/>
        <v>5602.9049999999997</v>
      </c>
      <c r="N452" s="116">
        <v>30.87</v>
      </c>
      <c r="O452" s="116">
        <f t="shared" si="52"/>
        <v>7.7175000000000011</v>
      </c>
      <c r="P452" s="116">
        <f t="shared" si="53"/>
        <v>1867.6350000000002</v>
      </c>
      <c r="Q452" s="116" t="s">
        <v>2349</v>
      </c>
      <c r="R452" s="116" t="s">
        <v>2440</v>
      </c>
      <c r="S452" s="116" t="str">
        <f t="shared" si="54"/>
        <v>OK - FECHA COM PLANILHA</v>
      </c>
      <c r="T452" s="116">
        <v>5602.9</v>
      </c>
      <c r="U452" s="122">
        <f t="shared" si="55"/>
        <v>5.0000000001091394E-3</v>
      </c>
    </row>
    <row r="453" spans="1:21" ht="63.75" x14ac:dyDescent="0.2">
      <c r="A453" s="120" t="s">
        <v>3237</v>
      </c>
      <c r="B453" s="114" t="s">
        <v>1972</v>
      </c>
      <c r="C453" s="114" t="s">
        <v>1973</v>
      </c>
      <c r="D453" s="114" t="s">
        <v>56</v>
      </c>
      <c r="E453" s="114" t="s">
        <v>922</v>
      </c>
      <c r="F453" s="114" t="s">
        <v>84</v>
      </c>
      <c r="G453" s="115">
        <v>104</v>
      </c>
      <c r="H453" s="116">
        <v>19.47</v>
      </c>
      <c r="I453" s="121">
        <v>0.2223</v>
      </c>
      <c r="J453" s="116">
        <f t="shared" si="49"/>
        <v>4.3275000000000006</v>
      </c>
      <c r="K453" s="116">
        <v>23.797499999999999</v>
      </c>
      <c r="L453" s="116">
        <f t="shared" si="50"/>
        <v>2024.8799999999999</v>
      </c>
      <c r="M453" s="116">
        <f t="shared" si="51"/>
        <v>2474.94</v>
      </c>
      <c r="N453" s="116">
        <v>31.73</v>
      </c>
      <c r="O453" s="116">
        <f t="shared" si="52"/>
        <v>7.932500000000001</v>
      </c>
      <c r="P453" s="116">
        <f t="shared" si="53"/>
        <v>824.98000000000013</v>
      </c>
      <c r="Q453" s="116" t="s">
        <v>2349</v>
      </c>
      <c r="R453" s="116" t="s">
        <v>3238</v>
      </c>
      <c r="S453" s="116" t="str">
        <f t="shared" si="54"/>
        <v>OK - FECHA COM PLANILHA</v>
      </c>
      <c r="T453" s="116">
        <v>2474.94</v>
      </c>
      <c r="U453" s="122">
        <f t="shared" si="55"/>
        <v>0</v>
      </c>
    </row>
    <row r="454" spans="1:21" ht="63.75" x14ac:dyDescent="0.2">
      <c r="A454" s="120" t="s">
        <v>3239</v>
      </c>
      <c r="B454" s="114" t="s">
        <v>1406</v>
      </c>
      <c r="C454" s="114" t="s">
        <v>1974</v>
      </c>
      <c r="D454" s="114" t="s">
        <v>56</v>
      </c>
      <c r="E454" s="114" t="s">
        <v>923</v>
      </c>
      <c r="F454" s="114" t="s">
        <v>84</v>
      </c>
      <c r="G454" s="115">
        <v>387</v>
      </c>
      <c r="H454" s="116">
        <v>18.225000000000001</v>
      </c>
      <c r="I454" s="121">
        <v>0.2223</v>
      </c>
      <c r="J454" s="116">
        <f t="shared" si="49"/>
        <v>4.0499999999999972</v>
      </c>
      <c r="K454" s="116">
        <v>22.274999999999999</v>
      </c>
      <c r="L454" s="116">
        <f t="shared" si="50"/>
        <v>7053.0750000000007</v>
      </c>
      <c r="M454" s="116">
        <f t="shared" si="51"/>
        <v>8620.4249999999993</v>
      </c>
      <c r="N454" s="116">
        <v>29.7</v>
      </c>
      <c r="O454" s="116">
        <f t="shared" si="52"/>
        <v>7.4250000000000007</v>
      </c>
      <c r="P454" s="116">
        <f t="shared" si="53"/>
        <v>2873.4750000000004</v>
      </c>
      <c r="Q454" s="116" t="s">
        <v>2349</v>
      </c>
      <c r="R454" s="116" t="s">
        <v>2479</v>
      </c>
      <c r="S454" s="116" t="str">
        <f t="shared" si="54"/>
        <v>OK - FECHA COM PLANILHA</v>
      </c>
      <c r="T454" s="116">
        <v>8620.42</v>
      </c>
      <c r="U454" s="122">
        <f t="shared" si="55"/>
        <v>4.9999999991996447E-3</v>
      </c>
    </row>
    <row r="455" spans="1:21" ht="63.75" x14ac:dyDescent="0.2">
      <c r="A455" s="120" t="s">
        <v>3240</v>
      </c>
      <c r="B455" s="114" t="s">
        <v>1975</v>
      </c>
      <c r="C455" s="114" t="s">
        <v>1976</v>
      </c>
      <c r="D455" s="114" t="s">
        <v>56</v>
      </c>
      <c r="E455" s="114" t="s">
        <v>924</v>
      </c>
      <c r="F455" s="114" t="s">
        <v>84</v>
      </c>
      <c r="G455" s="115">
        <v>2</v>
      </c>
      <c r="H455" s="116">
        <v>127.88249999999999</v>
      </c>
      <c r="I455" s="121">
        <v>0.2223</v>
      </c>
      <c r="J455" s="116">
        <f t="shared" si="49"/>
        <v>28.425000000000011</v>
      </c>
      <c r="K455" s="116">
        <v>156.3075</v>
      </c>
      <c r="L455" s="116">
        <f t="shared" si="50"/>
        <v>255.76499999999999</v>
      </c>
      <c r="M455" s="116">
        <f t="shared" si="51"/>
        <v>312.61500000000001</v>
      </c>
      <c r="N455" s="116">
        <v>208.41</v>
      </c>
      <c r="O455" s="116">
        <f t="shared" si="52"/>
        <v>52.102499999999992</v>
      </c>
      <c r="P455" s="116">
        <f t="shared" si="53"/>
        <v>104.20499999999998</v>
      </c>
      <c r="Q455" s="116" t="s">
        <v>2349</v>
      </c>
      <c r="R455" s="116" t="s">
        <v>3241</v>
      </c>
      <c r="S455" s="116" t="str">
        <f t="shared" si="54"/>
        <v>OK - FECHA COM PLANILHA</v>
      </c>
      <c r="T455" s="116">
        <v>312.61</v>
      </c>
      <c r="U455" s="122">
        <f t="shared" si="55"/>
        <v>4.9999999999954525E-3</v>
      </c>
    </row>
    <row r="456" spans="1:21" ht="63.75" x14ac:dyDescent="0.2">
      <c r="A456" s="120" t="s">
        <v>3242</v>
      </c>
      <c r="B456" s="114" t="s">
        <v>1430</v>
      </c>
      <c r="C456" s="114" t="s">
        <v>1977</v>
      </c>
      <c r="D456" s="114" t="s">
        <v>56</v>
      </c>
      <c r="E456" s="114" t="s">
        <v>925</v>
      </c>
      <c r="F456" s="114" t="s">
        <v>84</v>
      </c>
      <c r="G456" s="115">
        <v>16</v>
      </c>
      <c r="H456" s="116">
        <v>190.07249999999999</v>
      </c>
      <c r="I456" s="121">
        <v>0.2223</v>
      </c>
      <c r="J456" s="116">
        <f t="shared" si="49"/>
        <v>42.247500000000002</v>
      </c>
      <c r="K456" s="116">
        <v>232.32</v>
      </c>
      <c r="L456" s="116">
        <f t="shared" si="50"/>
        <v>3041.16</v>
      </c>
      <c r="M456" s="116">
        <f t="shared" si="51"/>
        <v>3717.12</v>
      </c>
      <c r="N456" s="116">
        <v>309.76</v>
      </c>
      <c r="O456" s="116">
        <f t="shared" si="52"/>
        <v>77.44</v>
      </c>
      <c r="P456" s="116">
        <f t="shared" si="53"/>
        <v>1239.04</v>
      </c>
      <c r="Q456" s="116" t="s">
        <v>2349</v>
      </c>
      <c r="R456" s="116" t="s">
        <v>2521</v>
      </c>
      <c r="S456" s="116" t="str">
        <f t="shared" si="54"/>
        <v>OK - FECHA COM PLANILHA</v>
      </c>
      <c r="T456" s="116">
        <v>3717.12</v>
      </c>
      <c r="U456" s="122">
        <f t="shared" si="55"/>
        <v>0</v>
      </c>
    </row>
    <row r="457" spans="1:21" ht="63.75" x14ac:dyDescent="0.2">
      <c r="A457" s="120" t="s">
        <v>3243</v>
      </c>
      <c r="B457" s="114" t="s">
        <v>1439</v>
      </c>
      <c r="C457" s="114" t="s">
        <v>1978</v>
      </c>
      <c r="D457" s="114" t="s">
        <v>24</v>
      </c>
      <c r="E457" s="114" t="s">
        <v>927</v>
      </c>
      <c r="F457" s="114" t="s">
        <v>84</v>
      </c>
      <c r="G457" s="115">
        <v>2</v>
      </c>
      <c r="H457" s="116">
        <v>42.547499999999999</v>
      </c>
      <c r="I457" s="121">
        <v>0.2223</v>
      </c>
      <c r="J457" s="116">
        <f t="shared" si="49"/>
        <v>9.4575000000000031</v>
      </c>
      <c r="K457" s="116">
        <v>52.005000000000003</v>
      </c>
      <c r="L457" s="116">
        <f t="shared" si="50"/>
        <v>85.094999999999999</v>
      </c>
      <c r="M457" s="116">
        <f t="shared" si="51"/>
        <v>104.01</v>
      </c>
      <c r="N457" s="116">
        <v>69.34</v>
      </c>
      <c r="O457" s="116">
        <f t="shared" si="52"/>
        <v>17.335000000000001</v>
      </c>
      <c r="P457" s="116">
        <f t="shared" si="53"/>
        <v>34.67</v>
      </c>
      <c r="Q457" s="116" t="s">
        <v>2332</v>
      </c>
      <c r="R457" s="116" t="s">
        <v>2550</v>
      </c>
      <c r="S457" s="116" t="str">
        <f t="shared" si="54"/>
        <v>OK - FECHA COM PLANILHA</v>
      </c>
      <c r="T457" s="116">
        <v>104.01</v>
      </c>
      <c r="U457" s="122">
        <f t="shared" si="55"/>
        <v>0</v>
      </c>
    </row>
    <row r="458" spans="1:21" ht="63.75" x14ac:dyDescent="0.2">
      <c r="A458" s="120" t="s">
        <v>3244</v>
      </c>
      <c r="B458" s="114" t="s">
        <v>1979</v>
      </c>
      <c r="C458" s="114" t="s">
        <v>1980</v>
      </c>
      <c r="D458" s="114" t="s">
        <v>24</v>
      </c>
      <c r="E458" s="114" t="s">
        <v>929</v>
      </c>
      <c r="F458" s="114" t="s">
        <v>84</v>
      </c>
      <c r="G458" s="115">
        <v>2</v>
      </c>
      <c r="H458" s="116">
        <v>57.5625</v>
      </c>
      <c r="I458" s="121">
        <v>0.2223</v>
      </c>
      <c r="J458" s="116">
        <f t="shared" si="49"/>
        <v>12.795000000000002</v>
      </c>
      <c r="K458" s="116">
        <v>70.357500000000002</v>
      </c>
      <c r="L458" s="116">
        <f t="shared" si="50"/>
        <v>115.125</v>
      </c>
      <c r="M458" s="116">
        <f t="shared" si="51"/>
        <v>140.715</v>
      </c>
      <c r="N458" s="116">
        <v>93.81</v>
      </c>
      <c r="O458" s="116">
        <f t="shared" si="52"/>
        <v>23.452500000000001</v>
      </c>
      <c r="P458" s="116">
        <f t="shared" si="53"/>
        <v>46.905000000000001</v>
      </c>
      <c r="Q458" s="116" t="s">
        <v>2332</v>
      </c>
      <c r="R458" s="116" t="s">
        <v>3245</v>
      </c>
      <c r="S458" s="116" t="str">
        <f t="shared" si="54"/>
        <v>OK - FECHA COM PLANILHA</v>
      </c>
      <c r="T458" s="116">
        <v>140.71</v>
      </c>
      <c r="U458" s="122">
        <f t="shared" si="55"/>
        <v>4.9999999999954525E-3</v>
      </c>
    </row>
    <row r="459" spans="1:21" ht="63.75" x14ac:dyDescent="0.2">
      <c r="A459" s="120" t="s">
        <v>3246</v>
      </c>
      <c r="B459" s="114" t="s">
        <v>1981</v>
      </c>
      <c r="C459" s="114" t="s">
        <v>1982</v>
      </c>
      <c r="D459" s="114" t="s">
        <v>24</v>
      </c>
      <c r="E459" s="114" t="s">
        <v>931</v>
      </c>
      <c r="F459" s="114" t="s">
        <v>84</v>
      </c>
      <c r="G459" s="115">
        <v>1</v>
      </c>
      <c r="H459" s="116">
        <v>87.045000000000002</v>
      </c>
      <c r="I459" s="121">
        <v>0.2223</v>
      </c>
      <c r="J459" s="116">
        <f t="shared" si="49"/>
        <v>19.350000000000009</v>
      </c>
      <c r="K459" s="116">
        <v>106.39500000000001</v>
      </c>
      <c r="L459" s="116">
        <f t="shared" si="50"/>
        <v>87.045000000000002</v>
      </c>
      <c r="M459" s="116">
        <f t="shared" si="51"/>
        <v>106.39500000000001</v>
      </c>
      <c r="N459" s="116">
        <v>141.86000000000001</v>
      </c>
      <c r="O459" s="116">
        <f t="shared" si="52"/>
        <v>35.465000000000003</v>
      </c>
      <c r="P459" s="116">
        <f t="shared" si="53"/>
        <v>35.465000000000003</v>
      </c>
      <c r="Q459" s="116" t="s">
        <v>2332</v>
      </c>
      <c r="R459" s="116" t="s">
        <v>3247</v>
      </c>
      <c r="S459" s="116" t="str">
        <f t="shared" si="54"/>
        <v>OK - FECHA COM PLANILHA</v>
      </c>
      <c r="T459" s="116">
        <v>106.39</v>
      </c>
      <c r="U459" s="122">
        <f t="shared" si="55"/>
        <v>5.0000000000096634E-3</v>
      </c>
    </row>
    <row r="460" spans="1:21" ht="63.75" x14ac:dyDescent="0.2">
      <c r="A460" s="120" t="s">
        <v>3248</v>
      </c>
      <c r="B460" s="114" t="s">
        <v>1983</v>
      </c>
      <c r="C460" s="114" t="s">
        <v>1984</v>
      </c>
      <c r="D460" s="114" t="s">
        <v>24</v>
      </c>
      <c r="E460" s="114" t="s">
        <v>933</v>
      </c>
      <c r="F460" s="114" t="s">
        <v>84</v>
      </c>
      <c r="G460" s="115">
        <v>1</v>
      </c>
      <c r="H460" s="116">
        <v>36.517499999999998</v>
      </c>
      <c r="I460" s="121">
        <v>0.2223</v>
      </c>
      <c r="J460" s="116">
        <f t="shared" si="49"/>
        <v>8.115000000000002</v>
      </c>
      <c r="K460" s="116">
        <v>44.6325</v>
      </c>
      <c r="L460" s="116">
        <f t="shared" si="50"/>
        <v>36.517499999999998</v>
      </c>
      <c r="M460" s="116">
        <f t="shared" si="51"/>
        <v>44.6325</v>
      </c>
      <c r="N460" s="116">
        <v>59.51</v>
      </c>
      <c r="O460" s="116">
        <f t="shared" si="52"/>
        <v>14.877499999999998</v>
      </c>
      <c r="P460" s="116">
        <f t="shared" si="53"/>
        <v>14.877499999999998</v>
      </c>
      <c r="Q460" s="116" t="s">
        <v>2332</v>
      </c>
      <c r="R460" s="116" t="s">
        <v>3249</v>
      </c>
      <c r="S460" s="116" t="str">
        <f t="shared" si="54"/>
        <v>OK - FECHA COM PLANILHA</v>
      </c>
      <c r="T460" s="116">
        <v>44.63</v>
      </c>
      <c r="U460" s="122">
        <f t="shared" si="55"/>
        <v>2.4999999999977263E-3</v>
      </c>
    </row>
    <row r="461" spans="1:21" ht="63.75" x14ac:dyDescent="0.2">
      <c r="A461" s="120" t="s">
        <v>3250</v>
      </c>
      <c r="B461" s="114" t="s">
        <v>1985</v>
      </c>
      <c r="C461" s="114" t="s">
        <v>1986</v>
      </c>
      <c r="D461" s="114" t="s">
        <v>24</v>
      </c>
      <c r="E461" s="114" t="s">
        <v>1987</v>
      </c>
      <c r="F461" s="114" t="s">
        <v>84</v>
      </c>
      <c r="G461" s="115">
        <v>1</v>
      </c>
      <c r="H461" s="116">
        <v>81.435000000000002</v>
      </c>
      <c r="I461" s="121">
        <v>0.2223</v>
      </c>
      <c r="J461" s="116">
        <f t="shared" si="49"/>
        <v>18.097499999999997</v>
      </c>
      <c r="K461" s="116">
        <v>99.532499999999999</v>
      </c>
      <c r="L461" s="116">
        <f t="shared" si="50"/>
        <v>81.435000000000002</v>
      </c>
      <c r="M461" s="116">
        <f t="shared" si="51"/>
        <v>99.532499999999999</v>
      </c>
      <c r="N461" s="116">
        <v>132.71</v>
      </c>
      <c r="O461" s="116">
        <f t="shared" si="52"/>
        <v>33.177500000000009</v>
      </c>
      <c r="P461" s="116">
        <f t="shared" si="53"/>
        <v>33.177500000000009</v>
      </c>
      <c r="Q461" s="116" t="s">
        <v>2332</v>
      </c>
      <c r="R461" s="116" t="s">
        <v>3251</v>
      </c>
      <c r="S461" s="116" t="str">
        <f t="shared" si="54"/>
        <v>OK - FECHA COM PLANILHA</v>
      </c>
      <c r="T461" s="116">
        <v>99.53</v>
      </c>
      <c r="U461" s="122">
        <f t="shared" si="55"/>
        <v>2.4999999999977263E-3</v>
      </c>
    </row>
    <row r="462" spans="1:21" ht="63.75" x14ac:dyDescent="0.2">
      <c r="A462" s="120" t="s">
        <v>3252</v>
      </c>
      <c r="B462" s="114" t="s">
        <v>1988</v>
      </c>
      <c r="C462" s="114" t="s">
        <v>1989</v>
      </c>
      <c r="D462" s="114" t="s">
        <v>56</v>
      </c>
      <c r="E462" s="114" t="s">
        <v>936</v>
      </c>
      <c r="F462" s="114" t="s">
        <v>99</v>
      </c>
      <c r="G462" s="115">
        <v>19.3</v>
      </c>
      <c r="H462" s="116">
        <v>7.5525000000000002</v>
      </c>
      <c r="I462" s="121">
        <v>0.2223</v>
      </c>
      <c r="J462" s="116">
        <f t="shared" si="49"/>
        <v>1.6725000000000012</v>
      </c>
      <c r="K462" s="116">
        <v>9.2250000000000014</v>
      </c>
      <c r="L462" s="116">
        <f t="shared" si="50"/>
        <v>145.76325</v>
      </c>
      <c r="M462" s="116">
        <f t="shared" si="51"/>
        <v>178.04250000000005</v>
      </c>
      <c r="N462" s="116">
        <v>12.3</v>
      </c>
      <c r="O462" s="116">
        <f t="shared" si="52"/>
        <v>3.0749999999999993</v>
      </c>
      <c r="P462" s="116">
        <f t="shared" si="53"/>
        <v>59.347499999999989</v>
      </c>
      <c r="Q462" s="116" t="s">
        <v>2349</v>
      </c>
      <c r="R462" s="116" t="s">
        <v>3253</v>
      </c>
      <c r="S462" s="116" t="str">
        <f t="shared" si="54"/>
        <v>OK - FECHA COM PLANILHA</v>
      </c>
      <c r="T462" s="116">
        <v>178.04</v>
      </c>
      <c r="U462" s="122">
        <f t="shared" si="55"/>
        <v>2.5000000000545697E-3</v>
      </c>
    </row>
    <row r="463" spans="1:21" ht="63.75" x14ac:dyDescent="0.2">
      <c r="A463" s="120" t="s">
        <v>3254</v>
      </c>
      <c r="B463" s="114" t="s">
        <v>1990</v>
      </c>
      <c r="C463" s="114" t="s">
        <v>1991</v>
      </c>
      <c r="D463" s="114" t="s">
        <v>56</v>
      </c>
      <c r="E463" s="114" t="s">
        <v>937</v>
      </c>
      <c r="F463" s="114" t="s">
        <v>99</v>
      </c>
      <c r="G463" s="115">
        <v>23.1</v>
      </c>
      <c r="H463" s="116">
        <v>10.74</v>
      </c>
      <c r="I463" s="121">
        <v>0.2223</v>
      </c>
      <c r="J463" s="116">
        <f t="shared" si="49"/>
        <v>2.3849999999999998</v>
      </c>
      <c r="K463" s="116">
        <v>13.125</v>
      </c>
      <c r="L463" s="116">
        <f t="shared" si="50"/>
        <v>248.09400000000002</v>
      </c>
      <c r="M463" s="116">
        <f t="shared" si="51"/>
        <v>303.1875</v>
      </c>
      <c r="N463" s="116">
        <v>17.5</v>
      </c>
      <c r="O463" s="116">
        <f t="shared" si="52"/>
        <v>4.375</v>
      </c>
      <c r="P463" s="116">
        <f t="shared" si="53"/>
        <v>101.0625</v>
      </c>
      <c r="Q463" s="116" t="s">
        <v>2349</v>
      </c>
      <c r="R463" s="116" t="s">
        <v>3255</v>
      </c>
      <c r="S463" s="116" t="str">
        <f t="shared" si="54"/>
        <v>OK - FECHA COM PLANILHA</v>
      </c>
      <c r="T463" s="116">
        <v>303.18</v>
      </c>
      <c r="U463" s="122">
        <f t="shared" si="55"/>
        <v>7.4999999999931788E-3</v>
      </c>
    </row>
    <row r="464" spans="1:21" ht="63.75" x14ac:dyDescent="0.2">
      <c r="A464" s="120" t="s">
        <v>3256</v>
      </c>
      <c r="B464" s="114" t="s">
        <v>1992</v>
      </c>
      <c r="C464" s="114" t="s">
        <v>938</v>
      </c>
      <c r="D464" s="114" t="s">
        <v>209</v>
      </c>
      <c r="E464" s="114" t="s">
        <v>939</v>
      </c>
      <c r="F464" s="114" t="s">
        <v>99</v>
      </c>
      <c r="G464" s="115">
        <v>21.7</v>
      </c>
      <c r="H464" s="116">
        <v>54.352499999999999</v>
      </c>
      <c r="I464" s="121">
        <v>0.2223</v>
      </c>
      <c r="J464" s="116">
        <f t="shared" si="49"/>
        <v>12.082500000000003</v>
      </c>
      <c r="K464" s="116">
        <v>66.435000000000002</v>
      </c>
      <c r="L464" s="116">
        <f t="shared" si="50"/>
        <v>1179.4492499999999</v>
      </c>
      <c r="M464" s="116">
        <f t="shared" si="51"/>
        <v>1441.6395</v>
      </c>
      <c r="N464" s="116">
        <v>88.58</v>
      </c>
      <c r="O464" s="116">
        <f t="shared" si="52"/>
        <v>22.144999999999996</v>
      </c>
      <c r="P464" s="116">
        <f t="shared" si="53"/>
        <v>480.54649999999992</v>
      </c>
      <c r="Q464" s="116" t="s">
        <v>2458</v>
      </c>
      <c r="R464" s="116" t="s">
        <v>3257</v>
      </c>
      <c r="S464" s="116" t="str">
        <f t="shared" si="54"/>
        <v>OK - FECHA COM PLANILHA</v>
      </c>
      <c r="T464" s="116">
        <v>1441.63</v>
      </c>
      <c r="U464" s="122">
        <f t="shared" si="55"/>
        <v>9.4999999998890416E-3</v>
      </c>
    </row>
    <row r="465" spans="1:21" ht="63.75" x14ac:dyDescent="0.2">
      <c r="A465" s="120" t="s">
        <v>3258</v>
      </c>
      <c r="B465" s="114" t="s">
        <v>1993</v>
      </c>
      <c r="C465" s="114" t="s">
        <v>940</v>
      </c>
      <c r="D465" s="114" t="s">
        <v>209</v>
      </c>
      <c r="E465" s="114" t="s">
        <v>941</v>
      </c>
      <c r="F465" s="114" t="s">
        <v>99</v>
      </c>
      <c r="G465" s="115">
        <v>78.900000000000006</v>
      </c>
      <c r="H465" s="116">
        <v>80.894999999999996</v>
      </c>
      <c r="I465" s="121">
        <v>0.2223</v>
      </c>
      <c r="J465" s="116">
        <f t="shared" si="49"/>
        <v>17.977500000000006</v>
      </c>
      <c r="K465" s="116">
        <v>98.872500000000002</v>
      </c>
      <c r="L465" s="116">
        <f t="shared" si="50"/>
        <v>6382.6154999999999</v>
      </c>
      <c r="M465" s="116">
        <f t="shared" si="51"/>
        <v>7801.0402500000009</v>
      </c>
      <c r="N465" s="116">
        <v>131.83000000000001</v>
      </c>
      <c r="O465" s="116">
        <f t="shared" si="52"/>
        <v>32.95750000000001</v>
      </c>
      <c r="P465" s="116">
        <f t="shared" si="53"/>
        <v>2600.3467500000011</v>
      </c>
      <c r="Q465" s="116" t="s">
        <v>2458</v>
      </c>
      <c r="R465" s="116" t="s">
        <v>3259</v>
      </c>
      <c r="S465" s="116" t="str">
        <f t="shared" si="54"/>
        <v>OK - FECHA COM PLANILHA</v>
      </c>
      <c r="T465" s="116">
        <v>7801.04</v>
      </c>
      <c r="U465" s="122">
        <f t="shared" si="55"/>
        <v>2.5000000096042641E-4</v>
      </c>
    </row>
    <row r="466" spans="1:21" ht="63.75" x14ac:dyDescent="0.2">
      <c r="A466" s="120" t="s">
        <v>3260</v>
      </c>
      <c r="B466" s="114" t="s">
        <v>1994</v>
      </c>
      <c r="C466" s="114" t="s">
        <v>1634</v>
      </c>
      <c r="D466" s="114" t="s">
        <v>56</v>
      </c>
      <c r="E466" s="114" t="s">
        <v>942</v>
      </c>
      <c r="F466" s="114" t="s">
        <v>84</v>
      </c>
      <c r="G466" s="115">
        <v>4</v>
      </c>
      <c r="H466" s="116">
        <v>118.38</v>
      </c>
      <c r="I466" s="121">
        <v>0.2223</v>
      </c>
      <c r="J466" s="116">
        <f t="shared" si="49"/>
        <v>26.310000000000002</v>
      </c>
      <c r="K466" s="116">
        <v>144.69</v>
      </c>
      <c r="L466" s="116">
        <f t="shared" si="50"/>
        <v>473.52</v>
      </c>
      <c r="M466" s="116">
        <f t="shared" si="51"/>
        <v>578.76</v>
      </c>
      <c r="N466" s="116">
        <v>192.92</v>
      </c>
      <c r="O466" s="116">
        <f t="shared" si="52"/>
        <v>48.22999999999999</v>
      </c>
      <c r="P466" s="116">
        <f t="shared" si="53"/>
        <v>192.91999999999996</v>
      </c>
      <c r="Q466" s="116" t="s">
        <v>2349</v>
      </c>
      <c r="R466" s="116" t="s">
        <v>3261</v>
      </c>
      <c r="S466" s="116" t="str">
        <f t="shared" si="54"/>
        <v>OK - FECHA COM PLANILHA</v>
      </c>
      <c r="T466" s="116">
        <v>578.76</v>
      </c>
      <c r="U466" s="122">
        <f t="shared" si="55"/>
        <v>0</v>
      </c>
    </row>
    <row r="467" spans="1:21" ht="63.75" x14ac:dyDescent="0.2">
      <c r="A467" s="120" t="s">
        <v>3262</v>
      </c>
      <c r="B467" s="114" t="s">
        <v>1995</v>
      </c>
      <c r="C467" s="114" t="s">
        <v>1996</v>
      </c>
      <c r="D467" s="114" t="s">
        <v>56</v>
      </c>
      <c r="E467" s="114" t="s">
        <v>943</v>
      </c>
      <c r="F467" s="114" t="s">
        <v>99</v>
      </c>
      <c r="G467" s="115">
        <v>219</v>
      </c>
      <c r="H467" s="116">
        <v>8.8349999999999991</v>
      </c>
      <c r="I467" s="121">
        <v>0.2223</v>
      </c>
      <c r="J467" s="116">
        <f t="shared" si="49"/>
        <v>1.9575000000000014</v>
      </c>
      <c r="K467" s="116">
        <v>10.7925</v>
      </c>
      <c r="L467" s="116">
        <f t="shared" si="50"/>
        <v>1934.8649999999998</v>
      </c>
      <c r="M467" s="116">
        <f t="shared" si="51"/>
        <v>2363.5574999999999</v>
      </c>
      <c r="N467" s="116">
        <v>14.39</v>
      </c>
      <c r="O467" s="116">
        <f t="shared" si="52"/>
        <v>3.5975000000000001</v>
      </c>
      <c r="P467" s="116">
        <f t="shared" si="53"/>
        <v>787.85250000000008</v>
      </c>
      <c r="Q467" s="116" t="s">
        <v>2349</v>
      </c>
      <c r="R467" s="116" t="s">
        <v>3263</v>
      </c>
      <c r="S467" s="116" t="str">
        <f t="shared" si="54"/>
        <v>OK - FECHA COM PLANILHA</v>
      </c>
      <c r="T467" s="116">
        <v>2363.5500000000002</v>
      </c>
      <c r="U467" s="122">
        <f t="shared" si="55"/>
        <v>7.4999999997089617E-3</v>
      </c>
    </row>
    <row r="468" spans="1:21" ht="63.75" x14ac:dyDescent="0.2">
      <c r="A468" s="120" t="s">
        <v>3264</v>
      </c>
      <c r="B468" s="114" t="s">
        <v>1997</v>
      </c>
      <c r="C468" s="114" t="s">
        <v>1688</v>
      </c>
      <c r="D468" s="114" t="s">
        <v>56</v>
      </c>
      <c r="E468" s="114" t="s">
        <v>1689</v>
      </c>
      <c r="F468" s="114" t="s">
        <v>99</v>
      </c>
      <c r="G468" s="115">
        <v>219</v>
      </c>
      <c r="H468" s="116">
        <v>15.375</v>
      </c>
      <c r="I468" s="121">
        <v>0.2223</v>
      </c>
      <c r="J468" s="116">
        <f t="shared" si="49"/>
        <v>3.4125000000000014</v>
      </c>
      <c r="K468" s="116">
        <v>18.787500000000001</v>
      </c>
      <c r="L468" s="116">
        <f t="shared" si="50"/>
        <v>3367.125</v>
      </c>
      <c r="M468" s="116">
        <f t="shared" si="51"/>
        <v>4114.4625000000005</v>
      </c>
      <c r="N468" s="116">
        <v>25.05</v>
      </c>
      <c r="O468" s="116">
        <f t="shared" si="52"/>
        <v>6.2624999999999993</v>
      </c>
      <c r="P468" s="116">
        <f t="shared" si="53"/>
        <v>1371.4875</v>
      </c>
      <c r="Q468" s="116" t="s">
        <v>2349</v>
      </c>
      <c r="R468" s="116" t="s">
        <v>3265</v>
      </c>
      <c r="S468" s="116" t="str">
        <f t="shared" si="54"/>
        <v>OK - FECHA COM PLANILHA</v>
      </c>
      <c r="T468" s="116">
        <v>4114.46</v>
      </c>
      <c r="U468" s="122">
        <f t="shared" si="55"/>
        <v>2.500000000509317E-3</v>
      </c>
    </row>
    <row r="469" spans="1:21" ht="63.75" x14ac:dyDescent="0.2">
      <c r="A469" s="120" t="s">
        <v>3266</v>
      </c>
      <c r="B469" s="114" t="s">
        <v>1998</v>
      </c>
      <c r="C469" s="114" t="s">
        <v>1999</v>
      </c>
      <c r="D469" s="114" t="s">
        <v>56</v>
      </c>
      <c r="E469" s="114" t="s">
        <v>2000</v>
      </c>
      <c r="F469" s="114" t="s">
        <v>99</v>
      </c>
      <c r="G469" s="115">
        <v>1.5</v>
      </c>
      <c r="H469" s="116">
        <v>8.8049999999999997</v>
      </c>
      <c r="I469" s="121">
        <v>0.2223</v>
      </c>
      <c r="J469" s="116">
        <f t="shared" si="49"/>
        <v>1.9499999999999993</v>
      </c>
      <c r="K469" s="116">
        <v>10.754999999999999</v>
      </c>
      <c r="L469" s="116">
        <f t="shared" si="50"/>
        <v>13.2075</v>
      </c>
      <c r="M469" s="116">
        <f t="shared" si="51"/>
        <v>16.1325</v>
      </c>
      <c r="N469" s="116">
        <v>14.34</v>
      </c>
      <c r="O469" s="116">
        <f t="shared" si="52"/>
        <v>3.5850000000000009</v>
      </c>
      <c r="P469" s="116">
        <f t="shared" si="53"/>
        <v>5.3775000000000013</v>
      </c>
      <c r="Q469" s="116" t="s">
        <v>2349</v>
      </c>
      <c r="R469" s="116" t="s">
        <v>3267</v>
      </c>
      <c r="S469" s="116" t="str">
        <f t="shared" si="54"/>
        <v>OK - FECHA COM PLANILHA</v>
      </c>
      <c r="T469" s="116">
        <v>16.13</v>
      </c>
      <c r="U469" s="122">
        <f t="shared" si="55"/>
        <v>2.500000000001279E-3</v>
      </c>
    </row>
    <row r="470" spans="1:21" ht="63.75" x14ac:dyDescent="0.2">
      <c r="A470" s="120" t="s">
        <v>3268</v>
      </c>
      <c r="B470" s="114" t="s">
        <v>2001</v>
      </c>
      <c r="C470" s="114" t="s">
        <v>2002</v>
      </c>
      <c r="D470" s="114" t="s">
        <v>56</v>
      </c>
      <c r="E470" s="114" t="s">
        <v>2003</v>
      </c>
      <c r="F470" s="114" t="s">
        <v>99</v>
      </c>
      <c r="G470" s="115">
        <v>1098.7</v>
      </c>
      <c r="H470" s="116">
        <v>10.32</v>
      </c>
      <c r="I470" s="121">
        <v>0.2223</v>
      </c>
      <c r="J470" s="116">
        <f t="shared" si="49"/>
        <v>2.2874999999999979</v>
      </c>
      <c r="K470" s="116">
        <v>12.607499999999998</v>
      </c>
      <c r="L470" s="116">
        <f t="shared" si="50"/>
        <v>11338.584000000001</v>
      </c>
      <c r="M470" s="116">
        <f t="shared" si="51"/>
        <v>13851.860249999998</v>
      </c>
      <c r="N470" s="116">
        <v>16.809999999999999</v>
      </c>
      <c r="O470" s="116">
        <f t="shared" si="52"/>
        <v>4.2025000000000006</v>
      </c>
      <c r="P470" s="116">
        <f t="shared" si="53"/>
        <v>4617.2867500000011</v>
      </c>
      <c r="Q470" s="116" t="s">
        <v>2349</v>
      </c>
      <c r="R470" s="116" t="s">
        <v>3269</v>
      </c>
      <c r="S470" s="116" t="str">
        <f t="shared" si="54"/>
        <v>OK - FECHA COM PLANILHA</v>
      </c>
      <c r="T470" s="116">
        <v>13851.86</v>
      </c>
      <c r="U470" s="122">
        <f t="shared" si="55"/>
        <v>2.499999973224476E-4</v>
      </c>
    </row>
    <row r="471" spans="1:21" ht="63.75" x14ac:dyDescent="0.2">
      <c r="A471" s="120" t="s">
        <v>3270</v>
      </c>
      <c r="B471" s="114" t="s">
        <v>2004</v>
      </c>
      <c r="C471" s="114" t="s">
        <v>2005</v>
      </c>
      <c r="D471" s="114" t="s">
        <v>56</v>
      </c>
      <c r="E471" s="114" t="s">
        <v>946</v>
      </c>
      <c r="F471" s="114" t="s">
        <v>99</v>
      </c>
      <c r="G471" s="115">
        <v>366.7</v>
      </c>
      <c r="H471" s="116">
        <v>13.5075</v>
      </c>
      <c r="I471" s="121">
        <v>0.2223</v>
      </c>
      <c r="J471" s="116">
        <f t="shared" si="49"/>
        <v>3</v>
      </c>
      <c r="K471" s="116">
        <v>16.5075</v>
      </c>
      <c r="L471" s="116">
        <f t="shared" si="50"/>
        <v>4953.2002499999999</v>
      </c>
      <c r="M471" s="116">
        <f t="shared" si="51"/>
        <v>6053.3002500000002</v>
      </c>
      <c r="N471" s="116">
        <v>22.01</v>
      </c>
      <c r="O471" s="116">
        <f t="shared" si="52"/>
        <v>5.5025000000000013</v>
      </c>
      <c r="P471" s="116">
        <f t="shared" si="53"/>
        <v>2017.7667500000005</v>
      </c>
      <c r="Q471" s="116" t="s">
        <v>2349</v>
      </c>
      <c r="R471" s="116" t="s">
        <v>3271</v>
      </c>
      <c r="S471" s="116" t="str">
        <f t="shared" si="54"/>
        <v>OK - FECHA COM PLANILHA</v>
      </c>
      <c r="T471" s="116">
        <v>6053.3</v>
      </c>
      <c r="U471" s="122">
        <f t="shared" si="55"/>
        <v>2.500000000509317E-4</v>
      </c>
    </row>
    <row r="472" spans="1:21" ht="63.75" x14ac:dyDescent="0.2">
      <c r="A472" s="120" t="s">
        <v>3272</v>
      </c>
      <c r="B472" s="114" t="s">
        <v>2006</v>
      </c>
      <c r="C472" s="114" t="s">
        <v>2007</v>
      </c>
      <c r="D472" s="114" t="s">
        <v>56</v>
      </c>
      <c r="E472" s="114" t="s">
        <v>947</v>
      </c>
      <c r="F472" s="114" t="s">
        <v>99</v>
      </c>
      <c r="G472" s="115">
        <v>26.7</v>
      </c>
      <c r="H472" s="116">
        <v>16.71</v>
      </c>
      <c r="I472" s="121">
        <v>0.2223</v>
      </c>
      <c r="J472" s="116">
        <f t="shared" si="49"/>
        <v>3.7124999999999986</v>
      </c>
      <c r="K472" s="116">
        <v>20.422499999999999</v>
      </c>
      <c r="L472" s="116">
        <f t="shared" si="50"/>
        <v>446.15700000000004</v>
      </c>
      <c r="M472" s="116">
        <f t="shared" si="51"/>
        <v>545.28075000000001</v>
      </c>
      <c r="N472" s="116">
        <v>27.23</v>
      </c>
      <c r="O472" s="116">
        <f t="shared" si="52"/>
        <v>6.807500000000001</v>
      </c>
      <c r="P472" s="116">
        <f t="shared" si="53"/>
        <v>181.76025000000001</v>
      </c>
      <c r="Q472" s="116" t="s">
        <v>2349</v>
      </c>
      <c r="R472" s="116" t="s">
        <v>3273</v>
      </c>
      <c r="S472" s="116" t="str">
        <f t="shared" si="54"/>
        <v>OK - FECHA COM PLANILHA</v>
      </c>
      <c r="T472" s="116">
        <v>545.28</v>
      </c>
      <c r="U472" s="122">
        <f t="shared" si="55"/>
        <v>7.5000000003910827E-4</v>
      </c>
    </row>
    <row r="473" spans="1:21" ht="63.75" x14ac:dyDescent="0.2">
      <c r="A473" s="120" t="s">
        <v>3274</v>
      </c>
      <c r="B473" s="114" t="s">
        <v>2008</v>
      </c>
      <c r="C473" s="114" t="s">
        <v>2009</v>
      </c>
      <c r="D473" s="114" t="s">
        <v>56</v>
      </c>
      <c r="E473" s="114" t="s">
        <v>948</v>
      </c>
      <c r="F473" s="114" t="s">
        <v>99</v>
      </c>
      <c r="G473" s="115">
        <v>15.1</v>
      </c>
      <c r="H473" s="116">
        <v>15.375</v>
      </c>
      <c r="I473" s="121">
        <v>0.2223</v>
      </c>
      <c r="J473" s="116">
        <f t="shared" si="49"/>
        <v>3.4125000000000014</v>
      </c>
      <c r="K473" s="116">
        <v>18.787500000000001</v>
      </c>
      <c r="L473" s="116">
        <f t="shared" si="50"/>
        <v>232.16249999999999</v>
      </c>
      <c r="M473" s="116">
        <f t="shared" si="51"/>
        <v>283.69125000000003</v>
      </c>
      <c r="N473" s="116">
        <v>25.05</v>
      </c>
      <c r="O473" s="116">
        <f t="shared" si="52"/>
        <v>6.2624999999999993</v>
      </c>
      <c r="P473" s="116">
        <f t="shared" si="53"/>
        <v>94.563749999999985</v>
      </c>
      <c r="Q473" s="116" t="s">
        <v>2349</v>
      </c>
      <c r="R473" s="116" t="s">
        <v>3275</v>
      </c>
      <c r="S473" s="116" t="str">
        <f t="shared" si="54"/>
        <v>OK - FECHA COM PLANILHA</v>
      </c>
      <c r="T473" s="116">
        <v>283.69</v>
      </c>
      <c r="U473" s="122">
        <f t="shared" si="55"/>
        <v>1.2500000000272848E-3</v>
      </c>
    </row>
    <row r="474" spans="1:21" ht="63.75" x14ac:dyDescent="0.2">
      <c r="A474" s="120" t="s">
        <v>3276</v>
      </c>
      <c r="B474" s="114" t="s">
        <v>2010</v>
      </c>
      <c r="C474" s="114" t="s">
        <v>2011</v>
      </c>
      <c r="D474" s="114" t="s">
        <v>56</v>
      </c>
      <c r="E474" s="114" t="s">
        <v>2012</v>
      </c>
      <c r="F474" s="114" t="s">
        <v>99</v>
      </c>
      <c r="G474" s="115">
        <v>3.6</v>
      </c>
      <c r="H474" s="116">
        <v>22.11</v>
      </c>
      <c r="I474" s="121">
        <v>0.2223</v>
      </c>
      <c r="J474" s="116">
        <f t="shared" si="49"/>
        <v>4.9125000000000014</v>
      </c>
      <c r="K474" s="116">
        <v>27.022500000000001</v>
      </c>
      <c r="L474" s="116">
        <f t="shared" si="50"/>
        <v>79.596000000000004</v>
      </c>
      <c r="M474" s="116">
        <f t="shared" si="51"/>
        <v>97.281000000000006</v>
      </c>
      <c r="N474" s="116">
        <v>36.03</v>
      </c>
      <c r="O474" s="116">
        <f t="shared" si="52"/>
        <v>9.0075000000000003</v>
      </c>
      <c r="P474" s="116">
        <f t="shared" si="53"/>
        <v>32.427</v>
      </c>
      <c r="Q474" s="116" t="s">
        <v>2349</v>
      </c>
      <c r="R474" s="116" t="s">
        <v>3277</v>
      </c>
      <c r="S474" s="116" t="str">
        <f t="shared" si="54"/>
        <v>OK - FECHA COM PLANILHA</v>
      </c>
      <c r="T474" s="116">
        <v>97.28</v>
      </c>
      <c r="U474" s="122">
        <f t="shared" si="55"/>
        <v>1.0000000000047748E-3</v>
      </c>
    </row>
    <row r="475" spans="1:21" ht="63.75" x14ac:dyDescent="0.2">
      <c r="A475" s="120" t="s">
        <v>3278</v>
      </c>
      <c r="B475" s="114" t="s">
        <v>2013</v>
      </c>
      <c r="C475" s="114" t="s">
        <v>2014</v>
      </c>
      <c r="D475" s="114" t="s">
        <v>56</v>
      </c>
      <c r="E475" s="114" t="s">
        <v>950</v>
      </c>
      <c r="F475" s="114" t="s">
        <v>99</v>
      </c>
      <c r="G475" s="115">
        <v>3.3</v>
      </c>
      <c r="H475" s="116">
        <v>30.375</v>
      </c>
      <c r="I475" s="121">
        <v>0.2223</v>
      </c>
      <c r="J475" s="116">
        <f t="shared" si="49"/>
        <v>6.75</v>
      </c>
      <c r="K475" s="116">
        <v>37.125</v>
      </c>
      <c r="L475" s="116">
        <f t="shared" si="50"/>
        <v>100.2375</v>
      </c>
      <c r="M475" s="116">
        <f t="shared" si="51"/>
        <v>122.51249999999999</v>
      </c>
      <c r="N475" s="116">
        <v>49.5</v>
      </c>
      <c r="O475" s="116">
        <f t="shared" si="52"/>
        <v>12.375</v>
      </c>
      <c r="P475" s="116">
        <f t="shared" si="53"/>
        <v>40.837499999999999</v>
      </c>
      <c r="Q475" s="116" t="s">
        <v>2349</v>
      </c>
      <c r="R475" s="116" t="s">
        <v>3279</v>
      </c>
      <c r="S475" s="116" t="str">
        <f t="shared" si="54"/>
        <v>OK - FECHA COM PLANILHA</v>
      </c>
      <c r="T475" s="116">
        <v>122.51</v>
      </c>
      <c r="U475" s="122">
        <f t="shared" si="55"/>
        <v>2.4999999999835154E-3</v>
      </c>
    </row>
    <row r="476" spans="1:21" ht="63.75" x14ac:dyDescent="0.2">
      <c r="A476" s="120" t="s">
        <v>3280</v>
      </c>
      <c r="B476" s="114" t="s">
        <v>2015</v>
      </c>
      <c r="C476" s="114" t="s">
        <v>2016</v>
      </c>
      <c r="D476" s="114" t="s">
        <v>56</v>
      </c>
      <c r="E476" s="114" t="s">
        <v>951</v>
      </c>
      <c r="F476" s="114" t="s">
        <v>99</v>
      </c>
      <c r="G476" s="115">
        <v>12.9</v>
      </c>
      <c r="H476" s="116">
        <v>36.839999999999996</v>
      </c>
      <c r="I476" s="121">
        <v>0.2223</v>
      </c>
      <c r="J476" s="116">
        <f t="shared" si="49"/>
        <v>8.1825000000000045</v>
      </c>
      <c r="K476" s="116">
        <v>45.022500000000001</v>
      </c>
      <c r="L476" s="116">
        <f t="shared" si="50"/>
        <v>475.23599999999999</v>
      </c>
      <c r="M476" s="116">
        <f t="shared" si="51"/>
        <v>580.79025000000001</v>
      </c>
      <c r="N476" s="116">
        <v>60.03</v>
      </c>
      <c r="O476" s="116">
        <f t="shared" si="52"/>
        <v>15.0075</v>
      </c>
      <c r="P476" s="116">
        <f t="shared" si="53"/>
        <v>193.59675000000001</v>
      </c>
      <c r="Q476" s="116" t="s">
        <v>2349</v>
      </c>
      <c r="R476" s="116" t="s">
        <v>3281</v>
      </c>
      <c r="S476" s="116" t="str">
        <f t="shared" si="54"/>
        <v>OK - FECHA COM PLANILHA</v>
      </c>
      <c r="T476" s="116">
        <v>580.79</v>
      </c>
      <c r="U476" s="122">
        <f t="shared" si="55"/>
        <v>2.500000000509317E-4</v>
      </c>
    </row>
    <row r="477" spans="1:21" ht="63.75" x14ac:dyDescent="0.2">
      <c r="A477" s="120" t="s">
        <v>3282</v>
      </c>
      <c r="B477" s="114" t="s">
        <v>2017</v>
      </c>
      <c r="C477" s="114" t="s">
        <v>2018</v>
      </c>
      <c r="D477" s="114" t="s">
        <v>335</v>
      </c>
      <c r="E477" s="114" t="s">
        <v>952</v>
      </c>
      <c r="F477" s="114" t="s">
        <v>99</v>
      </c>
      <c r="G477" s="115">
        <v>1</v>
      </c>
      <c r="H477" s="116">
        <v>219.375</v>
      </c>
      <c r="I477" s="121">
        <v>0.2223</v>
      </c>
      <c r="J477" s="116">
        <f t="shared" si="49"/>
        <v>48.764999999999986</v>
      </c>
      <c r="K477" s="116">
        <v>268.14</v>
      </c>
      <c r="L477" s="116">
        <f t="shared" si="50"/>
        <v>219.375</v>
      </c>
      <c r="M477" s="116">
        <f t="shared" si="51"/>
        <v>268.14</v>
      </c>
      <c r="N477" s="116">
        <v>357.52</v>
      </c>
      <c r="O477" s="116">
        <f t="shared" si="52"/>
        <v>89.38</v>
      </c>
      <c r="P477" s="116">
        <f t="shared" si="53"/>
        <v>89.38</v>
      </c>
      <c r="Q477" s="116" t="s">
        <v>2589</v>
      </c>
      <c r="R477" s="116" t="s">
        <v>3283</v>
      </c>
      <c r="S477" s="116" t="str">
        <f t="shared" si="54"/>
        <v>OK - FECHA COM PLANILHA</v>
      </c>
      <c r="T477" s="116">
        <v>268.14</v>
      </c>
      <c r="U477" s="122">
        <f t="shared" si="55"/>
        <v>0</v>
      </c>
    </row>
    <row r="478" spans="1:21" ht="76.5" x14ac:dyDescent="0.2">
      <c r="A478" s="120" t="s">
        <v>3284</v>
      </c>
      <c r="B478" s="114" t="s">
        <v>2019</v>
      </c>
      <c r="C478" s="114" t="s">
        <v>2020</v>
      </c>
      <c r="D478" s="114" t="s">
        <v>24</v>
      </c>
      <c r="E478" s="114" t="s">
        <v>954</v>
      </c>
      <c r="F478" s="114" t="s">
        <v>99</v>
      </c>
      <c r="G478" s="115">
        <v>372.5</v>
      </c>
      <c r="H478" s="116">
        <v>83.699999999999989</v>
      </c>
      <c r="I478" s="121">
        <v>0.2223</v>
      </c>
      <c r="J478" s="116">
        <f t="shared" si="49"/>
        <v>18.600000000000023</v>
      </c>
      <c r="K478" s="116">
        <v>102.30000000000001</v>
      </c>
      <c r="L478" s="116">
        <f t="shared" si="50"/>
        <v>31178.249999999996</v>
      </c>
      <c r="M478" s="116">
        <f t="shared" si="51"/>
        <v>38106.750000000007</v>
      </c>
      <c r="N478" s="116">
        <v>136.4</v>
      </c>
      <c r="O478" s="116">
        <f t="shared" si="52"/>
        <v>34.099999999999994</v>
      </c>
      <c r="P478" s="116">
        <f t="shared" si="53"/>
        <v>12702.249999999998</v>
      </c>
      <c r="Q478" s="116" t="s">
        <v>2332</v>
      </c>
      <c r="R478" s="116" t="s">
        <v>3285</v>
      </c>
      <c r="S478" s="116" t="str">
        <f t="shared" si="54"/>
        <v>OK - FECHA COM PLANILHA</v>
      </c>
      <c r="T478" s="116">
        <v>38106.75</v>
      </c>
      <c r="U478" s="122">
        <f t="shared" si="55"/>
        <v>0</v>
      </c>
    </row>
    <row r="479" spans="1:21" ht="76.5" x14ac:dyDescent="0.2">
      <c r="A479" s="120" t="s">
        <v>3286</v>
      </c>
      <c r="B479" s="114" t="s">
        <v>2021</v>
      </c>
      <c r="C479" s="114" t="s">
        <v>2022</v>
      </c>
      <c r="D479" s="114" t="s">
        <v>24</v>
      </c>
      <c r="E479" s="114" t="s">
        <v>956</v>
      </c>
      <c r="F479" s="114" t="s">
        <v>99</v>
      </c>
      <c r="G479" s="115">
        <v>99.5</v>
      </c>
      <c r="H479" s="116">
        <v>169.5</v>
      </c>
      <c r="I479" s="121">
        <v>0.2223</v>
      </c>
      <c r="J479" s="116">
        <f t="shared" si="49"/>
        <v>37.672500000000014</v>
      </c>
      <c r="K479" s="116">
        <v>207.17250000000001</v>
      </c>
      <c r="L479" s="116">
        <f t="shared" si="50"/>
        <v>16865.25</v>
      </c>
      <c r="M479" s="116">
        <f t="shared" si="51"/>
        <v>20613.66375</v>
      </c>
      <c r="N479" s="116">
        <v>276.23</v>
      </c>
      <c r="O479" s="116">
        <f t="shared" si="52"/>
        <v>69.057500000000005</v>
      </c>
      <c r="P479" s="116">
        <f t="shared" si="53"/>
        <v>6871.2212500000005</v>
      </c>
      <c r="Q479" s="116" t="s">
        <v>2332</v>
      </c>
      <c r="R479" s="116" t="s">
        <v>3287</v>
      </c>
      <c r="S479" s="116" t="str">
        <f t="shared" si="54"/>
        <v>OK - FECHA COM PLANILHA</v>
      </c>
      <c r="T479" s="116">
        <v>20613.66</v>
      </c>
      <c r="U479" s="122">
        <f t="shared" si="55"/>
        <v>3.7499999998544808E-3</v>
      </c>
    </row>
    <row r="480" spans="1:21" ht="63.75" x14ac:dyDescent="0.2">
      <c r="A480" s="120" t="s">
        <v>3288</v>
      </c>
      <c r="B480" s="114" t="s">
        <v>2023</v>
      </c>
      <c r="C480" s="114" t="s">
        <v>2024</v>
      </c>
      <c r="D480" s="114" t="s">
        <v>335</v>
      </c>
      <c r="E480" s="114" t="s">
        <v>957</v>
      </c>
      <c r="F480" s="114" t="s">
        <v>84</v>
      </c>
      <c r="G480" s="115">
        <v>1</v>
      </c>
      <c r="H480" s="116">
        <v>35.594999999999999</v>
      </c>
      <c r="I480" s="121">
        <v>0.2223</v>
      </c>
      <c r="J480" s="116">
        <f t="shared" si="49"/>
        <v>7.9125000000000014</v>
      </c>
      <c r="K480" s="116">
        <v>43.5075</v>
      </c>
      <c r="L480" s="116">
        <f t="shared" si="50"/>
        <v>35.594999999999999</v>
      </c>
      <c r="M480" s="116">
        <f t="shared" si="51"/>
        <v>43.5075</v>
      </c>
      <c r="N480" s="116">
        <v>58.01</v>
      </c>
      <c r="O480" s="116">
        <f t="shared" si="52"/>
        <v>14.502499999999998</v>
      </c>
      <c r="P480" s="116">
        <f t="shared" si="53"/>
        <v>14.502499999999998</v>
      </c>
      <c r="Q480" s="116" t="s">
        <v>2589</v>
      </c>
      <c r="R480" s="116" t="s">
        <v>3289</v>
      </c>
      <c r="S480" s="116" t="str">
        <f t="shared" si="54"/>
        <v>OK - FECHA COM PLANILHA</v>
      </c>
      <c r="T480" s="116">
        <v>43.5</v>
      </c>
      <c r="U480" s="122">
        <f t="shared" si="55"/>
        <v>7.5000000000002842E-3</v>
      </c>
    </row>
    <row r="481" spans="1:21" ht="63.75" x14ac:dyDescent="0.2">
      <c r="A481" s="120" t="s">
        <v>3290</v>
      </c>
      <c r="B481" s="114" t="s">
        <v>2025</v>
      </c>
      <c r="C481" s="114" t="s">
        <v>2026</v>
      </c>
      <c r="D481" s="114" t="s">
        <v>335</v>
      </c>
      <c r="E481" s="114" t="s">
        <v>958</v>
      </c>
      <c r="F481" s="114" t="s">
        <v>84</v>
      </c>
      <c r="G481" s="115">
        <v>1</v>
      </c>
      <c r="H481" s="116">
        <v>101.89500000000001</v>
      </c>
      <c r="I481" s="121">
        <v>0.2223</v>
      </c>
      <c r="J481" s="116">
        <f t="shared" si="49"/>
        <v>22.649999999999991</v>
      </c>
      <c r="K481" s="116">
        <v>124.545</v>
      </c>
      <c r="L481" s="116">
        <f t="shared" si="50"/>
        <v>101.89500000000001</v>
      </c>
      <c r="M481" s="116">
        <f t="shared" si="51"/>
        <v>124.545</v>
      </c>
      <c r="N481" s="116">
        <v>166.06</v>
      </c>
      <c r="O481" s="116">
        <f t="shared" si="52"/>
        <v>41.515000000000001</v>
      </c>
      <c r="P481" s="116">
        <f t="shared" si="53"/>
        <v>41.515000000000001</v>
      </c>
      <c r="Q481" s="116" t="s">
        <v>2589</v>
      </c>
      <c r="R481" s="116" t="s">
        <v>3291</v>
      </c>
      <c r="S481" s="116" t="str">
        <f t="shared" si="54"/>
        <v>OK - FECHA COM PLANILHA</v>
      </c>
      <c r="T481" s="116">
        <v>124.54</v>
      </c>
      <c r="U481" s="122">
        <f t="shared" si="55"/>
        <v>4.9999999999954525E-3</v>
      </c>
    </row>
    <row r="482" spans="1:21" ht="63.75" x14ac:dyDescent="0.2">
      <c r="A482" s="120" t="s">
        <v>3292</v>
      </c>
      <c r="B482" s="114" t="s">
        <v>2027</v>
      </c>
      <c r="C482" s="114" t="s">
        <v>2028</v>
      </c>
      <c r="D482" s="114" t="s">
        <v>56</v>
      </c>
      <c r="E482" s="114" t="s">
        <v>959</v>
      </c>
      <c r="F482" s="114" t="s">
        <v>84</v>
      </c>
      <c r="G482" s="115">
        <v>1</v>
      </c>
      <c r="H482" s="116">
        <v>10.5</v>
      </c>
      <c r="I482" s="121">
        <v>0.2223</v>
      </c>
      <c r="J482" s="116">
        <f t="shared" si="49"/>
        <v>2.3324999999999996</v>
      </c>
      <c r="K482" s="116">
        <v>12.8325</v>
      </c>
      <c r="L482" s="116">
        <f t="shared" si="50"/>
        <v>10.5</v>
      </c>
      <c r="M482" s="116">
        <f t="shared" si="51"/>
        <v>12.8325</v>
      </c>
      <c r="N482" s="116">
        <v>17.11</v>
      </c>
      <c r="O482" s="116">
        <f t="shared" si="52"/>
        <v>4.2774999999999999</v>
      </c>
      <c r="P482" s="116">
        <f t="shared" si="53"/>
        <v>4.2774999999999999</v>
      </c>
      <c r="Q482" s="116" t="s">
        <v>2349</v>
      </c>
      <c r="R482" s="116" t="s">
        <v>3293</v>
      </c>
      <c r="S482" s="116" t="str">
        <f t="shared" si="54"/>
        <v>OK - FECHA COM PLANILHA</v>
      </c>
      <c r="T482" s="116">
        <v>12.83</v>
      </c>
      <c r="U482" s="122">
        <f t="shared" si="55"/>
        <v>2.4999999999995026E-3</v>
      </c>
    </row>
    <row r="483" spans="1:21" ht="63.75" x14ac:dyDescent="0.2">
      <c r="A483" s="120" t="s">
        <v>3294</v>
      </c>
      <c r="B483" s="114" t="s">
        <v>2029</v>
      </c>
      <c r="C483" s="114" t="s">
        <v>2030</v>
      </c>
      <c r="D483" s="114" t="s">
        <v>56</v>
      </c>
      <c r="E483" s="114" t="s">
        <v>960</v>
      </c>
      <c r="F483" s="114" t="s">
        <v>84</v>
      </c>
      <c r="G483" s="115">
        <v>5</v>
      </c>
      <c r="H483" s="116">
        <v>15.892500000000002</v>
      </c>
      <c r="I483" s="121">
        <v>0.2223</v>
      </c>
      <c r="J483" s="116">
        <f t="shared" si="49"/>
        <v>3.5324999999999953</v>
      </c>
      <c r="K483" s="116">
        <v>19.424999999999997</v>
      </c>
      <c r="L483" s="116">
        <f t="shared" si="50"/>
        <v>79.462500000000006</v>
      </c>
      <c r="M483" s="116">
        <f t="shared" si="51"/>
        <v>97.124999999999986</v>
      </c>
      <c r="N483" s="116">
        <v>25.9</v>
      </c>
      <c r="O483" s="116">
        <f t="shared" si="52"/>
        <v>6.4750000000000014</v>
      </c>
      <c r="P483" s="116">
        <f t="shared" si="53"/>
        <v>32.375000000000007</v>
      </c>
      <c r="Q483" s="116" t="s">
        <v>2349</v>
      </c>
      <c r="R483" s="116" t="s">
        <v>3295</v>
      </c>
      <c r="S483" s="116" t="str">
        <f t="shared" si="54"/>
        <v>OK - FECHA COM PLANILHA</v>
      </c>
      <c r="T483" s="116">
        <v>97.12</v>
      </c>
      <c r="U483" s="122">
        <f t="shared" si="55"/>
        <v>4.9999999999812417E-3</v>
      </c>
    </row>
    <row r="484" spans="1:21" ht="63.75" x14ac:dyDescent="0.2">
      <c r="A484" s="120" t="s">
        <v>3296</v>
      </c>
      <c r="B484" s="114" t="s">
        <v>2031</v>
      </c>
      <c r="C484" s="114" t="s">
        <v>2032</v>
      </c>
      <c r="D484" s="114" t="s">
        <v>56</v>
      </c>
      <c r="E484" s="114" t="s">
        <v>2033</v>
      </c>
      <c r="F484" s="114" t="s">
        <v>84</v>
      </c>
      <c r="G484" s="115">
        <v>4</v>
      </c>
      <c r="H484" s="116">
        <v>7.5075000000000003</v>
      </c>
      <c r="I484" s="121">
        <v>0.2223</v>
      </c>
      <c r="J484" s="116">
        <f t="shared" si="49"/>
        <v>1.6649999999999991</v>
      </c>
      <c r="K484" s="116">
        <v>9.1724999999999994</v>
      </c>
      <c r="L484" s="116">
        <f t="shared" si="50"/>
        <v>30.03</v>
      </c>
      <c r="M484" s="116">
        <f t="shared" si="51"/>
        <v>36.69</v>
      </c>
      <c r="N484" s="116">
        <v>12.23</v>
      </c>
      <c r="O484" s="116">
        <f t="shared" si="52"/>
        <v>3.057500000000001</v>
      </c>
      <c r="P484" s="116">
        <f t="shared" si="53"/>
        <v>12.230000000000004</v>
      </c>
      <c r="Q484" s="116" t="s">
        <v>2349</v>
      </c>
      <c r="R484" s="116" t="s">
        <v>3297</v>
      </c>
      <c r="S484" s="116" t="str">
        <f t="shared" si="54"/>
        <v>OK - FECHA COM PLANILHA</v>
      </c>
      <c r="T484" s="116">
        <v>36.69</v>
      </c>
      <c r="U484" s="122">
        <f t="shared" si="55"/>
        <v>0</v>
      </c>
    </row>
    <row r="485" spans="1:21" ht="63.75" x14ac:dyDescent="0.2">
      <c r="A485" s="120" t="s">
        <v>3298</v>
      </c>
      <c r="B485" s="114" t="s">
        <v>2034</v>
      </c>
      <c r="C485" s="114" t="s">
        <v>2035</v>
      </c>
      <c r="D485" s="114" t="s">
        <v>335</v>
      </c>
      <c r="E485" s="114" t="s">
        <v>962</v>
      </c>
      <c r="F485" s="114" t="s">
        <v>84</v>
      </c>
      <c r="G485" s="115">
        <v>2</v>
      </c>
      <c r="H485" s="116">
        <v>38.535000000000004</v>
      </c>
      <c r="I485" s="121">
        <v>0.2223</v>
      </c>
      <c r="J485" s="116">
        <f t="shared" si="49"/>
        <v>8.5649999999999906</v>
      </c>
      <c r="K485" s="116">
        <v>47.099999999999994</v>
      </c>
      <c r="L485" s="116">
        <f t="shared" si="50"/>
        <v>77.070000000000007</v>
      </c>
      <c r="M485" s="116">
        <f t="shared" si="51"/>
        <v>94.199999999999989</v>
      </c>
      <c r="N485" s="116">
        <v>62.8</v>
      </c>
      <c r="O485" s="116">
        <f t="shared" si="52"/>
        <v>15.700000000000003</v>
      </c>
      <c r="P485" s="116">
        <f t="shared" si="53"/>
        <v>31.400000000000006</v>
      </c>
      <c r="Q485" s="116" t="s">
        <v>2589</v>
      </c>
      <c r="R485" s="116" t="s">
        <v>3299</v>
      </c>
      <c r="S485" s="116" t="str">
        <f t="shared" si="54"/>
        <v>OK - FECHA COM PLANILHA</v>
      </c>
      <c r="T485" s="116">
        <v>94.2</v>
      </c>
      <c r="U485" s="122">
        <f t="shared" si="55"/>
        <v>0</v>
      </c>
    </row>
    <row r="486" spans="1:21" ht="63.75" x14ac:dyDescent="0.2">
      <c r="A486" s="120" t="s">
        <v>3300</v>
      </c>
      <c r="B486" s="114" t="s">
        <v>2036</v>
      </c>
      <c r="C486" s="114" t="s">
        <v>2037</v>
      </c>
      <c r="D486" s="114" t="s">
        <v>56</v>
      </c>
      <c r="E486" s="114" t="s">
        <v>963</v>
      </c>
      <c r="F486" s="114" t="s">
        <v>84</v>
      </c>
      <c r="G486" s="115">
        <v>592</v>
      </c>
      <c r="H486" s="116">
        <v>8.7675000000000001</v>
      </c>
      <c r="I486" s="121">
        <v>0.2223</v>
      </c>
      <c r="J486" s="116">
        <f t="shared" si="49"/>
        <v>1.942499999999999</v>
      </c>
      <c r="K486" s="116">
        <v>10.709999999999999</v>
      </c>
      <c r="L486" s="116">
        <f t="shared" si="50"/>
        <v>5190.3599999999997</v>
      </c>
      <c r="M486" s="116">
        <f t="shared" si="51"/>
        <v>6340.32</v>
      </c>
      <c r="N486" s="116">
        <v>14.28</v>
      </c>
      <c r="O486" s="116">
        <f t="shared" si="52"/>
        <v>3.5700000000000003</v>
      </c>
      <c r="P486" s="116">
        <f t="shared" si="53"/>
        <v>2113.44</v>
      </c>
      <c r="Q486" s="116" t="s">
        <v>2349</v>
      </c>
      <c r="R486" s="116" t="s">
        <v>3301</v>
      </c>
      <c r="S486" s="116" t="str">
        <f t="shared" si="54"/>
        <v>OK - FECHA COM PLANILHA</v>
      </c>
      <c r="T486" s="116">
        <v>6340.32</v>
      </c>
      <c r="U486" s="122">
        <f t="shared" si="55"/>
        <v>0</v>
      </c>
    </row>
    <row r="487" spans="1:21" ht="63.75" x14ac:dyDescent="0.2">
      <c r="A487" s="120" t="s">
        <v>3302</v>
      </c>
      <c r="B487" s="114" t="s">
        <v>2038</v>
      </c>
      <c r="C487" s="114" t="s">
        <v>2039</v>
      </c>
      <c r="D487" s="114" t="s">
        <v>56</v>
      </c>
      <c r="E487" s="114" t="s">
        <v>966</v>
      </c>
      <c r="F487" s="114" t="s">
        <v>99</v>
      </c>
      <c r="G487" s="115">
        <v>9877.1</v>
      </c>
      <c r="H487" s="116">
        <v>5.76</v>
      </c>
      <c r="I487" s="121">
        <v>0.2223</v>
      </c>
      <c r="J487" s="116">
        <f t="shared" si="49"/>
        <v>1.2750000000000004</v>
      </c>
      <c r="K487" s="116">
        <v>7.0350000000000001</v>
      </c>
      <c r="L487" s="116">
        <f t="shared" si="50"/>
        <v>56892.095999999998</v>
      </c>
      <c r="M487" s="116">
        <f t="shared" si="51"/>
        <v>69485.39850000001</v>
      </c>
      <c r="N487" s="116">
        <v>9.3800000000000008</v>
      </c>
      <c r="O487" s="116">
        <f t="shared" si="52"/>
        <v>2.3450000000000006</v>
      </c>
      <c r="P487" s="116">
        <f t="shared" si="53"/>
        <v>23161.799500000008</v>
      </c>
      <c r="Q487" s="116" t="s">
        <v>2349</v>
      </c>
      <c r="R487" s="116" t="s">
        <v>3303</v>
      </c>
      <c r="S487" s="116" t="str">
        <f t="shared" si="54"/>
        <v>OK - FECHA COM PLANILHA</v>
      </c>
      <c r="T487" s="116">
        <v>69485.39</v>
      </c>
      <c r="U487" s="122">
        <f t="shared" si="55"/>
        <v>8.5000000108266249E-3</v>
      </c>
    </row>
    <row r="488" spans="1:21" ht="63.75" x14ac:dyDescent="0.2">
      <c r="A488" s="120" t="s">
        <v>3304</v>
      </c>
      <c r="B488" s="114" t="s">
        <v>2040</v>
      </c>
      <c r="C488" s="114" t="s">
        <v>2041</v>
      </c>
      <c r="D488" s="114" t="s">
        <v>56</v>
      </c>
      <c r="E488" s="114" t="s">
        <v>967</v>
      </c>
      <c r="F488" s="114" t="s">
        <v>99</v>
      </c>
      <c r="G488" s="115">
        <v>266.3</v>
      </c>
      <c r="H488" s="116">
        <v>6.1050000000000004</v>
      </c>
      <c r="I488" s="121">
        <v>0.2223</v>
      </c>
      <c r="J488" s="116">
        <f t="shared" si="49"/>
        <v>1.3499999999999996</v>
      </c>
      <c r="K488" s="116">
        <v>7.4550000000000001</v>
      </c>
      <c r="L488" s="116">
        <f t="shared" si="50"/>
        <v>1625.7615000000003</v>
      </c>
      <c r="M488" s="116">
        <f t="shared" si="51"/>
        <v>1985.2665000000002</v>
      </c>
      <c r="N488" s="116">
        <v>9.94</v>
      </c>
      <c r="O488" s="116">
        <f t="shared" si="52"/>
        <v>2.4849999999999994</v>
      </c>
      <c r="P488" s="116">
        <f t="shared" si="53"/>
        <v>661.75549999999987</v>
      </c>
      <c r="Q488" s="116" t="s">
        <v>2349</v>
      </c>
      <c r="R488" s="116" t="s">
        <v>3305</v>
      </c>
      <c r="S488" s="116" t="str">
        <f t="shared" si="54"/>
        <v>OK - FECHA COM PLANILHA</v>
      </c>
      <c r="T488" s="116">
        <v>1985.26</v>
      </c>
      <c r="U488" s="122">
        <f t="shared" si="55"/>
        <v>6.5000000001873559E-3</v>
      </c>
    </row>
    <row r="489" spans="1:21" ht="63.75" x14ac:dyDescent="0.2">
      <c r="A489" s="120" t="s">
        <v>3306</v>
      </c>
      <c r="B489" s="114" t="s">
        <v>2042</v>
      </c>
      <c r="C489" s="114" t="s">
        <v>2043</v>
      </c>
      <c r="D489" s="114" t="s">
        <v>56</v>
      </c>
      <c r="E489" s="114" t="s">
        <v>968</v>
      </c>
      <c r="F489" s="114" t="s">
        <v>99</v>
      </c>
      <c r="G489" s="115">
        <v>515.20000000000005</v>
      </c>
      <c r="H489" s="116">
        <v>7.98</v>
      </c>
      <c r="I489" s="121">
        <v>0.2223</v>
      </c>
      <c r="J489" s="116">
        <f t="shared" si="49"/>
        <v>1.7699999999999996</v>
      </c>
      <c r="K489" s="116">
        <v>9.75</v>
      </c>
      <c r="L489" s="116">
        <f t="shared" si="50"/>
        <v>4111.2960000000003</v>
      </c>
      <c r="M489" s="116">
        <f t="shared" si="51"/>
        <v>5023.2000000000007</v>
      </c>
      <c r="N489" s="116">
        <v>13</v>
      </c>
      <c r="O489" s="116">
        <f t="shared" si="52"/>
        <v>3.25</v>
      </c>
      <c r="P489" s="116">
        <f t="shared" si="53"/>
        <v>1674.4</v>
      </c>
      <c r="Q489" s="116" t="s">
        <v>2349</v>
      </c>
      <c r="R489" s="116" t="s">
        <v>3307</v>
      </c>
      <c r="S489" s="116" t="str">
        <f t="shared" si="54"/>
        <v>OK - FECHA COM PLANILHA</v>
      </c>
      <c r="T489" s="116">
        <v>5023.2</v>
      </c>
      <c r="U489" s="122">
        <f t="shared" si="55"/>
        <v>0</v>
      </c>
    </row>
    <row r="490" spans="1:21" ht="63.75" x14ac:dyDescent="0.2">
      <c r="A490" s="120" t="s">
        <v>3308</v>
      </c>
      <c r="B490" s="114" t="s">
        <v>2044</v>
      </c>
      <c r="C490" s="114" t="s">
        <v>2045</v>
      </c>
      <c r="D490" s="114" t="s">
        <v>56</v>
      </c>
      <c r="E490" s="114" t="s">
        <v>2046</v>
      </c>
      <c r="F490" s="114" t="s">
        <v>99</v>
      </c>
      <c r="G490" s="115">
        <v>2322.1999999999998</v>
      </c>
      <c r="H490" s="116">
        <v>13.995000000000001</v>
      </c>
      <c r="I490" s="121">
        <v>0.2223</v>
      </c>
      <c r="J490" s="116">
        <f t="shared" si="49"/>
        <v>3.1050000000000004</v>
      </c>
      <c r="K490" s="116">
        <v>17.100000000000001</v>
      </c>
      <c r="L490" s="116">
        <f t="shared" si="50"/>
        <v>32499.188999999998</v>
      </c>
      <c r="M490" s="116">
        <f t="shared" si="51"/>
        <v>39709.620000000003</v>
      </c>
      <c r="N490" s="116">
        <v>22.8</v>
      </c>
      <c r="O490" s="116">
        <f t="shared" si="52"/>
        <v>5.6999999999999993</v>
      </c>
      <c r="P490" s="116">
        <f t="shared" si="53"/>
        <v>13236.539999999997</v>
      </c>
      <c r="Q490" s="116" t="s">
        <v>2349</v>
      </c>
      <c r="R490" s="116" t="s">
        <v>3309</v>
      </c>
      <c r="S490" s="116" t="str">
        <f t="shared" si="54"/>
        <v>OK - FECHA COM PLANILHA</v>
      </c>
      <c r="T490" s="116">
        <v>39709.620000000003</v>
      </c>
      <c r="U490" s="122">
        <f t="shared" si="55"/>
        <v>0</v>
      </c>
    </row>
    <row r="491" spans="1:21" ht="63.75" x14ac:dyDescent="0.2">
      <c r="A491" s="120" t="s">
        <v>3310</v>
      </c>
      <c r="B491" s="114" t="s">
        <v>2047</v>
      </c>
      <c r="C491" s="114" t="s">
        <v>2048</v>
      </c>
      <c r="D491" s="114" t="s">
        <v>56</v>
      </c>
      <c r="E491" s="114" t="s">
        <v>2049</v>
      </c>
      <c r="F491" s="114" t="s">
        <v>99</v>
      </c>
      <c r="G491" s="115">
        <v>604.4</v>
      </c>
      <c r="H491" s="116">
        <v>13.544999999999998</v>
      </c>
      <c r="I491" s="121">
        <v>0.2223</v>
      </c>
      <c r="J491" s="116">
        <f t="shared" si="49"/>
        <v>3.0075000000000038</v>
      </c>
      <c r="K491" s="116">
        <v>16.552500000000002</v>
      </c>
      <c r="L491" s="116">
        <f t="shared" si="50"/>
        <v>8186.5979999999981</v>
      </c>
      <c r="M491" s="116">
        <f t="shared" si="51"/>
        <v>10004.331</v>
      </c>
      <c r="N491" s="116">
        <v>22.07</v>
      </c>
      <c r="O491" s="116">
        <f t="shared" si="52"/>
        <v>5.5174999999999983</v>
      </c>
      <c r="P491" s="116">
        <f t="shared" si="53"/>
        <v>3334.7769999999987</v>
      </c>
      <c r="Q491" s="116" t="s">
        <v>2349</v>
      </c>
      <c r="R491" s="116" t="s">
        <v>3311</v>
      </c>
      <c r="S491" s="116" t="str">
        <f t="shared" si="54"/>
        <v>OK - FECHA COM PLANILHA</v>
      </c>
      <c r="T491" s="116">
        <v>10004.33</v>
      </c>
      <c r="U491" s="122">
        <f t="shared" si="55"/>
        <v>1.0000000002037268E-3</v>
      </c>
    </row>
    <row r="492" spans="1:21" ht="63.75" x14ac:dyDescent="0.2">
      <c r="A492" s="120" t="s">
        <v>3312</v>
      </c>
      <c r="B492" s="114" t="s">
        <v>1480</v>
      </c>
      <c r="C492" s="114" t="s">
        <v>2050</v>
      </c>
      <c r="D492" s="114" t="s">
        <v>56</v>
      </c>
      <c r="E492" s="114" t="s">
        <v>2051</v>
      </c>
      <c r="F492" s="114" t="s">
        <v>99</v>
      </c>
      <c r="G492" s="115">
        <v>564</v>
      </c>
      <c r="H492" s="116">
        <v>20.287500000000001</v>
      </c>
      <c r="I492" s="121">
        <v>0.2223</v>
      </c>
      <c r="J492" s="116">
        <f t="shared" si="49"/>
        <v>4.5075000000000003</v>
      </c>
      <c r="K492" s="116">
        <v>24.795000000000002</v>
      </c>
      <c r="L492" s="116">
        <f t="shared" si="50"/>
        <v>11442.150000000001</v>
      </c>
      <c r="M492" s="116">
        <f t="shared" si="51"/>
        <v>13984.380000000001</v>
      </c>
      <c r="N492" s="116">
        <v>33.06</v>
      </c>
      <c r="O492" s="116">
        <f t="shared" si="52"/>
        <v>8.2650000000000006</v>
      </c>
      <c r="P492" s="116">
        <f t="shared" si="53"/>
        <v>4661.46</v>
      </c>
      <c r="Q492" s="116" t="s">
        <v>2349</v>
      </c>
      <c r="R492" s="116" t="s">
        <v>2626</v>
      </c>
      <c r="S492" s="116" t="str">
        <f t="shared" si="54"/>
        <v>OK - FECHA COM PLANILHA</v>
      </c>
      <c r="T492" s="116">
        <v>13984.38</v>
      </c>
      <c r="U492" s="122">
        <f t="shared" si="55"/>
        <v>0</v>
      </c>
    </row>
    <row r="493" spans="1:21" ht="63.75" x14ac:dyDescent="0.2">
      <c r="A493" s="120" t="s">
        <v>3313</v>
      </c>
      <c r="B493" s="114" t="s">
        <v>2052</v>
      </c>
      <c r="C493" s="114" t="s">
        <v>2053</v>
      </c>
      <c r="D493" s="114" t="s">
        <v>56</v>
      </c>
      <c r="E493" s="114" t="s">
        <v>2054</v>
      </c>
      <c r="F493" s="114" t="s">
        <v>99</v>
      </c>
      <c r="G493" s="115">
        <v>222.5</v>
      </c>
      <c r="H493" s="116">
        <v>21.15</v>
      </c>
      <c r="I493" s="121">
        <v>0.2223</v>
      </c>
      <c r="J493" s="116">
        <f t="shared" si="49"/>
        <v>4.6950000000000003</v>
      </c>
      <c r="K493" s="116">
        <v>25.844999999999999</v>
      </c>
      <c r="L493" s="116">
        <f t="shared" si="50"/>
        <v>4705.875</v>
      </c>
      <c r="M493" s="116">
        <f t="shared" si="51"/>
        <v>5750.5124999999998</v>
      </c>
      <c r="N493" s="116">
        <v>34.46</v>
      </c>
      <c r="O493" s="116">
        <f t="shared" si="52"/>
        <v>8.615000000000002</v>
      </c>
      <c r="P493" s="116">
        <f t="shared" si="53"/>
        <v>1916.8375000000005</v>
      </c>
      <c r="Q493" s="116" t="s">
        <v>2349</v>
      </c>
      <c r="R493" s="116" t="s">
        <v>3314</v>
      </c>
      <c r="S493" s="116" t="str">
        <f t="shared" si="54"/>
        <v>OK - FECHA COM PLANILHA</v>
      </c>
      <c r="T493" s="116">
        <v>5750.51</v>
      </c>
      <c r="U493" s="122">
        <f t="shared" si="55"/>
        <v>2.4999999995998223E-3</v>
      </c>
    </row>
    <row r="494" spans="1:21" ht="63.75" x14ac:dyDescent="0.2">
      <c r="A494" s="120" t="s">
        <v>3315</v>
      </c>
      <c r="B494" s="114" t="s">
        <v>2055</v>
      </c>
      <c r="C494" s="114" t="s">
        <v>2056</v>
      </c>
      <c r="D494" s="114" t="s">
        <v>56</v>
      </c>
      <c r="E494" s="114" t="s">
        <v>973</v>
      </c>
      <c r="F494" s="114" t="s">
        <v>99</v>
      </c>
      <c r="G494" s="115">
        <v>16.2</v>
      </c>
      <c r="H494" s="116">
        <v>27.105</v>
      </c>
      <c r="I494" s="121">
        <v>0.2223</v>
      </c>
      <c r="J494" s="116">
        <f t="shared" si="49"/>
        <v>6.0224999999999973</v>
      </c>
      <c r="K494" s="116">
        <v>33.127499999999998</v>
      </c>
      <c r="L494" s="116">
        <f t="shared" si="50"/>
        <v>439.101</v>
      </c>
      <c r="M494" s="116">
        <f t="shared" si="51"/>
        <v>536.66549999999995</v>
      </c>
      <c r="N494" s="116">
        <v>44.17</v>
      </c>
      <c r="O494" s="116">
        <f t="shared" si="52"/>
        <v>11.042500000000004</v>
      </c>
      <c r="P494" s="116">
        <f t="shared" si="53"/>
        <v>178.88850000000005</v>
      </c>
      <c r="Q494" s="116" t="s">
        <v>2349</v>
      </c>
      <c r="R494" s="116" t="s">
        <v>3316</v>
      </c>
      <c r="S494" s="116" t="str">
        <f t="shared" si="54"/>
        <v>OK - FECHA COM PLANILHA</v>
      </c>
      <c r="T494" s="116">
        <v>536.66</v>
      </c>
      <c r="U494" s="122">
        <f t="shared" si="55"/>
        <v>5.4999999999836291E-3</v>
      </c>
    </row>
    <row r="495" spans="1:21" ht="63.75" x14ac:dyDescent="0.2">
      <c r="A495" s="120" t="s">
        <v>3317</v>
      </c>
      <c r="B495" s="114" t="s">
        <v>2057</v>
      </c>
      <c r="C495" s="114" t="s">
        <v>2058</v>
      </c>
      <c r="D495" s="114" t="s">
        <v>56</v>
      </c>
      <c r="E495" s="114" t="s">
        <v>974</v>
      </c>
      <c r="F495" s="114" t="s">
        <v>99</v>
      </c>
      <c r="G495" s="115">
        <v>155</v>
      </c>
      <c r="H495" s="116">
        <v>55.987500000000004</v>
      </c>
      <c r="I495" s="121">
        <v>0.2223</v>
      </c>
      <c r="J495" s="116">
        <f t="shared" si="49"/>
        <v>12.442499999999988</v>
      </c>
      <c r="K495" s="116">
        <v>68.429999999999993</v>
      </c>
      <c r="L495" s="116">
        <f t="shared" si="50"/>
        <v>8678.0625</v>
      </c>
      <c r="M495" s="116">
        <f t="shared" si="51"/>
        <v>10606.65</v>
      </c>
      <c r="N495" s="116">
        <v>91.24</v>
      </c>
      <c r="O495" s="116">
        <f t="shared" si="52"/>
        <v>22.810000000000002</v>
      </c>
      <c r="P495" s="116">
        <f t="shared" si="53"/>
        <v>3535.55</v>
      </c>
      <c r="Q495" s="116" t="s">
        <v>2349</v>
      </c>
      <c r="R495" s="116" t="s">
        <v>3318</v>
      </c>
      <c r="S495" s="116" t="str">
        <f t="shared" si="54"/>
        <v>OK - FECHA COM PLANILHA</v>
      </c>
      <c r="T495" s="116">
        <v>10606.65</v>
      </c>
      <c r="U495" s="122">
        <f t="shared" si="55"/>
        <v>0</v>
      </c>
    </row>
    <row r="496" spans="1:21" ht="63.75" x14ac:dyDescent="0.2">
      <c r="A496" s="120" t="s">
        <v>3319</v>
      </c>
      <c r="B496" s="114" t="s">
        <v>2059</v>
      </c>
      <c r="C496" s="114" t="s">
        <v>2060</v>
      </c>
      <c r="D496" s="114" t="s">
        <v>56</v>
      </c>
      <c r="E496" s="114" t="s">
        <v>975</v>
      </c>
      <c r="F496" s="114" t="s">
        <v>99</v>
      </c>
      <c r="G496" s="115">
        <v>21.7</v>
      </c>
      <c r="H496" s="116">
        <v>72.667500000000004</v>
      </c>
      <c r="I496" s="121">
        <v>0.2223</v>
      </c>
      <c r="J496" s="116">
        <f t="shared" si="49"/>
        <v>16.147499999999994</v>
      </c>
      <c r="K496" s="116">
        <v>88.814999999999998</v>
      </c>
      <c r="L496" s="116">
        <f t="shared" si="50"/>
        <v>1576.8847499999999</v>
      </c>
      <c r="M496" s="116">
        <f t="shared" si="51"/>
        <v>1927.2855</v>
      </c>
      <c r="N496" s="116">
        <v>118.42</v>
      </c>
      <c r="O496" s="116">
        <f t="shared" si="52"/>
        <v>29.605000000000004</v>
      </c>
      <c r="P496" s="116">
        <f t="shared" si="53"/>
        <v>642.4285000000001</v>
      </c>
      <c r="Q496" s="116" t="s">
        <v>2349</v>
      </c>
      <c r="R496" s="116" t="s">
        <v>3320</v>
      </c>
      <c r="S496" s="116" t="str">
        <f t="shared" si="54"/>
        <v>OK - FECHA COM PLANILHA</v>
      </c>
      <c r="T496" s="116">
        <v>1927.28</v>
      </c>
      <c r="U496" s="122">
        <f t="shared" si="55"/>
        <v>5.4999999999836291E-3</v>
      </c>
    </row>
    <row r="497" spans="1:21" ht="63.75" x14ac:dyDescent="0.2">
      <c r="A497" s="120" t="s">
        <v>3321</v>
      </c>
      <c r="B497" s="114" t="s">
        <v>2061</v>
      </c>
      <c r="C497" s="114" t="s">
        <v>2062</v>
      </c>
      <c r="D497" s="114" t="s">
        <v>56</v>
      </c>
      <c r="E497" s="114" t="s">
        <v>976</v>
      </c>
      <c r="F497" s="114" t="s">
        <v>99</v>
      </c>
      <c r="G497" s="115">
        <v>143.80000000000001</v>
      </c>
      <c r="H497" s="116">
        <v>95.01</v>
      </c>
      <c r="I497" s="121">
        <v>0.2223</v>
      </c>
      <c r="J497" s="116">
        <f t="shared" si="49"/>
        <v>21.11999999999999</v>
      </c>
      <c r="K497" s="116">
        <v>116.13</v>
      </c>
      <c r="L497" s="116">
        <f t="shared" si="50"/>
        <v>13662.438000000002</v>
      </c>
      <c r="M497" s="116">
        <f t="shared" si="51"/>
        <v>16699.494000000002</v>
      </c>
      <c r="N497" s="116">
        <v>154.84</v>
      </c>
      <c r="O497" s="116">
        <f t="shared" si="52"/>
        <v>38.710000000000008</v>
      </c>
      <c r="P497" s="116">
        <f t="shared" si="53"/>
        <v>5566.4980000000014</v>
      </c>
      <c r="Q497" s="116" t="s">
        <v>2349</v>
      </c>
      <c r="R497" s="116" t="s">
        <v>3322</v>
      </c>
      <c r="S497" s="116" t="str">
        <f t="shared" si="54"/>
        <v>OK - FECHA COM PLANILHA</v>
      </c>
      <c r="T497" s="116">
        <v>16699.490000000002</v>
      </c>
      <c r="U497" s="122">
        <f t="shared" si="55"/>
        <v>4.0000000008149073E-3</v>
      </c>
    </row>
    <row r="498" spans="1:21" ht="63.75" x14ac:dyDescent="0.2">
      <c r="A498" s="120" t="s">
        <v>3323</v>
      </c>
      <c r="B498" s="114" t="s">
        <v>2063</v>
      </c>
      <c r="C498" s="114" t="s">
        <v>2064</v>
      </c>
      <c r="D498" s="114" t="s">
        <v>56</v>
      </c>
      <c r="E498" s="114" t="s">
        <v>977</v>
      </c>
      <c r="F498" s="114" t="s">
        <v>99</v>
      </c>
      <c r="G498" s="115">
        <v>243.8</v>
      </c>
      <c r="H498" s="116">
        <v>149.16749999999999</v>
      </c>
      <c r="I498" s="121">
        <v>0.2223</v>
      </c>
      <c r="J498" s="116">
        <f t="shared" si="49"/>
        <v>33.157499999999999</v>
      </c>
      <c r="K498" s="116">
        <v>182.32499999999999</v>
      </c>
      <c r="L498" s="116">
        <f t="shared" si="50"/>
        <v>36367.036500000002</v>
      </c>
      <c r="M498" s="116">
        <f t="shared" si="51"/>
        <v>44450.834999999999</v>
      </c>
      <c r="N498" s="116">
        <v>243.1</v>
      </c>
      <c r="O498" s="116">
        <f t="shared" si="52"/>
        <v>60.775000000000006</v>
      </c>
      <c r="P498" s="116">
        <f t="shared" si="53"/>
        <v>14816.945000000002</v>
      </c>
      <c r="Q498" s="116" t="s">
        <v>2349</v>
      </c>
      <c r="R498" s="116" t="s">
        <v>3324</v>
      </c>
      <c r="S498" s="116" t="str">
        <f t="shared" si="54"/>
        <v>OK - FECHA COM PLANILHA</v>
      </c>
      <c r="T498" s="116">
        <v>44450.83</v>
      </c>
      <c r="U498" s="122">
        <f t="shared" si="55"/>
        <v>4.9999999973806553E-3</v>
      </c>
    </row>
    <row r="499" spans="1:21" ht="63.75" x14ac:dyDescent="0.2">
      <c r="A499" s="120" t="s">
        <v>3325</v>
      </c>
      <c r="B499" s="114" t="s">
        <v>2065</v>
      </c>
      <c r="C499" s="114" t="s">
        <v>2066</v>
      </c>
      <c r="D499" s="114" t="s">
        <v>56</v>
      </c>
      <c r="E499" s="114" t="s">
        <v>978</v>
      </c>
      <c r="F499" s="114" t="s">
        <v>99</v>
      </c>
      <c r="G499" s="115">
        <v>178.4</v>
      </c>
      <c r="H499" s="116">
        <v>197.21249999999998</v>
      </c>
      <c r="I499" s="121">
        <v>0.2223</v>
      </c>
      <c r="J499" s="116">
        <f t="shared" si="49"/>
        <v>43.837500000000006</v>
      </c>
      <c r="K499" s="116">
        <v>241.04999999999998</v>
      </c>
      <c r="L499" s="116">
        <f t="shared" si="50"/>
        <v>35182.71</v>
      </c>
      <c r="M499" s="116">
        <f t="shared" si="51"/>
        <v>43003.32</v>
      </c>
      <c r="N499" s="116">
        <v>321.39999999999998</v>
      </c>
      <c r="O499" s="116">
        <f t="shared" si="52"/>
        <v>80.349999999999994</v>
      </c>
      <c r="P499" s="116">
        <f t="shared" si="53"/>
        <v>14334.439999999999</v>
      </c>
      <c r="Q499" s="116" t="s">
        <v>2349</v>
      </c>
      <c r="R499" s="116" t="s">
        <v>3326</v>
      </c>
      <c r="S499" s="116" t="str">
        <f t="shared" si="54"/>
        <v>OK - FECHA COM PLANILHA</v>
      </c>
      <c r="T499" s="116">
        <v>43003.32</v>
      </c>
      <c r="U499" s="122">
        <f t="shared" si="55"/>
        <v>0</v>
      </c>
    </row>
    <row r="500" spans="1:21" ht="63.75" x14ac:dyDescent="0.2">
      <c r="A500" s="120" t="s">
        <v>3327</v>
      </c>
      <c r="B500" s="114" t="s">
        <v>2067</v>
      </c>
      <c r="C500" s="114" t="s">
        <v>979</v>
      </c>
      <c r="D500" s="114" t="s">
        <v>209</v>
      </c>
      <c r="E500" s="114" t="s">
        <v>2068</v>
      </c>
      <c r="F500" s="114" t="s">
        <v>99</v>
      </c>
      <c r="G500" s="115">
        <v>631.20000000000005</v>
      </c>
      <c r="H500" s="116">
        <v>339.13499999999999</v>
      </c>
      <c r="I500" s="121">
        <v>0.2223</v>
      </c>
      <c r="J500" s="116">
        <f t="shared" si="49"/>
        <v>75.38250000000005</v>
      </c>
      <c r="K500" s="116">
        <v>414.51750000000004</v>
      </c>
      <c r="L500" s="116">
        <f t="shared" si="50"/>
        <v>214062.01200000002</v>
      </c>
      <c r="M500" s="116">
        <f t="shared" si="51"/>
        <v>261643.44600000005</v>
      </c>
      <c r="N500" s="116">
        <v>552.69000000000005</v>
      </c>
      <c r="O500" s="116">
        <f t="shared" si="52"/>
        <v>138.17250000000001</v>
      </c>
      <c r="P500" s="116">
        <f t="shared" si="53"/>
        <v>87214.482000000018</v>
      </c>
      <c r="Q500" s="116" t="s">
        <v>2458</v>
      </c>
      <c r="R500" s="116" t="s">
        <v>3328</v>
      </c>
      <c r="S500" s="116" t="str">
        <f t="shared" si="54"/>
        <v>OK - FECHA COM PLANILHA</v>
      </c>
      <c r="T500" s="116">
        <v>261643.44</v>
      </c>
      <c r="U500" s="122">
        <f t="shared" si="55"/>
        <v>6.0000000521540642E-3</v>
      </c>
    </row>
    <row r="501" spans="1:21" ht="63.75" x14ac:dyDescent="0.2">
      <c r="A501" s="120" t="s">
        <v>3329</v>
      </c>
      <c r="B501" s="114" t="s">
        <v>2069</v>
      </c>
      <c r="C501" s="114" t="s">
        <v>2070</v>
      </c>
      <c r="D501" s="114" t="s">
        <v>56</v>
      </c>
      <c r="E501" s="114" t="s">
        <v>983</v>
      </c>
      <c r="F501" s="114" t="s">
        <v>84</v>
      </c>
      <c r="G501" s="115">
        <v>2</v>
      </c>
      <c r="H501" s="116">
        <v>502.07249999999999</v>
      </c>
      <c r="I501" s="121">
        <v>0.2223</v>
      </c>
      <c r="J501" s="116">
        <f t="shared" si="49"/>
        <v>111.60750000000007</v>
      </c>
      <c r="K501" s="116">
        <v>613.68000000000006</v>
      </c>
      <c r="L501" s="116">
        <f t="shared" si="50"/>
        <v>1004.145</v>
      </c>
      <c r="M501" s="116">
        <f t="shared" si="51"/>
        <v>1227.3600000000001</v>
      </c>
      <c r="N501" s="116">
        <v>818.24</v>
      </c>
      <c r="O501" s="116">
        <f t="shared" si="52"/>
        <v>204.55999999999995</v>
      </c>
      <c r="P501" s="116">
        <f t="shared" si="53"/>
        <v>409.11999999999989</v>
      </c>
      <c r="Q501" s="116" t="s">
        <v>2349</v>
      </c>
      <c r="R501" s="116" t="s">
        <v>3330</v>
      </c>
      <c r="S501" s="116" t="str">
        <f t="shared" si="54"/>
        <v>OK - FECHA COM PLANILHA</v>
      </c>
      <c r="T501" s="116">
        <v>1227.3599999999999</v>
      </c>
      <c r="U501" s="122">
        <f t="shared" si="55"/>
        <v>0</v>
      </c>
    </row>
    <row r="502" spans="1:21" ht="63.75" x14ac:dyDescent="0.2">
      <c r="A502" s="120" t="s">
        <v>3331</v>
      </c>
      <c r="B502" s="114" t="s">
        <v>2071</v>
      </c>
      <c r="C502" s="114" t="s">
        <v>984</v>
      </c>
      <c r="D502" s="114" t="s">
        <v>209</v>
      </c>
      <c r="E502" s="114" t="s">
        <v>985</v>
      </c>
      <c r="F502" s="114" t="s">
        <v>84</v>
      </c>
      <c r="G502" s="115">
        <v>2</v>
      </c>
      <c r="H502" s="116">
        <v>1013.3925</v>
      </c>
      <c r="I502" s="121">
        <v>0.2223</v>
      </c>
      <c r="J502" s="116">
        <f t="shared" si="49"/>
        <v>225.26999999999987</v>
      </c>
      <c r="K502" s="116">
        <v>1238.6624999999999</v>
      </c>
      <c r="L502" s="116">
        <f t="shared" si="50"/>
        <v>2026.7850000000001</v>
      </c>
      <c r="M502" s="116">
        <f t="shared" si="51"/>
        <v>2477.3249999999998</v>
      </c>
      <c r="N502" s="116">
        <v>1651.55</v>
      </c>
      <c r="O502" s="116">
        <f t="shared" si="52"/>
        <v>412.88750000000005</v>
      </c>
      <c r="P502" s="116">
        <f t="shared" si="53"/>
        <v>825.77500000000009</v>
      </c>
      <c r="Q502" s="116" t="s">
        <v>2458</v>
      </c>
      <c r="R502" s="116" t="s">
        <v>3332</v>
      </c>
      <c r="S502" s="116" t="str">
        <f t="shared" si="54"/>
        <v>OK - FECHA COM PLANILHA</v>
      </c>
      <c r="T502" s="116">
        <v>2477.3200000000002</v>
      </c>
      <c r="U502" s="122">
        <f t="shared" si="55"/>
        <v>4.999999999654392E-3</v>
      </c>
    </row>
    <row r="503" spans="1:21" ht="63.75" x14ac:dyDescent="0.2">
      <c r="A503" s="120" t="s">
        <v>3333</v>
      </c>
      <c r="B503" s="114" t="s">
        <v>2072</v>
      </c>
      <c r="C503" s="114" t="s">
        <v>2073</v>
      </c>
      <c r="D503" s="114" t="s">
        <v>335</v>
      </c>
      <c r="E503" s="114" t="s">
        <v>986</v>
      </c>
      <c r="F503" s="114" t="s">
        <v>84</v>
      </c>
      <c r="G503" s="115">
        <v>2</v>
      </c>
      <c r="H503" s="116">
        <v>2186.34</v>
      </c>
      <c r="I503" s="121">
        <v>0.2223</v>
      </c>
      <c r="J503" s="116">
        <f t="shared" si="49"/>
        <v>486.02250000000004</v>
      </c>
      <c r="K503" s="116">
        <v>2672.3625000000002</v>
      </c>
      <c r="L503" s="116">
        <f t="shared" si="50"/>
        <v>4372.68</v>
      </c>
      <c r="M503" s="116">
        <f t="shared" si="51"/>
        <v>5344.7250000000004</v>
      </c>
      <c r="N503" s="116">
        <v>3563.15</v>
      </c>
      <c r="O503" s="116">
        <f t="shared" si="52"/>
        <v>890.78749999999991</v>
      </c>
      <c r="P503" s="116">
        <f t="shared" si="53"/>
        <v>1781.5749999999998</v>
      </c>
      <c r="Q503" s="116" t="s">
        <v>2589</v>
      </c>
      <c r="R503" s="116" t="s">
        <v>3334</v>
      </c>
      <c r="S503" s="116" t="str">
        <f t="shared" si="54"/>
        <v>OK - FECHA COM PLANILHA</v>
      </c>
      <c r="T503" s="116">
        <v>5344.72</v>
      </c>
      <c r="U503" s="122">
        <f t="shared" si="55"/>
        <v>5.0000000001091394E-3</v>
      </c>
    </row>
    <row r="504" spans="1:21" ht="63.75" x14ac:dyDescent="0.2">
      <c r="A504" s="120" t="s">
        <v>3335</v>
      </c>
      <c r="B504" s="114" t="s">
        <v>2074</v>
      </c>
      <c r="C504" s="114" t="s">
        <v>987</v>
      </c>
      <c r="D504" s="114" t="s">
        <v>209</v>
      </c>
      <c r="E504" s="114" t="s">
        <v>2075</v>
      </c>
      <c r="F504" s="114" t="s">
        <v>84</v>
      </c>
      <c r="G504" s="115">
        <v>1</v>
      </c>
      <c r="H504" s="116">
        <v>4900.83</v>
      </c>
      <c r="I504" s="121">
        <v>0.2223</v>
      </c>
      <c r="J504" s="116">
        <f t="shared" si="49"/>
        <v>1089.4499999999998</v>
      </c>
      <c r="K504" s="116">
        <v>5990.28</v>
      </c>
      <c r="L504" s="116">
        <f t="shared" si="50"/>
        <v>4900.83</v>
      </c>
      <c r="M504" s="116">
        <f t="shared" si="51"/>
        <v>5990.28</v>
      </c>
      <c r="N504" s="116">
        <v>7987.04</v>
      </c>
      <c r="O504" s="116">
        <f t="shared" si="52"/>
        <v>1996.7600000000002</v>
      </c>
      <c r="P504" s="116">
        <f t="shared" si="53"/>
        <v>1996.7600000000002</v>
      </c>
      <c r="Q504" s="116" t="s">
        <v>2458</v>
      </c>
      <c r="R504" s="116" t="s">
        <v>3336</v>
      </c>
      <c r="S504" s="116" t="str">
        <f t="shared" si="54"/>
        <v>OK - FECHA COM PLANILHA</v>
      </c>
      <c r="T504" s="116">
        <v>5990.28</v>
      </c>
      <c r="U504" s="122">
        <f t="shared" si="55"/>
        <v>0</v>
      </c>
    </row>
    <row r="505" spans="1:21" ht="63.75" x14ac:dyDescent="0.2">
      <c r="A505" s="120" t="s">
        <v>3337</v>
      </c>
      <c r="B505" s="114" t="s">
        <v>2076</v>
      </c>
      <c r="C505" s="114" t="s">
        <v>989</v>
      </c>
      <c r="D505" s="114" t="s">
        <v>209</v>
      </c>
      <c r="E505" s="114" t="s">
        <v>990</v>
      </c>
      <c r="F505" s="114" t="s">
        <v>84</v>
      </c>
      <c r="G505" s="115">
        <v>2</v>
      </c>
      <c r="H505" s="116">
        <v>2546.3175000000001</v>
      </c>
      <c r="I505" s="121">
        <v>0.2223</v>
      </c>
      <c r="J505" s="116">
        <f t="shared" si="49"/>
        <v>566.04</v>
      </c>
      <c r="K505" s="116">
        <v>3112.3575000000001</v>
      </c>
      <c r="L505" s="116">
        <f t="shared" si="50"/>
        <v>5092.6350000000002</v>
      </c>
      <c r="M505" s="116">
        <f t="shared" si="51"/>
        <v>6224.7150000000001</v>
      </c>
      <c r="N505" s="116">
        <v>4149.8100000000004</v>
      </c>
      <c r="O505" s="116">
        <f t="shared" si="52"/>
        <v>1037.4525000000003</v>
      </c>
      <c r="P505" s="116">
        <f t="shared" si="53"/>
        <v>2074.9050000000007</v>
      </c>
      <c r="Q505" s="116" t="s">
        <v>2458</v>
      </c>
      <c r="R505" s="116" t="s">
        <v>3338</v>
      </c>
      <c r="S505" s="116" t="str">
        <f t="shared" si="54"/>
        <v>OK - FECHA COM PLANILHA</v>
      </c>
      <c r="T505" s="116">
        <v>6224.71</v>
      </c>
      <c r="U505" s="122">
        <f t="shared" si="55"/>
        <v>5.0000000001091394E-3</v>
      </c>
    </row>
    <row r="506" spans="1:21" ht="63.75" x14ac:dyDescent="0.2">
      <c r="A506" s="120" t="s">
        <v>3339</v>
      </c>
      <c r="B506" s="114" t="s">
        <v>2077</v>
      </c>
      <c r="C506" s="114" t="s">
        <v>2078</v>
      </c>
      <c r="D506" s="114" t="s">
        <v>56</v>
      </c>
      <c r="E506" s="114" t="s">
        <v>991</v>
      </c>
      <c r="F506" s="114" t="s">
        <v>84</v>
      </c>
      <c r="G506" s="115">
        <v>85</v>
      </c>
      <c r="H506" s="116">
        <v>8.5274999999999999</v>
      </c>
      <c r="I506" s="121">
        <v>0.2223</v>
      </c>
      <c r="J506" s="116">
        <f t="shared" si="49"/>
        <v>1.8900000000000006</v>
      </c>
      <c r="K506" s="116">
        <v>10.4175</v>
      </c>
      <c r="L506" s="116">
        <f t="shared" si="50"/>
        <v>724.83749999999998</v>
      </c>
      <c r="M506" s="116">
        <f t="shared" si="51"/>
        <v>885.48750000000007</v>
      </c>
      <c r="N506" s="116">
        <v>13.89</v>
      </c>
      <c r="O506" s="116">
        <f t="shared" si="52"/>
        <v>3.4725000000000001</v>
      </c>
      <c r="P506" s="116">
        <f t="shared" si="53"/>
        <v>295.16250000000002</v>
      </c>
      <c r="Q506" s="116" t="s">
        <v>2349</v>
      </c>
      <c r="R506" s="116" t="s">
        <v>3340</v>
      </c>
      <c r="S506" s="116" t="str">
        <f t="shared" si="54"/>
        <v>OK - FECHA COM PLANILHA</v>
      </c>
      <c r="T506" s="116">
        <v>885.48</v>
      </c>
      <c r="U506" s="122">
        <f t="shared" si="55"/>
        <v>7.5000000000500222E-3</v>
      </c>
    </row>
    <row r="507" spans="1:21" ht="63.75" x14ac:dyDescent="0.2">
      <c r="A507" s="120" t="s">
        <v>3341</v>
      </c>
      <c r="B507" s="114" t="s">
        <v>2079</v>
      </c>
      <c r="C507" s="114" t="s">
        <v>2080</v>
      </c>
      <c r="D507" s="114" t="s">
        <v>56</v>
      </c>
      <c r="E507" s="114" t="s">
        <v>992</v>
      </c>
      <c r="F507" s="114" t="s">
        <v>84</v>
      </c>
      <c r="G507" s="115">
        <v>21</v>
      </c>
      <c r="H507" s="116">
        <v>8.5274999999999999</v>
      </c>
      <c r="I507" s="121">
        <v>0.2223</v>
      </c>
      <c r="J507" s="116">
        <f t="shared" si="49"/>
        <v>1.8900000000000006</v>
      </c>
      <c r="K507" s="116">
        <v>10.4175</v>
      </c>
      <c r="L507" s="116">
        <f t="shared" si="50"/>
        <v>179.07749999999999</v>
      </c>
      <c r="M507" s="116">
        <f t="shared" si="51"/>
        <v>218.76750000000001</v>
      </c>
      <c r="N507" s="116">
        <v>13.89</v>
      </c>
      <c r="O507" s="116">
        <f t="shared" si="52"/>
        <v>3.4725000000000001</v>
      </c>
      <c r="P507" s="116">
        <f t="shared" si="53"/>
        <v>72.922499999999999</v>
      </c>
      <c r="Q507" s="116" t="s">
        <v>2349</v>
      </c>
      <c r="R507" s="116" t="s">
        <v>3342</v>
      </c>
      <c r="S507" s="116" t="str">
        <f t="shared" si="54"/>
        <v>OK - FECHA COM PLANILHA</v>
      </c>
      <c r="T507" s="116">
        <v>218.76</v>
      </c>
      <c r="U507" s="122">
        <f t="shared" si="55"/>
        <v>7.5000000000216005E-3</v>
      </c>
    </row>
    <row r="508" spans="1:21" ht="63.75" x14ac:dyDescent="0.2">
      <c r="A508" s="120" t="s">
        <v>3343</v>
      </c>
      <c r="B508" s="114" t="s">
        <v>2081</v>
      </c>
      <c r="C508" s="114" t="s">
        <v>2082</v>
      </c>
      <c r="D508" s="114" t="s">
        <v>56</v>
      </c>
      <c r="E508" s="114" t="s">
        <v>2083</v>
      </c>
      <c r="F508" s="114" t="s">
        <v>84</v>
      </c>
      <c r="G508" s="115">
        <v>2</v>
      </c>
      <c r="H508" s="116">
        <v>10.3725</v>
      </c>
      <c r="I508" s="121">
        <v>0.2223</v>
      </c>
      <c r="J508" s="116">
        <f t="shared" si="49"/>
        <v>2.3024999999999984</v>
      </c>
      <c r="K508" s="116">
        <v>12.674999999999999</v>
      </c>
      <c r="L508" s="116">
        <f t="shared" si="50"/>
        <v>20.745000000000001</v>
      </c>
      <c r="M508" s="116">
        <f t="shared" si="51"/>
        <v>25.349999999999998</v>
      </c>
      <c r="N508" s="116">
        <v>16.899999999999999</v>
      </c>
      <c r="O508" s="116">
        <f t="shared" si="52"/>
        <v>4.2249999999999996</v>
      </c>
      <c r="P508" s="116">
        <f t="shared" si="53"/>
        <v>8.4499999999999993</v>
      </c>
      <c r="Q508" s="116" t="s">
        <v>2349</v>
      </c>
      <c r="R508" s="116" t="s">
        <v>3344</v>
      </c>
      <c r="S508" s="116" t="str">
        <f t="shared" si="54"/>
        <v>OK - FECHA COM PLANILHA</v>
      </c>
      <c r="T508" s="116">
        <v>25.35</v>
      </c>
      <c r="U508" s="122">
        <f t="shared" si="55"/>
        <v>0</v>
      </c>
    </row>
    <row r="509" spans="1:21" ht="63.75" x14ac:dyDescent="0.2">
      <c r="A509" s="120" t="s">
        <v>3345</v>
      </c>
      <c r="B509" s="114" t="s">
        <v>2084</v>
      </c>
      <c r="C509" s="114" t="s">
        <v>2085</v>
      </c>
      <c r="D509" s="114" t="s">
        <v>56</v>
      </c>
      <c r="E509" s="114" t="s">
        <v>2086</v>
      </c>
      <c r="F509" s="114" t="s">
        <v>84</v>
      </c>
      <c r="G509" s="115">
        <v>1</v>
      </c>
      <c r="H509" s="116">
        <v>38.46</v>
      </c>
      <c r="I509" s="121">
        <v>0.2223</v>
      </c>
      <c r="J509" s="116">
        <f t="shared" si="49"/>
        <v>8.5424999999999969</v>
      </c>
      <c r="K509" s="116">
        <v>47.002499999999998</v>
      </c>
      <c r="L509" s="116">
        <f t="shared" si="50"/>
        <v>38.46</v>
      </c>
      <c r="M509" s="116">
        <f t="shared" si="51"/>
        <v>47.002499999999998</v>
      </c>
      <c r="N509" s="116">
        <v>62.67</v>
      </c>
      <c r="O509" s="116">
        <f t="shared" si="52"/>
        <v>15.667500000000004</v>
      </c>
      <c r="P509" s="116">
        <f t="shared" si="53"/>
        <v>15.667500000000004</v>
      </c>
      <c r="Q509" s="116" t="s">
        <v>2349</v>
      </c>
      <c r="R509" s="116" t="s">
        <v>3346</v>
      </c>
      <c r="S509" s="116" t="str">
        <f t="shared" si="54"/>
        <v>OK - FECHA COM PLANILHA</v>
      </c>
      <c r="T509" s="116">
        <v>47</v>
      </c>
      <c r="U509" s="122">
        <f t="shared" si="55"/>
        <v>2.4999999999977263E-3</v>
      </c>
    </row>
    <row r="510" spans="1:21" ht="63.75" x14ac:dyDescent="0.2">
      <c r="A510" s="120" t="s">
        <v>3347</v>
      </c>
      <c r="B510" s="114" t="s">
        <v>2087</v>
      </c>
      <c r="C510" s="114" t="s">
        <v>2088</v>
      </c>
      <c r="D510" s="114" t="s">
        <v>56</v>
      </c>
      <c r="E510" s="114" t="s">
        <v>995</v>
      </c>
      <c r="F510" s="114" t="s">
        <v>84</v>
      </c>
      <c r="G510" s="115">
        <v>4</v>
      </c>
      <c r="H510" s="116">
        <v>42.150000000000006</v>
      </c>
      <c r="I510" s="121">
        <v>0.2223</v>
      </c>
      <c r="J510" s="116">
        <f t="shared" si="49"/>
        <v>9.3674999999999926</v>
      </c>
      <c r="K510" s="116">
        <v>51.517499999999998</v>
      </c>
      <c r="L510" s="116">
        <f t="shared" si="50"/>
        <v>168.60000000000002</v>
      </c>
      <c r="M510" s="116">
        <f t="shared" si="51"/>
        <v>206.07</v>
      </c>
      <c r="N510" s="116">
        <v>68.69</v>
      </c>
      <c r="O510" s="116">
        <f t="shared" si="52"/>
        <v>17.172499999999999</v>
      </c>
      <c r="P510" s="116">
        <f t="shared" si="53"/>
        <v>68.69</v>
      </c>
      <c r="Q510" s="116" t="s">
        <v>2349</v>
      </c>
      <c r="R510" s="116" t="s">
        <v>3348</v>
      </c>
      <c r="S510" s="116" t="str">
        <f t="shared" si="54"/>
        <v>OK - FECHA COM PLANILHA</v>
      </c>
      <c r="T510" s="116">
        <v>206.07</v>
      </c>
      <c r="U510" s="122">
        <f t="shared" si="55"/>
        <v>0</v>
      </c>
    </row>
    <row r="511" spans="1:21" ht="63.75" x14ac:dyDescent="0.2">
      <c r="A511" s="120" t="s">
        <v>3349</v>
      </c>
      <c r="B511" s="114" t="s">
        <v>2089</v>
      </c>
      <c r="C511" s="114" t="s">
        <v>2090</v>
      </c>
      <c r="D511" s="114" t="s">
        <v>56</v>
      </c>
      <c r="E511" s="114" t="s">
        <v>2091</v>
      </c>
      <c r="F511" s="114" t="s">
        <v>84</v>
      </c>
      <c r="G511" s="115">
        <v>8</v>
      </c>
      <c r="H511" s="116">
        <v>48.675000000000004</v>
      </c>
      <c r="I511" s="121">
        <v>0.2223</v>
      </c>
      <c r="J511" s="116">
        <f t="shared" si="49"/>
        <v>10.814999999999991</v>
      </c>
      <c r="K511" s="116">
        <v>59.489999999999995</v>
      </c>
      <c r="L511" s="116">
        <f t="shared" si="50"/>
        <v>389.40000000000003</v>
      </c>
      <c r="M511" s="116">
        <f t="shared" si="51"/>
        <v>475.91999999999996</v>
      </c>
      <c r="N511" s="116">
        <v>79.319999999999993</v>
      </c>
      <c r="O511" s="116">
        <f t="shared" si="52"/>
        <v>19.829999999999998</v>
      </c>
      <c r="P511" s="116">
        <f t="shared" si="53"/>
        <v>158.63999999999999</v>
      </c>
      <c r="Q511" s="116" t="s">
        <v>2349</v>
      </c>
      <c r="R511" s="116" t="s">
        <v>3350</v>
      </c>
      <c r="S511" s="116" t="str">
        <f t="shared" si="54"/>
        <v>OK - FECHA COM PLANILHA</v>
      </c>
      <c r="T511" s="116">
        <v>475.92</v>
      </c>
      <c r="U511" s="122">
        <f t="shared" si="55"/>
        <v>0</v>
      </c>
    </row>
    <row r="512" spans="1:21" ht="63.75" x14ac:dyDescent="0.2">
      <c r="A512" s="120" t="s">
        <v>3351</v>
      </c>
      <c r="B512" s="114" t="s">
        <v>2092</v>
      </c>
      <c r="C512" s="114" t="s">
        <v>2093</v>
      </c>
      <c r="D512" s="114" t="s">
        <v>56</v>
      </c>
      <c r="E512" s="114" t="s">
        <v>2094</v>
      </c>
      <c r="F512" s="114" t="s">
        <v>84</v>
      </c>
      <c r="G512" s="115">
        <v>1</v>
      </c>
      <c r="H512" s="116">
        <v>48.675000000000004</v>
      </c>
      <c r="I512" s="121">
        <v>0.2223</v>
      </c>
      <c r="J512" s="116">
        <f t="shared" si="49"/>
        <v>10.814999999999991</v>
      </c>
      <c r="K512" s="116">
        <v>59.489999999999995</v>
      </c>
      <c r="L512" s="116">
        <f t="shared" si="50"/>
        <v>48.675000000000004</v>
      </c>
      <c r="M512" s="116">
        <f t="shared" si="51"/>
        <v>59.489999999999995</v>
      </c>
      <c r="N512" s="116">
        <v>79.319999999999993</v>
      </c>
      <c r="O512" s="116">
        <f t="shared" si="52"/>
        <v>19.829999999999998</v>
      </c>
      <c r="P512" s="116">
        <f t="shared" si="53"/>
        <v>19.829999999999998</v>
      </c>
      <c r="Q512" s="116" t="s">
        <v>2349</v>
      </c>
      <c r="R512" s="116" t="s">
        <v>3352</v>
      </c>
      <c r="S512" s="116" t="str">
        <f t="shared" si="54"/>
        <v>OK - FECHA COM PLANILHA</v>
      </c>
      <c r="T512" s="116">
        <v>59.49</v>
      </c>
      <c r="U512" s="122">
        <f t="shared" si="55"/>
        <v>0</v>
      </c>
    </row>
    <row r="513" spans="1:21" ht="63.75" x14ac:dyDescent="0.2">
      <c r="A513" s="120" t="s">
        <v>3353</v>
      </c>
      <c r="B513" s="114" t="s">
        <v>2095</v>
      </c>
      <c r="C513" s="114" t="s">
        <v>2096</v>
      </c>
      <c r="D513" s="114" t="s">
        <v>24</v>
      </c>
      <c r="E513" s="114" t="s">
        <v>2097</v>
      </c>
      <c r="F513" s="114" t="s">
        <v>84</v>
      </c>
      <c r="G513" s="115">
        <v>1</v>
      </c>
      <c r="H513" s="116">
        <v>34.522500000000001</v>
      </c>
      <c r="I513" s="121">
        <v>0.2223</v>
      </c>
      <c r="J513" s="116">
        <f t="shared" si="49"/>
        <v>7.6724999999999994</v>
      </c>
      <c r="K513" s="116">
        <v>42.195</v>
      </c>
      <c r="L513" s="116">
        <f t="shared" si="50"/>
        <v>34.522500000000001</v>
      </c>
      <c r="M513" s="116">
        <f t="shared" si="51"/>
        <v>42.195</v>
      </c>
      <c r="N513" s="116">
        <v>56.26</v>
      </c>
      <c r="O513" s="116">
        <f t="shared" si="52"/>
        <v>14.064999999999998</v>
      </c>
      <c r="P513" s="116">
        <f t="shared" si="53"/>
        <v>14.064999999999998</v>
      </c>
      <c r="Q513" s="116" t="s">
        <v>2332</v>
      </c>
      <c r="R513" s="116" t="s">
        <v>3354</v>
      </c>
      <c r="S513" s="116" t="str">
        <f t="shared" si="54"/>
        <v>OK - FECHA COM PLANILHA</v>
      </c>
      <c r="T513" s="116">
        <v>42.19</v>
      </c>
      <c r="U513" s="122">
        <f t="shared" si="55"/>
        <v>5.000000000002558E-3</v>
      </c>
    </row>
    <row r="514" spans="1:21" ht="63.75" x14ac:dyDescent="0.2">
      <c r="A514" s="120" t="s">
        <v>3355</v>
      </c>
      <c r="B514" s="114" t="s">
        <v>2098</v>
      </c>
      <c r="C514" s="114" t="s">
        <v>2099</v>
      </c>
      <c r="D514" s="114" t="s">
        <v>56</v>
      </c>
      <c r="E514" s="114" t="s">
        <v>2100</v>
      </c>
      <c r="F514" s="114" t="s">
        <v>84</v>
      </c>
      <c r="G514" s="115">
        <v>4</v>
      </c>
      <c r="H514" s="116">
        <v>301.1925</v>
      </c>
      <c r="I514" s="121">
        <v>0.2223</v>
      </c>
      <c r="J514" s="116">
        <f t="shared" si="49"/>
        <v>66.952499999999986</v>
      </c>
      <c r="K514" s="116">
        <v>368.14499999999998</v>
      </c>
      <c r="L514" s="116">
        <f t="shared" si="50"/>
        <v>1204.77</v>
      </c>
      <c r="M514" s="116">
        <f t="shared" si="51"/>
        <v>1472.58</v>
      </c>
      <c r="N514" s="116">
        <v>490.86</v>
      </c>
      <c r="O514" s="116">
        <f t="shared" si="52"/>
        <v>122.71500000000003</v>
      </c>
      <c r="P514" s="116">
        <f t="shared" si="53"/>
        <v>490.86000000000013</v>
      </c>
      <c r="Q514" s="116" t="s">
        <v>2349</v>
      </c>
      <c r="R514" s="116" t="s">
        <v>3356</v>
      </c>
      <c r="S514" s="116" t="str">
        <f t="shared" si="54"/>
        <v>OK - FECHA COM PLANILHA</v>
      </c>
      <c r="T514" s="116">
        <v>1472.58</v>
      </c>
      <c r="U514" s="122">
        <f t="shared" si="55"/>
        <v>0</v>
      </c>
    </row>
    <row r="515" spans="1:21" ht="63.75" x14ac:dyDescent="0.2">
      <c r="A515" s="120" t="s">
        <v>3357</v>
      </c>
      <c r="B515" s="114" t="s">
        <v>2101</v>
      </c>
      <c r="C515" s="114" t="s">
        <v>2102</v>
      </c>
      <c r="D515" s="114" t="s">
        <v>24</v>
      </c>
      <c r="E515" s="114" t="s">
        <v>1002</v>
      </c>
      <c r="F515" s="114" t="s">
        <v>84</v>
      </c>
      <c r="G515" s="115">
        <v>1</v>
      </c>
      <c r="H515" s="116">
        <v>293.22750000000002</v>
      </c>
      <c r="I515" s="121">
        <v>0.2223</v>
      </c>
      <c r="J515" s="116">
        <f t="shared" ref="J515:J578" si="56">K515-H515</f>
        <v>65.182499999999948</v>
      </c>
      <c r="K515" s="116">
        <v>358.40999999999997</v>
      </c>
      <c r="L515" s="116">
        <f t="shared" ref="L515:L578" si="57">G515*H515</f>
        <v>293.22750000000002</v>
      </c>
      <c r="M515" s="116">
        <f t="shared" ref="M515:M578" si="58">G515*K515</f>
        <v>358.40999999999997</v>
      </c>
      <c r="N515" s="116">
        <v>477.88</v>
      </c>
      <c r="O515" s="116">
        <f t="shared" ref="O515:O578" si="59">IFERROR(N515-K515,"")</f>
        <v>119.47000000000003</v>
      </c>
      <c r="P515" s="116">
        <f t="shared" ref="P515:P578" si="60">IFERROR(G515*O515,"")</f>
        <v>119.47000000000003</v>
      </c>
      <c r="Q515" s="116" t="s">
        <v>2332</v>
      </c>
      <c r="R515" s="116" t="s">
        <v>3358</v>
      </c>
      <c r="S515" s="116" t="str">
        <f t="shared" ref="S515:S578" si="61">IF(ABS(M515-T515)&lt;=0.05,"OK - FECHA COM PLANILHA","REVISAR")</f>
        <v>OK - FECHA COM PLANILHA</v>
      </c>
      <c r="T515" s="116">
        <v>358.41</v>
      </c>
      <c r="U515" s="122">
        <f t="shared" ref="U515:U578" si="62">M515-T515</f>
        <v>0</v>
      </c>
    </row>
    <row r="516" spans="1:21" ht="63.75" x14ac:dyDescent="0.2">
      <c r="A516" s="120" t="s">
        <v>3359</v>
      </c>
      <c r="B516" s="114" t="s">
        <v>2103</v>
      </c>
      <c r="C516" s="114" t="s">
        <v>2104</v>
      </c>
      <c r="D516" s="114" t="s">
        <v>56</v>
      </c>
      <c r="E516" s="114" t="s">
        <v>1003</v>
      </c>
      <c r="F516" s="114" t="s">
        <v>84</v>
      </c>
      <c r="G516" s="115">
        <v>1</v>
      </c>
      <c r="H516" s="116">
        <v>901.52250000000004</v>
      </c>
      <c r="I516" s="121">
        <v>0.2223</v>
      </c>
      <c r="J516" s="116">
        <f t="shared" si="56"/>
        <v>200.40750000000003</v>
      </c>
      <c r="K516" s="116">
        <v>1101.93</v>
      </c>
      <c r="L516" s="116">
        <f t="shared" si="57"/>
        <v>901.52250000000004</v>
      </c>
      <c r="M516" s="116">
        <f t="shared" si="58"/>
        <v>1101.93</v>
      </c>
      <c r="N516" s="116">
        <v>1469.24</v>
      </c>
      <c r="O516" s="116">
        <f t="shared" si="59"/>
        <v>367.30999999999995</v>
      </c>
      <c r="P516" s="116">
        <f t="shared" si="60"/>
        <v>367.30999999999995</v>
      </c>
      <c r="Q516" s="116" t="s">
        <v>2349</v>
      </c>
      <c r="R516" s="116" t="s">
        <v>3360</v>
      </c>
      <c r="S516" s="116" t="str">
        <f t="shared" si="61"/>
        <v>OK - FECHA COM PLANILHA</v>
      </c>
      <c r="T516" s="116">
        <v>1101.93</v>
      </c>
      <c r="U516" s="122">
        <f t="shared" si="62"/>
        <v>0</v>
      </c>
    </row>
    <row r="517" spans="1:21" ht="63.75" x14ac:dyDescent="0.2">
      <c r="A517" s="120" t="s">
        <v>3361</v>
      </c>
      <c r="B517" s="114" t="s">
        <v>2105</v>
      </c>
      <c r="C517" s="114" t="s">
        <v>2106</v>
      </c>
      <c r="D517" s="114" t="s">
        <v>56</v>
      </c>
      <c r="E517" s="114" t="s">
        <v>2107</v>
      </c>
      <c r="F517" s="114" t="s">
        <v>84</v>
      </c>
      <c r="G517" s="115">
        <v>1</v>
      </c>
      <c r="H517" s="116">
        <v>1421.91</v>
      </c>
      <c r="I517" s="121">
        <v>0.2223</v>
      </c>
      <c r="J517" s="116">
        <f t="shared" si="56"/>
        <v>316.08749999999986</v>
      </c>
      <c r="K517" s="116">
        <v>1737.9974999999999</v>
      </c>
      <c r="L517" s="116">
        <f t="shared" si="57"/>
        <v>1421.91</v>
      </c>
      <c r="M517" s="116">
        <f t="shared" si="58"/>
        <v>1737.9974999999999</v>
      </c>
      <c r="N517" s="116">
        <v>2317.33</v>
      </c>
      <c r="O517" s="116">
        <f t="shared" si="59"/>
        <v>579.33249999999998</v>
      </c>
      <c r="P517" s="116">
        <f t="shared" si="60"/>
        <v>579.33249999999998</v>
      </c>
      <c r="Q517" s="116" t="s">
        <v>2349</v>
      </c>
      <c r="R517" s="116" t="s">
        <v>3362</v>
      </c>
      <c r="S517" s="116" t="str">
        <f t="shared" si="61"/>
        <v>OK - FECHA COM PLANILHA</v>
      </c>
      <c r="T517" s="116">
        <v>1737.99</v>
      </c>
      <c r="U517" s="122">
        <f t="shared" si="62"/>
        <v>7.4999999999363354E-3</v>
      </c>
    </row>
    <row r="518" spans="1:21" ht="63.75" x14ac:dyDescent="0.2">
      <c r="A518" s="120" t="s">
        <v>3363</v>
      </c>
      <c r="B518" s="114" t="s">
        <v>2108</v>
      </c>
      <c r="C518" s="114" t="s">
        <v>2109</v>
      </c>
      <c r="D518" s="114" t="s">
        <v>56</v>
      </c>
      <c r="E518" s="114" t="s">
        <v>2110</v>
      </c>
      <c r="F518" s="114" t="s">
        <v>84</v>
      </c>
      <c r="G518" s="115">
        <v>7</v>
      </c>
      <c r="H518" s="116">
        <v>88.275000000000006</v>
      </c>
      <c r="I518" s="121">
        <v>0.2223</v>
      </c>
      <c r="J518" s="116">
        <f t="shared" si="56"/>
        <v>19.620000000000005</v>
      </c>
      <c r="K518" s="116">
        <v>107.89500000000001</v>
      </c>
      <c r="L518" s="116">
        <f t="shared" si="57"/>
        <v>617.92500000000007</v>
      </c>
      <c r="M518" s="116">
        <f t="shared" si="58"/>
        <v>755.2650000000001</v>
      </c>
      <c r="N518" s="116">
        <v>143.86000000000001</v>
      </c>
      <c r="O518" s="116">
        <f t="shared" si="59"/>
        <v>35.965000000000003</v>
      </c>
      <c r="P518" s="116">
        <f t="shared" si="60"/>
        <v>251.75500000000002</v>
      </c>
      <c r="Q518" s="116" t="s">
        <v>2349</v>
      </c>
      <c r="R518" s="116" t="s">
        <v>3364</v>
      </c>
      <c r="S518" s="116" t="str">
        <f t="shared" si="61"/>
        <v>OK - FECHA COM PLANILHA</v>
      </c>
      <c r="T518" s="116">
        <v>755.26</v>
      </c>
      <c r="U518" s="122">
        <f t="shared" si="62"/>
        <v>5.0000000001091394E-3</v>
      </c>
    </row>
    <row r="519" spans="1:21" ht="63.75" x14ac:dyDescent="0.2">
      <c r="A519" s="120" t="s">
        <v>3365</v>
      </c>
      <c r="B519" s="114" t="s">
        <v>2111</v>
      </c>
      <c r="C519" s="114" t="s">
        <v>2112</v>
      </c>
      <c r="D519" s="114" t="s">
        <v>56</v>
      </c>
      <c r="E519" s="114" t="s">
        <v>1006</v>
      </c>
      <c r="F519" s="114" t="s">
        <v>84</v>
      </c>
      <c r="G519" s="115">
        <v>27</v>
      </c>
      <c r="H519" s="116">
        <v>42.900000000000006</v>
      </c>
      <c r="I519" s="121">
        <v>0.2223</v>
      </c>
      <c r="J519" s="116">
        <f t="shared" si="56"/>
        <v>9.5324999999999918</v>
      </c>
      <c r="K519" s="116">
        <v>52.432499999999997</v>
      </c>
      <c r="L519" s="116">
        <f t="shared" si="57"/>
        <v>1158.3000000000002</v>
      </c>
      <c r="M519" s="116">
        <f t="shared" si="58"/>
        <v>1415.6775</v>
      </c>
      <c r="N519" s="116">
        <v>69.91</v>
      </c>
      <c r="O519" s="116">
        <f t="shared" si="59"/>
        <v>17.477499999999999</v>
      </c>
      <c r="P519" s="116">
        <f t="shared" si="60"/>
        <v>471.89249999999998</v>
      </c>
      <c r="Q519" s="116" t="s">
        <v>2349</v>
      </c>
      <c r="R519" s="116" t="s">
        <v>3366</v>
      </c>
      <c r="S519" s="116" t="str">
        <f t="shared" si="61"/>
        <v>OK - FECHA COM PLANILHA</v>
      </c>
      <c r="T519" s="116">
        <v>1415.67</v>
      </c>
      <c r="U519" s="122">
        <f t="shared" si="62"/>
        <v>7.4999999999363354E-3</v>
      </c>
    </row>
    <row r="520" spans="1:21" ht="63.75" x14ac:dyDescent="0.2">
      <c r="A520" s="120" t="s">
        <v>3367</v>
      </c>
      <c r="B520" s="114" t="s">
        <v>1523</v>
      </c>
      <c r="C520" s="114" t="s">
        <v>2113</v>
      </c>
      <c r="D520" s="114" t="s">
        <v>56</v>
      </c>
      <c r="E520" s="114" t="s">
        <v>1009</v>
      </c>
      <c r="F520" s="114" t="s">
        <v>84</v>
      </c>
      <c r="G520" s="115">
        <v>54</v>
      </c>
      <c r="H520" s="116">
        <v>27.022500000000001</v>
      </c>
      <c r="I520" s="121">
        <v>0.2223</v>
      </c>
      <c r="J520" s="116">
        <f t="shared" si="56"/>
        <v>6</v>
      </c>
      <c r="K520" s="116">
        <v>33.022500000000001</v>
      </c>
      <c r="L520" s="116">
        <f t="shared" si="57"/>
        <v>1459.2150000000001</v>
      </c>
      <c r="M520" s="116">
        <f t="shared" si="58"/>
        <v>1783.2150000000001</v>
      </c>
      <c r="N520" s="116">
        <v>44.03</v>
      </c>
      <c r="O520" s="116">
        <f t="shared" si="59"/>
        <v>11.0075</v>
      </c>
      <c r="P520" s="116">
        <f t="shared" si="60"/>
        <v>594.40499999999997</v>
      </c>
      <c r="Q520" s="116" t="s">
        <v>2349</v>
      </c>
      <c r="R520" s="116" t="s">
        <v>2692</v>
      </c>
      <c r="S520" s="116" t="str">
        <f t="shared" si="61"/>
        <v>OK - FECHA COM PLANILHA</v>
      </c>
      <c r="T520" s="116">
        <v>1783.21</v>
      </c>
      <c r="U520" s="122">
        <f t="shared" si="62"/>
        <v>5.0000000001091394E-3</v>
      </c>
    </row>
    <row r="521" spans="1:21" ht="63.75" x14ac:dyDescent="0.2">
      <c r="A521" s="120" t="s">
        <v>3368</v>
      </c>
      <c r="B521" s="114" t="s">
        <v>1540</v>
      </c>
      <c r="C521" s="114" t="s">
        <v>2114</v>
      </c>
      <c r="D521" s="114" t="s">
        <v>56</v>
      </c>
      <c r="E521" s="114" t="s">
        <v>1010</v>
      </c>
      <c r="F521" s="114" t="s">
        <v>84</v>
      </c>
      <c r="G521" s="115">
        <v>1</v>
      </c>
      <c r="H521" s="116">
        <v>40.747500000000002</v>
      </c>
      <c r="I521" s="121">
        <v>0.2223</v>
      </c>
      <c r="J521" s="116">
        <f t="shared" si="56"/>
        <v>9.052500000000002</v>
      </c>
      <c r="K521" s="116">
        <v>49.800000000000004</v>
      </c>
      <c r="L521" s="116">
        <f t="shared" si="57"/>
        <v>40.747500000000002</v>
      </c>
      <c r="M521" s="116">
        <f t="shared" si="58"/>
        <v>49.800000000000004</v>
      </c>
      <c r="N521" s="116">
        <v>66.400000000000006</v>
      </c>
      <c r="O521" s="116">
        <f t="shared" si="59"/>
        <v>16.600000000000001</v>
      </c>
      <c r="P521" s="116">
        <f t="shared" si="60"/>
        <v>16.600000000000001</v>
      </c>
      <c r="Q521" s="116" t="s">
        <v>2349</v>
      </c>
      <c r="R521" s="116" t="s">
        <v>2716</v>
      </c>
      <c r="S521" s="116" t="str">
        <f t="shared" si="61"/>
        <v>OK - FECHA COM PLANILHA</v>
      </c>
      <c r="T521" s="116">
        <v>49.8</v>
      </c>
      <c r="U521" s="122">
        <f t="shared" si="62"/>
        <v>0</v>
      </c>
    </row>
    <row r="522" spans="1:21" ht="63.75" x14ac:dyDescent="0.2">
      <c r="A522" s="120" t="s">
        <v>3369</v>
      </c>
      <c r="B522" s="114" t="s">
        <v>1550</v>
      </c>
      <c r="C522" s="114" t="s">
        <v>2115</v>
      </c>
      <c r="D522" s="114" t="s">
        <v>56</v>
      </c>
      <c r="E522" s="114" t="s">
        <v>1011</v>
      </c>
      <c r="F522" s="114" t="s">
        <v>84</v>
      </c>
      <c r="G522" s="115">
        <v>1</v>
      </c>
      <c r="H522" s="116">
        <v>54.472499999999997</v>
      </c>
      <c r="I522" s="121">
        <v>0.2223</v>
      </c>
      <c r="J522" s="116">
        <f t="shared" si="56"/>
        <v>12.105000000000004</v>
      </c>
      <c r="K522" s="116">
        <v>66.577500000000001</v>
      </c>
      <c r="L522" s="116">
        <f t="shared" si="57"/>
        <v>54.472499999999997</v>
      </c>
      <c r="M522" s="116">
        <f t="shared" si="58"/>
        <v>66.577500000000001</v>
      </c>
      <c r="N522" s="116">
        <v>88.77</v>
      </c>
      <c r="O522" s="116">
        <f t="shared" si="59"/>
        <v>22.192499999999995</v>
      </c>
      <c r="P522" s="116">
        <f t="shared" si="60"/>
        <v>22.192499999999995</v>
      </c>
      <c r="Q522" s="116" t="s">
        <v>2349</v>
      </c>
      <c r="R522" s="116" t="s">
        <v>2736</v>
      </c>
      <c r="S522" s="116" t="str">
        <f t="shared" si="61"/>
        <v>OK - FECHA COM PLANILHA</v>
      </c>
      <c r="T522" s="116">
        <v>66.569999999999993</v>
      </c>
      <c r="U522" s="122">
        <f t="shared" si="62"/>
        <v>7.5000000000073896E-3</v>
      </c>
    </row>
    <row r="523" spans="1:21" ht="63.75" x14ac:dyDescent="0.2">
      <c r="A523" s="120" t="s">
        <v>3370</v>
      </c>
      <c r="B523" s="114" t="s">
        <v>2116</v>
      </c>
      <c r="C523" s="114" t="s">
        <v>2117</v>
      </c>
      <c r="D523" s="114" t="s">
        <v>56</v>
      </c>
      <c r="E523" s="114" t="s">
        <v>1012</v>
      </c>
      <c r="F523" s="114" t="s">
        <v>84</v>
      </c>
      <c r="G523" s="115">
        <v>1</v>
      </c>
      <c r="H523" s="116">
        <v>46.012500000000003</v>
      </c>
      <c r="I523" s="121">
        <v>0.2223</v>
      </c>
      <c r="J523" s="116">
        <f t="shared" si="56"/>
        <v>10.222499999999997</v>
      </c>
      <c r="K523" s="116">
        <v>56.234999999999999</v>
      </c>
      <c r="L523" s="116">
        <f t="shared" si="57"/>
        <v>46.012500000000003</v>
      </c>
      <c r="M523" s="116">
        <f t="shared" si="58"/>
        <v>56.234999999999999</v>
      </c>
      <c r="N523" s="116">
        <v>74.98</v>
      </c>
      <c r="O523" s="116">
        <f t="shared" si="59"/>
        <v>18.745000000000005</v>
      </c>
      <c r="P523" s="116">
        <f t="shared" si="60"/>
        <v>18.745000000000005</v>
      </c>
      <c r="Q523" s="116" t="s">
        <v>2349</v>
      </c>
      <c r="R523" s="116" t="s">
        <v>3371</v>
      </c>
      <c r="S523" s="116" t="str">
        <f t="shared" si="61"/>
        <v>OK - FECHA COM PLANILHA</v>
      </c>
      <c r="T523" s="116">
        <v>56.23</v>
      </c>
      <c r="U523" s="122">
        <f t="shared" si="62"/>
        <v>5.000000000002558E-3</v>
      </c>
    </row>
    <row r="524" spans="1:21" ht="63.75" x14ac:dyDescent="0.2">
      <c r="A524" s="120" t="s">
        <v>3372</v>
      </c>
      <c r="B524" s="114" t="s">
        <v>2118</v>
      </c>
      <c r="C524" s="114" t="s">
        <v>2119</v>
      </c>
      <c r="D524" s="114" t="s">
        <v>56</v>
      </c>
      <c r="E524" s="114" t="s">
        <v>1013</v>
      </c>
      <c r="F524" s="114" t="s">
        <v>84</v>
      </c>
      <c r="G524" s="115">
        <v>63</v>
      </c>
      <c r="H524" s="116">
        <v>32.347500000000004</v>
      </c>
      <c r="I524" s="121">
        <v>0.2223</v>
      </c>
      <c r="J524" s="116">
        <f t="shared" si="56"/>
        <v>7.1849999999999952</v>
      </c>
      <c r="K524" s="116">
        <v>39.532499999999999</v>
      </c>
      <c r="L524" s="116">
        <f t="shared" si="57"/>
        <v>2037.8925000000002</v>
      </c>
      <c r="M524" s="116">
        <f t="shared" si="58"/>
        <v>2490.5475000000001</v>
      </c>
      <c r="N524" s="116">
        <v>52.71</v>
      </c>
      <c r="O524" s="116">
        <f t="shared" si="59"/>
        <v>13.177500000000002</v>
      </c>
      <c r="P524" s="116">
        <f t="shared" si="60"/>
        <v>830.18250000000012</v>
      </c>
      <c r="Q524" s="116" t="s">
        <v>2349</v>
      </c>
      <c r="R524" s="116" t="s">
        <v>3373</v>
      </c>
      <c r="S524" s="116" t="str">
        <f t="shared" si="61"/>
        <v>OK - FECHA COM PLANILHA</v>
      </c>
      <c r="T524" s="116">
        <v>2490.54</v>
      </c>
      <c r="U524" s="122">
        <f t="shared" si="62"/>
        <v>7.500000000163709E-3</v>
      </c>
    </row>
    <row r="525" spans="1:21" ht="63.75" x14ac:dyDescent="0.2">
      <c r="A525" s="120" t="s">
        <v>3374</v>
      </c>
      <c r="B525" s="114" t="s">
        <v>2120</v>
      </c>
      <c r="C525" s="114" t="s">
        <v>2121</v>
      </c>
      <c r="D525" s="114" t="s">
        <v>56</v>
      </c>
      <c r="E525" s="114" t="s">
        <v>1014</v>
      </c>
      <c r="F525" s="114" t="s">
        <v>84</v>
      </c>
      <c r="G525" s="115">
        <v>34</v>
      </c>
      <c r="H525" s="116">
        <v>51.39</v>
      </c>
      <c r="I525" s="121">
        <v>0.2223</v>
      </c>
      <c r="J525" s="116">
        <f t="shared" si="56"/>
        <v>11.422499999999999</v>
      </c>
      <c r="K525" s="116">
        <v>62.8125</v>
      </c>
      <c r="L525" s="116">
        <f t="shared" si="57"/>
        <v>1747.26</v>
      </c>
      <c r="M525" s="116">
        <f t="shared" si="58"/>
        <v>2135.625</v>
      </c>
      <c r="N525" s="116">
        <v>83.75</v>
      </c>
      <c r="O525" s="116">
        <f t="shared" si="59"/>
        <v>20.9375</v>
      </c>
      <c r="P525" s="116">
        <f t="shared" si="60"/>
        <v>711.875</v>
      </c>
      <c r="Q525" s="116" t="s">
        <v>2349</v>
      </c>
      <c r="R525" s="116" t="s">
        <v>3375</v>
      </c>
      <c r="S525" s="116" t="str">
        <f t="shared" si="61"/>
        <v>OK - FECHA COM PLANILHA</v>
      </c>
      <c r="T525" s="116">
        <v>2135.62</v>
      </c>
      <c r="U525" s="122">
        <f t="shared" si="62"/>
        <v>5.0000000001091394E-3</v>
      </c>
    </row>
    <row r="526" spans="1:21" ht="63.75" x14ac:dyDescent="0.2">
      <c r="A526" s="120" t="s">
        <v>3376</v>
      </c>
      <c r="B526" s="114" t="s">
        <v>2122</v>
      </c>
      <c r="C526" s="114" t="s">
        <v>2123</v>
      </c>
      <c r="D526" s="114" t="s">
        <v>56</v>
      </c>
      <c r="E526" s="114" t="s">
        <v>1015</v>
      </c>
      <c r="F526" s="114" t="s">
        <v>84</v>
      </c>
      <c r="G526" s="115">
        <v>104</v>
      </c>
      <c r="H526" s="116">
        <v>76.897500000000008</v>
      </c>
      <c r="I526" s="121">
        <v>0.2223</v>
      </c>
      <c r="J526" s="116">
        <f t="shared" si="56"/>
        <v>17.092499999999987</v>
      </c>
      <c r="K526" s="116">
        <v>93.99</v>
      </c>
      <c r="L526" s="116">
        <f t="shared" si="57"/>
        <v>7997.3400000000011</v>
      </c>
      <c r="M526" s="116">
        <f t="shared" si="58"/>
        <v>9774.9599999999991</v>
      </c>
      <c r="N526" s="116">
        <v>125.32</v>
      </c>
      <c r="O526" s="116">
        <f t="shared" si="59"/>
        <v>31.33</v>
      </c>
      <c r="P526" s="116">
        <f t="shared" si="60"/>
        <v>3258.3199999999997</v>
      </c>
      <c r="Q526" s="116" t="s">
        <v>2349</v>
      </c>
      <c r="R526" s="116" t="s">
        <v>3377</v>
      </c>
      <c r="S526" s="116" t="str">
        <f t="shared" si="61"/>
        <v>OK - FECHA COM PLANILHA</v>
      </c>
      <c r="T526" s="116">
        <v>9774.9599999999991</v>
      </c>
      <c r="U526" s="122">
        <f t="shared" si="62"/>
        <v>0</v>
      </c>
    </row>
    <row r="527" spans="1:21" ht="63.75" x14ac:dyDescent="0.2">
      <c r="A527" s="120" t="s">
        <v>3378</v>
      </c>
      <c r="B527" s="114" t="s">
        <v>2124</v>
      </c>
      <c r="C527" s="114" t="s">
        <v>2125</v>
      </c>
      <c r="D527" s="114" t="s">
        <v>56</v>
      </c>
      <c r="E527" s="114" t="s">
        <v>1016</v>
      </c>
      <c r="F527" s="114" t="s">
        <v>84</v>
      </c>
      <c r="G527" s="115">
        <v>6</v>
      </c>
      <c r="H527" s="116">
        <v>33.697499999999998</v>
      </c>
      <c r="I527" s="121">
        <v>0.2223</v>
      </c>
      <c r="J527" s="116">
        <f t="shared" si="56"/>
        <v>7.4849999999999994</v>
      </c>
      <c r="K527" s="116">
        <v>41.182499999999997</v>
      </c>
      <c r="L527" s="116">
        <f t="shared" si="57"/>
        <v>202.185</v>
      </c>
      <c r="M527" s="116">
        <f t="shared" si="58"/>
        <v>247.09499999999997</v>
      </c>
      <c r="N527" s="116">
        <v>54.91</v>
      </c>
      <c r="O527" s="116">
        <f t="shared" si="59"/>
        <v>13.727499999999999</v>
      </c>
      <c r="P527" s="116">
        <f t="shared" si="60"/>
        <v>82.364999999999995</v>
      </c>
      <c r="Q527" s="116" t="s">
        <v>2349</v>
      </c>
      <c r="R527" s="116" t="s">
        <v>3379</v>
      </c>
      <c r="S527" s="116" t="str">
        <f t="shared" si="61"/>
        <v>OK - FECHA COM PLANILHA</v>
      </c>
      <c r="T527" s="116">
        <v>247.09</v>
      </c>
      <c r="U527" s="122">
        <f t="shared" si="62"/>
        <v>4.9999999999670308E-3</v>
      </c>
    </row>
    <row r="528" spans="1:21" ht="76.5" x14ac:dyDescent="0.2">
      <c r="A528" s="120" t="s">
        <v>3380</v>
      </c>
      <c r="B528" s="114" t="s">
        <v>2126</v>
      </c>
      <c r="C528" s="114" t="s">
        <v>2127</v>
      </c>
      <c r="D528" s="114" t="s">
        <v>24</v>
      </c>
      <c r="E528" s="114" t="s">
        <v>2128</v>
      </c>
      <c r="F528" s="114" t="s">
        <v>84</v>
      </c>
      <c r="G528" s="115">
        <v>377</v>
      </c>
      <c r="H528" s="116">
        <v>225.36750000000001</v>
      </c>
      <c r="I528" s="121">
        <v>0.2223</v>
      </c>
      <c r="J528" s="116">
        <f t="shared" si="56"/>
        <v>50.092499999999973</v>
      </c>
      <c r="K528" s="116">
        <v>275.45999999999998</v>
      </c>
      <c r="L528" s="116">
        <f t="shared" si="57"/>
        <v>84963.547500000001</v>
      </c>
      <c r="M528" s="116">
        <f t="shared" si="58"/>
        <v>103848.42</v>
      </c>
      <c r="N528" s="116">
        <v>367.28</v>
      </c>
      <c r="O528" s="116">
        <f t="shared" si="59"/>
        <v>91.82</v>
      </c>
      <c r="P528" s="116">
        <f t="shared" si="60"/>
        <v>34616.14</v>
      </c>
      <c r="Q528" s="116" t="s">
        <v>2332</v>
      </c>
      <c r="R528" s="116" t="s">
        <v>3381</v>
      </c>
      <c r="S528" s="116" t="str">
        <f t="shared" si="61"/>
        <v>OK - FECHA COM PLANILHA</v>
      </c>
      <c r="T528" s="116">
        <v>103848.42</v>
      </c>
      <c r="U528" s="122">
        <f t="shared" si="62"/>
        <v>0</v>
      </c>
    </row>
    <row r="529" spans="1:21" ht="63.75" x14ac:dyDescent="0.2">
      <c r="A529" s="120" t="s">
        <v>3382</v>
      </c>
      <c r="B529" s="114" t="s">
        <v>2129</v>
      </c>
      <c r="C529" s="114" t="s">
        <v>2130</v>
      </c>
      <c r="D529" s="114" t="s">
        <v>56</v>
      </c>
      <c r="E529" s="114" t="s">
        <v>1019</v>
      </c>
      <c r="F529" s="114" t="s">
        <v>84</v>
      </c>
      <c r="G529" s="115">
        <v>54</v>
      </c>
      <c r="H529" s="116">
        <v>48.1875</v>
      </c>
      <c r="I529" s="121">
        <v>0.2223</v>
      </c>
      <c r="J529" s="116">
        <f t="shared" si="56"/>
        <v>10.71</v>
      </c>
      <c r="K529" s="116">
        <v>58.897500000000001</v>
      </c>
      <c r="L529" s="116">
        <f t="shared" si="57"/>
        <v>2602.125</v>
      </c>
      <c r="M529" s="116">
        <f t="shared" si="58"/>
        <v>3180.4650000000001</v>
      </c>
      <c r="N529" s="116">
        <v>78.53</v>
      </c>
      <c r="O529" s="116">
        <f t="shared" si="59"/>
        <v>19.6325</v>
      </c>
      <c r="P529" s="116">
        <f t="shared" si="60"/>
        <v>1060.155</v>
      </c>
      <c r="Q529" s="116" t="s">
        <v>2349</v>
      </c>
      <c r="R529" s="116" t="s">
        <v>3383</v>
      </c>
      <c r="S529" s="116" t="str">
        <f t="shared" si="61"/>
        <v>OK - FECHA COM PLANILHA</v>
      </c>
      <c r="T529" s="116">
        <v>3180.46</v>
      </c>
      <c r="U529" s="122">
        <f t="shared" si="62"/>
        <v>5.0000000001091394E-3</v>
      </c>
    </row>
    <row r="530" spans="1:21" ht="63.75" x14ac:dyDescent="0.2">
      <c r="A530" s="120" t="s">
        <v>3384</v>
      </c>
      <c r="B530" s="114" t="s">
        <v>2131</v>
      </c>
      <c r="C530" s="114" t="s">
        <v>2132</v>
      </c>
      <c r="D530" s="114" t="s">
        <v>56</v>
      </c>
      <c r="E530" s="114" t="s">
        <v>1020</v>
      </c>
      <c r="F530" s="114" t="s">
        <v>84</v>
      </c>
      <c r="G530" s="115">
        <v>5</v>
      </c>
      <c r="H530" s="116">
        <v>17.767500000000002</v>
      </c>
      <c r="I530" s="121">
        <v>0.2223</v>
      </c>
      <c r="J530" s="116">
        <f t="shared" si="56"/>
        <v>3.9449999999999967</v>
      </c>
      <c r="K530" s="116">
        <v>21.712499999999999</v>
      </c>
      <c r="L530" s="116">
        <f t="shared" si="57"/>
        <v>88.837500000000006</v>
      </c>
      <c r="M530" s="116">
        <f t="shared" si="58"/>
        <v>108.5625</v>
      </c>
      <c r="N530" s="116">
        <v>28.95</v>
      </c>
      <c r="O530" s="116">
        <f t="shared" si="59"/>
        <v>7.2375000000000007</v>
      </c>
      <c r="P530" s="116">
        <f t="shared" si="60"/>
        <v>36.1875</v>
      </c>
      <c r="Q530" s="116" t="s">
        <v>2349</v>
      </c>
      <c r="R530" s="116" t="s">
        <v>3385</v>
      </c>
      <c r="S530" s="116" t="str">
        <f t="shared" si="61"/>
        <v>OK - FECHA COM PLANILHA</v>
      </c>
      <c r="T530" s="116">
        <v>108.56</v>
      </c>
      <c r="U530" s="122">
        <f t="shared" si="62"/>
        <v>2.4999999999977263E-3</v>
      </c>
    </row>
    <row r="531" spans="1:21" ht="63.75" x14ac:dyDescent="0.2">
      <c r="A531" s="120" t="s">
        <v>3386</v>
      </c>
      <c r="B531" s="114" t="s">
        <v>2133</v>
      </c>
      <c r="C531" s="114" t="s">
        <v>2134</v>
      </c>
      <c r="D531" s="114" t="s">
        <v>335</v>
      </c>
      <c r="E531" s="114" t="s">
        <v>1021</v>
      </c>
      <c r="F531" s="114" t="s">
        <v>84</v>
      </c>
      <c r="G531" s="115">
        <v>10</v>
      </c>
      <c r="H531" s="116">
        <v>128.4975</v>
      </c>
      <c r="I531" s="121">
        <v>0.2223</v>
      </c>
      <c r="J531" s="116">
        <f t="shared" si="56"/>
        <v>28.560000000000002</v>
      </c>
      <c r="K531" s="116">
        <v>157.0575</v>
      </c>
      <c r="L531" s="116">
        <f t="shared" si="57"/>
        <v>1284.9749999999999</v>
      </c>
      <c r="M531" s="116">
        <f t="shared" si="58"/>
        <v>1570.575</v>
      </c>
      <c r="N531" s="116">
        <v>209.41</v>
      </c>
      <c r="O531" s="116">
        <f t="shared" si="59"/>
        <v>52.352499999999992</v>
      </c>
      <c r="P531" s="116">
        <f t="shared" si="60"/>
        <v>523.52499999999986</v>
      </c>
      <c r="Q531" s="116" t="s">
        <v>2589</v>
      </c>
      <c r="R531" s="116" t="s">
        <v>3387</v>
      </c>
      <c r="S531" s="116" t="str">
        <f t="shared" si="61"/>
        <v>OK - FECHA COM PLANILHA</v>
      </c>
      <c r="T531" s="116">
        <v>1570.57</v>
      </c>
      <c r="U531" s="122">
        <f t="shared" si="62"/>
        <v>5.0000000001091394E-3</v>
      </c>
    </row>
    <row r="532" spans="1:21" ht="63.75" x14ac:dyDescent="0.2">
      <c r="A532" s="120" t="s">
        <v>3388</v>
      </c>
      <c r="B532" s="114" t="s">
        <v>2135</v>
      </c>
      <c r="C532" s="114" t="s">
        <v>2136</v>
      </c>
      <c r="D532" s="114" t="s">
        <v>335</v>
      </c>
      <c r="E532" s="114" t="s">
        <v>1022</v>
      </c>
      <c r="F532" s="114" t="s">
        <v>84</v>
      </c>
      <c r="G532" s="115">
        <v>6</v>
      </c>
      <c r="H532" s="116">
        <v>103.88249999999999</v>
      </c>
      <c r="I532" s="121">
        <v>0.2223</v>
      </c>
      <c r="J532" s="116">
        <f t="shared" si="56"/>
        <v>23.092500000000015</v>
      </c>
      <c r="K532" s="116">
        <v>126.97500000000001</v>
      </c>
      <c r="L532" s="116">
        <f t="shared" si="57"/>
        <v>623.29499999999996</v>
      </c>
      <c r="M532" s="116">
        <f t="shared" si="58"/>
        <v>761.85</v>
      </c>
      <c r="N532" s="116">
        <v>169.3</v>
      </c>
      <c r="O532" s="116">
        <f t="shared" si="59"/>
        <v>42.325000000000003</v>
      </c>
      <c r="P532" s="116">
        <f t="shared" si="60"/>
        <v>253.95000000000002</v>
      </c>
      <c r="Q532" s="116" t="s">
        <v>2589</v>
      </c>
      <c r="R532" s="116" t="s">
        <v>3389</v>
      </c>
      <c r="S532" s="116" t="str">
        <f t="shared" si="61"/>
        <v>OK - FECHA COM PLANILHA</v>
      </c>
      <c r="T532" s="116">
        <v>761.85</v>
      </c>
      <c r="U532" s="122">
        <f t="shared" si="62"/>
        <v>0</v>
      </c>
    </row>
    <row r="533" spans="1:21" ht="63.75" x14ac:dyDescent="0.2">
      <c r="A533" s="120" t="s">
        <v>3390</v>
      </c>
      <c r="B533" s="114" t="s">
        <v>1570</v>
      </c>
      <c r="C533" s="114" t="s">
        <v>2137</v>
      </c>
      <c r="D533" s="114" t="s">
        <v>56</v>
      </c>
      <c r="E533" s="114" t="s">
        <v>1025</v>
      </c>
      <c r="F533" s="114" t="s">
        <v>84</v>
      </c>
      <c r="G533" s="115">
        <v>4</v>
      </c>
      <c r="H533" s="116">
        <v>512.17499999999995</v>
      </c>
      <c r="I533" s="121">
        <v>0.2223</v>
      </c>
      <c r="J533" s="116">
        <f t="shared" si="56"/>
        <v>113.85000000000014</v>
      </c>
      <c r="K533" s="116">
        <v>626.02500000000009</v>
      </c>
      <c r="L533" s="116">
        <f t="shared" si="57"/>
        <v>2048.6999999999998</v>
      </c>
      <c r="M533" s="116">
        <f t="shared" si="58"/>
        <v>2504.1000000000004</v>
      </c>
      <c r="N533" s="116">
        <v>834.7</v>
      </c>
      <c r="O533" s="116">
        <f t="shared" si="59"/>
        <v>208.67499999999995</v>
      </c>
      <c r="P533" s="116">
        <f t="shared" si="60"/>
        <v>834.69999999999982</v>
      </c>
      <c r="Q533" s="116" t="s">
        <v>2349</v>
      </c>
      <c r="R533" s="116" t="s">
        <v>2770</v>
      </c>
      <c r="S533" s="116" t="str">
        <f t="shared" si="61"/>
        <v>OK - FECHA COM PLANILHA</v>
      </c>
      <c r="T533" s="116">
        <v>2504.1</v>
      </c>
      <c r="U533" s="122">
        <f t="shared" si="62"/>
        <v>0</v>
      </c>
    </row>
    <row r="534" spans="1:21" ht="63.75" x14ac:dyDescent="0.2">
      <c r="A534" s="120" t="s">
        <v>3391</v>
      </c>
      <c r="B534" s="114" t="s">
        <v>1641</v>
      </c>
      <c r="C534" s="114" t="s">
        <v>2138</v>
      </c>
      <c r="D534" s="114" t="s">
        <v>56</v>
      </c>
      <c r="E534" s="114" t="s">
        <v>1026</v>
      </c>
      <c r="F534" s="114" t="s">
        <v>84</v>
      </c>
      <c r="G534" s="115">
        <v>4</v>
      </c>
      <c r="H534" s="116">
        <v>253.60499999999999</v>
      </c>
      <c r="I534" s="121">
        <v>0.2223</v>
      </c>
      <c r="J534" s="116">
        <f t="shared" si="56"/>
        <v>56.370000000000033</v>
      </c>
      <c r="K534" s="116">
        <v>309.97500000000002</v>
      </c>
      <c r="L534" s="116">
        <f t="shared" si="57"/>
        <v>1014.42</v>
      </c>
      <c r="M534" s="116">
        <f t="shared" si="58"/>
        <v>1239.9000000000001</v>
      </c>
      <c r="N534" s="116">
        <v>413.3</v>
      </c>
      <c r="O534" s="116">
        <f t="shared" si="59"/>
        <v>103.32499999999999</v>
      </c>
      <c r="P534" s="116">
        <f t="shared" si="60"/>
        <v>413.29999999999995</v>
      </c>
      <c r="Q534" s="116" t="s">
        <v>2349</v>
      </c>
      <c r="R534" s="116" t="s">
        <v>2848</v>
      </c>
      <c r="S534" s="116" t="str">
        <f t="shared" si="61"/>
        <v>OK - FECHA COM PLANILHA</v>
      </c>
      <c r="T534" s="116">
        <v>1239.9000000000001</v>
      </c>
      <c r="U534" s="122">
        <f t="shared" si="62"/>
        <v>0</v>
      </c>
    </row>
    <row r="535" spans="1:21" ht="63.75" x14ac:dyDescent="0.2">
      <c r="A535" s="120" t="s">
        <v>3392</v>
      </c>
      <c r="B535" s="114" t="s">
        <v>1692</v>
      </c>
      <c r="C535" s="114" t="s">
        <v>1971</v>
      </c>
      <c r="D535" s="114" t="s">
        <v>56</v>
      </c>
      <c r="E535" s="114" t="s">
        <v>921</v>
      </c>
      <c r="F535" s="114" t="s">
        <v>84</v>
      </c>
      <c r="G535" s="115">
        <v>119</v>
      </c>
      <c r="H535" s="116">
        <v>18.945</v>
      </c>
      <c r="I535" s="121">
        <v>0.2223</v>
      </c>
      <c r="J535" s="116">
        <f t="shared" si="56"/>
        <v>4.2074999999999996</v>
      </c>
      <c r="K535" s="116">
        <v>23.1525</v>
      </c>
      <c r="L535" s="116">
        <f t="shared" si="57"/>
        <v>2254.4549999999999</v>
      </c>
      <c r="M535" s="116">
        <f t="shared" si="58"/>
        <v>2755.1475</v>
      </c>
      <c r="N535" s="116">
        <v>30.87</v>
      </c>
      <c r="O535" s="116">
        <f t="shared" si="59"/>
        <v>7.7175000000000011</v>
      </c>
      <c r="P535" s="116">
        <f t="shared" si="60"/>
        <v>918.38250000000016</v>
      </c>
      <c r="Q535" s="116" t="s">
        <v>2349</v>
      </c>
      <c r="R535" s="116" t="s">
        <v>2916</v>
      </c>
      <c r="S535" s="116" t="str">
        <f t="shared" si="61"/>
        <v>OK - FECHA COM PLANILHA</v>
      </c>
      <c r="T535" s="116">
        <v>2755.14</v>
      </c>
      <c r="U535" s="122">
        <f t="shared" si="62"/>
        <v>7.500000000163709E-3</v>
      </c>
    </row>
    <row r="536" spans="1:21" ht="63.75" x14ac:dyDescent="0.2">
      <c r="A536" s="120" t="s">
        <v>3393</v>
      </c>
      <c r="B536" s="114" t="s">
        <v>1727</v>
      </c>
      <c r="C536" s="114" t="s">
        <v>2139</v>
      </c>
      <c r="D536" s="114" t="s">
        <v>56</v>
      </c>
      <c r="E536" s="114" t="s">
        <v>2140</v>
      </c>
      <c r="F536" s="114" t="s">
        <v>84</v>
      </c>
      <c r="G536" s="115">
        <v>1</v>
      </c>
      <c r="H536" s="116">
        <v>24.93</v>
      </c>
      <c r="I536" s="121">
        <v>0.2223</v>
      </c>
      <c r="J536" s="116">
        <f t="shared" si="56"/>
        <v>5.5349999999999966</v>
      </c>
      <c r="K536" s="116">
        <v>30.464999999999996</v>
      </c>
      <c r="L536" s="116">
        <f t="shared" si="57"/>
        <v>24.93</v>
      </c>
      <c r="M536" s="116">
        <f t="shared" si="58"/>
        <v>30.464999999999996</v>
      </c>
      <c r="N536" s="116">
        <v>40.619999999999997</v>
      </c>
      <c r="O536" s="116">
        <f t="shared" si="59"/>
        <v>10.155000000000001</v>
      </c>
      <c r="P536" s="116">
        <f t="shared" si="60"/>
        <v>10.155000000000001</v>
      </c>
      <c r="Q536" s="116" t="s">
        <v>2349</v>
      </c>
      <c r="R536" s="116" t="s">
        <v>2964</v>
      </c>
      <c r="S536" s="116" t="str">
        <f t="shared" si="61"/>
        <v>OK - FECHA COM PLANILHA</v>
      </c>
      <c r="T536" s="116">
        <v>30.46</v>
      </c>
      <c r="U536" s="122">
        <f t="shared" si="62"/>
        <v>4.9999999999954525E-3</v>
      </c>
    </row>
    <row r="537" spans="1:21" ht="63.75" x14ac:dyDescent="0.2">
      <c r="A537" s="120" t="s">
        <v>3394</v>
      </c>
      <c r="B537" s="114" t="s">
        <v>1794</v>
      </c>
      <c r="C537" s="114" t="s">
        <v>1028</v>
      </c>
      <c r="D537" s="114" t="s">
        <v>1029</v>
      </c>
      <c r="E537" s="114" t="s">
        <v>1030</v>
      </c>
      <c r="F537" s="114" t="s">
        <v>84</v>
      </c>
      <c r="G537" s="115">
        <v>10</v>
      </c>
      <c r="H537" s="116">
        <v>75.172499999999999</v>
      </c>
      <c r="I537" s="121">
        <v>0.2223</v>
      </c>
      <c r="J537" s="116">
        <f t="shared" si="56"/>
        <v>16.710000000000008</v>
      </c>
      <c r="K537" s="116">
        <v>91.882500000000007</v>
      </c>
      <c r="L537" s="116">
        <f t="shared" si="57"/>
        <v>751.72500000000002</v>
      </c>
      <c r="M537" s="116">
        <f t="shared" si="58"/>
        <v>918.82500000000005</v>
      </c>
      <c r="N537" s="116">
        <v>122.51</v>
      </c>
      <c r="O537" s="116">
        <f t="shared" si="59"/>
        <v>30.627499999999998</v>
      </c>
      <c r="P537" s="116">
        <f t="shared" si="60"/>
        <v>306.27499999999998</v>
      </c>
      <c r="Q537" s="116" t="s">
        <v>3395</v>
      </c>
      <c r="R537" s="116" t="s">
        <v>3034</v>
      </c>
      <c r="S537" s="116" t="str">
        <f t="shared" si="61"/>
        <v>OK - FECHA COM PLANILHA</v>
      </c>
      <c r="T537" s="116">
        <v>918.82</v>
      </c>
      <c r="U537" s="122">
        <f t="shared" si="62"/>
        <v>4.9999999999954525E-3</v>
      </c>
    </row>
    <row r="538" spans="1:21" ht="76.5" x14ac:dyDescent="0.2">
      <c r="A538" s="120" t="s">
        <v>3396</v>
      </c>
      <c r="B538" s="114" t="s">
        <v>1816</v>
      </c>
      <c r="C538" s="114" t="s">
        <v>2141</v>
      </c>
      <c r="D538" s="114" t="s">
        <v>24</v>
      </c>
      <c r="E538" s="114" t="s">
        <v>1032</v>
      </c>
      <c r="F538" s="114" t="s">
        <v>99</v>
      </c>
      <c r="G538" s="115">
        <v>179.9</v>
      </c>
      <c r="H538" s="116">
        <v>61.53</v>
      </c>
      <c r="I538" s="121">
        <v>0.2223</v>
      </c>
      <c r="J538" s="116">
        <f t="shared" si="56"/>
        <v>13.672499999999999</v>
      </c>
      <c r="K538" s="116">
        <v>75.202500000000001</v>
      </c>
      <c r="L538" s="116">
        <f t="shared" si="57"/>
        <v>11069.247000000001</v>
      </c>
      <c r="M538" s="116">
        <f t="shared" si="58"/>
        <v>13528.929750000001</v>
      </c>
      <c r="N538" s="116">
        <v>100.27</v>
      </c>
      <c r="O538" s="116">
        <f t="shared" si="59"/>
        <v>25.067499999999995</v>
      </c>
      <c r="P538" s="116">
        <f t="shared" si="60"/>
        <v>4509.6432499999992</v>
      </c>
      <c r="Q538" s="116" t="s">
        <v>2332</v>
      </c>
      <c r="R538" s="116" t="s">
        <v>3064</v>
      </c>
      <c r="S538" s="116" t="str">
        <f t="shared" si="61"/>
        <v>OK - FECHA COM PLANILHA</v>
      </c>
      <c r="T538" s="116">
        <v>13528.92</v>
      </c>
      <c r="U538" s="122">
        <f t="shared" si="62"/>
        <v>9.7500000010768417E-3</v>
      </c>
    </row>
    <row r="539" spans="1:21" ht="76.5" x14ac:dyDescent="0.2">
      <c r="A539" s="120" t="s">
        <v>3397</v>
      </c>
      <c r="B539" s="114" t="s">
        <v>1860</v>
      </c>
      <c r="C539" s="114" t="s">
        <v>2142</v>
      </c>
      <c r="D539" s="114" t="s">
        <v>24</v>
      </c>
      <c r="E539" s="114" t="s">
        <v>2143</v>
      </c>
      <c r="F539" s="114" t="s">
        <v>99</v>
      </c>
      <c r="G539" s="115">
        <v>55.5</v>
      </c>
      <c r="H539" s="116">
        <v>76.155000000000001</v>
      </c>
      <c r="I539" s="121">
        <v>0.2223</v>
      </c>
      <c r="J539" s="116">
        <f t="shared" si="56"/>
        <v>16.927499999999995</v>
      </c>
      <c r="K539" s="116">
        <v>93.082499999999996</v>
      </c>
      <c r="L539" s="116">
        <f t="shared" si="57"/>
        <v>4226.6025</v>
      </c>
      <c r="M539" s="116">
        <f t="shared" si="58"/>
        <v>5166.0787499999997</v>
      </c>
      <c r="N539" s="116">
        <v>124.11</v>
      </c>
      <c r="O539" s="116">
        <f t="shared" si="59"/>
        <v>31.027500000000003</v>
      </c>
      <c r="P539" s="116">
        <f t="shared" si="60"/>
        <v>1722.0262500000001</v>
      </c>
      <c r="Q539" s="116" t="s">
        <v>2332</v>
      </c>
      <c r="R539" s="116" t="s">
        <v>3115</v>
      </c>
      <c r="S539" s="116" t="str">
        <f t="shared" si="61"/>
        <v>OK - FECHA COM PLANILHA</v>
      </c>
      <c r="T539" s="116">
        <v>5166.07</v>
      </c>
      <c r="U539" s="122">
        <f t="shared" si="62"/>
        <v>8.7499999999636202E-3</v>
      </c>
    </row>
    <row r="540" spans="1:21" ht="76.5" x14ac:dyDescent="0.2">
      <c r="A540" s="120" t="s">
        <v>3398</v>
      </c>
      <c r="B540" s="114" t="s">
        <v>2144</v>
      </c>
      <c r="C540" s="114" t="s">
        <v>2145</v>
      </c>
      <c r="D540" s="114" t="s">
        <v>24</v>
      </c>
      <c r="E540" s="114" t="s">
        <v>2146</v>
      </c>
      <c r="F540" s="114" t="s">
        <v>99</v>
      </c>
      <c r="G540" s="115">
        <v>15.7</v>
      </c>
      <c r="H540" s="116">
        <v>70.304999999999993</v>
      </c>
      <c r="I540" s="121">
        <v>0.2223</v>
      </c>
      <c r="J540" s="116">
        <f t="shared" si="56"/>
        <v>15.622500000000002</v>
      </c>
      <c r="K540" s="116">
        <v>85.927499999999995</v>
      </c>
      <c r="L540" s="116">
        <f t="shared" si="57"/>
        <v>1103.7884999999999</v>
      </c>
      <c r="M540" s="116">
        <f t="shared" si="58"/>
        <v>1349.0617499999998</v>
      </c>
      <c r="N540" s="116">
        <v>114.57</v>
      </c>
      <c r="O540" s="116">
        <f t="shared" si="59"/>
        <v>28.642499999999998</v>
      </c>
      <c r="P540" s="116">
        <f t="shared" si="60"/>
        <v>449.68724999999995</v>
      </c>
      <c r="Q540" s="116" t="s">
        <v>2332</v>
      </c>
      <c r="R540" s="116" t="s">
        <v>3399</v>
      </c>
      <c r="S540" s="116" t="str">
        <f t="shared" si="61"/>
        <v>OK - FECHA COM PLANILHA</v>
      </c>
      <c r="T540" s="116">
        <v>1349.06</v>
      </c>
      <c r="U540" s="122">
        <f t="shared" si="62"/>
        <v>1.7499999999017746E-3</v>
      </c>
    </row>
    <row r="541" spans="1:21" ht="63.75" x14ac:dyDescent="0.2">
      <c r="A541" s="120" t="s">
        <v>3400</v>
      </c>
      <c r="B541" s="114" t="s">
        <v>1877</v>
      </c>
      <c r="C541" s="114" t="s">
        <v>2147</v>
      </c>
      <c r="D541" s="114" t="s">
        <v>24</v>
      </c>
      <c r="E541" s="114" t="s">
        <v>1038</v>
      </c>
      <c r="F541" s="114" t="s">
        <v>99</v>
      </c>
      <c r="G541" s="115">
        <v>487</v>
      </c>
      <c r="H541" s="116">
        <v>15.3825</v>
      </c>
      <c r="I541" s="121">
        <v>0.2223</v>
      </c>
      <c r="J541" s="116">
        <f t="shared" si="56"/>
        <v>3.4124999999999979</v>
      </c>
      <c r="K541" s="116">
        <v>18.794999999999998</v>
      </c>
      <c r="L541" s="116">
        <f t="shared" si="57"/>
        <v>7491.2775000000001</v>
      </c>
      <c r="M541" s="116">
        <f t="shared" si="58"/>
        <v>9153.1649999999991</v>
      </c>
      <c r="N541" s="116">
        <v>25.06</v>
      </c>
      <c r="O541" s="116">
        <f t="shared" si="59"/>
        <v>6.2650000000000006</v>
      </c>
      <c r="P541" s="116">
        <f t="shared" si="60"/>
        <v>3051.0550000000003</v>
      </c>
      <c r="Q541" s="116" t="s">
        <v>2332</v>
      </c>
      <c r="R541" s="116" t="s">
        <v>3145</v>
      </c>
      <c r="S541" s="116" t="str">
        <f t="shared" si="61"/>
        <v>OK - FECHA COM PLANILHA</v>
      </c>
      <c r="T541" s="116">
        <v>9153.16</v>
      </c>
      <c r="U541" s="122">
        <f t="shared" si="62"/>
        <v>4.9999999991996447E-3</v>
      </c>
    </row>
    <row r="542" spans="1:21" ht="63.75" x14ac:dyDescent="0.2">
      <c r="A542" s="120" t="s">
        <v>3401</v>
      </c>
      <c r="B542" s="114" t="s">
        <v>2148</v>
      </c>
      <c r="C542" s="114" t="s">
        <v>2149</v>
      </c>
      <c r="D542" s="114" t="s">
        <v>24</v>
      </c>
      <c r="E542" s="114" t="s">
        <v>1040</v>
      </c>
      <c r="F542" s="114" t="s">
        <v>99</v>
      </c>
      <c r="G542" s="115">
        <v>22.8</v>
      </c>
      <c r="H542" s="116">
        <v>19.725000000000001</v>
      </c>
      <c r="I542" s="121">
        <v>0.2223</v>
      </c>
      <c r="J542" s="116">
        <f t="shared" si="56"/>
        <v>4.379999999999999</v>
      </c>
      <c r="K542" s="116">
        <v>24.105</v>
      </c>
      <c r="L542" s="116">
        <f t="shared" si="57"/>
        <v>449.73</v>
      </c>
      <c r="M542" s="116">
        <f t="shared" si="58"/>
        <v>549.59400000000005</v>
      </c>
      <c r="N542" s="116">
        <v>32.14</v>
      </c>
      <c r="O542" s="116">
        <f t="shared" si="59"/>
        <v>8.0350000000000001</v>
      </c>
      <c r="P542" s="116">
        <f t="shared" si="60"/>
        <v>183.19800000000001</v>
      </c>
      <c r="Q542" s="116" t="s">
        <v>2332</v>
      </c>
      <c r="R542" s="116" t="s">
        <v>3402</v>
      </c>
      <c r="S542" s="116" t="str">
        <f t="shared" si="61"/>
        <v>OK - FECHA COM PLANILHA</v>
      </c>
      <c r="T542" s="116">
        <v>549.59</v>
      </c>
      <c r="U542" s="122">
        <f t="shared" si="62"/>
        <v>4.0000000000190994E-3</v>
      </c>
    </row>
    <row r="543" spans="1:21" ht="63.75" x14ac:dyDescent="0.2">
      <c r="A543" s="120" t="s">
        <v>3403</v>
      </c>
      <c r="B543" s="114" t="s">
        <v>2150</v>
      </c>
      <c r="C543" s="114" t="s">
        <v>1991</v>
      </c>
      <c r="D543" s="114" t="s">
        <v>56</v>
      </c>
      <c r="E543" s="114" t="s">
        <v>937</v>
      </c>
      <c r="F543" s="114" t="s">
        <v>99</v>
      </c>
      <c r="G543" s="115">
        <v>31</v>
      </c>
      <c r="H543" s="116">
        <v>10.74</v>
      </c>
      <c r="I543" s="121">
        <v>0.2223</v>
      </c>
      <c r="J543" s="116">
        <f t="shared" si="56"/>
        <v>2.3849999999999998</v>
      </c>
      <c r="K543" s="116">
        <v>13.125</v>
      </c>
      <c r="L543" s="116">
        <f t="shared" si="57"/>
        <v>332.94</v>
      </c>
      <c r="M543" s="116">
        <f t="shared" si="58"/>
        <v>406.875</v>
      </c>
      <c r="N543" s="116">
        <v>17.5</v>
      </c>
      <c r="O543" s="116">
        <f t="shared" si="59"/>
        <v>4.375</v>
      </c>
      <c r="P543" s="116">
        <f t="shared" si="60"/>
        <v>135.625</v>
      </c>
      <c r="Q543" s="116" t="s">
        <v>2349</v>
      </c>
      <c r="R543" s="116" t="s">
        <v>3404</v>
      </c>
      <c r="S543" s="116" t="str">
        <f t="shared" si="61"/>
        <v>OK - FECHA COM PLANILHA</v>
      </c>
      <c r="T543" s="116">
        <v>406.87</v>
      </c>
      <c r="U543" s="122">
        <f t="shared" si="62"/>
        <v>4.9999999999954525E-3</v>
      </c>
    </row>
    <row r="544" spans="1:21" ht="63.75" x14ac:dyDescent="0.2">
      <c r="A544" s="120" t="s">
        <v>3405</v>
      </c>
      <c r="B544" s="114" t="s">
        <v>2151</v>
      </c>
      <c r="C544" s="114" t="s">
        <v>2152</v>
      </c>
      <c r="D544" s="114" t="s">
        <v>56</v>
      </c>
      <c r="E544" s="114" t="s">
        <v>1042</v>
      </c>
      <c r="F544" s="114" t="s">
        <v>99</v>
      </c>
      <c r="G544" s="115">
        <v>9.8000000000000007</v>
      </c>
      <c r="H544" s="116">
        <v>24.974999999999998</v>
      </c>
      <c r="I544" s="121">
        <v>0.2223</v>
      </c>
      <c r="J544" s="116">
        <f t="shared" si="56"/>
        <v>5.5500000000000043</v>
      </c>
      <c r="K544" s="116">
        <v>30.525000000000002</v>
      </c>
      <c r="L544" s="116">
        <f t="shared" si="57"/>
        <v>244.755</v>
      </c>
      <c r="M544" s="116">
        <f t="shared" si="58"/>
        <v>299.14500000000004</v>
      </c>
      <c r="N544" s="116">
        <v>40.700000000000003</v>
      </c>
      <c r="O544" s="116">
        <f t="shared" si="59"/>
        <v>10.175000000000001</v>
      </c>
      <c r="P544" s="116">
        <f t="shared" si="60"/>
        <v>99.715000000000018</v>
      </c>
      <c r="Q544" s="116" t="s">
        <v>2349</v>
      </c>
      <c r="R544" s="116" t="s">
        <v>3406</v>
      </c>
      <c r="S544" s="116" t="str">
        <f t="shared" si="61"/>
        <v>OK - FECHA COM PLANILHA</v>
      </c>
      <c r="T544" s="116">
        <v>299.14</v>
      </c>
      <c r="U544" s="122">
        <f t="shared" si="62"/>
        <v>5.0000000000522959E-3</v>
      </c>
    </row>
    <row r="545" spans="1:21" ht="63.75" x14ac:dyDescent="0.2">
      <c r="A545" s="120" t="s">
        <v>3407</v>
      </c>
      <c r="B545" s="114" t="s">
        <v>2153</v>
      </c>
      <c r="C545" s="114" t="s">
        <v>2011</v>
      </c>
      <c r="D545" s="114" t="s">
        <v>56</v>
      </c>
      <c r="E545" s="114" t="s">
        <v>2012</v>
      </c>
      <c r="F545" s="114" t="s">
        <v>99</v>
      </c>
      <c r="G545" s="115">
        <v>5.3</v>
      </c>
      <c r="H545" s="116">
        <v>22.11</v>
      </c>
      <c r="I545" s="121">
        <v>0.2223</v>
      </c>
      <c r="J545" s="116">
        <f t="shared" si="56"/>
        <v>4.9125000000000014</v>
      </c>
      <c r="K545" s="116">
        <v>27.022500000000001</v>
      </c>
      <c r="L545" s="116">
        <f t="shared" si="57"/>
        <v>117.18299999999999</v>
      </c>
      <c r="M545" s="116">
        <f t="shared" si="58"/>
        <v>143.21924999999999</v>
      </c>
      <c r="N545" s="116">
        <v>36.03</v>
      </c>
      <c r="O545" s="116">
        <f t="shared" si="59"/>
        <v>9.0075000000000003</v>
      </c>
      <c r="P545" s="116">
        <f t="shared" si="60"/>
        <v>47.739750000000001</v>
      </c>
      <c r="Q545" s="116" t="s">
        <v>2349</v>
      </c>
      <c r="R545" s="116" t="s">
        <v>3408</v>
      </c>
      <c r="S545" s="116" t="str">
        <f t="shared" si="61"/>
        <v>OK - FECHA COM PLANILHA</v>
      </c>
      <c r="T545" s="116">
        <v>143.21</v>
      </c>
      <c r="U545" s="122">
        <f t="shared" si="62"/>
        <v>9.2499999999802185E-3</v>
      </c>
    </row>
    <row r="546" spans="1:21" ht="63.75" x14ac:dyDescent="0.2">
      <c r="A546" s="120" t="s">
        <v>3409</v>
      </c>
      <c r="B546" s="114" t="s">
        <v>2154</v>
      </c>
      <c r="C546" s="114" t="s">
        <v>2155</v>
      </c>
      <c r="D546" s="114" t="s">
        <v>56</v>
      </c>
      <c r="E546" s="114" t="s">
        <v>1044</v>
      </c>
      <c r="F546" s="114" t="s">
        <v>99</v>
      </c>
      <c r="G546" s="115">
        <v>519.6</v>
      </c>
      <c r="H546" s="116">
        <v>11.842499999999999</v>
      </c>
      <c r="I546" s="121">
        <v>0.2223</v>
      </c>
      <c r="J546" s="116">
        <f t="shared" si="56"/>
        <v>2.6325000000000021</v>
      </c>
      <c r="K546" s="116">
        <v>14.475000000000001</v>
      </c>
      <c r="L546" s="116">
        <f t="shared" si="57"/>
        <v>6153.3630000000003</v>
      </c>
      <c r="M546" s="116">
        <f t="shared" si="58"/>
        <v>7521.2100000000009</v>
      </c>
      <c r="N546" s="116">
        <v>19.3</v>
      </c>
      <c r="O546" s="116">
        <f t="shared" si="59"/>
        <v>4.8249999999999993</v>
      </c>
      <c r="P546" s="116">
        <f t="shared" si="60"/>
        <v>2507.0699999999997</v>
      </c>
      <c r="Q546" s="116" t="s">
        <v>2349</v>
      </c>
      <c r="R546" s="116" t="s">
        <v>3410</v>
      </c>
      <c r="S546" s="116" t="str">
        <f t="shared" si="61"/>
        <v>OK - FECHA COM PLANILHA</v>
      </c>
      <c r="T546" s="116">
        <v>7521.21</v>
      </c>
      <c r="U546" s="122">
        <f t="shared" si="62"/>
        <v>0</v>
      </c>
    </row>
    <row r="547" spans="1:21" ht="63.75" x14ac:dyDescent="0.2">
      <c r="A547" s="120" t="s">
        <v>3411</v>
      </c>
      <c r="B547" s="114" t="s">
        <v>2156</v>
      </c>
      <c r="C547" s="114" t="s">
        <v>2157</v>
      </c>
      <c r="D547" s="114" t="s">
        <v>56</v>
      </c>
      <c r="E547" s="114" t="s">
        <v>1045</v>
      </c>
      <c r="F547" s="114" t="s">
        <v>84</v>
      </c>
      <c r="G547" s="115">
        <v>2</v>
      </c>
      <c r="H547" s="116">
        <v>17.3475</v>
      </c>
      <c r="I547" s="121">
        <v>0.2223</v>
      </c>
      <c r="J547" s="116">
        <f t="shared" si="56"/>
        <v>3.8550000000000004</v>
      </c>
      <c r="K547" s="116">
        <v>21.202500000000001</v>
      </c>
      <c r="L547" s="116">
        <f t="shared" si="57"/>
        <v>34.695</v>
      </c>
      <c r="M547" s="116">
        <f t="shared" si="58"/>
        <v>42.405000000000001</v>
      </c>
      <c r="N547" s="116">
        <v>28.27</v>
      </c>
      <c r="O547" s="116">
        <f t="shared" si="59"/>
        <v>7.067499999999999</v>
      </c>
      <c r="P547" s="116">
        <f t="shared" si="60"/>
        <v>14.134999999999998</v>
      </c>
      <c r="Q547" s="116" t="s">
        <v>2349</v>
      </c>
      <c r="R547" s="116" t="s">
        <v>3412</v>
      </c>
      <c r="S547" s="116" t="str">
        <f t="shared" si="61"/>
        <v>OK - FECHA COM PLANILHA</v>
      </c>
      <c r="T547" s="116">
        <v>42.4</v>
      </c>
      <c r="U547" s="122">
        <f t="shared" si="62"/>
        <v>5.000000000002558E-3</v>
      </c>
    </row>
    <row r="548" spans="1:21" ht="63.75" x14ac:dyDescent="0.2">
      <c r="A548" s="120" t="s">
        <v>3413</v>
      </c>
      <c r="B548" s="114" t="s">
        <v>2158</v>
      </c>
      <c r="C548" s="114" t="s">
        <v>2159</v>
      </c>
      <c r="D548" s="114" t="s">
        <v>335</v>
      </c>
      <c r="E548" s="114" t="s">
        <v>1046</v>
      </c>
      <c r="F548" s="114" t="s">
        <v>84</v>
      </c>
      <c r="G548" s="115">
        <v>1</v>
      </c>
      <c r="H548" s="116">
        <v>7.0950000000000006</v>
      </c>
      <c r="I548" s="121">
        <v>0.2223</v>
      </c>
      <c r="J548" s="116">
        <f t="shared" si="56"/>
        <v>1.5749999999999993</v>
      </c>
      <c r="K548" s="116">
        <v>8.67</v>
      </c>
      <c r="L548" s="116">
        <f t="shared" si="57"/>
        <v>7.0950000000000006</v>
      </c>
      <c r="M548" s="116">
        <f t="shared" si="58"/>
        <v>8.67</v>
      </c>
      <c r="N548" s="116">
        <v>11.56</v>
      </c>
      <c r="O548" s="116">
        <f t="shared" si="59"/>
        <v>2.8900000000000006</v>
      </c>
      <c r="P548" s="116">
        <f t="shared" si="60"/>
        <v>2.8900000000000006</v>
      </c>
      <c r="Q548" s="116" t="s">
        <v>2589</v>
      </c>
      <c r="R548" s="116" t="s">
        <v>3414</v>
      </c>
      <c r="S548" s="116" t="str">
        <f t="shared" si="61"/>
        <v>OK - FECHA COM PLANILHA</v>
      </c>
      <c r="T548" s="116">
        <v>8.67</v>
      </c>
      <c r="U548" s="122">
        <f t="shared" si="62"/>
        <v>0</v>
      </c>
    </row>
    <row r="549" spans="1:21" ht="63.75" x14ac:dyDescent="0.2">
      <c r="A549" s="120" t="s">
        <v>3415</v>
      </c>
      <c r="B549" s="114" t="s">
        <v>2160</v>
      </c>
      <c r="C549" s="114" t="s">
        <v>2161</v>
      </c>
      <c r="D549" s="114" t="s">
        <v>1047</v>
      </c>
      <c r="E549" s="114" t="s">
        <v>1048</v>
      </c>
      <c r="F549" s="114" t="s">
        <v>776</v>
      </c>
      <c r="G549" s="115">
        <v>76</v>
      </c>
      <c r="H549" s="116">
        <v>7.5975000000000001</v>
      </c>
      <c r="I549" s="121">
        <v>0.2223</v>
      </c>
      <c r="J549" s="116">
        <f t="shared" si="56"/>
        <v>1.6875</v>
      </c>
      <c r="K549" s="116">
        <v>9.2850000000000001</v>
      </c>
      <c r="L549" s="116">
        <f t="shared" si="57"/>
        <v>577.41</v>
      </c>
      <c r="M549" s="116">
        <f t="shared" si="58"/>
        <v>705.66</v>
      </c>
      <c r="N549" s="116">
        <v>12.38</v>
      </c>
      <c r="O549" s="116">
        <f t="shared" si="59"/>
        <v>3.0950000000000006</v>
      </c>
      <c r="P549" s="116">
        <f t="shared" si="60"/>
        <v>235.22000000000006</v>
      </c>
      <c r="Q549" s="116" t="s">
        <v>3416</v>
      </c>
      <c r="R549" s="116" t="s">
        <v>3417</v>
      </c>
      <c r="S549" s="116" t="str">
        <f t="shared" si="61"/>
        <v>OK - FECHA COM PLANILHA</v>
      </c>
      <c r="T549" s="116">
        <v>705.66</v>
      </c>
      <c r="U549" s="122">
        <f t="shared" si="62"/>
        <v>0</v>
      </c>
    </row>
    <row r="550" spans="1:21" ht="63.75" x14ac:dyDescent="0.2">
      <c r="A550" s="120" t="s">
        <v>3418</v>
      </c>
      <c r="B550" s="114" t="s">
        <v>2162</v>
      </c>
      <c r="C550" s="114" t="s">
        <v>2163</v>
      </c>
      <c r="D550" s="114" t="s">
        <v>335</v>
      </c>
      <c r="E550" s="114" t="s">
        <v>1049</v>
      </c>
      <c r="F550" s="114" t="s">
        <v>84</v>
      </c>
      <c r="G550" s="115">
        <v>8</v>
      </c>
      <c r="H550" s="116">
        <v>247.79999999999998</v>
      </c>
      <c r="I550" s="121">
        <v>0.2223</v>
      </c>
      <c r="J550" s="116">
        <f t="shared" si="56"/>
        <v>55.080000000000013</v>
      </c>
      <c r="K550" s="116">
        <v>302.88</v>
      </c>
      <c r="L550" s="116">
        <f t="shared" si="57"/>
        <v>1982.3999999999999</v>
      </c>
      <c r="M550" s="116">
        <f t="shared" si="58"/>
        <v>2423.04</v>
      </c>
      <c r="N550" s="116">
        <v>403.84</v>
      </c>
      <c r="O550" s="116">
        <f t="shared" si="59"/>
        <v>100.95999999999998</v>
      </c>
      <c r="P550" s="116">
        <f t="shared" si="60"/>
        <v>807.67999999999984</v>
      </c>
      <c r="Q550" s="116" t="s">
        <v>2589</v>
      </c>
      <c r="R550" s="116" t="s">
        <v>3419</v>
      </c>
      <c r="S550" s="116" t="str">
        <f t="shared" si="61"/>
        <v>OK - FECHA COM PLANILHA</v>
      </c>
      <c r="T550" s="116">
        <v>2423.04</v>
      </c>
      <c r="U550" s="122">
        <f t="shared" si="62"/>
        <v>0</v>
      </c>
    </row>
    <row r="551" spans="1:21" ht="63.75" x14ac:dyDescent="0.2">
      <c r="A551" s="120" t="s">
        <v>3420</v>
      </c>
      <c r="B551" s="114" t="s">
        <v>2164</v>
      </c>
      <c r="C551" s="114" t="s">
        <v>2165</v>
      </c>
      <c r="D551" s="114" t="s">
        <v>56</v>
      </c>
      <c r="E551" s="114" t="s">
        <v>2166</v>
      </c>
      <c r="F551" s="114" t="s">
        <v>84</v>
      </c>
      <c r="G551" s="115">
        <v>119</v>
      </c>
      <c r="H551" s="116">
        <v>9.8550000000000004</v>
      </c>
      <c r="I551" s="121">
        <v>0.2223</v>
      </c>
      <c r="J551" s="116">
        <f t="shared" si="56"/>
        <v>2.1899999999999977</v>
      </c>
      <c r="K551" s="116">
        <v>12.044999999999998</v>
      </c>
      <c r="L551" s="116">
        <f t="shared" si="57"/>
        <v>1172.7450000000001</v>
      </c>
      <c r="M551" s="116">
        <f t="shared" si="58"/>
        <v>1433.3549999999998</v>
      </c>
      <c r="N551" s="116">
        <v>16.059999999999999</v>
      </c>
      <c r="O551" s="116">
        <f t="shared" si="59"/>
        <v>4.0150000000000006</v>
      </c>
      <c r="P551" s="116">
        <f t="shared" si="60"/>
        <v>477.78500000000008</v>
      </c>
      <c r="Q551" s="116" t="s">
        <v>2349</v>
      </c>
      <c r="R551" s="116" t="s">
        <v>3421</v>
      </c>
      <c r="S551" s="116" t="str">
        <f t="shared" si="61"/>
        <v>OK - FECHA COM PLANILHA</v>
      </c>
      <c r="T551" s="116">
        <v>1433.35</v>
      </c>
      <c r="U551" s="122">
        <f t="shared" si="62"/>
        <v>4.9999999998817657E-3</v>
      </c>
    </row>
    <row r="552" spans="1:21" ht="63.75" x14ac:dyDescent="0.2">
      <c r="A552" s="120" t="s">
        <v>3422</v>
      </c>
      <c r="B552" s="114" t="s">
        <v>2167</v>
      </c>
      <c r="C552" s="114" t="s">
        <v>1051</v>
      </c>
      <c r="D552" s="114" t="s">
        <v>209</v>
      </c>
      <c r="E552" s="114" t="s">
        <v>1052</v>
      </c>
      <c r="F552" s="114" t="s">
        <v>84</v>
      </c>
      <c r="G552" s="115">
        <v>238</v>
      </c>
      <c r="H552" s="116">
        <v>45.292500000000004</v>
      </c>
      <c r="I552" s="121">
        <v>0.2223</v>
      </c>
      <c r="J552" s="116">
        <f t="shared" si="56"/>
        <v>10.064999999999998</v>
      </c>
      <c r="K552" s="116">
        <v>55.357500000000002</v>
      </c>
      <c r="L552" s="116">
        <f t="shared" si="57"/>
        <v>10779.615000000002</v>
      </c>
      <c r="M552" s="116">
        <f t="shared" si="58"/>
        <v>13175.085000000001</v>
      </c>
      <c r="N552" s="116">
        <v>73.81</v>
      </c>
      <c r="O552" s="116">
        <f t="shared" si="59"/>
        <v>18.452500000000001</v>
      </c>
      <c r="P552" s="116">
        <f t="shared" si="60"/>
        <v>4391.6949999999997</v>
      </c>
      <c r="Q552" s="116" t="s">
        <v>2458</v>
      </c>
      <c r="R552" s="116" t="s">
        <v>3423</v>
      </c>
      <c r="S552" s="116" t="str">
        <f t="shared" si="61"/>
        <v>OK - FECHA COM PLANILHA</v>
      </c>
      <c r="T552" s="116">
        <v>13175.08</v>
      </c>
      <c r="U552" s="122">
        <f t="shared" si="62"/>
        <v>5.0000000010186341E-3</v>
      </c>
    </row>
    <row r="553" spans="1:21" ht="63.75" x14ac:dyDescent="0.2">
      <c r="A553" s="120" t="s">
        <v>3424</v>
      </c>
      <c r="B553" s="114" t="s">
        <v>1912</v>
      </c>
      <c r="C553" s="114" t="s">
        <v>1976</v>
      </c>
      <c r="D553" s="114" t="s">
        <v>56</v>
      </c>
      <c r="E553" s="114" t="s">
        <v>924</v>
      </c>
      <c r="F553" s="114" t="s">
        <v>84</v>
      </c>
      <c r="G553" s="115">
        <v>4</v>
      </c>
      <c r="H553" s="116">
        <v>127.88249999999999</v>
      </c>
      <c r="I553" s="121">
        <v>0.2223</v>
      </c>
      <c r="J553" s="116">
        <f t="shared" si="56"/>
        <v>28.425000000000011</v>
      </c>
      <c r="K553" s="116">
        <v>156.3075</v>
      </c>
      <c r="L553" s="116">
        <f t="shared" si="57"/>
        <v>511.53</v>
      </c>
      <c r="M553" s="116">
        <f t="shared" si="58"/>
        <v>625.23</v>
      </c>
      <c r="N553" s="116">
        <v>208.41</v>
      </c>
      <c r="O553" s="116">
        <f t="shared" si="59"/>
        <v>52.102499999999992</v>
      </c>
      <c r="P553" s="116">
        <f t="shared" si="60"/>
        <v>208.40999999999997</v>
      </c>
      <c r="Q553" s="116" t="s">
        <v>2349</v>
      </c>
      <c r="R553" s="116" t="s">
        <v>3179</v>
      </c>
      <c r="S553" s="116" t="str">
        <f t="shared" si="61"/>
        <v>OK - FECHA COM PLANILHA</v>
      </c>
      <c r="T553" s="116">
        <v>625.23</v>
      </c>
      <c r="U553" s="122">
        <f t="shared" si="62"/>
        <v>0</v>
      </c>
    </row>
    <row r="554" spans="1:21" ht="63.75" x14ac:dyDescent="0.2">
      <c r="A554" s="120" t="s">
        <v>3425</v>
      </c>
      <c r="B554" s="114" t="s">
        <v>2168</v>
      </c>
      <c r="C554" s="114" t="s">
        <v>2169</v>
      </c>
      <c r="D554" s="114" t="s">
        <v>56</v>
      </c>
      <c r="E554" s="114" t="s">
        <v>1056</v>
      </c>
      <c r="F554" s="114" t="s">
        <v>84</v>
      </c>
      <c r="G554" s="115">
        <v>11</v>
      </c>
      <c r="H554" s="116">
        <v>17.145</v>
      </c>
      <c r="I554" s="121">
        <v>0.2223</v>
      </c>
      <c r="J554" s="116">
        <f t="shared" si="56"/>
        <v>3.8100000000000023</v>
      </c>
      <c r="K554" s="116">
        <v>20.955000000000002</v>
      </c>
      <c r="L554" s="116">
        <f t="shared" si="57"/>
        <v>188.595</v>
      </c>
      <c r="M554" s="116">
        <f t="shared" si="58"/>
        <v>230.50500000000002</v>
      </c>
      <c r="N554" s="116">
        <v>27.94</v>
      </c>
      <c r="O554" s="116">
        <f t="shared" si="59"/>
        <v>6.9849999999999994</v>
      </c>
      <c r="P554" s="116">
        <f t="shared" si="60"/>
        <v>76.834999999999994</v>
      </c>
      <c r="Q554" s="116" t="s">
        <v>2349</v>
      </c>
      <c r="R554" s="116" t="s">
        <v>3426</v>
      </c>
      <c r="S554" s="116" t="str">
        <f t="shared" si="61"/>
        <v>OK - FECHA COM PLANILHA</v>
      </c>
      <c r="T554" s="116">
        <v>230.5</v>
      </c>
      <c r="U554" s="122">
        <f t="shared" si="62"/>
        <v>5.0000000000238742E-3</v>
      </c>
    </row>
    <row r="555" spans="1:21" ht="63.75" x14ac:dyDescent="0.2">
      <c r="A555" s="120" t="s">
        <v>3427</v>
      </c>
      <c r="B555" s="114" t="s">
        <v>2170</v>
      </c>
      <c r="C555" s="114" t="s">
        <v>2171</v>
      </c>
      <c r="D555" s="114" t="s">
        <v>24</v>
      </c>
      <c r="E555" s="114" t="s">
        <v>1058</v>
      </c>
      <c r="F555" s="114" t="s">
        <v>84</v>
      </c>
      <c r="G555" s="115">
        <v>15</v>
      </c>
      <c r="H555" s="116">
        <v>80.092500000000001</v>
      </c>
      <c r="I555" s="121">
        <v>0.2223</v>
      </c>
      <c r="J555" s="116">
        <f t="shared" si="56"/>
        <v>17.797500000000014</v>
      </c>
      <c r="K555" s="116">
        <v>97.890000000000015</v>
      </c>
      <c r="L555" s="116">
        <f t="shared" si="57"/>
        <v>1201.3875</v>
      </c>
      <c r="M555" s="116">
        <f t="shared" si="58"/>
        <v>1468.3500000000001</v>
      </c>
      <c r="N555" s="116">
        <v>130.52000000000001</v>
      </c>
      <c r="O555" s="116">
        <f t="shared" si="59"/>
        <v>32.629999999999995</v>
      </c>
      <c r="P555" s="116">
        <f t="shared" si="60"/>
        <v>489.44999999999993</v>
      </c>
      <c r="Q555" s="116" t="s">
        <v>2332</v>
      </c>
      <c r="R555" s="116" t="s">
        <v>3428</v>
      </c>
      <c r="S555" s="116" t="str">
        <f t="shared" si="61"/>
        <v>OK - FECHA COM PLANILHA</v>
      </c>
      <c r="T555" s="116">
        <v>1468.35</v>
      </c>
      <c r="U555" s="122">
        <f t="shared" si="62"/>
        <v>0</v>
      </c>
    </row>
    <row r="556" spans="1:21" ht="63.75" x14ac:dyDescent="0.2">
      <c r="A556" s="120" t="s">
        <v>3429</v>
      </c>
      <c r="B556" s="114" t="s">
        <v>2172</v>
      </c>
      <c r="C556" s="114" t="s">
        <v>2173</v>
      </c>
      <c r="D556" s="114" t="s">
        <v>56</v>
      </c>
      <c r="E556" s="114" t="s">
        <v>1059</v>
      </c>
      <c r="F556" s="114" t="s">
        <v>84</v>
      </c>
      <c r="G556" s="115">
        <v>1</v>
      </c>
      <c r="H556" s="116">
        <v>100.1925</v>
      </c>
      <c r="I556" s="121">
        <v>0.2223</v>
      </c>
      <c r="J556" s="116">
        <f t="shared" si="56"/>
        <v>22.267500000000013</v>
      </c>
      <c r="K556" s="116">
        <v>122.46000000000001</v>
      </c>
      <c r="L556" s="116">
        <f t="shared" si="57"/>
        <v>100.1925</v>
      </c>
      <c r="M556" s="116">
        <f t="shared" si="58"/>
        <v>122.46000000000001</v>
      </c>
      <c r="N556" s="116">
        <v>163.28</v>
      </c>
      <c r="O556" s="116">
        <f t="shared" si="59"/>
        <v>40.819999999999993</v>
      </c>
      <c r="P556" s="116">
        <f t="shared" si="60"/>
        <v>40.819999999999993</v>
      </c>
      <c r="Q556" s="116" t="s">
        <v>2349</v>
      </c>
      <c r="R556" s="116" t="s">
        <v>3430</v>
      </c>
      <c r="S556" s="116" t="str">
        <f t="shared" si="61"/>
        <v>OK - FECHA COM PLANILHA</v>
      </c>
      <c r="T556" s="116">
        <v>122.46</v>
      </c>
      <c r="U556" s="122">
        <f t="shared" si="62"/>
        <v>0</v>
      </c>
    </row>
    <row r="557" spans="1:21" ht="63.75" x14ac:dyDescent="0.2">
      <c r="A557" s="120" t="s">
        <v>3431</v>
      </c>
      <c r="B557" s="114" t="s">
        <v>1985</v>
      </c>
      <c r="C557" s="114" t="s">
        <v>2174</v>
      </c>
      <c r="D557" s="114" t="s">
        <v>56</v>
      </c>
      <c r="E557" s="114" t="s">
        <v>2175</v>
      </c>
      <c r="F557" s="114" t="s">
        <v>84</v>
      </c>
      <c r="G557" s="115">
        <v>1</v>
      </c>
      <c r="H557" s="116">
        <v>119.79749999999999</v>
      </c>
      <c r="I557" s="121">
        <v>0.2223</v>
      </c>
      <c r="J557" s="116">
        <f t="shared" si="56"/>
        <v>26.625</v>
      </c>
      <c r="K557" s="116">
        <v>146.42249999999999</v>
      </c>
      <c r="L557" s="116">
        <f t="shared" si="57"/>
        <v>119.79749999999999</v>
      </c>
      <c r="M557" s="116">
        <f t="shared" si="58"/>
        <v>146.42249999999999</v>
      </c>
      <c r="N557" s="116">
        <v>195.23</v>
      </c>
      <c r="O557" s="116">
        <f t="shared" si="59"/>
        <v>48.807500000000005</v>
      </c>
      <c r="P557" s="116">
        <f t="shared" si="60"/>
        <v>48.807500000000005</v>
      </c>
      <c r="Q557" s="116" t="s">
        <v>2349</v>
      </c>
      <c r="R557" s="116" t="s">
        <v>3251</v>
      </c>
      <c r="S557" s="116" t="str">
        <f t="shared" si="61"/>
        <v>OK - FECHA COM PLANILHA</v>
      </c>
      <c r="T557" s="116">
        <v>146.41999999999999</v>
      </c>
      <c r="U557" s="122">
        <f t="shared" si="62"/>
        <v>2.4999999999977263E-3</v>
      </c>
    </row>
    <row r="558" spans="1:21" ht="63.75" x14ac:dyDescent="0.2">
      <c r="A558" s="120" t="s">
        <v>3432</v>
      </c>
      <c r="B558" s="114" t="s">
        <v>2059</v>
      </c>
      <c r="C558" s="114" t="s">
        <v>2176</v>
      </c>
      <c r="D558" s="114" t="s">
        <v>56</v>
      </c>
      <c r="E558" s="114" t="s">
        <v>2177</v>
      </c>
      <c r="F558" s="114" t="s">
        <v>84</v>
      </c>
      <c r="G558" s="115">
        <v>1</v>
      </c>
      <c r="H558" s="116">
        <v>109.29749999999999</v>
      </c>
      <c r="I558" s="121">
        <v>0.2223</v>
      </c>
      <c r="J558" s="116">
        <f t="shared" si="56"/>
        <v>24.292500000000018</v>
      </c>
      <c r="K558" s="116">
        <v>133.59</v>
      </c>
      <c r="L558" s="116">
        <f t="shared" si="57"/>
        <v>109.29749999999999</v>
      </c>
      <c r="M558" s="116">
        <f t="shared" si="58"/>
        <v>133.59</v>
      </c>
      <c r="N558" s="116">
        <v>178.12</v>
      </c>
      <c r="O558" s="116">
        <f t="shared" si="59"/>
        <v>44.53</v>
      </c>
      <c r="P558" s="116">
        <f t="shared" si="60"/>
        <v>44.53</v>
      </c>
      <c r="Q558" s="116" t="s">
        <v>2349</v>
      </c>
      <c r="R558" s="116" t="s">
        <v>3320</v>
      </c>
      <c r="S558" s="116" t="str">
        <f t="shared" si="61"/>
        <v>OK - FECHA COM PLANILHA</v>
      </c>
      <c r="T558" s="116">
        <v>133.59</v>
      </c>
      <c r="U558" s="122">
        <f t="shared" si="62"/>
        <v>0</v>
      </c>
    </row>
    <row r="559" spans="1:21" ht="63.75" x14ac:dyDescent="0.2">
      <c r="A559" s="120" t="s">
        <v>3433</v>
      </c>
      <c r="B559" s="114" t="s">
        <v>2087</v>
      </c>
      <c r="C559" s="114" t="s">
        <v>2178</v>
      </c>
      <c r="D559" s="114" t="s">
        <v>335</v>
      </c>
      <c r="E559" s="114" t="s">
        <v>1062</v>
      </c>
      <c r="F559" s="114" t="s">
        <v>84</v>
      </c>
      <c r="G559" s="115">
        <v>1</v>
      </c>
      <c r="H559" s="116">
        <v>432.32249999999999</v>
      </c>
      <c r="I559" s="121">
        <v>0.2223</v>
      </c>
      <c r="J559" s="116">
        <f t="shared" si="56"/>
        <v>96.105000000000018</v>
      </c>
      <c r="K559" s="116">
        <v>528.42750000000001</v>
      </c>
      <c r="L559" s="116">
        <f t="shared" si="57"/>
        <v>432.32249999999999</v>
      </c>
      <c r="M559" s="116">
        <f t="shared" si="58"/>
        <v>528.42750000000001</v>
      </c>
      <c r="N559" s="116">
        <v>704.57</v>
      </c>
      <c r="O559" s="116">
        <f t="shared" si="59"/>
        <v>176.14250000000004</v>
      </c>
      <c r="P559" s="116">
        <f t="shared" si="60"/>
        <v>176.14250000000004</v>
      </c>
      <c r="Q559" s="116" t="s">
        <v>2589</v>
      </c>
      <c r="R559" s="116" t="s">
        <v>3348</v>
      </c>
      <c r="S559" s="116" t="str">
        <f t="shared" si="61"/>
        <v>OK - FECHA COM PLANILHA</v>
      </c>
      <c r="T559" s="116">
        <v>528.41999999999996</v>
      </c>
      <c r="U559" s="122">
        <f t="shared" si="62"/>
        <v>7.5000000000500222E-3</v>
      </c>
    </row>
    <row r="560" spans="1:21" ht="63.75" x14ac:dyDescent="0.2">
      <c r="A560" s="120" t="s">
        <v>3434</v>
      </c>
      <c r="B560" s="114" t="s">
        <v>2129</v>
      </c>
      <c r="C560" s="114" t="s">
        <v>2179</v>
      </c>
      <c r="D560" s="114" t="s">
        <v>24</v>
      </c>
      <c r="E560" s="114" t="s">
        <v>1064</v>
      </c>
      <c r="F560" s="114" t="s">
        <v>84</v>
      </c>
      <c r="G560" s="115">
        <v>55</v>
      </c>
      <c r="H560" s="116">
        <v>33.494999999999997</v>
      </c>
      <c r="I560" s="121">
        <v>0.2223</v>
      </c>
      <c r="J560" s="116">
        <f t="shared" si="56"/>
        <v>7.4400000000000048</v>
      </c>
      <c r="K560" s="116">
        <v>40.935000000000002</v>
      </c>
      <c r="L560" s="116">
        <f t="shared" si="57"/>
        <v>1842.2249999999999</v>
      </c>
      <c r="M560" s="116">
        <f t="shared" si="58"/>
        <v>2251.4250000000002</v>
      </c>
      <c r="N560" s="116">
        <v>54.58</v>
      </c>
      <c r="O560" s="116">
        <f t="shared" si="59"/>
        <v>13.644999999999996</v>
      </c>
      <c r="P560" s="116">
        <f t="shared" si="60"/>
        <v>750.4749999999998</v>
      </c>
      <c r="Q560" s="116" t="s">
        <v>2332</v>
      </c>
      <c r="R560" s="116" t="s">
        <v>3383</v>
      </c>
      <c r="S560" s="116" t="str">
        <f t="shared" si="61"/>
        <v>OK - FECHA COM PLANILHA</v>
      </c>
      <c r="T560" s="116">
        <v>2251.42</v>
      </c>
      <c r="U560" s="122">
        <f t="shared" si="62"/>
        <v>5.0000000001091394E-3</v>
      </c>
    </row>
    <row r="561" spans="1:21" ht="63.75" x14ac:dyDescent="0.2">
      <c r="A561" s="120" t="s">
        <v>3435</v>
      </c>
      <c r="B561" s="114" t="s">
        <v>2148</v>
      </c>
      <c r="C561" s="114" t="s">
        <v>2180</v>
      </c>
      <c r="D561" s="114" t="s">
        <v>56</v>
      </c>
      <c r="E561" s="114" t="s">
        <v>2181</v>
      </c>
      <c r="F561" s="114" t="s">
        <v>99</v>
      </c>
      <c r="G561" s="115">
        <v>396.9</v>
      </c>
      <c r="H561" s="116">
        <v>59.752499999999998</v>
      </c>
      <c r="I561" s="121">
        <v>0.2223</v>
      </c>
      <c r="J561" s="116">
        <f t="shared" si="56"/>
        <v>13.282499999999999</v>
      </c>
      <c r="K561" s="116">
        <v>73.034999999999997</v>
      </c>
      <c r="L561" s="116">
        <f t="shared" si="57"/>
        <v>23715.767249999997</v>
      </c>
      <c r="M561" s="116">
        <f t="shared" si="58"/>
        <v>28987.591499999999</v>
      </c>
      <c r="N561" s="116">
        <v>97.38</v>
      </c>
      <c r="O561" s="116">
        <f t="shared" si="59"/>
        <v>24.344999999999999</v>
      </c>
      <c r="P561" s="116">
        <f t="shared" si="60"/>
        <v>9662.5304999999989</v>
      </c>
      <c r="Q561" s="116" t="s">
        <v>2349</v>
      </c>
      <c r="R561" s="116" t="s">
        <v>3402</v>
      </c>
      <c r="S561" s="116" t="str">
        <f t="shared" si="61"/>
        <v>OK - FECHA COM PLANILHA</v>
      </c>
      <c r="T561" s="116">
        <v>28987.59</v>
      </c>
      <c r="U561" s="122">
        <f t="shared" si="62"/>
        <v>1.4999999984866008E-3</v>
      </c>
    </row>
    <row r="562" spans="1:21" ht="63.75" x14ac:dyDescent="0.2">
      <c r="A562" s="120" t="s">
        <v>3436</v>
      </c>
      <c r="B562" s="114" t="s">
        <v>2182</v>
      </c>
      <c r="C562" s="114" t="s">
        <v>2183</v>
      </c>
      <c r="D562" s="114" t="s">
        <v>56</v>
      </c>
      <c r="E562" s="114" t="s">
        <v>1066</v>
      </c>
      <c r="F562" s="114" t="s">
        <v>99</v>
      </c>
      <c r="G562" s="115">
        <v>207.5</v>
      </c>
      <c r="H562" s="116">
        <v>44.2425</v>
      </c>
      <c r="I562" s="121">
        <v>0.2223</v>
      </c>
      <c r="J562" s="116">
        <f t="shared" si="56"/>
        <v>9.832499999999996</v>
      </c>
      <c r="K562" s="116">
        <v>54.074999999999996</v>
      </c>
      <c r="L562" s="116">
        <f t="shared" si="57"/>
        <v>9180.3187500000004</v>
      </c>
      <c r="M562" s="116">
        <f t="shared" si="58"/>
        <v>11220.5625</v>
      </c>
      <c r="N562" s="116">
        <v>72.099999999999994</v>
      </c>
      <c r="O562" s="116">
        <f t="shared" si="59"/>
        <v>18.024999999999999</v>
      </c>
      <c r="P562" s="116">
        <f t="shared" si="60"/>
        <v>3740.1874999999995</v>
      </c>
      <c r="Q562" s="116" t="s">
        <v>2349</v>
      </c>
      <c r="R562" s="116" t="s">
        <v>3437</v>
      </c>
      <c r="S562" s="116" t="str">
        <f t="shared" si="61"/>
        <v>OK - FECHA COM PLANILHA</v>
      </c>
      <c r="T562" s="116">
        <v>11220.56</v>
      </c>
      <c r="U562" s="122">
        <f t="shared" si="62"/>
        <v>2.500000000509317E-3</v>
      </c>
    </row>
    <row r="563" spans="1:21" ht="63.75" x14ac:dyDescent="0.2">
      <c r="A563" s="120" t="s">
        <v>3438</v>
      </c>
      <c r="B563" s="114" t="s">
        <v>2184</v>
      </c>
      <c r="C563" s="114" t="s">
        <v>2185</v>
      </c>
      <c r="D563" s="114" t="s">
        <v>209</v>
      </c>
      <c r="E563" s="114" t="s">
        <v>1068</v>
      </c>
      <c r="F563" s="114" t="s">
        <v>99</v>
      </c>
      <c r="G563" s="115">
        <v>152.5</v>
      </c>
      <c r="H563" s="116">
        <v>24.427500000000002</v>
      </c>
      <c r="I563" s="121">
        <v>0.2223</v>
      </c>
      <c r="J563" s="116">
        <f t="shared" si="56"/>
        <v>5.43</v>
      </c>
      <c r="K563" s="116">
        <v>29.857500000000002</v>
      </c>
      <c r="L563" s="116">
        <f t="shared" si="57"/>
        <v>3725.1937500000004</v>
      </c>
      <c r="M563" s="116">
        <f t="shared" si="58"/>
        <v>4553.2687500000002</v>
      </c>
      <c r="N563" s="116">
        <v>39.81</v>
      </c>
      <c r="O563" s="116">
        <f t="shared" si="59"/>
        <v>9.9525000000000006</v>
      </c>
      <c r="P563" s="116">
        <f t="shared" si="60"/>
        <v>1517.7562500000001</v>
      </c>
      <c r="Q563" s="116" t="s">
        <v>2458</v>
      </c>
      <c r="R563" s="116" t="s">
        <v>3439</v>
      </c>
      <c r="S563" s="116" t="str">
        <f t="shared" si="61"/>
        <v>OK - FECHA COM PLANILHA</v>
      </c>
      <c r="T563" s="116">
        <v>4553.26</v>
      </c>
      <c r="U563" s="122">
        <f t="shared" si="62"/>
        <v>8.7499999999636202E-3</v>
      </c>
    </row>
    <row r="564" spans="1:21" ht="63.75" x14ac:dyDescent="0.2">
      <c r="A564" s="120" t="s">
        <v>3440</v>
      </c>
      <c r="B564" s="114" t="s">
        <v>2186</v>
      </c>
      <c r="C564" s="114" t="s">
        <v>1069</v>
      </c>
      <c r="D564" s="114" t="s">
        <v>209</v>
      </c>
      <c r="E564" s="114" t="s">
        <v>1070</v>
      </c>
      <c r="F564" s="114" t="s">
        <v>84</v>
      </c>
      <c r="G564" s="115">
        <v>1</v>
      </c>
      <c r="H564" s="116">
        <v>486.12749999999994</v>
      </c>
      <c r="I564" s="121">
        <v>0.2223</v>
      </c>
      <c r="J564" s="116">
        <f t="shared" si="56"/>
        <v>108.06000000000006</v>
      </c>
      <c r="K564" s="116">
        <v>594.1875</v>
      </c>
      <c r="L564" s="116">
        <f t="shared" si="57"/>
        <v>486.12749999999994</v>
      </c>
      <c r="M564" s="116">
        <f t="shared" si="58"/>
        <v>594.1875</v>
      </c>
      <c r="N564" s="116">
        <v>792.25</v>
      </c>
      <c r="O564" s="116">
        <f t="shared" si="59"/>
        <v>198.0625</v>
      </c>
      <c r="P564" s="116">
        <f t="shared" si="60"/>
        <v>198.0625</v>
      </c>
      <c r="Q564" s="116" t="s">
        <v>2458</v>
      </c>
      <c r="R564" s="116" t="s">
        <v>3441</v>
      </c>
      <c r="S564" s="116" t="str">
        <f t="shared" si="61"/>
        <v>OK - FECHA COM PLANILHA</v>
      </c>
      <c r="T564" s="116">
        <v>594.17999999999995</v>
      </c>
      <c r="U564" s="122">
        <f t="shared" si="62"/>
        <v>7.5000000000500222E-3</v>
      </c>
    </row>
    <row r="565" spans="1:21" ht="63.75" x14ac:dyDescent="0.2">
      <c r="A565" s="120" t="s">
        <v>3442</v>
      </c>
      <c r="B565" s="114" t="s">
        <v>2187</v>
      </c>
      <c r="C565" s="114" t="s">
        <v>2188</v>
      </c>
      <c r="D565" s="114" t="s">
        <v>56</v>
      </c>
      <c r="E565" s="114" t="s">
        <v>1074</v>
      </c>
      <c r="F565" s="114" t="s">
        <v>26</v>
      </c>
      <c r="G565" s="115">
        <v>1131.723</v>
      </c>
      <c r="H565" s="116">
        <v>25.102499999999999</v>
      </c>
      <c r="I565" s="121">
        <v>0.2223</v>
      </c>
      <c r="J565" s="116">
        <f t="shared" si="56"/>
        <v>5.5799999999999983</v>
      </c>
      <c r="K565" s="116">
        <v>30.682499999999997</v>
      </c>
      <c r="L565" s="116">
        <f t="shared" si="57"/>
        <v>28409.076607499999</v>
      </c>
      <c r="M565" s="116">
        <f t="shared" si="58"/>
        <v>34724.090947499993</v>
      </c>
      <c r="N565" s="116">
        <v>40.909999999999997</v>
      </c>
      <c r="O565" s="116">
        <f t="shared" si="59"/>
        <v>10.227499999999999</v>
      </c>
      <c r="P565" s="116">
        <f t="shared" si="60"/>
        <v>11574.696982499998</v>
      </c>
      <c r="Q565" s="116" t="s">
        <v>2349</v>
      </c>
      <c r="R565" s="116" t="s">
        <v>3443</v>
      </c>
      <c r="S565" s="116" t="str">
        <f t="shared" si="61"/>
        <v>OK - FECHA COM PLANILHA</v>
      </c>
      <c r="T565" s="116">
        <v>34724.089999999997</v>
      </c>
      <c r="U565" s="122">
        <f t="shared" si="62"/>
        <v>9.4749999698251486E-4</v>
      </c>
    </row>
    <row r="566" spans="1:21" ht="76.5" x14ac:dyDescent="0.2">
      <c r="A566" s="120" t="s">
        <v>3444</v>
      </c>
      <c r="B566" s="114" t="s">
        <v>2189</v>
      </c>
      <c r="C566" s="114" t="s">
        <v>2190</v>
      </c>
      <c r="D566" s="114" t="s">
        <v>56</v>
      </c>
      <c r="E566" s="114" t="s">
        <v>1075</v>
      </c>
      <c r="F566" s="114" t="s">
        <v>26</v>
      </c>
      <c r="G566" s="115">
        <v>1131.723</v>
      </c>
      <c r="H566" s="116">
        <v>27.285000000000004</v>
      </c>
      <c r="I566" s="121">
        <v>0.2223</v>
      </c>
      <c r="J566" s="116">
        <f t="shared" si="56"/>
        <v>6.0599999999999952</v>
      </c>
      <c r="K566" s="116">
        <v>33.344999999999999</v>
      </c>
      <c r="L566" s="116">
        <f t="shared" si="57"/>
        <v>30879.062055000002</v>
      </c>
      <c r="M566" s="116">
        <f t="shared" si="58"/>
        <v>37737.303434999994</v>
      </c>
      <c r="N566" s="116">
        <v>44.46</v>
      </c>
      <c r="O566" s="116">
        <f t="shared" si="59"/>
        <v>11.115000000000002</v>
      </c>
      <c r="P566" s="116">
        <f t="shared" si="60"/>
        <v>12579.101145000002</v>
      </c>
      <c r="Q566" s="116" t="s">
        <v>2349</v>
      </c>
      <c r="R566" s="116" t="s">
        <v>3445</v>
      </c>
      <c r="S566" s="116" t="str">
        <f t="shared" si="61"/>
        <v>OK - FECHA COM PLANILHA</v>
      </c>
      <c r="T566" s="116">
        <v>37737.300000000003</v>
      </c>
      <c r="U566" s="122">
        <f t="shared" si="62"/>
        <v>3.4349999914411455E-3</v>
      </c>
    </row>
    <row r="567" spans="1:21" ht="63.75" x14ac:dyDescent="0.2">
      <c r="A567" s="120" t="s">
        <v>3446</v>
      </c>
      <c r="B567" s="114" t="s">
        <v>2191</v>
      </c>
      <c r="C567" s="114" t="s">
        <v>2192</v>
      </c>
      <c r="D567" s="114" t="s">
        <v>335</v>
      </c>
      <c r="E567" s="114" t="s">
        <v>2193</v>
      </c>
      <c r="F567" s="114" t="s">
        <v>26</v>
      </c>
      <c r="G567" s="115">
        <v>38.488</v>
      </c>
      <c r="H567" s="116">
        <v>244.11750000000001</v>
      </c>
      <c r="I567" s="121">
        <v>0.2223</v>
      </c>
      <c r="J567" s="116">
        <f t="shared" si="56"/>
        <v>54.262499999999989</v>
      </c>
      <c r="K567" s="116">
        <v>298.38</v>
      </c>
      <c r="L567" s="116">
        <f t="shared" si="57"/>
        <v>9395.5943399999996</v>
      </c>
      <c r="M567" s="116">
        <f t="shared" si="58"/>
        <v>11484.049439999999</v>
      </c>
      <c r="N567" s="116">
        <v>397.84</v>
      </c>
      <c r="O567" s="116">
        <f t="shared" si="59"/>
        <v>99.45999999999998</v>
      </c>
      <c r="P567" s="116">
        <f t="shared" si="60"/>
        <v>3828.0164799999993</v>
      </c>
      <c r="Q567" s="116" t="s">
        <v>2589</v>
      </c>
      <c r="R567" s="116" t="s">
        <v>3447</v>
      </c>
      <c r="S567" s="116" t="str">
        <f t="shared" si="61"/>
        <v>OK - FECHA COM PLANILHA</v>
      </c>
      <c r="T567" s="116">
        <v>11484.04</v>
      </c>
      <c r="U567" s="122">
        <f t="shared" si="62"/>
        <v>9.439999997994164E-3</v>
      </c>
    </row>
    <row r="568" spans="1:21" ht="63.75" x14ac:dyDescent="0.2">
      <c r="A568" s="120" t="s">
        <v>3448</v>
      </c>
      <c r="B568" s="114" t="s">
        <v>2194</v>
      </c>
      <c r="C568" s="114" t="s">
        <v>2195</v>
      </c>
      <c r="D568" s="114" t="s">
        <v>56</v>
      </c>
      <c r="E568" s="114" t="s">
        <v>1077</v>
      </c>
      <c r="F568" s="114" t="s">
        <v>26</v>
      </c>
      <c r="G568" s="115">
        <v>1170.211</v>
      </c>
      <c r="H568" s="116">
        <v>133.29</v>
      </c>
      <c r="I568" s="121">
        <v>0.2223</v>
      </c>
      <c r="J568" s="116">
        <f t="shared" si="56"/>
        <v>29.625</v>
      </c>
      <c r="K568" s="116">
        <v>162.91499999999999</v>
      </c>
      <c r="L568" s="116">
        <f t="shared" si="57"/>
        <v>155977.42418999999</v>
      </c>
      <c r="M568" s="116">
        <f t="shared" si="58"/>
        <v>190644.92506499999</v>
      </c>
      <c r="N568" s="116">
        <v>217.22</v>
      </c>
      <c r="O568" s="116">
        <f t="shared" si="59"/>
        <v>54.305000000000007</v>
      </c>
      <c r="P568" s="116">
        <f t="shared" si="60"/>
        <v>63548.308355000008</v>
      </c>
      <c r="Q568" s="116" t="s">
        <v>2349</v>
      </c>
      <c r="R568" s="116" t="s">
        <v>3449</v>
      </c>
      <c r="S568" s="116" t="str">
        <f t="shared" si="61"/>
        <v>OK - FECHA COM PLANILHA</v>
      </c>
      <c r="T568" s="116">
        <v>190644.92</v>
      </c>
      <c r="U568" s="122">
        <f t="shared" si="62"/>
        <v>5.0649999757297337E-3</v>
      </c>
    </row>
    <row r="569" spans="1:21" ht="63.75" x14ac:dyDescent="0.2">
      <c r="A569" s="120" t="s">
        <v>3450</v>
      </c>
      <c r="B569" s="114" t="s">
        <v>2196</v>
      </c>
      <c r="C569" s="114" t="s">
        <v>2197</v>
      </c>
      <c r="D569" s="114" t="s">
        <v>24</v>
      </c>
      <c r="E569" s="114" t="s">
        <v>1079</v>
      </c>
      <c r="F569" s="114" t="s">
        <v>99</v>
      </c>
      <c r="G569" s="115">
        <v>69.575000000000003</v>
      </c>
      <c r="H569" s="116">
        <v>81.06</v>
      </c>
      <c r="I569" s="121">
        <v>0.2223</v>
      </c>
      <c r="J569" s="116">
        <f t="shared" si="56"/>
        <v>18.014999999999986</v>
      </c>
      <c r="K569" s="116">
        <v>99.074999999999989</v>
      </c>
      <c r="L569" s="116">
        <f t="shared" si="57"/>
        <v>5639.7495000000008</v>
      </c>
      <c r="M569" s="116">
        <f t="shared" si="58"/>
        <v>6893.1431249999996</v>
      </c>
      <c r="N569" s="116">
        <v>132.1</v>
      </c>
      <c r="O569" s="116">
        <f t="shared" si="59"/>
        <v>33.025000000000006</v>
      </c>
      <c r="P569" s="116">
        <f t="shared" si="60"/>
        <v>2297.7143750000005</v>
      </c>
      <c r="Q569" s="116" t="s">
        <v>2332</v>
      </c>
      <c r="R569" s="116" t="s">
        <v>3451</v>
      </c>
      <c r="S569" s="116" t="str">
        <f t="shared" si="61"/>
        <v>OK - FECHA COM PLANILHA</v>
      </c>
      <c r="T569" s="116">
        <v>6893.14</v>
      </c>
      <c r="U569" s="122">
        <f t="shared" si="62"/>
        <v>3.1249999992724042E-3</v>
      </c>
    </row>
    <row r="570" spans="1:21" ht="63.75" x14ac:dyDescent="0.2">
      <c r="A570" s="120" t="s">
        <v>3452</v>
      </c>
      <c r="B570" s="114" t="s">
        <v>2198</v>
      </c>
      <c r="C570" s="114" t="s">
        <v>2199</v>
      </c>
      <c r="D570" s="114" t="s">
        <v>56</v>
      </c>
      <c r="E570" s="114" t="s">
        <v>2200</v>
      </c>
      <c r="F570" s="114" t="s">
        <v>99</v>
      </c>
      <c r="G570" s="115">
        <v>166.459</v>
      </c>
      <c r="H570" s="116">
        <v>38.347500000000004</v>
      </c>
      <c r="I570" s="121">
        <v>0.2223</v>
      </c>
      <c r="J570" s="116">
        <f t="shared" si="56"/>
        <v>8.519999999999996</v>
      </c>
      <c r="K570" s="116">
        <v>46.8675</v>
      </c>
      <c r="L570" s="116">
        <f t="shared" si="57"/>
        <v>6383.286502500001</v>
      </c>
      <c r="M570" s="116">
        <f t="shared" si="58"/>
        <v>7801.5171824999998</v>
      </c>
      <c r="N570" s="116">
        <v>62.49</v>
      </c>
      <c r="O570" s="116">
        <f t="shared" si="59"/>
        <v>15.622500000000002</v>
      </c>
      <c r="P570" s="116">
        <f t="shared" si="60"/>
        <v>2600.5057275000004</v>
      </c>
      <c r="Q570" s="116" t="s">
        <v>2349</v>
      </c>
      <c r="R570" s="116" t="s">
        <v>3453</v>
      </c>
      <c r="S570" s="116" t="str">
        <f t="shared" si="61"/>
        <v>OK - FECHA COM PLANILHA</v>
      </c>
      <c r="T570" s="116">
        <v>7801.51</v>
      </c>
      <c r="U570" s="122">
        <f t="shared" si="62"/>
        <v>7.182499999544234E-3</v>
      </c>
    </row>
    <row r="571" spans="1:21" ht="63.75" x14ac:dyDescent="0.2">
      <c r="A571" s="120" t="s">
        <v>3454</v>
      </c>
      <c r="B571" s="114" t="s">
        <v>2201</v>
      </c>
      <c r="C571" s="114" t="s">
        <v>1081</v>
      </c>
      <c r="D571" s="114" t="s">
        <v>209</v>
      </c>
      <c r="E571" s="114" t="s">
        <v>1082</v>
      </c>
      <c r="F571" s="114" t="s">
        <v>99</v>
      </c>
      <c r="G571" s="115">
        <v>43.436</v>
      </c>
      <c r="H571" s="116">
        <v>261.29999999999995</v>
      </c>
      <c r="I571" s="121">
        <v>0.2223</v>
      </c>
      <c r="J571" s="116">
        <f t="shared" si="56"/>
        <v>58.080000000000041</v>
      </c>
      <c r="K571" s="116">
        <v>319.38</v>
      </c>
      <c r="L571" s="116">
        <f t="shared" si="57"/>
        <v>11349.826799999999</v>
      </c>
      <c r="M571" s="116">
        <f t="shared" si="58"/>
        <v>13872.589679999999</v>
      </c>
      <c r="N571" s="116">
        <v>425.84</v>
      </c>
      <c r="O571" s="116">
        <f t="shared" si="59"/>
        <v>106.45999999999998</v>
      </c>
      <c r="P571" s="116">
        <f t="shared" si="60"/>
        <v>4624.1965599999994</v>
      </c>
      <c r="Q571" s="116" t="s">
        <v>2458</v>
      </c>
      <c r="R571" s="116" t="s">
        <v>3455</v>
      </c>
      <c r="S571" s="116" t="str">
        <f t="shared" si="61"/>
        <v>OK - FECHA COM PLANILHA</v>
      </c>
      <c r="T571" s="116">
        <v>13872.58</v>
      </c>
      <c r="U571" s="122">
        <f t="shared" si="62"/>
        <v>9.6799999992072117E-3</v>
      </c>
    </row>
    <row r="572" spans="1:21" ht="140.25" x14ac:dyDescent="0.2">
      <c r="A572" s="120" t="s">
        <v>3456</v>
      </c>
      <c r="B572" s="114" t="s">
        <v>2202</v>
      </c>
      <c r="C572" s="114" t="s">
        <v>2203</v>
      </c>
      <c r="D572" s="114" t="s">
        <v>24</v>
      </c>
      <c r="E572" s="114" t="s">
        <v>1086</v>
      </c>
      <c r="F572" s="114" t="s">
        <v>26</v>
      </c>
      <c r="G572" s="115">
        <v>100.75</v>
      </c>
      <c r="H572" s="116">
        <v>103.39500000000001</v>
      </c>
      <c r="I572" s="121">
        <v>0.2223</v>
      </c>
      <c r="J572" s="116">
        <f t="shared" si="56"/>
        <v>22.97999999999999</v>
      </c>
      <c r="K572" s="116">
        <v>126.375</v>
      </c>
      <c r="L572" s="116">
        <f t="shared" si="57"/>
        <v>10417.046250000001</v>
      </c>
      <c r="M572" s="116">
        <f t="shared" si="58"/>
        <v>12732.28125</v>
      </c>
      <c r="N572" s="116">
        <v>168.5</v>
      </c>
      <c r="O572" s="116">
        <f t="shared" si="59"/>
        <v>42.125</v>
      </c>
      <c r="P572" s="116">
        <f t="shared" si="60"/>
        <v>4244.09375</v>
      </c>
      <c r="Q572" s="116" t="s">
        <v>2332</v>
      </c>
      <c r="R572" s="116" t="s">
        <v>3457</v>
      </c>
      <c r="S572" s="116" t="str">
        <f t="shared" si="61"/>
        <v>OK - FECHA COM PLANILHA</v>
      </c>
      <c r="T572" s="116">
        <v>12732.28</v>
      </c>
      <c r="U572" s="122">
        <f t="shared" si="62"/>
        <v>1.2499999993451638E-3</v>
      </c>
    </row>
    <row r="573" spans="1:21" ht="63.75" x14ac:dyDescent="0.2">
      <c r="A573" s="120" t="s">
        <v>3458</v>
      </c>
      <c r="B573" s="114" t="s">
        <v>2204</v>
      </c>
      <c r="C573" s="114" t="s">
        <v>2205</v>
      </c>
      <c r="D573" s="114" t="s">
        <v>56</v>
      </c>
      <c r="E573" s="114" t="s">
        <v>1087</v>
      </c>
      <c r="F573" s="114" t="s">
        <v>26</v>
      </c>
      <c r="G573" s="115">
        <v>400.49700000000001</v>
      </c>
      <c r="H573" s="116">
        <v>29.017499999999998</v>
      </c>
      <c r="I573" s="121">
        <v>0.2223</v>
      </c>
      <c r="J573" s="116">
        <f t="shared" si="56"/>
        <v>6.4500000000000028</v>
      </c>
      <c r="K573" s="116">
        <v>35.467500000000001</v>
      </c>
      <c r="L573" s="116">
        <f t="shared" si="57"/>
        <v>11621.4216975</v>
      </c>
      <c r="M573" s="116">
        <f t="shared" si="58"/>
        <v>14204.627347500002</v>
      </c>
      <c r="N573" s="116">
        <v>47.29</v>
      </c>
      <c r="O573" s="116">
        <f t="shared" si="59"/>
        <v>11.822499999999998</v>
      </c>
      <c r="P573" s="116">
        <f t="shared" si="60"/>
        <v>4734.8757824999993</v>
      </c>
      <c r="Q573" s="116" t="s">
        <v>2349</v>
      </c>
      <c r="R573" s="116" t="s">
        <v>3459</v>
      </c>
      <c r="S573" s="116" t="str">
        <f t="shared" si="61"/>
        <v>OK - FECHA COM PLANILHA</v>
      </c>
      <c r="T573" s="116">
        <v>14204.62</v>
      </c>
      <c r="U573" s="122">
        <f t="shared" si="62"/>
        <v>7.3475000008329516E-3</v>
      </c>
    </row>
    <row r="574" spans="1:21" ht="63.75" x14ac:dyDescent="0.2">
      <c r="A574" s="120" t="s">
        <v>3460</v>
      </c>
      <c r="B574" s="114" t="s">
        <v>2206</v>
      </c>
      <c r="C574" s="114" t="s">
        <v>2207</v>
      </c>
      <c r="D574" s="114" t="s">
        <v>56</v>
      </c>
      <c r="E574" s="114" t="s">
        <v>2208</v>
      </c>
      <c r="F574" s="114" t="s">
        <v>26</v>
      </c>
      <c r="G574" s="115">
        <v>359.84500000000003</v>
      </c>
      <c r="H574" s="116">
        <v>212.54999999999998</v>
      </c>
      <c r="I574" s="121">
        <v>0.2223</v>
      </c>
      <c r="J574" s="116">
        <f t="shared" si="56"/>
        <v>47.242500000000035</v>
      </c>
      <c r="K574" s="116">
        <v>259.79250000000002</v>
      </c>
      <c r="L574" s="116">
        <f t="shared" si="57"/>
        <v>76485.054749999996</v>
      </c>
      <c r="M574" s="116">
        <f t="shared" si="58"/>
        <v>93485.032162500007</v>
      </c>
      <c r="N574" s="116">
        <v>346.39</v>
      </c>
      <c r="O574" s="116">
        <f t="shared" si="59"/>
        <v>86.597499999999968</v>
      </c>
      <c r="P574" s="116">
        <f t="shared" si="60"/>
        <v>31161.677387499993</v>
      </c>
      <c r="Q574" s="116" t="s">
        <v>2349</v>
      </c>
      <c r="R574" s="116" t="s">
        <v>3461</v>
      </c>
      <c r="S574" s="116" t="str">
        <f t="shared" si="61"/>
        <v>OK - FECHA COM PLANILHA</v>
      </c>
      <c r="T574" s="116">
        <v>93485.03</v>
      </c>
      <c r="U574" s="122">
        <f t="shared" si="62"/>
        <v>2.1625000081257895E-3</v>
      </c>
    </row>
    <row r="575" spans="1:21" ht="63.75" x14ac:dyDescent="0.2">
      <c r="A575" s="120" t="s">
        <v>3462</v>
      </c>
      <c r="B575" s="114" t="s">
        <v>2209</v>
      </c>
      <c r="C575" s="114" t="s">
        <v>2210</v>
      </c>
      <c r="D575" s="114" t="s">
        <v>56</v>
      </c>
      <c r="E575" s="114" t="s">
        <v>1089</v>
      </c>
      <c r="F575" s="114" t="s">
        <v>26</v>
      </c>
      <c r="G575" s="115">
        <v>67.165999999999997</v>
      </c>
      <c r="H575" s="116">
        <v>90.292500000000004</v>
      </c>
      <c r="I575" s="121">
        <v>0.2223</v>
      </c>
      <c r="J575" s="116">
        <f t="shared" si="56"/>
        <v>20.070000000000007</v>
      </c>
      <c r="K575" s="116">
        <v>110.36250000000001</v>
      </c>
      <c r="L575" s="116">
        <f t="shared" si="57"/>
        <v>6064.5860549999998</v>
      </c>
      <c r="M575" s="116">
        <f t="shared" si="58"/>
        <v>7412.6076750000002</v>
      </c>
      <c r="N575" s="116">
        <v>147.15</v>
      </c>
      <c r="O575" s="116">
        <f t="shared" si="59"/>
        <v>36.787499999999994</v>
      </c>
      <c r="P575" s="116">
        <f t="shared" si="60"/>
        <v>2470.8692249999995</v>
      </c>
      <c r="Q575" s="116" t="s">
        <v>2349</v>
      </c>
      <c r="R575" s="116" t="s">
        <v>3463</v>
      </c>
      <c r="S575" s="116" t="str">
        <f t="shared" si="61"/>
        <v>OK - FECHA COM PLANILHA</v>
      </c>
      <c r="T575" s="116">
        <v>7412.6</v>
      </c>
      <c r="U575" s="122">
        <f t="shared" si="62"/>
        <v>7.6749999998355634E-3</v>
      </c>
    </row>
    <row r="576" spans="1:21" ht="63.75" x14ac:dyDescent="0.2">
      <c r="A576" s="120" t="s">
        <v>3464</v>
      </c>
      <c r="B576" s="114" t="s">
        <v>2211</v>
      </c>
      <c r="C576" s="114" t="s">
        <v>2212</v>
      </c>
      <c r="D576" s="114" t="s">
        <v>56</v>
      </c>
      <c r="E576" s="114" t="s">
        <v>1090</v>
      </c>
      <c r="F576" s="114" t="s">
        <v>26</v>
      </c>
      <c r="G576" s="115">
        <v>292.67899999999997</v>
      </c>
      <c r="H576" s="116">
        <v>64.754999999999995</v>
      </c>
      <c r="I576" s="121">
        <v>0.2223</v>
      </c>
      <c r="J576" s="116">
        <f t="shared" si="56"/>
        <v>14.392500000000013</v>
      </c>
      <c r="K576" s="116">
        <v>79.147500000000008</v>
      </c>
      <c r="L576" s="116">
        <f t="shared" si="57"/>
        <v>18952.428644999996</v>
      </c>
      <c r="M576" s="116">
        <f t="shared" si="58"/>
        <v>23164.811152499999</v>
      </c>
      <c r="N576" s="116">
        <v>105.53</v>
      </c>
      <c r="O576" s="116">
        <f t="shared" si="59"/>
        <v>26.382499999999993</v>
      </c>
      <c r="P576" s="116">
        <f t="shared" si="60"/>
        <v>7721.6037174999974</v>
      </c>
      <c r="Q576" s="116" t="s">
        <v>2349</v>
      </c>
      <c r="R576" s="116" t="s">
        <v>3465</v>
      </c>
      <c r="S576" s="116" t="str">
        <f t="shared" si="61"/>
        <v>OK - FECHA COM PLANILHA</v>
      </c>
      <c r="T576" s="116">
        <v>23164.81</v>
      </c>
      <c r="U576" s="122">
        <f t="shared" si="62"/>
        <v>1.1524999972607475E-3</v>
      </c>
    </row>
    <row r="577" spans="1:21" ht="63.75" x14ac:dyDescent="0.2">
      <c r="A577" s="120" t="s">
        <v>3466</v>
      </c>
      <c r="B577" s="114" t="s">
        <v>2213</v>
      </c>
      <c r="C577" s="114" t="s">
        <v>2214</v>
      </c>
      <c r="D577" s="114" t="s">
        <v>24</v>
      </c>
      <c r="E577" s="114" t="s">
        <v>2215</v>
      </c>
      <c r="F577" s="114" t="s">
        <v>84</v>
      </c>
      <c r="G577" s="115">
        <v>2</v>
      </c>
      <c r="H577" s="116">
        <v>1596.9675</v>
      </c>
      <c r="I577" s="121">
        <v>0.2223</v>
      </c>
      <c r="J577" s="116">
        <f t="shared" si="56"/>
        <v>355.00500000000011</v>
      </c>
      <c r="K577" s="116">
        <v>1951.9725000000001</v>
      </c>
      <c r="L577" s="116">
        <f t="shared" si="57"/>
        <v>3193.9349999999999</v>
      </c>
      <c r="M577" s="116">
        <f t="shared" si="58"/>
        <v>3903.9450000000002</v>
      </c>
      <c r="N577" s="116">
        <v>2602.63</v>
      </c>
      <c r="O577" s="116">
        <f t="shared" si="59"/>
        <v>650.65750000000003</v>
      </c>
      <c r="P577" s="116">
        <f t="shared" si="60"/>
        <v>1301.3150000000001</v>
      </c>
      <c r="Q577" s="116" t="s">
        <v>2332</v>
      </c>
      <c r="R577" s="116" t="s">
        <v>3467</v>
      </c>
      <c r="S577" s="116" t="str">
        <f t="shared" si="61"/>
        <v>OK - FECHA COM PLANILHA</v>
      </c>
      <c r="T577" s="116">
        <v>3903.94</v>
      </c>
      <c r="U577" s="122">
        <f t="shared" si="62"/>
        <v>5.0000000001091394E-3</v>
      </c>
    </row>
    <row r="578" spans="1:21" ht="63.75" x14ac:dyDescent="0.2">
      <c r="A578" s="120" t="s">
        <v>3468</v>
      </c>
      <c r="B578" s="114" t="s">
        <v>2216</v>
      </c>
      <c r="C578" s="114" t="s">
        <v>1096</v>
      </c>
      <c r="D578" s="114" t="s">
        <v>24</v>
      </c>
      <c r="E578" s="114" t="s">
        <v>2217</v>
      </c>
      <c r="F578" s="114" t="s">
        <v>84</v>
      </c>
      <c r="G578" s="115">
        <v>1</v>
      </c>
      <c r="H578" s="116">
        <v>370.35</v>
      </c>
      <c r="I578" s="121">
        <v>0.2223</v>
      </c>
      <c r="J578" s="116">
        <f t="shared" si="56"/>
        <v>82.327499999999986</v>
      </c>
      <c r="K578" s="116">
        <v>452.67750000000001</v>
      </c>
      <c r="L578" s="116">
        <f t="shared" si="57"/>
        <v>370.35</v>
      </c>
      <c r="M578" s="116">
        <f t="shared" si="58"/>
        <v>452.67750000000001</v>
      </c>
      <c r="N578" s="116">
        <v>603.57000000000005</v>
      </c>
      <c r="O578" s="116">
        <f t="shared" si="59"/>
        <v>150.89250000000004</v>
      </c>
      <c r="P578" s="116">
        <f t="shared" si="60"/>
        <v>150.89250000000004</v>
      </c>
      <c r="Q578" s="116" t="s">
        <v>2332</v>
      </c>
      <c r="R578" s="116" t="s">
        <v>3469</v>
      </c>
      <c r="S578" s="116" t="str">
        <f t="shared" si="61"/>
        <v>OK - FECHA COM PLANILHA</v>
      </c>
      <c r="T578" s="116">
        <v>452.67</v>
      </c>
      <c r="U578" s="122">
        <f t="shared" si="62"/>
        <v>7.4999999999931788E-3</v>
      </c>
    </row>
    <row r="579" spans="1:21" ht="63.75" x14ac:dyDescent="0.2">
      <c r="A579" s="120" t="s">
        <v>3470</v>
      </c>
      <c r="B579" s="114" t="s">
        <v>2218</v>
      </c>
      <c r="C579" s="114" t="s">
        <v>2219</v>
      </c>
      <c r="D579" s="114" t="s">
        <v>24</v>
      </c>
      <c r="E579" s="114" t="s">
        <v>1098</v>
      </c>
      <c r="F579" s="114" t="s">
        <v>84</v>
      </c>
      <c r="G579" s="115">
        <v>1</v>
      </c>
      <c r="H579" s="116">
        <v>896.25</v>
      </c>
      <c r="I579" s="121">
        <v>0.2223</v>
      </c>
      <c r="J579" s="116">
        <f t="shared" ref="J579:J621" si="63">K579-H579</f>
        <v>199.23000000000002</v>
      </c>
      <c r="K579" s="116">
        <v>1095.48</v>
      </c>
      <c r="L579" s="116">
        <f t="shared" ref="L579:L621" si="64">G579*H579</f>
        <v>896.25</v>
      </c>
      <c r="M579" s="116">
        <f t="shared" ref="M579:M621" si="65">G579*K579</f>
        <v>1095.48</v>
      </c>
      <c r="N579" s="116">
        <v>1460.64</v>
      </c>
      <c r="O579" s="116">
        <f t="shared" ref="O579:O621" si="66">IFERROR(N579-K579,"")</f>
        <v>365.16000000000008</v>
      </c>
      <c r="P579" s="116">
        <f t="shared" ref="P579:P621" si="67">IFERROR(G579*O579,"")</f>
        <v>365.16000000000008</v>
      </c>
      <c r="Q579" s="116" t="s">
        <v>2332</v>
      </c>
      <c r="R579" s="116" t="s">
        <v>3471</v>
      </c>
      <c r="S579" s="116" t="str">
        <f t="shared" ref="S579:S621" si="68">IF(ABS(M579-T579)&lt;=0.05,"OK - FECHA COM PLANILHA","REVISAR")</f>
        <v>OK - FECHA COM PLANILHA</v>
      </c>
      <c r="T579" s="116">
        <v>1095.48</v>
      </c>
      <c r="U579" s="122">
        <f t="shared" ref="U579:U621" si="69">M579-T579</f>
        <v>0</v>
      </c>
    </row>
    <row r="580" spans="1:21" ht="63.75" x14ac:dyDescent="0.2">
      <c r="A580" s="120" t="s">
        <v>3472</v>
      </c>
      <c r="B580" s="114" t="s">
        <v>2220</v>
      </c>
      <c r="C580" s="114" t="s">
        <v>2221</v>
      </c>
      <c r="D580" s="114" t="s">
        <v>335</v>
      </c>
      <c r="E580" s="114" t="s">
        <v>1099</v>
      </c>
      <c r="F580" s="114" t="s">
        <v>84</v>
      </c>
      <c r="G580" s="115">
        <v>1</v>
      </c>
      <c r="H580" s="116">
        <v>130.10249999999999</v>
      </c>
      <c r="I580" s="121">
        <v>0.2223</v>
      </c>
      <c r="J580" s="116">
        <f t="shared" si="63"/>
        <v>28.920000000000016</v>
      </c>
      <c r="K580" s="116">
        <v>159.02250000000001</v>
      </c>
      <c r="L580" s="116">
        <f t="shared" si="64"/>
        <v>130.10249999999999</v>
      </c>
      <c r="M580" s="116">
        <f t="shared" si="65"/>
        <v>159.02250000000001</v>
      </c>
      <c r="N580" s="116">
        <v>212.03</v>
      </c>
      <c r="O580" s="116">
        <f t="shared" si="66"/>
        <v>53.007499999999993</v>
      </c>
      <c r="P580" s="116">
        <f t="shared" si="67"/>
        <v>53.007499999999993</v>
      </c>
      <c r="Q580" s="116" t="s">
        <v>2589</v>
      </c>
      <c r="R580" s="116" t="s">
        <v>3473</v>
      </c>
      <c r="S580" s="116" t="str">
        <f t="shared" si="68"/>
        <v>OK - FECHA COM PLANILHA</v>
      </c>
      <c r="T580" s="116">
        <v>159.02000000000001</v>
      </c>
      <c r="U580" s="122">
        <f t="shared" si="69"/>
        <v>2.4999999999977263E-3</v>
      </c>
    </row>
    <row r="581" spans="1:21" ht="63.75" x14ac:dyDescent="0.2">
      <c r="A581" s="120" t="s">
        <v>3474</v>
      </c>
      <c r="B581" s="114" t="s">
        <v>2222</v>
      </c>
      <c r="C581" s="114" t="s">
        <v>2223</v>
      </c>
      <c r="D581" s="114" t="s">
        <v>56</v>
      </c>
      <c r="E581" s="114" t="s">
        <v>1100</v>
      </c>
      <c r="F581" s="114" t="s">
        <v>84</v>
      </c>
      <c r="G581" s="115">
        <v>1</v>
      </c>
      <c r="H581" s="116">
        <v>141.1275</v>
      </c>
      <c r="I581" s="121">
        <v>0.2223</v>
      </c>
      <c r="J581" s="116">
        <f t="shared" si="63"/>
        <v>31.372500000000002</v>
      </c>
      <c r="K581" s="116">
        <v>172.5</v>
      </c>
      <c r="L581" s="116">
        <f t="shared" si="64"/>
        <v>141.1275</v>
      </c>
      <c r="M581" s="116">
        <f t="shared" si="65"/>
        <v>172.5</v>
      </c>
      <c r="N581" s="116">
        <v>230</v>
      </c>
      <c r="O581" s="116">
        <f t="shared" si="66"/>
        <v>57.5</v>
      </c>
      <c r="P581" s="116">
        <f t="shared" si="67"/>
        <v>57.5</v>
      </c>
      <c r="Q581" s="116" t="s">
        <v>2349</v>
      </c>
      <c r="R581" s="116" t="s">
        <v>3475</v>
      </c>
      <c r="S581" s="116" t="str">
        <f t="shared" si="68"/>
        <v>OK - FECHA COM PLANILHA</v>
      </c>
      <c r="T581" s="116">
        <v>172.5</v>
      </c>
      <c r="U581" s="122">
        <f t="shared" si="69"/>
        <v>0</v>
      </c>
    </row>
    <row r="582" spans="1:21" ht="63.75" x14ac:dyDescent="0.2">
      <c r="A582" s="120" t="s">
        <v>3476</v>
      </c>
      <c r="B582" s="114" t="s">
        <v>2224</v>
      </c>
      <c r="C582" s="114" t="s">
        <v>2225</v>
      </c>
      <c r="D582" s="114" t="s">
        <v>335</v>
      </c>
      <c r="E582" s="114" t="s">
        <v>1101</v>
      </c>
      <c r="F582" s="114" t="s">
        <v>84</v>
      </c>
      <c r="G582" s="115">
        <v>2</v>
      </c>
      <c r="H582" s="116">
        <v>155.58749999999998</v>
      </c>
      <c r="I582" s="121">
        <v>0.2223</v>
      </c>
      <c r="J582" s="116">
        <f t="shared" si="63"/>
        <v>34.582500000000039</v>
      </c>
      <c r="K582" s="116">
        <v>190.17000000000002</v>
      </c>
      <c r="L582" s="116">
        <f t="shared" si="64"/>
        <v>311.17499999999995</v>
      </c>
      <c r="M582" s="116">
        <f t="shared" si="65"/>
        <v>380.34000000000003</v>
      </c>
      <c r="N582" s="116">
        <v>253.56</v>
      </c>
      <c r="O582" s="116">
        <f t="shared" si="66"/>
        <v>63.389999999999986</v>
      </c>
      <c r="P582" s="116">
        <f t="shared" si="67"/>
        <v>126.77999999999997</v>
      </c>
      <c r="Q582" s="116" t="s">
        <v>2589</v>
      </c>
      <c r="R582" s="116" t="s">
        <v>3477</v>
      </c>
      <c r="S582" s="116" t="str">
        <f t="shared" si="68"/>
        <v>OK - FECHA COM PLANILHA</v>
      </c>
      <c r="T582" s="116">
        <v>380.34</v>
      </c>
      <c r="U582" s="122">
        <f t="shared" si="69"/>
        <v>0</v>
      </c>
    </row>
    <row r="583" spans="1:21" ht="63.75" x14ac:dyDescent="0.2">
      <c r="A583" s="120" t="s">
        <v>3478</v>
      </c>
      <c r="B583" s="114" t="s">
        <v>2226</v>
      </c>
      <c r="C583" s="114" t="s">
        <v>2227</v>
      </c>
      <c r="D583" s="114" t="s">
        <v>56</v>
      </c>
      <c r="E583" s="114" t="s">
        <v>1102</v>
      </c>
      <c r="F583" s="114" t="s">
        <v>84</v>
      </c>
      <c r="G583" s="115">
        <v>2</v>
      </c>
      <c r="H583" s="116">
        <v>342.495</v>
      </c>
      <c r="I583" s="121">
        <v>0.2223</v>
      </c>
      <c r="J583" s="116">
        <f t="shared" si="63"/>
        <v>76.132499999999936</v>
      </c>
      <c r="K583" s="116">
        <v>418.62749999999994</v>
      </c>
      <c r="L583" s="116">
        <f t="shared" si="64"/>
        <v>684.99</v>
      </c>
      <c r="M583" s="116">
        <f t="shared" si="65"/>
        <v>837.25499999999988</v>
      </c>
      <c r="N583" s="116">
        <v>558.16999999999996</v>
      </c>
      <c r="O583" s="116">
        <f t="shared" si="66"/>
        <v>139.54250000000002</v>
      </c>
      <c r="P583" s="116">
        <f t="shared" si="67"/>
        <v>279.08500000000004</v>
      </c>
      <c r="Q583" s="116" t="s">
        <v>2349</v>
      </c>
      <c r="R583" s="116" t="s">
        <v>3479</v>
      </c>
      <c r="S583" s="116" t="str">
        <f t="shared" si="68"/>
        <v>OK - FECHA COM PLANILHA</v>
      </c>
      <c r="T583" s="116">
        <v>837.25</v>
      </c>
      <c r="U583" s="122">
        <f t="shared" si="69"/>
        <v>4.9999999998817657E-3</v>
      </c>
    </row>
    <row r="584" spans="1:21" ht="63.75" x14ac:dyDescent="0.2">
      <c r="A584" s="120" t="s">
        <v>3480</v>
      </c>
      <c r="B584" s="114" t="s">
        <v>2228</v>
      </c>
      <c r="C584" s="114" t="s">
        <v>2229</v>
      </c>
      <c r="D584" s="114" t="s">
        <v>56</v>
      </c>
      <c r="E584" s="114" t="s">
        <v>1103</v>
      </c>
      <c r="F584" s="114" t="s">
        <v>84</v>
      </c>
      <c r="G584" s="115">
        <v>1</v>
      </c>
      <c r="H584" s="116">
        <v>536.99250000000006</v>
      </c>
      <c r="I584" s="121">
        <v>0.2223</v>
      </c>
      <c r="J584" s="116">
        <f t="shared" si="63"/>
        <v>119.36999999999989</v>
      </c>
      <c r="K584" s="116">
        <v>656.36249999999995</v>
      </c>
      <c r="L584" s="116">
        <f t="shared" si="64"/>
        <v>536.99250000000006</v>
      </c>
      <c r="M584" s="116">
        <f t="shared" si="65"/>
        <v>656.36249999999995</v>
      </c>
      <c r="N584" s="116">
        <v>875.15</v>
      </c>
      <c r="O584" s="116">
        <f t="shared" si="66"/>
        <v>218.78750000000002</v>
      </c>
      <c r="P584" s="116">
        <f t="shared" si="67"/>
        <v>218.78750000000002</v>
      </c>
      <c r="Q584" s="116" t="s">
        <v>2349</v>
      </c>
      <c r="R584" s="116" t="s">
        <v>3481</v>
      </c>
      <c r="S584" s="116" t="str">
        <f t="shared" si="68"/>
        <v>OK - FECHA COM PLANILHA</v>
      </c>
      <c r="T584" s="116">
        <v>656.36</v>
      </c>
      <c r="U584" s="122">
        <f t="shared" si="69"/>
        <v>2.4999999999408828E-3</v>
      </c>
    </row>
    <row r="585" spans="1:21" ht="63.75" x14ac:dyDescent="0.2">
      <c r="A585" s="120" t="s">
        <v>3482</v>
      </c>
      <c r="B585" s="114" t="s">
        <v>2230</v>
      </c>
      <c r="C585" s="114" t="s">
        <v>2231</v>
      </c>
      <c r="D585" s="114" t="s">
        <v>56</v>
      </c>
      <c r="E585" s="114" t="s">
        <v>2232</v>
      </c>
      <c r="F585" s="114" t="s">
        <v>84</v>
      </c>
      <c r="G585" s="115">
        <v>6</v>
      </c>
      <c r="H585" s="116">
        <v>182.60249999999999</v>
      </c>
      <c r="I585" s="121">
        <v>0.2223</v>
      </c>
      <c r="J585" s="116">
        <f t="shared" si="63"/>
        <v>40.590000000000003</v>
      </c>
      <c r="K585" s="116">
        <v>223.1925</v>
      </c>
      <c r="L585" s="116">
        <f t="shared" si="64"/>
        <v>1095.615</v>
      </c>
      <c r="M585" s="116">
        <f t="shared" si="65"/>
        <v>1339.155</v>
      </c>
      <c r="N585" s="116">
        <v>297.58999999999997</v>
      </c>
      <c r="O585" s="116">
        <f t="shared" si="66"/>
        <v>74.39749999999998</v>
      </c>
      <c r="P585" s="116">
        <f t="shared" si="67"/>
        <v>446.38499999999988</v>
      </c>
      <c r="Q585" s="116" t="s">
        <v>2349</v>
      </c>
      <c r="R585" s="116" t="s">
        <v>3483</v>
      </c>
      <c r="S585" s="116" t="str">
        <f t="shared" si="68"/>
        <v>OK - FECHA COM PLANILHA</v>
      </c>
      <c r="T585" s="116">
        <v>1339.15</v>
      </c>
      <c r="U585" s="122">
        <f t="shared" si="69"/>
        <v>4.9999999998817657E-3</v>
      </c>
    </row>
    <row r="586" spans="1:21" ht="63.75" x14ac:dyDescent="0.2">
      <c r="A586" s="120" t="s">
        <v>3484</v>
      </c>
      <c r="B586" s="114" t="s">
        <v>2233</v>
      </c>
      <c r="C586" s="114" t="s">
        <v>2234</v>
      </c>
      <c r="D586" s="114" t="s">
        <v>56</v>
      </c>
      <c r="E586" s="114" t="s">
        <v>1105</v>
      </c>
      <c r="F586" s="114" t="s">
        <v>84</v>
      </c>
      <c r="G586" s="115">
        <v>15</v>
      </c>
      <c r="H586" s="116">
        <v>130.64999999999998</v>
      </c>
      <c r="I586" s="121">
        <v>0.2223</v>
      </c>
      <c r="J586" s="116">
        <f t="shared" si="63"/>
        <v>29.04000000000002</v>
      </c>
      <c r="K586" s="116">
        <v>159.69</v>
      </c>
      <c r="L586" s="116">
        <f t="shared" si="64"/>
        <v>1959.7499999999995</v>
      </c>
      <c r="M586" s="116">
        <f t="shared" si="65"/>
        <v>2395.35</v>
      </c>
      <c r="N586" s="116">
        <v>212.92</v>
      </c>
      <c r="O586" s="116">
        <f t="shared" si="66"/>
        <v>53.22999999999999</v>
      </c>
      <c r="P586" s="116">
        <f t="shared" si="67"/>
        <v>798.44999999999982</v>
      </c>
      <c r="Q586" s="116" t="s">
        <v>2349</v>
      </c>
      <c r="R586" s="116" t="s">
        <v>3485</v>
      </c>
      <c r="S586" s="116" t="str">
        <f t="shared" si="68"/>
        <v>OK - FECHA COM PLANILHA</v>
      </c>
      <c r="T586" s="116">
        <v>2395.35</v>
      </c>
      <c r="U586" s="122">
        <f t="shared" si="69"/>
        <v>0</v>
      </c>
    </row>
    <row r="587" spans="1:21" ht="63.75" x14ac:dyDescent="0.2">
      <c r="A587" s="120" t="s">
        <v>3486</v>
      </c>
      <c r="B587" s="114" t="s">
        <v>2235</v>
      </c>
      <c r="C587" s="114" t="s">
        <v>2236</v>
      </c>
      <c r="D587" s="114" t="s">
        <v>56</v>
      </c>
      <c r="E587" s="114" t="s">
        <v>2237</v>
      </c>
      <c r="F587" s="114" t="s">
        <v>84</v>
      </c>
      <c r="G587" s="115">
        <v>1</v>
      </c>
      <c r="H587" s="116">
        <v>260.73749999999995</v>
      </c>
      <c r="I587" s="121">
        <v>0.2223</v>
      </c>
      <c r="J587" s="116">
        <f t="shared" si="63"/>
        <v>57.960000000000036</v>
      </c>
      <c r="K587" s="116">
        <v>318.69749999999999</v>
      </c>
      <c r="L587" s="116">
        <f t="shared" si="64"/>
        <v>260.73749999999995</v>
      </c>
      <c r="M587" s="116">
        <f t="shared" si="65"/>
        <v>318.69749999999999</v>
      </c>
      <c r="N587" s="116">
        <v>424.93</v>
      </c>
      <c r="O587" s="116">
        <f t="shared" si="66"/>
        <v>106.23250000000002</v>
      </c>
      <c r="P587" s="116">
        <f t="shared" si="67"/>
        <v>106.23250000000002</v>
      </c>
      <c r="Q587" s="116" t="s">
        <v>2349</v>
      </c>
      <c r="R587" s="116" t="s">
        <v>3487</v>
      </c>
      <c r="S587" s="116" t="str">
        <f t="shared" si="68"/>
        <v>OK - FECHA COM PLANILHA</v>
      </c>
      <c r="T587" s="116">
        <v>318.69</v>
      </c>
      <c r="U587" s="122">
        <f t="shared" si="69"/>
        <v>7.4999999999931788E-3</v>
      </c>
    </row>
    <row r="588" spans="1:21" ht="63.75" x14ac:dyDescent="0.2">
      <c r="A588" s="120" t="s">
        <v>3488</v>
      </c>
      <c r="B588" s="114" t="s">
        <v>2238</v>
      </c>
      <c r="C588" s="114" t="s">
        <v>2239</v>
      </c>
      <c r="D588" s="114" t="s">
        <v>56</v>
      </c>
      <c r="E588" s="114" t="s">
        <v>1107</v>
      </c>
      <c r="F588" s="114" t="s">
        <v>84</v>
      </c>
      <c r="G588" s="115">
        <v>3</v>
      </c>
      <c r="H588" s="116">
        <v>90.052499999999995</v>
      </c>
      <c r="I588" s="121">
        <v>0.2223</v>
      </c>
      <c r="J588" s="116">
        <f t="shared" si="63"/>
        <v>20.017499999999998</v>
      </c>
      <c r="K588" s="116">
        <v>110.07</v>
      </c>
      <c r="L588" s="116">
        <f t="shared" si="64"/>
        <v>270.15749999999997</v>
      </c>
      <c r="M588" s="116">
        <f t="shared" si="65"/>
        <v>330.21</v>
      </c>
      <c r="N588" s="116">
        <v>146.76</v>
      </c>
      <c r="O588" s="116">
        <f t="shared" si="66"/>
        <v>36.69</v>
      </c>
      <c r="P588" s="116">
        <f t="shared" si="67"/>
        <v>110.07</v>
      </c>
      <c r="Q588" s="116" t="s">
        <v>2349</v>
      </c>
      <c r="R588" s="116" t="s">
        <v>3489</v>
      </c>
      <c r="S588" s="116" t="str">
        <f t="shared" si="68"/>
        <v>OK - FECHA COM PLANILHA</v>
      </c>
      <c r="T588" s="116">
        <v>330.21</v>
      </c>
      <c r="U588" s="122">
        <f t="shared" si="69"/>
        <v>0</v>
      </c>
    </row>
    <row r="589" spans="1:21" ht="63.75" x14ac:dyDescent="0.2">
      <c r="A589" s="120" t="s">
        <v>3490</v>
      </c>
      <c r="B589" s="114" t="s">
        <v>2240</v>
      </c>
      <c r="C589" s="114" t="s">
        <v>2241</v>
      </c>
      <c r="D589" s="114" t="s">
        <v>56</v>
      </c>
      <c r="E589" s="114" t="s">
        <v>1108</v>
      </c>
      <c r="F589" s="114" t="s">
        <v>84</v>
      </c>
      <c r="G589" s="115">
        <v>14</v>
      </c>
      <c r="H589" s="116">
        <v>82.02</v>
      </c>
      <c r="I589" s="121">
        <v>0.2223</v>
      </c>
      <c r="J589" s="116">
        <f t="shared" si="63"/>
        <v>18.232500000000002</v>
      </c>
      <c r="K589" s="116">
        <v>100.2525</v>
      </c>
      <c r="L589" s="116">
        <f t="shared" si="64"/>
        <v>1148.28</v>
      </c>
      <c r="M589" s="116">
        <f t="shared" si="65"/>
        <v>1403.5349999999999</v>
      </c>
      <c r="N589" s="116">
        <v>133.66999999999999</v>
      </c>
      <c r="O589" s="116">
        <f t="shared" si="66"/>
        <v>33.41749999999999</v>
      </c>
      <c r="P589" s="116">
        <f t="shared" si="67"/>
        <v>467.84499999999986</v>
      </c>
      <c r="Q589" s="116" t="s">
        <v>2349</v>
      </c>
      <c r="R589" s="116" t="s">
        <v>3491</v>
      </c>
      <c r="S589" s="116" t="str">
        <f t="shared" si="68"/>
        <v>OK - FECHA COM PLANILHA</v>
      </c>
      <c r="T589" s="116">
        <v>1403.53</v>
      </c>
      <c r="U589" s="122">
        <f t="shared" si="69"/>
        <v>4.9999999998817657E-3</v>
      </c>
    </row>
    <row r="590" spans="1:21" ht="63.75" x14ac:dyDescent="0.2">
      <c r="A590" s="120" t="s">
        <v>3492</v>
      </c>
      <c r="B590" s="114" t="s">
        <v>2242</v>
      </c>
      <c r="C590" s="114" t="s">
        <v>2243</v>
      </c>
      <c r="D590" s="114" t="s">
        <v>56</v>
      </c>
      <c r="E590" s="114" t="s">
        <v>1109</v>
      </c>
      <c r="F590" s="114" t="s">
        <v>84</v>
      </c>
      <c r="G590" s="115">
        <v>10</v>
      </c>
      <c r="H590" s="116">
        <v>171.70499999999998</v>
      </c>
      <c r="I590" s="121">
        <v>0.2223</v>
      </c>
      <c r="J590" s="116">
        <f t="shared" si="63"/>
        <v>38.167500000000018</v>
      </c>
      <c r="K590" s="116">
        <v>209.8725</v>
      </c>
      <c r="L590" s="116">
        <f t="shared" si="64"/>
        <v>1717.0499999999997</v>
      </c>
      <c r="M590" s="116">
        <f t="shared" si="65"/>
        <v>2098.7249999999999</v>
      </c>
      <c r="N590" s="116">
        <v>279.83</v>
      </c>
      <c r="O590" s="116">
        <f t="shared" si="66"/>
        <v>69.957499999999982</v>
      </c>
      <c r="P590" s="116">
        <f t="shared" si="67"/>
        <v>699.57499999999982</v>
      </c>
      <c r="Q590" s="116" t="s">
        <v>2349</v>
      </c>
      <c r="R590" s="116" t="s">
        <v>3493</v>
      </c>
      <c r="S590" s="116" t="str">
        <f t="shared" si="68"/>
        <v>OK - FECHA COM PLANILHA</v>
      </c>
      <c r="T590" s="116">
        <v>2098.7199999999998</v>
      </c>
      <c r="U590" s="122">
        <f t="shared" si="69"/>
        <v>5.0000000001091394E-3</v>
      </c>
    </row>
    <row r="591" spans="1:21" ht="63.75" x14ac:dyDescent="0.2">
      <c r="A591" s="120" t="s">
        <v>3494</v>
      </c>
      <c r="B591" s="114" t="s">
        <v>2244</v>
      </c>
      <c r="C591" s="114" t="s">
        <v>2245</v>
      </c>
      <c r="D591" s="114" t="s">
        <v>56</v>
      </c>
      <c r="E591" s="114" t="s">
        <v>1110</v>
      </c>
      <c r="F591" s="114" t="s">
        <v>84</v>
      </c>
      <c r="G591" s="115">
        <v>9</v>
      </c>
      <c r="H591" s="116">
        <v>178.08749999999998</v>
      </c>
      <c r="I591" s="121">
        <v>0.2223</v>
      </c>
      <c r="J591" s="116">
        <f t="shared" si="63"/>
        <v>39.585000000000036</v>
      </c>
      <c r="K591" s="116">
        <v>217.67250000000001</v>
      </c>
      <c r="L591" s="116">
        <f t="shared" si="64"/>
        <v>1602.7874999999999</v>
      </c>
      <c r="M591" s="116">
        <f t="shared" si="65"/>
        <v>1959.0525000000002</v>
      </c>
      <c r="N591" s="116">
        <v>290.23</v>
      </c>
      <c r="O591" s="116">
        <f t="shared" si="66"/>
        <v>72.557500000000005</v>
      </c>
      <c r="P591" s="116">
        <f t="shared" si="67"/>
        <v>653.01750000000004</v>
      </c>
      <c r="Q591" s="116" t="s">
        <v>2349</v>
      </c>
      <c r="R591" s="116" t="s">
        <v>3495</v>
      </c>
      <c r="S591" s="116" t="str">
        <f t="shared" si="68"/>
        <v>OK - FECHA COM PLANILHA</v>
      </c>
      <c r="T591" s="116">
        <v>1959.05</v>
      </c>
      <c r="U591" s="122">
        <f t="shared" si="69"/>
        <v>2.5000000002819434E-3</v>
      </c>
    </row>
    <row r="592" spans="1:21" ht="63.75" x14ac:dyDescent="0.2">
      <c r="A592" s="120" t="s">
        <v>3496</v>
      </c>
      <c r="B592" s="114" t="s">
        <v>2246</v>
      </c>
      <c r="C592" s="114" t="s">
        <v>2247</v>
      </c>
      <c r="D592" s="114" t="s">
        <v>56</v>
      </c>
      <c r="E592" s="114" t="s">
        <v>2248</v>
      </c>
      <c r="F592" s="114" t="s">
        <v>84</v>
      </c>
      <c r="G592" s="115">
        <v>2</v>
      </c>
      <c r="H592" s="116">
        <v>91.627499999999998</v>
      </c>
      <c r="I592" s="121">
        <v>0.2223</v>
      </c>
      <c r="J592" s="116">
        <f t="shared" si="63"/>
        <v>20.362499999999997</v>
      </c>
      <c r="K592" s="116">
        <v>111.99</v>
      </c>
      <c r="L592" s="116">
        <f t="shared" si="64"/>
        <v>183.255</v>
      </c>
      <c r="M592" s="116">
        <f t="shared" si="65"/>
        <v>223.98</v>
      </c>
      <c r="N592" s="116">
        <v>149.32</v>
      </c>
      <c r="O592" s="116">
        <f t="shared" si="66"/>
        <v>37.33</v>
      </c>
      <c r="P592" s="116">
        <f t="shared" si="67"/>
        <v>74.66</v>
      </c>
      <c r="Q592" s="116" t="s">
        <v>2349</v>
      </c>
      <c r="R592" s="116" t="s">
        <v>3497</v>
      </c>
      <c r="S592" s="116" t="str">
        <f t="shared" si="68"/>
        <v>OK - FECHA COM PLANILHA</v>
      </c>
      <c r="T592" s="116">
        <v>223.98</v>
      </c>
      <c r="U592" s="122">
        <f t="shared" si="69"/>
        <v>0</v>
      </c>
    </row>
    <row r="593" spans="1:21" ht="63.75" x14ac:dyDescent="0.2">
      <c r="A593" s="120" t="s">
        <v>3498</v>
      </c>
      <c r="B593" s="114" t="s">
        <v>2249</v>
      </c>
      <c r="C593" s="114" t="s">
        <v>2250</v>
      </c>
      <c r="D593" s="114" t="s">
        <v>56</v>
      </c>
      <c r="E593" s="114" t="s">
        <v>1112</v>
      </c>
      <c r="F593" s="114" t="s">
        <v>84</v>
      </c>
      <c r="G593" s="115">
        <v>2</v>
      </c>
      <c r="H593" s="116">
        <v>50.564999999999998</v>
      </c>
      <c r="I593" s="121">
        <v>0.2223</v>
      </c>
      <c r="J593" s="116">
        <f t="shared" si="63"/>
        <v>11.235000000000007</v>
      </c>
      <c r="K593" s="116">
        <v>61.800000000000004</v>
      </c>
      <c r="L593" s="116">
        <f t="shared" si="64"/>
        <v>101.13</v>
      </c>
      <c r="M593" s="116">
        <f t="shared" si="65"/>
        <v>123.60000000000001</v>
      </c>
      <c r="N593" s="116">
        <v>82.4</v>
      </c>
      <c r="O593" s="116">
        <f t="shared" si="66"/>
        <v>20.6</v>
      </c>
      <c r="P593" s="116">
        <f t="shared" si="67"/>
        <v>41.2</v>
      </c>
      <c r="Q593" s="116" t="s">
        <v>2349</v>
      </c>
      <c r="R593" s="116" t="s">
        <v>3499</v>
      </c>
      <c r="S593" s="116" t="str">
        <f t="shared" si="68"/>
        <v>OK - FECHA COM PLANILHA</v>
      </c>
      <c r="T593" s="116">
        <v>123.6</v>
      </c>
      <c r="U593" s="122">
        <f t="shared" si="69"/>
        <v>0</v>
      </c>
    </row>
    <row r="594" spans="1:21" ht="63.75" x14ac:dyDescent="0.2">
      <c r="A594" s="120" t="s">
        <v>3500</v>
      </c>
      <c r="B594" s="114" t="s">
        <v>2251</v>
      </c>
      <c r="C594" s="114" t="s">
        <v>2252</v>
      </c>
      <c r="D594" s="114" t="s">
        <v>56</v>
      </c>
      <c r="E594" s="114" t="s">
        <v>1113</v>
      </c>
      <c r="F594" s="114" t="s">
        <v>99</v>
      </c>
      <c r="G594" s="115">
        <v>81.8</v>
      </c>
      <c r="H594" s="116">
        <v>84.307500000000005</v>
      </c>
      <c r="I594" s="121">
        <v>0.2223</v>
      </c>
      <c r="J594" s="116">
        <f t="shared" si="63"/>
        <v>18.734999999999985</v>
      </c>
      <c r="K594" s="116">
        <v>103.04249999999999</v>
      </c>
      <c r="L594" s="116">
        <f t="shared" si="64"/>
        <v>6896.3535000000002</v>
      </c>
      <c r="M594" s="116">
        <f t="shared" si="65"/>
        <v>8428.8764999999985</v>
      </c>
      <c r="N594" s="116">
        <v>137.38999999999999</v>
      </c>
      <c r="O594" s="116">
        <f t="shared" si="66"/>
        <v>34.347499999999997</v>
      </c>
      <c r="P594" s="116">
        <f t="shared" si="67"/>
        <v>2809.6254999999996</v>
      </c>
      <c r="Q594" s="116" t="s">
        <v>2349</v>
      </c>
      <c r="R594" s="116" t="s">
        <v>3501</v>
      </c>
      <c r="S594" s="116" t="str">
        <f t="shared" si="68"/>
        <v>OK - FECHA COM PLANILHA</v>
      </c>
      <c r="T594" s="116">
        <v>8428.8700000000008</v>
      </c>
      <c r="U594" s="122">
        <f t="shared" si="69"/>
        <v>6.4999999976862455E-3</v>
      </c>
    </row>
    <row r="595" spans="1:21" ht="63.75" x14ac:dyDescent="0.2">
      <c r="A595" s="120" t="s">
        <v>3502</v>
      </c>
      <c r="B595" s="114" t="s">
        <v>2253</v>
      </c>
      <c r="C595" s="114" t="s">
        <v>2254</v>
      </c>
      <c r="D595" s="114" t="s">
        <v>56</v>
      </c>
      <c r="E595" s="114" t="s">
        <v>1114</v>
      </c>
      <c r="F595" s="114" t="s">
        <v>99</v>
      </c>
      <c r="G595" s="115">
        <v>0.1</v>
      </c>
      <c r="H595" s="116">
        <v>35.872500000000002</v>
      </c>
      <c r="I595" s="121">
        <v>0.2223</v>
      </c>
      <c r="J595" s="116">
        <f t="shared" si="63"/>
        <v>7.9724999999999966</v>
      </c>
      <c r="K595" s="116">
        <v>43.844999999999999</v>
      </c>
      <c r="L595" s="116">
        <f t="shared" si="64"/>
        <v>3.5872500000000005</v>
      </c>
      <c r="M595" s="116">
        <f t="shared" si="65"/>
        <v>4.3845000000000001</v>
      </c>
      <c r="N595" s="116">
        <v>58.46</v>
      </c>
      <c r="O595" s="116">
        <f t="shared" si="66"/>
        <v>14.615000000000002</v>
      </c>
      <c r="P595" s="116">
        <f t="shared" si="67"/>
        <v>1.4615000000000002</v>
      </c>
      <c r="Q595" s="116" t="s">
        <v>2349</v>
      </c>
      <c r="R595" s="116" t="s">
        <v>3503</v>
      </c>
      <c r="S595" s="116" t="str">
        <f t="shared" si="68"/>
        <v>OK - FECHA COM PLANILHA</v>
      </c>
      <c r="T595" s="116">
        <v>4.38</v>
      </c>
      <c r="U595" s="122">
        <f t="shared" si="69"/>
        <v>4.5000000000001705E-3</v>
      </c>
    </row>
    <row r="596" spans="1:21" ht="63.75" x14ac:dyDescent="0.2">
      <c r="A596" s="120" t="s">
        <v>3504</v>
      </c>
      <c r="B596" s="114" t="s">
        <v>2255</v>
      </c>
      <c r="C596" s="114" t="s">
        <v>2256</v>
      </c>
      <c r="D596" s="114" t="s">
        <v>56</v>
      </c>
      <c r="E596" s="114" t="s">
        <v>1115</v>
      </c>
      <c r="F596" s="114" t="s">
        <v>84</v>
      </c>
      <c r="G596" s="115">
        <v>1</v>
      </c>
      <c r="H596" s="116">
        <v>2670.6150000000002</v>
      </c>
      <c r="I596" s="121">
        <v>0.2223</v>
      </c>
      <c r="J596" s="116">
        <f t="shared" si="63"/>
        <v>593.67750000000024</v>
      </c>
      <c r="K596" s="116">
        <v>3264.2925000000005</v>
      </c>
      <c r="L596" s="116">
        <f t="shared" si="64"/>
        <v>2670.6150000000002</v>
      </c>
      <c r="M596" s="116">
        <f t="shared" si="65"/>
        <v>3264.2925000000005</v>
      </c>
      <c r="N596" s="116">
        <v>4352.3900000000003</v>
      </c>
      <c r="O596" s="116">
        <f t="shared" si="66"/>
        <v>1088.0974999999999</v>
      </c>
      <c r="P596" s="116">
        <f t="shared" si="67"/>
        <v>1088.0974999999999</v>
      </c>
      <c r="Q596" s="116" t="s">
        <v>2349</v>
      </c>
      <c r="R596" s="116" t="s">
        <v>3505</v>
      </c>
      <c r="S596" s="116" t="str">
        <f t="shared" si="68"/>
        <v>OK - FECHA COM PLANILHA</v>
      </c>
      <c r="T596" s="116">
        <v>3264.29</v>
      </c>
      <c r="U596" s="122">
        <f t="shared" si="69"/>
        <v>2.500000000509317E-3</v>
      </c>
    </row>
    <row r="597" spans="1:21" ht="76.5" x14ac:dyDescent="0.2">
      <c r="A597" s="120" t="s">
        <v>3506</v>
      </c>
      <c r="B597" s="114" t="s">
        <v>2257</v>
      </c>
      <c r="C597" s="114" t="s">
        <v>2258</v>
      </c>
      <c r="D597" s="114" t="s">
        <v>56</v>
      </c>
      <c r="E597" s="114" t="s">
        <v>1116</v>
      </c>
      <c r="F597" s="114" t="s">
        <v>84</v>
      </c>
      <c r="G597" s="115">
        <v>2</v>
      </c>
      <c r="H597" s="116">
        <v>1309.0875000000001</v>
      </c>
      <c r="I597" s="121">
        <v>0.2223</v>
      </c>
      <c r="J597" s="116">
        <f t="shared" si="63"/>
        <v>291.00749999999994</v>
      </c>
      <c r="K597" s="116">
        <v>1600.095</v>
      </c>
      <c r="L597" s="116">
        <f t="shared" si="64"/>
        <v>2618.1750000000002</v>
      </c>
      <c r="M597" s="116">
        <f t="shared" si="65"/>
        <v>3200.19</v>
      </c>
      <c r="N597" s="116">
        <v>2133.46</v>
      </c>
      <c r="O597" s="116">
        <f t="shared" si="66"/>
        <v>533.36500000000001</v>
      </c>
      <c r="P597" s="116">
        <f t="shared" si="67"/>
        <v>1066.73</v>
      </c>
      <c r="Q597" s="116" t="s">
        <v>2349</v>
      </c>
      <c r="R597" s="116" t="s">
        <v>3507</v>
      </c>
      <c r="S597" s="116" t="str">
        <f t="shared" si="68"/>
        <v>OK - FECHA COM PLANILHA</v>
      </c>
      <c r="T597" s="116">
        <v>3200.19</v>
      </c>
      <c r="U597" s="122">
        <f t="shared" si="69"/>
        <v>0</v>
      </c>
    </row>
    <row r="598" spans="1:21" ht="63.75" x14ac:dyDescent="0.2">
      <c r="A598" s="120" t="s">
        <v>3508</v>
      </c>
      <c r="B598" s="114" t="s">
        <v>2259</v>
      </c>
      <c r="C598" s="114" t="s">
        <v>2260</v>
      </c>
      <c r="D598" s="114" t="s">
        <v>56</v>
      </c>
      <c r="E598" s="114" t="s">
        <v>1117</v>
      </c>
      <c r="F598" s="114" t="s">
        <v>84</v>
      </c>
      <c r="G598" s="115">
        <v>2</v>
      </c>
      <c r="H598" s="116">
        <v>307.5675</v>
      </c>
      <c r="I598" s="121">
        <v>0.2223</v>
      </c>
      <c r="J598" s="116">
        <f t="shared" si="63"/>
        <v>68.37</v>
      </c>
      <c r="K598" s="116">
        <v>375.9375</v>
      </c>
      <c r="L598" s="116">
        <f t="shared" si="64"/>
        <v>615.13499999999999</v>
      </c>
      <c r="M598" s="116">
        <f t="shared" si="65"/>
        <v>751.875</v>
      </c>
      <c r="N598" s="116">
        <v>501.25</v>
      </c>
      <c r="O598" s="116">
        <f t="shared" si="66"/>
        <v>125.3125</v>
      </c>
      <c r="P598" s="116">
        <f t="shared" si="67"/>
        <v>250.625</v>
      </c>
      <c r="Q598" s="116" t="s">
        <v>2349</v>
      </c>
      <c r="R598" s="116" t="s">
        <v>3509</v>
      </c>
      <c r="S598" s="116" t="str">
        <f t="shared" si="68"/>
        <v>OK - FECHA COM PLANILHA</v>
      </c>
      <c r="T598" s="116">
        <v>751.87</v>
      </c>
      <c r="U598" s="122">
        <f t="shared" si="69"/>
        <v>4.9999999999954525E-3</v>
      </c>
    </row>
    <row r="599" spans="1:21" ht="76.5" x14ac:dyDescent="0.2">
      <c r="A599" s="120" t="s">
        <v>3510</v>
      </c>
      <c r="B599" s="114" t="s">
        <v>2261</v>
      </c>
      <c r="C599" s="114" t="s">
        <v>2262</v>
      </c>
      <c r="D599" s="114" t="s">
        <v>56</v>
      </c>
      <c r="E599" s="114" t="s">
        <v>1118</v>
      </c>
      <c r="F599" s="114" t="s">
        <v>99</v>
      </c>
      <c r="G599" s="115">
        <v>81.8</v>
      </c>
      <c r="H599" s="116">
        <v>6.5774999999999997</v>
      </c>
      <c r="I599" s="121">
        <v>0.2223</v>
      </c>
      <c r="J599" s="116">
        <f t="shared" si="63"/>
        <v>1.455000000000001</v>
      </c>
      <c r="K599" s="116">
        <v>8.0325000000000006</v>
      </c>
      <c r="L599" s="116">
        <f t="shared" si="64"/>
        <v>538.03949999999998</v>
      </c>
      <c r="M599" s="116">
        <f t="shared" si="65"/>
        <v>657.05849999999998</v>
      </c>
      <c r="N599" s="116">
        <v>10.71</v>
      </c>
      <c r="O599" s="116">
        <f t="shared" si="66"/>
        <v>2.6775000000000002</v>
      </c>
      <c r="P599" s="116">
        <f t="shared" si="67"/>
        <v>219.01950000000002</v>
      </c>
      <c r="Q599" s="116" t="s">
        <v>2349</v>
      </c>
      <c r="R599" s="116" t="s">
        <v>3511</v>
      </c>
      <c r="S599" s="116" t="str">
        <f t="shared" si="68"/>
        <v>OK - FECHA COM PLANILHA</v>
      </c>
      <c r="T599" s="116">
        <v>657.05</v>
      </c>
      <c r="U599" s="122">
        <f t="shared" si="69"/>
        <v>8.5000000000263753E-3</v>
      </c>
    </row>
    <row r="600" spans="1:21" ht="63.75" x14ac:dyDescent="0.2">
      <c r="A600" s="120" t="s">
        <v>3512</v>
      </c>
      <c r="B600" s="114" t="s">
        <v>2263</v>
      </c>
      <c r="C600" s="114" t="s">
        <v>2264</v>
      </c>
      <c r="D600" s="114" t="s">
        <v>56</v>
      </c>
      <c r="E600" s="114" t="s">
        <v>1121</v>
      </c>
      <c r="F600" s="114" t="s">
        <v>84</v>
      </c>
      <c r="G600" s="115">
        <v>19</v>
      </c>
      <c r="H600" s="116">
        <v>239.41500000000002</v>
      </c>
      <c r="I600" s="121">
        <v>0.2223</v>
      </c>
      <c r="J600" s="116">
        <f t="shared" si="63"/>
        <v>53.21999999999997</v>
      </c>
      <c r="K600" s="116">
        <v>292.63499999999999</v>
      </c>
      <c r="L600" s="116">
        <f t="shared" si="64"/>
        <v>4548.8850000000002</v>
      </c>
      <c r="M600" s="116">
        <f t="shared" si="65"/>
        <v>5560.0649999999996</v>
      </c>
      <c r="N600" s="116">
        <v>390.18</v>
      </c>
      <c r="O600" s="116">
        <f t="shared" si="66"/>
        <v>97.545000000000016</v>
      </c>
      <c r="P600" s="116">
        <f t="shared" si="67"/>
        <v>1853.3550000000002</v>
      </c>
      <c r="Q600" s="116" t="s">
        <v>2349</v>
      </c>
      <c r="R600" s="116" t="s">
        <v>3513</v>
      </c>
      <c r="S600" s="116" t="str">
        <f t="shared" si="68"/>
        <v>OK - FECHA COM PLANILHA</v>
      </c>
      <c r="T600" s="116">
        <v>5560.06</v>
      </c>
      <c r="U600" s="122">
        <f t="shared" si="69"/>
        <v>4.9999999991996447E-3</v>
      </c>
    </row>
    <row r="601" spans="1:21" ht="76.5" x14ac:dyDescent="0.2">
      <c r="A601" s="120" t="s">
        <v>3514</v>
      </c>
      <c r="B601" s="114" t="s">
        <v>2265</v>
      </c>
      <c r="C601" s="114" t="s">
        <v>2266</v>
      </c>
      <c r="D601" s="114" t="s">
        <v>24</v>
      </c>
      <c r="E601" s="114" t="s">
        <v>1123</v>
      </c>
      <c r="F601" s="114" t="s">
        <v>84</v>
      </c>
      <c r="G601" s="115">
        <v>19</v>
      </c>
      <c r="H601" s="116">
        <v>34.695</v>
      </c>
      <c r="I601" s="121">
        <v>0.2223</v>
      </c>
      <c r="J601" s="116">
        <f t="shared" si="63"/>
        <v>7.7100000000000009</v>
      </c>
      <c r="K601" s="116">
        <v>42.405000000000001</v>
      </c>
      <c r="L601" s="116">
        <f t="shared" si="64"/>
        <v>659.20500000000004</v>
      </c>
      <c r="M601" s="116">
        <f t="shared" si="65"/>
        <v>805.69500000000005</v>
      </c>
      <c r="N601" s="116">
        <v>56.54</v>
      </c>
      <c r="O601" s="116">
        <f t="shared" si="66"/>
        <v>14.134999999999998</v>
      </c>
      <c r="P601" s="116">
        <f t="shared" si="67"/>
        <v>268.56499999999994</v>
      </c>
      <c r="Q601" s="116" t="s">
        <v>2332</v>
      </c>
      <c r="R601" s="116" t="s">
        <v>3515</v>
      </c>
      <c r="S601" s="116" t="str">
        <f t="shared" si="68"/>
        <v>OK - FECHA COM PLANILHA</v>
      </c>
      <c r="T601" s="116">
        <v>805.69</v>
      </c>
      <c r="U601" s="122">
        <f t="shared" si="69"/>
        <v>4.9999999999954525E-3</v>
      </c>
    </row>
    <row r="602" spans="1:21" ht="63.75" x14ac:dyDescent="0.2">
      <c r="A602" s="120" t="s">
        <v>3516</v>
      </c>
      <c r="B602" s="114" t="s">
        <v>2267</v>
      </c>
      <c r="C602" s="114" t="s">
        <v>2268</v>
      </c>
      <c r="D602" s="114" t="s">
        <v>24</v>
      </c>
      <c r="E602" s="114" t="s">
        <v>1125</v>
      </c>
      <c r="F602" s="114" t="s">
        <v>84</v>
      </c>
      <c r="G602" s="115">
        <v>3</v>
      </c>
      <c r="H602" s="116">
        <v>17.984999999999999</v>
      </c>
      <c r="I602" s="121">
        <v>0.2223</v>
      </c>
      <c r="J602" s="116">
        <f t="shared" si="63"/>
        <v>3.9974999999999987</v>
      </c>
      <c r="K602" s="116">
        <v>21.982499999999998</v>
      </c>
      <c r="L602" s="116">
        <f t="shared" si="64"/>
        <v>53.954999999999998</v>
      </c>
      <c r="M602" s="116">
        <f t="shared" si="65"/>
        <v>65.947499999999991</v>
      </c>
      <c r="N602" s="116">
        <v>29.31</v>
      </c>
      <c r="O602" s="116">
        <f t="shared" si="66"/>
        <v>7.3275000000000006</v>
      </c>
      <c r="P602" s="116">
        <f t="shared" si="67"/>
        <v>21.982500000000002</v>
      </c>
      <c r="Q602" s="116" t="s">
        <v>2332</v>
      </c>
      <c r="R602" s="116" t="s">
        <v>3517</v>
      </c>
      <c r="S602" s="116" t="str">
        <f t="shared" si="68"/>
        <v>OK - FECHA COM PLANILHA</v>
      </c>
      <c r="T602" s="116">
        <v>65.94</v>
      </c>
      <c r="U602" s="122">
        <f t="shared" si="69"/>
        <v>7.4999999999931788E-3</v>
      </c>
    </row>
    <row r="603" spans="1:21" ht="63.75" x14ac:dyDescent="0.2">
      <c r="A603" s="120" t="s">
        <v>3518</v>
      </c>
      <c r="B603" s="114" t="s">
        <v>2269</v>
      </c>
      <c r="C603" s="114" t="s">
        <v>2270</v>
      </c>
      <c r="D603" s="114" t="s">
        <v>56</v>
      </c>
      <c r="E603" s="114" t="s">
        <v>1128</v>
      </c>
      <c r="F603" s="114" t="s">
        <v>84</v>
      </c>
      <c r="G603" s="115">
        <v>43</v>
      </c>
      <c r="H603" s="116">
        <v>14.115</v>
      </c>
      <c r="I603" s="121">
        <v>0.2223</v>
      </c>
      <c r="J603" s="116">
        <f t="shared" si="63"/>
        <v>3.1349999999999998</v>
      </c>
      <c r="K603" s="116">
        <v>17.25</v>
      </c>
      <c r="L603" s="116">
        <f t="shared" si="64"/>
        <v>606.94500000000005</v>
      </c>
      <c r="M603" s="116">
        <f t="shared" si="65"/>
        <v>741.75</v>
      </c>
      <c r="N603" s="116">
        <v>23</v>
      </c>
      <c r="O603" s="116">
        <f t="shared" si="66"/>
        <v>5.75</v>
      </c>
      <c r="P603" s="116">
        <f t="shared" si="67"/>
        <v>247.25</v>
      </c>
      <c r="Q603" s="116" t="s">
        <v>2349</v>
      </c>
      <c r="R603" s="116" t="s">
        <v>3519</v>
      </c>
      <c r="S603" s="116" t="str">
        <f t="shared" si="68"/>
        <v>OK - FECHA COM PLANILHA</v>
      </c>
      <c r="T603" s="116">
        <v>741.75</v>
      </c>
      <c r="U603" s="122">
        <f t="shared" si="69"/>
        <v>0</v>
      </c>
    </row>
    <row r="604" spans="1:21" ht="76.5" x14ac:dyDescent="0.2">
      <c r="A604" s="120" t="s">
        <v>3520</v>
      </c>
      <c r="B604" s="114" t="s">
        <v>2271</v>
      </c>
      <c r="C604" s="114" t="s">
        <v>2272</v>
      </c>
      <c r="D604" s="114" t="s">
        <v>24</v>
      </c>
      <c r="E604" s="114" t="s">
        <v>1130</v>
      </c>
      <c r="F604" s="114" t="s">
        <v>84</v>
      </c>
      <c r="G604" s="115">
        <v>17</v>
      </c>
      <c r="H604" s="116">
        <v>22.32</v>
      </c>
      <c r="I604" s="121">
        <v>0.2223</v>
      </c>
      <c r="J604" s="116">
        <f t="shared" si="63"/>
        <v>4.957499999999996</v>
      </c>
      <c r="K604" s="116">
        <v>27.277499999999996</v>
      </c>
      <c r="L604" s="116">
        <f t="shared" si="64"/>
        <v>379.44</v>
      </c>
      <c r="M604" s="116">
        <f t="shared" si="65"/>
        <v>463.71749999999992</v>
      </c>
      <c r="N604" s="116">
        <v>36.369999999999997</v>
      </c>
      <c r="O604" s="116">
        <f t="shared" si="66"/>
        <v>9.0925000000000011</v>
      </c>
      <c r="P604" s="116">
        <f t="shared" si="67"/>
        <v>154.57250000000002</v>
      </c>
      <c r="Q604" s="116" t="s">
        <v>2332</v>
      </c>
      <c r="R604" s="116" t="s">
        <v>3521</v>
      </c>
      <c r="S604" s="116" t="str">
        <f t="shared" si="68"/>
        <v>OK - FECHA COM PLANILHA</v>
      </c>
      <c r="T604" s="116">
        <v>463.71</v>
      </c>
      <c r="U604" s="122">
        <f t="shared" si="69"/>
        <v>7.4999999999363354E-3</v>
      </c>
    </row>
    <row r="605" spans="1:21" ht="89.25" x14ac:dyDescent="0.2">
      <c r="A605" s="120" t="s">
        <v>3522</v>
      </c>
      <c r="B605" s="114" t="s">
        <v>2273</v>
      </c>
      <c r="C605" s="114" t="s">
        <v>2274</v>
      </c>
      <c r="D605" s="114" t="s">
        <v>24</v>
      </c>
      <c r="E605" s="114" t="s">
        <v>1132</v>
      </c>
      <c r="F605" s="114" t="s">
        <v>84</v>
      </c>
      <c r="G605" s="115">
        <v>21</v>
      </c>
      <c r="H605" s="116">
        <v>8.9924999999999997</v>
      </c>
      <c r="I605" s="121">
        <v>0.2223</v>
      </c>
      <c r="J605" s="116">
        <f t="shared" si="63"/>
        <v>1.995000000000001</v>
      </c>
      <c r="K605" s="116">
        <v>10.987500000000001</v>
      </c>
      <c r="L605" s="116">
        <f t="shared" si="64"/>
        <v>188.8425</v>
      </c>
      <c r="M605" s="116">
        <f t="shared" si="65"/>
        <v>230.73750000000001</v>
      </c>
      <c r="N605" s="116">
        <v>14.65</v>
      </c>
      <c r="O605" s="116">
        <f t="shared" si="66"/>
        <v>3.6624999999999996</v>
      </c>
      <c r="P605" s="116">
        <f t="shared" si="67"/>
        <v>76.912499999999994</v>
      </c>
      <c r="Q605" s="116" t="s">
        <v>2332</v>
      </c>
      <c r="R605" s="116" t="s">
        <v>3523</v>
      </c>
      <c r="S605" s="116" t="str">
        <f t="shared" si="68"/>
        <v>OK - FECHA COM PLANILHA</v>
      </c>
      <c r="T605" s="116">
        <v>230.73</v>
      </c>
      <c r="U605" s="122">
        <f t="shared" si="69"/>
        <v>7.5000000000216005E-3</v>
      </c>
    </row>
    <row r="606" spans="1:21" ht="102" x14ac:dyDescent="0.2">
      <c r="A606" s="120" t="s">
        <v>3524</v>
      </c>
      <c r="B606" s="114" t="s">
        <v>2275</v>
      </c>
      <c r="C606" s="114" t="s">
        <v>2276</v>
      </c>
      <c r="D606" s="114" t="s">
        <v>24</v>
      </c>
      <c r="E606" s="114" t="s">
        <v>1134</v>
      </c>
      <c r="F606" s="114" t="s">
        <v>84</v>
      </c>
      <c r="G606" s="115">
        <v>5</v>
      </c>
      <c r="H606" s="116">
        <v>9.36</v>
      </c>
      <c r="I606" s="121">
        <v>0.2223</v>
      </c>
      <c r="J606" s="116">
        <f t="shared" si="63"/>
        <v>2.0775000000000006</v>
      </c>
      <c r="K606" s="116">
        <v>11.4375</v>
      </c>
      <c r="L606" s="116">
        <f t="shared" si="64"/>
        <v>46.8</v>
      </c>
      <c r="M606" s="116">
        <f t="shared" si="65"/>
        <v>57.1875</v>
      </c>
      <c r="N606" s="116">
        <v>15.25</v>
      </c>
      <c r="O606" s="116">
        <f t="shared" si="66"/>
        <v>3.8125</v>
      </c>
      <c r="P606" s="116">
        <f t="shared" si="67"/>
        <v>19.0625</v>
      </c>
      <c r="Q606" s="116" t="s">
        <v>2332</v>
      </c>
      <c r="R606" s="116" t="s">
        <v>3525</v>
      </c>
      <c r="S606" s="116" t="str">
        <f t="shared" si="68"/>
        <v>OK - FECHA COM PLANILHA</v>
      </c>
      <c r="T606" s="116">
        <v>57.18</v>
      </c>
      <c r="U606" s="122">
        <f t="shared" si="69"/>
        <v>7.5000000000002842E-3</v>
      </c>
    </row>
    <row r="607" spans="1:21" ht="63.75" x14ac:dyDescent="0.2">
      <c r="A607" s="120" t="s">
        <v>3526</v>
      </c>
      <c r="B607" s="114" t="s">
        <v>2277</v>
      </c>
      <c r="C607" s="114" t="s">
        <v>2278</v>
      </c>
      <c r="D607" s="114" t="s">
        <v>24</v>
      </c>
      <c r="E607" s="114" t="s">
        <v>1138</v>
      </c>
      <c r="F607" s="114" t="s">
        <v>84</v>
      </c>
      <c r="G607" s="115">
        <v>2</v>
      </c>
      <c r="H607" s="116">
        <v>46.477499999999999</v>
      </c>
      <c r="I607" s="121">
        <v>0.2223</v>
      </c>
      <c r="J607" s="116">
        <f t="shared" si="63"/>
        <v>10.327499999999993</v>
      </c>
      <c r="K607" s="116">
        <v>56.804999999999993</v>
      </c>
      <c r="L607" s="116">
        <f t="shared" si="64"/>
        <v>92.954999999999998</v>
      </c>
      <c r="M607" s="116">
        <f t="shared" si="65"/>
        <v>113.60999999999999</v>
      </c>
      <c r="N607" s="116">
        <v>75.739999999999995</v>
      </c>
      <c r="O607" s="116">
        <f t="shared" si="66"/>
        <v>18.935000000000002</v>
      </c>
      <c r="P607" s="116">
        <f t="shared" si="67"/>
        <v>37.870000000000005</v>
      </c>
      <c r="Q607" s="116" t="s">
        <v>2332</v>
      </c>
      <c r="R607" s="116" t="s">
        <v>3527</v>
      </c>
      <c r="S607" s="116" t="str">
        <f t="shared" si="68"/>
        <v>OK - FECHA COM PLANILHA</v>
      </c>
      <c r="T607" s="116">
        <v>113.61</v>
      </c>
      <c r="U607" s="122">
        <f t="shared" si="69"/>
        <v>0</v>
      </c>
    </row>
    <row r="608" spans="1:21" ht="63.75" x14ac:dyDescent="0.2">
      <c r="A608" s="120" t="s">
        <v>3528</v>
      </c>
      <c r="B608" s="114" t="s">
        <v>2279</v>
      </c>
      <c r="C608" s="114" t="s">
        <v>2280</v>
      </c>
      <c r="D608" s="114" t="s">
        <v>24</v>
      </c>
      <c r="E608" s="114" t="s">
        <v>1140</v>
      </c>
      <c r="F608" s="114" t="s">
        <v>84</v>
      </c>
      <c r="G608" s="115">
        <v>2</v>
      </c>
      <c r="H608" s="116">
        <v>63.554999999999993</v>
      </c>
      <c r="I608" s="121">
        <v>0.2223</v>
      </c>
      <c r="J608" s="116">
        <f t="shared" si="63"/>
        <v>14.122500000000002</v>
      </c>
      <c r="K608" s="116">
        <v>77.677499999999995</v>
      </c>
      <c r="L608" s="116">
        <f t="shared" si="64"/>
        <v>127.10999999999999</v>
      </c>
      <c r="M608" s="116">
        <f t="shared" si="65"/>
        <v>155.35499999999999</v>
      </c>
      <c r="N608" s="116">
        <v>103.57</v>
      </c>
      <c r="O608" s="116">
        <f t="shared" si="66"/>
        <v>25.892499999999998</v>
      </c>
      <c r="P608" s="116">
        <f t="shared" si="67"/>
        <v>51.784999999999997</v>
      </c>
      <c r="Q608" s="116" t="s">
        <v>2332</v>
      </c>
      <c r="R608" s="116" t="s">
        <v>3529</v>
      </c>
      <c r="S608" s="116" t="str">
        <f t="shared" si="68"/>
        <v>OK - FECHA COM PLANILHA</v>
      </c>
      <c r="T608" s="116">
        <v>155.35</v>
      </c>
      <c r="U608" s="122">
        <f t="shared" si="69"/>
        <v>4.9999999999954525E-3</v>
      </c>
    </row>
    <row r="609" spans="1:21" ht="63.75" x14ac:dyDescent="0.2">
      <c r="A609" s="120" t="s">
        <v>3530</v>
      </c>
      <c r="B609" s="114" t="s">
        <v>2281</v>
      </c>
      <c r="C609" s="114" t="s">
        <v>2282</v>
      </c>
      <c r="D609" s="114" t="s">
        <v>335</v>
      </c>
      <c r="E609" s="114" t="s">
        <v>1141</v>
      </c>
      <c r="F609" s="114" t="s">
        <v>84</v>
      </c>
      <c r="G609" s="115">
        <v>1</v>
      </c>
      <c r="H609" s="116">
        <v>1407.165</v>
      </c>
      <c r="I609" s="121">
        <v>0.2223</v>
      </c>
      <c r="J609" s="116">
        <f t="shared" si="63"/>
        <v>312.81000000000017</v>
      </c>
      <c r="K609" s="116">
        <v>1719.9750000000001</v>
      </c>
      <c r="L609" s="116">
        <f t="shared" si="64"/>
        <v>1407.165</v>
      </c>
      <c r="M609" s="116">
        <f t="shared" si="65"/>
        <v>1719.9750000000001</v>
      </c>
      <c r="N609" s="116">
        <v>2293.3000000000002</v>
      </c>
      <c r="O609" s="116">
        <f t="shared" si="66"/>
        <v>573.32500000000005</v>
      </c>
      <c r="P609" s="116">
        <f t="shared" si="67"/>
        <v>573.32500000000005</v>
      </c>
      <c r="Q609" s="116" t="s">
        <v>2589</v>
      </c>
      <c r="R609" s="116" t="s">
        <v>3531</v>
      </c>
      <c r="S609" s="116" t="str">
        <f t="shared" si="68"/>
        <v>OK - FECHA COM PLANILHA</v>
      </c>
      <c r="T609" s="116">
        <v>1719.97</v>
      </c>
      <c r="U609" s="122">
        <f t="shared" si="69"/>
        <v>5.0000000001091394E-3</v>
      </c>
    </row>
    <row r="610" spans="1:21" ht="63.75" x14ac:dyDescent="0.2">
      <c r="A610" s="120" t="s">
        <v>3532</v>
      </c>
      <c r="B610" s="114" t="s">
        <v>2283</v>
      </c>
      <c r="C610" s="114" t="s">
        <v>2284</v>
      </c>
      <c r="D610" s="114" t="s">
        <v>335</v>
      </c>
      <c r="E610" s="114" t="s">
        <v>1142</v>
      </c>
      <c r="F610" s="114" t="s">
        <v>84</v>
      </c>
      <c r="G610" s="115">
        <v>7</v>
      </c>
      <c r="H610" s="116">
        <v>79.792500000000004</v>
      </c>
      <c r="I610" s="121">
        <v>0.2223</v>
      </c>
      <c r="J610" s="116">
        <f t="shared" si="63"/>
        <v>17.737499999999997</v>
      </c>
      <c r="K610" s="116">
        <v>97.53</v>
      </c>
      <c r="L610" s="116">
        <f t="shared" si="64"/>
        <v>558.54750000000001</v>
      </c>
      <c r="M610" s="116">
        <f t="shared" si="65"/>
        <v>682.71</v>
      </c>
      <c r="N610" s="116">
        <v>130.04</v>
      </c>
      <c r="O610" s="116">
        <f t="shared" si="66"/>
        <v>32.509999999999991</v>
      </c>
      <c r="P610" s="116">
        <f t="shared" si="67"/>
        <v>227.56999999999994</v>
      </c>
      <c r="Q610" s="116" t="s">
        <v>2589</v>
      </c>
      <c r="R610" s="116" t="s">
        <v>3533</v>
      </c>
      <c r="S610" s="116" t="str">
        <f t="shared" si="68"/>
        <v>OK - FECHA COM PLANILHA</v>
      </c>
      <c r="T610" s="116">
        <v>682.71</v>
      </c>
      <c r="U610" s="122">
        <f t="shared" si="69"/>
        <v>0</v>
      </c>
    </row>
    <row r="611" spans="1:21" ht="76.5" x14ac:dyDescent="0.2">
      <c r="A611" s="120" t="s">
        <v>3534</v>
      </c>
      <c r="B611" s="114" t="s">
        <v>2285</v>
      </c>
      <c r="C611" s="114" t="s">
        <v>2286</v>
      </c>
      <c r="D611" s="114" t="s">
        <v>24</v>
      </c>
      <c r="E611" s="114" t="s">
        <v>1144</v>
      </c>
      <c r="F611" s="114" t="s">
        <v>99</v>
      </c>
      <c r="G611" s="115">
        <v>44.4</v>
      </c>
      <c r="H611" s="116">
        <v>26.587500000000002</v>
      </c>
      <c r="I611" s="121">
        <v>0.2223</v>
      </c>
      <c r="J611" s="116">
        <f t="shared" si="63"/>
        <v>5.91</v>
      </c>
      <c r="K611" s="116">
        <v>32.497500000000002</v>
      </c>
      <c r="L611" s="116">
        <f t="shared" si="64"/>
        <v>1180.4850000000001</v>
      </c>
      <c r="M611" s="116">
        <f t="shared" si="65"/>
        <v>1442.8890000000001</v>
      </c>
      <c r="N611" s="116">
        <v>43.33</v>
      </c>
      <c r="O611" s="116">
        <f t="shared" si="66"/>
        <v>10.832499999999996</v>
      </c>
      <c r="P611" s="116">
        <f t="shared" si="67"/>
        <v>480.96299999999979</v>
      </c>
      <c r="Q611" s="116" t="s">
        <v>2332</v>
      </c>
      <c r="R611" s="116" t="s">
        <v>3535</v>
      </c>
      <c r="S611" s="116" t="str">
        <f t="shared" si="68"/>
        <v>OK - FECHA COM PLANILHA</v>
      </c>
      <c r="T611" s="116">
        <v>1442.88</v>
      </c>
      <c r="U611" s="122">
        <f t="shared" si="69"/>
        <v>9.0000000000145519E-3</v>
      </c>
    </row>
    <row r="612" spans="1:21" ht="63.75" x14ac:dyDescent="0.2">
      <c r="A612" s="120" t="s">
        <v>3536</v>
      </c>
      <c r="B612" s="114" t="s">
        <v>2287</v>
      </c>
      <c r="C612" s="114" t="s">
        <v>2288</v>
      </c>
      <c r="D612" s="114" t="s">
        <v>335</v>
      </c>
      <c r="E612" s="114" t="s">
        <v>1145</v>
      </c>
      <c r="F612" s="114" t="s">
        <v>99</v>
      </c>
      <c r="G612" s="115">
        <v>48.9</v>
      </c>
      <c r="H612" s="116">
        <v>10.17</v>
      </c>
      <c r="I612" s="121">
        <v>0.2223</v>
      </c>
      <c r="J612" s="116">
        <f t="shared" si="63"/>
        <v>2.2575000000000003</v>
      </c>
      <c r="K612" s="116">
        <v>12.4275</v>
      </c>
      <c r="L612" s="116">
        <f t="shared" si="64"/>
        <v>497.31299999999999</v>
      </c>
      <c r="M612" s="116">
        <f t="shared" si="65"/>
        <v>607.70474999999999</v>
      </c>
      <c r="N612" s="116">
        <v>16.57</v>
      </c>
      <c r="O612" s="116">
        <f t="shared" si="66"/>
        <v>4.1425000000000001</v>
      </c>
      <c r="P612" s="116">
        <f t="shared" si="67"/>
        <v>202.56825000000001</v>
      </c>
      <c r="Q612" s="116" t="s">
        <v>2589</v>
      </c>
      <c r="R612" s="116" t="s">
        <v>3537</v>
      </c>
      <c r="S612" s="116" t="str">
        <f t="shared" si="68"/>
        <v>OK - FECHA COM PLANILHA</v>
      </c>
      <c r="T612" s="116">
        <v>607.70000000000005</v>
      </c>
      <c r="U612" s="122">
        <f t="shared" si="69"/>
        <v>4.7499999999445208E-3</v>
      </c>
    </row>
    <row r="613" spans="1:21" ht="63.75" x14ac:dyDescent="0.2">
      <c r="A613" s="120" t="s">
        <v>3538</v>
      </c>
      <c r="B613" s="114" t="s">
        <v>2289</v>
      </c>
      <c r="C613" s="114" t="s">
        <v>2155</v>
      </c>
      <c r="D613" s="114" t="s">
        <v>56</v>
      </c>
      <c r="E613" s="114" t="s">
        <v>1044</v>
      </c>
      <c r="F613" s="114" t="s">
        <v>99</v>
      </c>
      <c r="G613" s="115">
        <v>44.4</v>
      </c>
      <c r="H613" s="116">
        <v>11.842499999999999</v>
      </c>
      <c r="I613" s="121">
        <v>0.2223</v>
      </c>
      <c r="J613" s="116">
        <f t="shared" si="63"/>
        <v>2.6325000000000021</v>
      </c>
      <c r="K613" s="116">
        <v>14.475000000000001</v>
      </c>
      <c r="L613" s="116">
        <f t="shared" si="64"/>
        <v>525.8069999999999</v>
      </c>
      <c r="M613" s="116">
        <f t="shared" si="65"/>
        <v>642.69000000000005</v>
      </c>
      <c r="N613" s="116">
        <v>19.3</v>
      </c>
      <c r="O613" s="116">
        <f t="shared" si="66"/>
        <v>4.8249999999999993</v>
      </c>
      <c r="P613" s="116">
        <f t="shared" si="67"/>
        <v>214.22999999999996</v>
      </c>
      <c r="Q613" s="116" t="s">
        <v>2349</v>
      </c>
      <c r="R613" s="116" t="s">
        <v>3539</v>
      </c>
      <c r="S613" s="116" t="str">
        <f t="shared" si="68"/>
        <v>OK - FECHA COM PLANILHA</v>
      </c>
      <c r="T613" s="116">
        <v>642.69000000000005</v>
      </c>
      <c r="U613" s="122">
        <f t="shared" si="69"/>
        <v>0</v>
      </c>
    </row>
    <row r="614" spans="1:21" ht="127.5" x14ac:dyDescent="0.2">
      <c r="A614" s="120" t="s">
        <v>3540</v>
      </c>
      <c r="B614" s="114" t="s">
        <v>2290</v>
      </c>
      <c r="C614" s="114" t="s">
        <v>2291</v>
      </c>
      <c r="D614" s="114" t="s">
        <v>24</v>
      </c>
      <c r="E614" s="114" t="s">
        <v>1150</v>
      </c>
      <c r="F614" s="114" t="s">
        <v>26</v>
      </c>
      <c r="G614" s="115">
        <v>77.989999999999995</v>
      </c>
      <c r="H614" s="116">
        <v>17.085000000000001</v>
      </c>
      <c r="I614" s="121">
        <v>0.2223</v>
      </c>
      <c r="J614" s="116">
        <f t="shared" si="63"/>
        <v>3.7949999999999982</v>
      </c>
      <c r="K614" s="116">
        <v>20.88</v>
      </c>
      <c r="L614" s="116">
        <f t="shared" si="64"/>
        <v>1332.4591499999999</v>
      </c>
      <c r="M614" s="116">
        <f t="shared" si="65"/>
        <v>1628.4311999999998</v>
      </c>
      <c r="N614" s="116">
        <v>27.84</v>
      </c>
      <c r="O614" s="116">
        <f t="shared" si="66"/>
        <v>6.9600000000000009</v>
      </c>
      <c r="P614" s="116">
        <f t="shared" si="67"/>
        <v>542.81040000000007</v>
      </c>
      <c r="Q614" s="116" t="s">
        <v>2332</v>
      </c>
      <c r="R614" s="116" t="s">
        <v>3541</v>
      </c>
      <c r="S614" s="116" t="str">
        <f t="shared" si="68"/>
        <v>OK - FECHA COM PLANILHA</v>
      </c>
      <c r="T614" s="116">
        <v>1628.43</v>
      </c>
      <c r="U614" s="122">
        <f t="shared" si="69"/>
        <v>1.1999999996987754E-3</v>
      </c>
    </row>
    <row r="615" spans="1:21" ht="63.75" x14ac:dyDescent="0.2">
      <c r="A615" s="120" t="s">
        <v>3542</v>
      </c>
      <c r="B615" s="114" t="s">
        <v>2292</v>
      </c>
      <c r="C615" s="114" t="s">
        <v>2293</v>
      </c>
      <c r="D615" s="114" t="s">
        <v>56</v>
      </c>
      <c r="E615" s="114" t="s">
        <v>1151</v>
      </c>
      <c r="F615" s="114" t="s">
        <v>26</v>
      </c>
      <c r="G615" s="115">
        <v>41.777000000000001</v>
      </c>
      <c r="H615" s="116">
        <v>9.3149999999999995</v>
      </c>
      <c r="I615" s="121">
        <v>0.2223</v>
      </c>
      <c r="J615" s="116">
        <f t="shared" si="63"/>
        <v>2.0700000000000003</v>
      </c>
      <c r="K615" s="116">
        <v>11.385</v>
      </c>
      <c r="L615" s="116">
        <f t="shared" si="64"/>
        <v>389.15275500000001</v>
      </c>
      <c r="M615" s="116">
        <f t="shared" si="65"/>
        <v>475.631145</v>
      </c>
      <c r="N615" s="116">
        <v>15.18</v>
      </c>
      <c r="O615" s="116">
        <f t="shared" si="66"/>
        <v>3.7949999999999999</v>
      </c>
      <c r="P615" s="116">
        <f t="shared" si="67"/>
        <v>158.54371499999999</v>
      </c>
      <c r="Q615" s="116" t="s">
        <v>2349</v>
      </c>
      <c r="R615" s="116" t="s">
        <v>3543</v>
      </c>
      <c r="S615" s="116" t="str">
        <f t="shared" si="68"/>
        <v>OK - FECHA COM PLANILHA</v>
      </c>
      <c r="T615" s="116">
        <v>475.63</v>
      </c>
      <c r="U615" s="122">
        <f t="shared" si="69"/>
        <v>1.1450000000081673E-3</v>
      </c>
    </row>
    <row r="616" spans="1:21" ht="63.75" x14ac:dyDescent="0.2">
      <c r="A616" s="120" t="s">
        <v>3544</v>
      </c>
      <c r="B616" s="114" t="s">
        <v>2294</v>
      </c>
      <c r="C616" s="114" t="s">
        <v>2295</v>
      </c>
      <c r="D616" s="114" t="s">
        <v>56</v>
      </c>
      <c r="E616" s="114" t="s">
        <v>1152</v>
      </c>
      <c r="F616" s="114" t="s">
        <v>118</v>
      </c>
      <c r="G616" s="115">
        <v>4.1779999999999999</v>
      </c>
      <c r="H616" s="116">
        <v>127.56</v>
      </c>
      <c r="I616" s="121">
        <v>0.2223</v>
      </c>
      <c r="J616" s="116">
        <f t="shared" si="63"/>
        <v>28.349999999999994</v>
      </c>
      <c r="K616" s="116">
        <v>155.91</v>
      </c>
      <c r="L616" s="116">
        <f t="shared" si="64"/>
        <v>532.94568000000004</v>
      </c>
      <c r="M616" s="116">
        <f t="shared" si="65"/>
        <v>651.39197999999999</v>
      </c>
      <c r="N616" s="116">
        <v>207.88</v>
      </c>
      <c r="O616" s="116">
        <f t="shared" si="66"/>
        <v>51.97</v>
      </c>
      <c r="P616" s="116">
        <f t="shared" si="67"/>
        <v>217.13066000000001</v>
      </c>
      <c r="Q616" s="116" t="s">
        <v>2349</v>
      </c>
      <c r="R616" s="116" t="s">
        <v>3545</v>
      </c>
      <c r="S616" s="116" t="str">
        <f t="shared" si="68"/>
        <v>OK - FECHA COM PLANILHA</v>
      </c>
      <c r="T616" s="116">
        <v>651.39</v>
      </c>
      <c r="U616" s="122">
        <f t="shared" si="69"/>
        <v>1.9800000000032014E-3</v>
      </c>
    </row>
    <row r="617" spans="1:21" ht="63.75" x14ac:dyDescent="0.2">
      <c r="A617" s="120" t="s">
        <v>3546</v>
      </c>
      <c r="B617" s="114" t="s">
        <v>2296</v>
      </c>
      <c r="C617" s="114" t="s">
        <v>1153</v>
      </c>
      <c r="D617" s="114" t="s">
        <v>24</v>
      </c>
      <c r="E617" s="114" t="s">
        <v>1154</v>
      </c>
      <c r="F617" s="114" t="s">
        <v>118</v>
      </c>
      <c r="G617" s="115">
        <v>30.315000000000001</v>
      </c>
      <c r="H617" s="116">
        <v>294.78000000000003</v>
      </c>
      <c r="I617" s="121">
        <v>0.2223</v>
      </c>
      <c r="J617" s="116">
        <f t="shared" si="63"/>
        <v>65.527499999999975</v>
      </c>
      <c r="K617" s="116">
        <v>360.3075</v>
      </c>
      <c r="L617" s="116">
        <f t="shared" si="64"/>
        <v>8936.2557000000015</v>
      </c>
      <c r="M617" s="116">
        <f t="shared" si="65"/>
        <v>10922.7218625</v>
      </c>
      <c r="N617" s="116">
        <v>480.41</v>
      </c>
      <c r="O617" s="116">
        <f t="shared" si="66"/>
        <v>120.10250000000002</v>
      </c>
      <c r="P617" s="116">
        <f t="shared" si="67"/>
        <v>3640.9072875000006</v>
      </c>
      <c r="Q617" s="116" t="s">
        <v>2332</v>
      </c>
      <c r="R617" s="116" t="s">
        <v>3547</v>
      </c>
      <c r="S617" s="116" t="str">
        <f t="shared" si="68"/>
        <v>OK - FECHA COM PLANILHA</v>
      </c>
      <c r="T617" s="116">
        <v>10922.72</v>
      </c>
      <c r="U617" s="122">
        <f t="shared" si="69"/>
        <v>1.8625000011525117E-3</v>
      </c>
    </row>
    <row r="618" spans="1:21" ht="63.75" x14ac:dyDescent="0.2">
      <c r="A618" s="120" t="s">
        <v>3548</v>
      </c>
      <c r="B618" s="114" t="s">
        <v>2297</v>
      </c>
      <c r="C618" s="114" t="s">
        <v>2298</v>
      </c>
      <c r="D618" s="114" t="s">
        <v>56</v>
      </c>
      <c r="E618" s="114" t="s">
        <v>1157</v>
      </c>
      <c r="F618" s="114" t="s">
        <v>26</v>
      </c>
      <c r="G618" s="115">
        <v>161.26300000000001</v>
      </c>
      <c r="H618" s="116">
        <v>28.5075</v>
      </c>
      <c r="I618" s="121">
        <v>0.2223</v>
      </c>
      <c r="J618" s="116">
        <f t="shared" si="63"/>
        <v>6.3300000000000054</v>
      </c>
      <c r="K618" s="116">
        <v>34.837500000000006</v>
      </c>
      <c r="L618" s="116">
        <f t="shared" si="64"/>
        <v>4597.2049725000006</v>
      </c>
      <c r="M618" s="116">
        <f t="shared" si="65"/>
        <v>5617.9997625000015</v>
      </c>
      <c r="N618" s="116">
        <v>46.45</v>
      </c>
      <c r="O618" s="116">
        <f t="shared" si="66"/>
        <v>11.612499999999997</v>
      </c>
      <c r="P618" s="116">
        <f t="shared" si="67"/>
        <v>1872.6665874999997</v>
      </c>
      <c r="Q618" s="116" t="s">
        <v>2349</v>
      </c>
      <c r="R618" s="116" t="s">
        <v>3549</v>
      </c>
      <c r="S618" s="116" t="str">
        <f t="shared" si="68"/>
        <v>OK - FECHA COM PLANILHA</v>
      </c>
      <c r="T618" s="116">
        <v>5617.99</v>
      </c>
      <c r="U618" s="122">
        <f t="shared" si="69"/>
        <v>9.7625000016705599E-3</v>
      </c>
    </row>
    <row r="619" spans="1:21" ht="63.75" x14ac:dyDescent="0.2">
      <c r="A619" s="120" t="s">
        <v>3550</v>
      </c>
      <c r="B619" s="114" t="s">
        <v>2299</v>
      </c>
      <c r="C619" s="114" t="s">
        <v>2300</v>
      </c>
      <c r="D619" s="114" t="s">
        <v>56</v>
      </c>
      <c r="E619" s="114" t="s">
        <v>1158</v>
      </c>
      <c r="F619" s="114" t="s">
        <v>84</v>
      </c>
      <c r="G619" s="115">
        <v>83</v>
      </c>
      <c r="H619" s="116">
        <v>48.592500000000001</v>
      </c>
      <c r="I619" s="121">
        <v>0.2223</v>
      </c>
      <c r="J619" s="116">
        <f t="shared" si="63"/>
        <v>10.799999999999997</v>
      </c>
      <c r="K619" s="116">
        <v>59.392499999999998</v>
      </c>
      <c r="L619" s="116">
        <f t="shared" si="64"/>
        <v>4033.1775000000002</v>
      </c>
      <c r="M619" s="116">
        <f t="shared" si="65"/>
        <v>4929.5774999999994</v>
      </c>
      <c r="N619" s="116">
        <v>79.19</v>
      </c>
      <c r="O619" s="116">
        <f t="shared" si="66"/>
        <v>19.797499999999999</v>
      </c>
      <c r="P619" s="116">
        <f t="shared" si="67"/>
        <v>1643.1924999999999</v>
      </c>
      <c r="Q619" s="116" t="s">
        <v>2349</v>
      </c>
      <c r="R619" s="116" t="s">
        <v>3551</v>
      </c>
      <c r="S619" s="116" t="str">
        <f t="shared" si="68"/>
        <v>OK - FECHA COM PLANILHA</v>
      </c>
      <c r="T619" s="116">
        <v>4929.57</v>
      </c>
      <c r="U619" s="122">
        <f t="shared" si="69"/>
        <v>7.4999999997089617E-3</v>
      </c>
    </row>
    <row r="620" spans="1:21" ht="63.75" x14ac:dyDescent="0.2">
      <c r="A620" s="120" t="s">
        <v>3552</v>
      </c>
      <c r="B620" s="114" t="s">
        <v>2301</v>
      </c>
      <c r="C620" s="114" t="s">
        <v>2302</v>
      </c>
      <c r="D620" s="114" t="s">
        <v>56</v>
      </c>
      <c r="E620" s="114" t="s">
        <v>1159</v>
      </c>
      <c r="F620" s="114" t="s">
        <v>84</v>
      </c>
      <c r="G620" s="115">
        <v>16</v>
      </c>
      <c r="H620" s="116">
        <v>71.977499999999992</v>
      </c>
      <c r="I620" s="121">
        <v>0.2223</v>
      </c>
      <c r="J620" s="116">
        <f t="shared" si="63"/>
        <v>15.997500000000002</v>
      </c>
      <c r="K620" s="116">
        <v>87.974999999999994</v>
      </c>
      <c r="L620" s="116">
        <f t="shared" si="64"/>
        <v>1151.6399999999999</v>
      </c>
      <c r="M620" s="116">
        <f t="shared" si="65"/>
        <v>1407.6</v>
      </c>
      <c r="N620" s="116">
        <v>117.3</v>
      </c>
      <c r="O620" s="116">
        <f t="shared" si="66"/>
        <v>29.325000000000003</v>
      </c>
      <c r="P620" s="116">
        <f t="shared" si="67"/>
        <v>469.20000000000005</v>
      </c>
      <c r="Q620" s="116" t="s">
        <v>2349</v>
      </c>
      <c r="R620" s="116" t="s">
        <v>3553</v>
      </c>
      <c r="S620" s="116" t="str">
        <f t="shared" si="68"/>
        <v>OK - FECHA COM PLANILHA</v>
      </c>
      <c r="T620" s="116">
        <v>1407.6</v>
      </c>
      <c r="U620" s="122">
        <f t="shared" si="69"/>
        <v>0</v>
      </c>
    </row>
    <row r="621" spans="1:21" ht="63.75" x14ac:dyDescent="0.2">
      <c r="A621" s="123" t="s">
        <v>3554</v>
      </c>
      <c r="B621" s="124" t="s">
        <v>2303</v>
      </c>
      <c r="C621" s="124" t="s">
        <v>2304</v>
      </c>
      <c r="D621" s="124" t="s">
        <v>56</v>
      </c>
      <c r="E621" s="124" t="s">
        <v>1160</v>
      </c>
      <c r="F621" s="124" t="s">
        <v>26</v>
      </c>
      <c r="G621" s="125">
        <v>483.697</v>
      </c>
      <c r="H621" s="126">
        <v>19.012500000000003</v>
      </c>
      <c r="I621" s="127">
        <v>0.2223</v>
      </c>
      <c r="J621" s="126">
        <f t="shared" si="63"/>
        <v>4.2224999999999966</v>
      </c>
      <c r="K621" s="126">
        <v>23.234999999999999</v>
      </c>
      <c r="L621" s="126">
        <f t="shared" si="64"/>
        <v>9196.2892125000017</v>
      </c>
      <c r="M621" s="126">
        <f t="shared" si="65"/>
        <v>11238.699795</v>
      </c>
      <c r="N621" s="126">
        <v>30.98</v>
      </c>
      <c r="O621" s="126">
        <f t="shared" si="66"/>
        <v>7.745000000000001</v>
      </c>
      <c r="P621" s="126">
        <f t="shared" si="67"/>
        <v>3746.2332650000003</v>
      </c>
      <c r="Q621" s="126" t="s">
        <v>2349</v>
      </c>
      <c r="R621" s="126" t="s">
        <v>3555</v>
      </c>
      <c r="S621" s="126" t="str">
        <f t="shared" si="68"/>
        <v>OK - FECHA COM PLANILHA</v>
      </c>
      <c r="T621" s="126">
        <v>11238.69</v>
      </c>
      <c r="U621" s="128">
        <f t="shared" si="69"/>
        <v>9.7949999999400461E-3</v>
      </c>
    </row>
  </sheetData>
  <mergeCells count="1">
    <mergeCell ref="A1:D1"/>
  </mergeCells>
  <conditionalFormatting sqref="S3:S621">
    <cfRule type="expression" dxfId="1" priority="1">
      <formula>$S3="OK - FECHA COM PLANILHA"</formula>
    </cfRule>
    <cfRule type="expression" dxfId="0" priority="2">
      <formula>$S3="REVISAR"</formula>
    </cfRule>
  </conditionalFormatting>
  <pageMargins left="0.7" right="0.7" top="0.75" bottom="0.75" header="0.3" footer="0.3"/>
  <drawing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510"/>
  <sheetViews>
    <sheetView topLeftCell="A507" workbookViewId="0">
      <selection activeCell="I517" sqref="I517"/>
    </sheetView>
  </sheetViews>
  <sheetFormatPr defaultRowHeight="12.75" x14ac:dyDescent="0.2"/>
  <cols>
    <col min="5" max="5" width="55" customWidth="1"/>
    <col min="7" max="7" width="13.1640625" customWidth="1"/>
    <col min="9" max="9" width="36" customWidth="1"/>
    <col min="17" max="17" width="15" customWidth="1"/>
    <col min="18" max="20" width="28" hidden="1" customWidth="1"/>
  </cols>
  <sheetData>
    <row r="1" spans="1:20" ht="57.75" customHeight="1" x14ac:dyDescent="0.2">
      <c r="A1" s="251"/>
      <c r="B1" s="251"/>
      <c r="C1" s="251"/>
      <c r="D1" s="251"/>
    </row>
    <row r="2" spans="1:20" ht="30" customHeight="1" x14ac:dyDescent="0.2">
      <c r="A2" s="113" t="s">
        <v>2316</v>
      </c>
      <c r="B2" s="113" t="s">
        <v>8</v>
      </c>
      <c r="C2" s="113" t="s">
        <v>9</v>
      </c>
      <c r="D2" s="113" t="s">
        <v>10</v>
      </c>
      <c r="E2" s="113" t="s">
        <v>11</v>
      </c>
      <c r="F2" s="113" t="s">
        <v>3556</v>
      </c>
      <c r="G2" s="113" t="s">
        <v>3557</v>
      </c>
      <c r="H2" s="113" t="s">
        <v>3558</v>
      </c>
      <c r="I2" s="113" t="s">
        <v>3559</v>
      </c>
      <c r="J2" s="113" t="s">
        <v>3560</v>
      </c>
      <c r="K2" s="113" t="s">
        <v>3561</v>
      </c>
      <c r="L2" s="113" t="s">
        <v>3562</v>
      </c>
      <c r="M2" s="113" t="s">
        <v>3563</v>
      </c>
      <c r="N2" s="113" t="s">
        <v>2319</v>
      </c>
      <c r="O2" s="113" t="s">
        <v>3564</v>
      </c>
      <c r="P2" s="113" t="s">
        <v>2321</v>
      </c>
      <c r="Q2" s="113" t="s">
        <v>3565</v>
      </c>
      <c r="R2" s="113" t="s">
        <v>3566</v>
      </c>
      <c r="S2" s="110" t="s">
        <v>3567</v>
      </c>
      <c r="T2" s="110" t="s">
        <v>3568</v>
      </c>
    </row>
    <row r="3" spans="1:20" ht="51" x14ac:dyDescent="0.2">
      <c r="A3" s="114" t="s">
        <v>3569</v>
      </c>
      <c r="B3" s="114" t="s">
        <v>165</v>
      </c>
      <c r="C3" s="114" t="s">
        <v>1373</v>
      </c>
      <c r="D3" s="114" t="s">
        <v>56</v>
      </c>
      <c r="E3" s="114" t="s">
        <v>166</v>
      </c>
      <c r="F3" s="114" t="s">
        <v>99</v>
      </c>
      <c r="G3" s="115">
        <v>1795</v>
      </c>
      <c r="H3" s="114">
        <v>1</v>
      </c>
      <c r="I3" s="114" t="s">
        <v>3570</v>
      </c>
      <c r="J3" s="114" t="s">
        <v>99</v>
      </c>
      <c r="K3" s="115">
        <v>1</v>
      </c>
      <c r="L3" s="116">
        <v>210.70499999999998</v>
      </c>
      <c r="M3" s="116">
        <f>K3*L3</f>
        <v>210.70499999999998</v>
      </c>
      <c r="N3" s="116">
        <v>0.2223</v>
      </c>
      <c r="O3" s="116">
        <f>P3-M3</f>
        <v>46.837500000000034</v>
      </c>
      <c r="P3" s="116">
        <v>257.54250000000002</v>
      </c>
      <c r="Q3" s="116">
        <f>G3*P3</f>
        <v>462288.78750000003</v>
      </c>
      <c r="R3" s="114" t="s">
        <v>2349</v>
      </c>
      <c r="S3" s="108" t="s">
        <v>3571</v>
      </c>
      <c r="T3" s="108" t="s">
        <v>3572</v>
      </c>
    </row>
    <row r="4" spans="1:20" ht="51" x14ac:dyDescent="0.2">
      <c r="A4" s="114" t="s">
        <v>3569</v>
      </c>
      <c r="B4" s="114" t="s">
        <v>165</v>
      </c>
      <c r="C4" s="114" t="s">
        <v>1373</v>
      </c>
      <c r="D4" s="114" t="s">
        <v>56</v>
      </c>
      <c r="E4" s="114" t="s">
        <v>166</v>
      </c>
      <c r="F4" s="114" t="s">
        <v>99</v>
      </c>
      <c r="G4" s="115">
        <v>1795</v>
      </c>
      <c r="H4" s="114">
        <v>2</v>
      </c>
      <c r="I4" s="114" t="s">
        <v>3573</v>
      </c>
      <c r="J4" s="114" t="s">
        <v>1283</v>
      </c>
      <c r="K4" s="115">
        <v>0.2223</v>
      </c>
      <c r="L4" s="116">
        <v>210.70499999999998</v>
      </c>
      <c r="M4" s="116">
        <v>0</v>
      </c>
      <c r="N4" s="116">
        <v>0.2223</v>
      </c>
      <c r="O4" s="116">
        <f>O3</f>
        <v>46.837500000000034</v>
      </c>
      <c r="P4" s="116"/>
      <c r="Q4" s="116"/>
      <c r="R4" s="114" t="s">
        <v>3574</v>
      </c>
      <c r="S4" s="108" t="s">
        <v>3575</v>
      </c>
      <c r="T4" s="108" t="s">
        <v>3576</v>
      </c>
    </row>
    <row r="5" spans="1:20" ht="51" x14ac:dyDescent="0.2">
      <c r="A5" s="114" t="s">
        <v>3569</v>
      </c>
      <c r="B5" s="114" t="s">
        <v>165</v>
      </c>
      <c r="C5" s="114" t="s">
        <v>1373</v>
      </c>
      <c r="D5" s="114" t="s">
        <v>56</v>
      </c>
      <c r="E5" s="114" t="s">
        <v>166</v>
      </c>
      <c r="F5" s="114" t="s">
        <v>99</v>
      </c>
      <c r="G5" s="115">
        <v>1795</v>
      </c>
      <c r="H5" s="114">
        <v>3</v>
      </c>
      <c r="I5" s="114" t="s">
        <v>3577</v>
      </c>
      <c r="J5" s="114"/>
      <c r="K5" s="115"/>
      <c r="L5" s="116"/>
      <c r="M5" s="116"/>
      <c r="N5" s="116"/>
      <c r="O5" s="116"/>
      <c r="P5" s="116"/>
      <c r="Q5" s="116"/>
      <c r="R5" s="114" t="s">
        <v>3578</v>
      </c>
      <c r="S5" s="108" t="s">
        <v>3579</v>
      </c>
      <c r="T5" s="108" t="s">
        <v>3580</v>
      </c>
    </row>
    <row r="6" spans="1:20" ht="51" x14ac:dyDescent="0.2">
      <c r="A6" s="114" t="s">
        <v>3569</v>
      </c>
      <c r="B6" s="114" t="s">
        <v>165</v>
      </c>
      <c r="C6" s="114" t="s">
        <v>1373</v>
      </c>
      <c r="D6" s="114" t="s">
        <v>56</v>
      </c>
      <c r="E6" s="114" t="s">
        <v>166</v>
      </c>
      <c r="F6" s="114" t="s">
        <v>99</v>
      </c>
      <c r="G6" s="115">
        <v>1795</v>
      </c>
      <c r="H6" s="114">
        <v>4</v>
      </c>
      <c r="I6" s="114" t="s">
        <v>3581</v>
      </c>
      <c r="J6" s="114"/>
      <c r="K6" s="115"/>
      <c r="L6" s="116"/>
      <c r="M6" s="116"/>
      <c r="N6" s="116"/>
      <c r="O6" s="116"/>
      <c r="P6" s="116"/>
      <c r="Q6" s="116"/>
      <c r="R6" s="114" t="s">
        <v>3578</v>
      </c>
      <c r="S6" s="108" t="s">
        <v>3579</v>
      </c>
      <c r="T6" s="108" t="s">
        <v>3580</v>
      </c>
    </row>
    <row r="7" spans="1:20" ht="51" x14ac:dyDescent="0.2">
      <c r="A7" s="114" t="s">
        <v>3582</v>
      </c>
      <c r="B7" s="114" t="s">
        <v>2067</v>
      </c>
      <c r="C7" s="114" t="s">
        <v>979</v>
      </c>
      <c r="D7" s="114" t="s">
        <v>209</v>
      </c>
      <c r="E7" s="114" t="s">
        <v>2068</v>
      </c>
      <c r="F7" s="114" t="s">
        <v>99</v>
      </c>
      <c r="G7" s="115">
        <v>631.20000000000005</v>
      </c>
      <c r="H7" s="114">
        <v>1</v>
      </c>
      <c r="I7" s="114" t="s">
        <v>3570</v>
      </c>
      <c r="J7" s="114" t="s">
        <v>99</v>
      </c>
      <c r="K7" s="115">
        <v>1</v>
      </c>
      <c r="L7" s="116">
        <v>339.13499999999999</v>
      </c>
      <c r="M7" s="116">
        <f>K7*L7</f>
        <v>339.13499999999999</v>
      </c>
      <c r="N7" s="116">
        <v>0.2223</v>
      </c>
      <c r="O7" s="116">
        <f>P7-M7</f>
        <v>75.38250000000005</v>
      </c>
      <c r="P7" s="116">
        <v>414.51750000000004</v>
      </c>
      <c r="Q7" s="116">
        <f>G7*P7</f>
        <v>261643.44600000005</v>
      </c>
      <c r="R7" s="114" t="s">
        <v>3583</v>
      </c>
      <c r="S7" s="108" t="s">
        <v>3584</v>
      </c>
      <c r="T7" s="108" t="s">
        <v>3572</v>
      </c>
    </row>
    <row r="8" spans="1:20" ht="51" x14ac:dyDescent="0.2">
      <c r="A8" s="114" t="s">
        <v>3582</v>
      </c>
      <c r="B8" s="114" t="s">
        <v>2067</v>
      </c>
      <c r="C8" s="114" t="s">
        <v>979</v>
      </c>
      <c r="D8" s="114" t="s">
        <v>209</v>
      </c>
      <c r="E8" s="114" t="s">
        <v>2068</v>
      </c>
      <c r="F8" s="114" t="s">
        <v>99</v>
      </c>
      <c r="G8" s="115">
        <v>631.20000000000005</v>
      </c>
      <c r="H8" s="114">
        <v>2</v>
      </c>
      <c r="I8" s="114" t="s">
        <v>3573</v>
      </c>
      <c r="J8" s="114" t="s">
        <v>1283</v>
      </c>
      <c r="K8" s="115">
        <v>0.2223</v>
      </c>
      <c r="L8" s="116">
        <v>339.13499999999999</v>
      </c>
      <c r="M8" s="116">
        <v>0</v>
      </c>
      <c r="N8" s="116">
        <v>0.2223</v>
      </c>
      <c r="O8" s="116">
        <f>O7</f>
        <v>75.38250000000005</v>
      </c>
      <c r="P8" s="116"/>
      <c r="Q8" s="116"/>
      <c r="R8" s="114" t="s">
        <v>3574</v>
      </c>
      <c r="S8" s="108" t="s">
        <v>3575</v>
      </c>
      <c r="T8" s="108" t="s">
        <v>3576</v>
      </c>
    </row>
    <row r="9" spans="1:20" ht="51" x14ac:dyDescent="0.2">
      <c r="A9" s="114" t="s">
        <v>3582</v>
      </c>
      <c r="B9" s="114" t="s">
        <v>2067</v>
      </c>
      <c r="C9" s="114" t="s">
        <v>979</v>
      </c>
      <c r="D9" s="114" t="s">
        <v>209</v>
      </c>
      <c r="E9" s="114" t="s">
        <v>2068</v>
      </c>
      <c r="F9" s="114" t="s">
        <v>99</v>
      </c>
      <c r="G9" s="115">
        <v>631.20000000000005</v>
      </c>
      <c r="H9" s="114">
        <v>3</v>
      </c>
      <c r="I9" s="114" t="s">
        <v>3577</v>
      </c>
      <c r="J9" s="114"/>
      <c r="K9" s="115"/>
      <c r="L9" s="116"/>
      <c r="M9" s="116"/>
      <c r="N9" s="116"/>
      <c r="O9" s="116"/>
      <c r="P9" s="116"/>
      <c r="Q9" s="116"/>
      <c r="R9" s="114" t="s">
        <v>3578</v>
      </c>
      <c r="S9" s="108" t="s">
        <v>3579</v>
      </c>
      <c r="T9" s="108" t="s">
        <v>3580</v>
      </c>
    </row>
    <row r="10" spans="1:20" ht="51" x14ac:dyDescent="0.2">
      <c r="A10" s="114" t="s">
        <v>3582</v>
      </c>
      <c r="B10" s="114" t="s">
        <v>2067</v>
      </c>
      <c r="C10" s="114" t="s">
        <v>979</v>
      </c>
      <c r="D10" s="114" t="s">
        <v>209</v>
      </c>
      <c r="E10" s="114" t="s">
        <v>2068</v>
      </c>
      <c r="F10" s="114" t="s">
        <v>99</v>
      </c>
      <c r="G10" s="115">
        <v>631.20000000000005</v>
      </c>
      <c r="H10" s="114">
        <v>4</v>
      </c>
      <c r="I10" s="114" t="s">
        <v>3581</v>
      </c>
      <c r="J10" s="114"/>
      <c r="K10" s="115"/>
      <c r="L10" s="116"/>
      <c r="M10" s="116"/>
      <c r="N10" s="116"/>
      <c r="O10" s="116"/>
      <c r="P10" s="116"/>
      <c r="Q10" s="116"/>
      <c r="R10" s="114" t="s">
        <v>3578</v>
      </c>
      <c r="S10" s="108" t="s">
        <v>3579</v>
      </c>
      <c r="T10" s="108" t="s">
        <v>3580</v>
      </c>
    </row>
    <row r="11" spans="1:20" ht="114.75" x14ac:dyDescent="0.2">
      <c r="A11" s="114" t="s">
        <v>3585</v>
      </c>
      <c r="B11" s="114" t="s">
        <v>372</v>
      </c>
      <c r="C11" s="114" t="s">
        <v>1472</v>
      </c>
      <c r="D11" s="114" t="s">
        <v>24</v>
      </c>
      <c r="E11" s="114" t="s">
        <v>374</v>
      </c>
      <c r="F11" s="114" t="s">
        <v>26</v>
      </c>
      <c r="G11" s="115">
        <v>1316.288</v>
      </c>
      <c r="H11" s="114">
        <v>1</v>
      </c>
      <c r="I11" s="114" t="s">
        <v>3570</v>
      </c>
      <c r="J11" s="114" t="s">
        <v>26</v>
      </c>
      <c r="K11" s="115">
        <v>1</v>
      </c>
      <c r="L11" s="116">
        <v>135.42750000000001</v>
      </c>
      <c r="M11" s="116">
        <f>K11*L11</f>
        <v>135.42750000000001</v>
      </c>
      <c r="N11" s="116">
        <v>0.2223</v>
      </c>
      <c r="O11" s="116">
        <f>P11-M11</f>
        <v>30.10499999999999</v>
      </c>
      <c r="P11" s="116">
        <v>165.5325</v>
      </c>
      <c r="Q11" s="116">
        <f>G11*P11</f>
        <v>217888.44336</v>
      </c>
      <c r="R11" s="114" t="s">
        <v>2332</v>
      </c>
      <c r="S11" s="108" t="s">
        <v>3586</v>
      </c>
      <c r="T11" s="108" t="s">
        <v>3572</v>
      </c>
    </row>
    <row r="12" spans="1:20" ht="114.75" x14ac:dyDescent="0.2">
      <c r="A12" s="114" t="s">
        <v>3585</v>
      </c>
      <c r="B12" s="114" t="s">
        <v>372</v>
      </c>
      <c r="C12" s="114" t="s">
        <v>1472</v>
      </c>
      <c r="D12" s="114" t="s">
        <v>24</v>
      </c>
      <c r="E12" s="114" t="s">
        <v>374</v>
      </c>
      <c r="F12" s="114" t="s">
        <v>26</v>
      </c>
      <c r="G12" s="115">
        <v>1316.288</v>
      </c>
      <c r="H12" s="114">
        <v>2</v>
      </c>
      <c r="I12" s="114" t="s">
        <v>3573</v>
      </c>
      <c r="J12" s="114" t="s">
        <v>1283</v>
      </c>
      <c r="K12" s="115">
        <v>0.2223</v>
      </c>
      <c r="L12" s="116">
        <v>135.42750000000001</v>
      </c>
      <c r="M12" s="116">
        <v>0</v>
      </c>
      <c r="N12" s="116">
        <v>0.2223</v>
      </c>
      <c r="O12" s="116">
        <f>O11</f>
        <v>30.10499999999999</v>
      </c>
      <c r="P12" s="116"/>
      <c r="Q12" s="116"/>
      <c r="R12" s="114" t="s">
        <v>3574</v>
      </c>
      <c r="S12" s="108" t="s">
        <v>3575</v>
      </c>
      <c r="T12" s="108" t="s">
        <v>3576</v>
      </c>
    </row>
    <row r="13" spans="1:20" ht="114.75" x14ac:dyDescent="0.2">
      <c r="A13" s="114" t="s">
        <v>3585</v>
      </c>
      <c r="B13" s="114" t="s">
        <v>372</v>
      </c>
      <c r="C13" s="114" t="s">
        <v>1472</v>
      </c>
      <c r="D13" s="114" t="s">
        <v>24</v>
      </c>
      <c r="E13" s="114" t="s">
        <v>374</v>
      </c>
      <c r="F13" s="114" t="s">
        <v>26</v>
      </c>
      <c r="G13" s="115">
        <v>1316.288</v>
      </c>
      <c r="H13" s="114">
        <v>3</v>
      </c>
      <c r="I13" s="114" t="s">
        <v>3577</v>
      </c>
      <c r="J13" s="114"/>
      <c r="K13" s="115"/>
      <c r="L13" s="116"/>
      <c r="M13" s="116"/>
      <c r="N13" s="116"/>
      <c r="O13" s="116"/>
      <c r="P13" s="116"/>
      <c r="Q13" s="116"/>
      <c r="R13" s="114" t="s">
        <v>3578</v>
      </c>
      <c r="S13" s="108" t="s">
        <v>3579</v>
      </c>
      <c r="T13" s="108" t="s">
        <v>3580</v>
      </c>
    </row>
    <row r="14" spans="1:20" ht="114.75" x14ac:dyDescent="0.2">
      <c r="A14" s="114" t="s">
        <v>3585</v>
      </c>
      <c r="B14" s="114" t="s">
        <v>372</v>
      </c>
      <c r="C14" s="114" t="s">
        <v>1472</v>
      </c>
      <c r="D14" s="114" t="s">
        <v>24</v>
      </c>
      <c r="E14" s="114" t="s">
        <v>374</v>
      </c>
      <c r="F14" s="114" t="s">
        <v>26</v>
      </c>
      <c r="G14" s="115">
        <v>1316.288</v>
      </c>
      <c r="H14" s="114">
        <v>4</v>
      </c>
      <c r="I14" s="114" t="s">
        <v>3581</v>
      </c>
      <c r="J14" s="114"/>
      <c r="K14" s="115"/>
      <c r="L14" s="116"/>
      <c r="M14" s="116"/>
      <c r="N14" s="116"/>
      <c r="O14" s="116"/>
      <c r="P14" s="116"/>
      <c r="Q14" s="116"/>
      <c r="R14" s="114" t="s">
        <v>3578</v>
      </c>
      <c r="S14" s="108" t="s">
        <v>3579</v>
      </c>
      <c r="T14" s="108" t="s">
        <v>3580</v>
      </c>
    </row>
    <row r="15" spans="1:20" ht="51" x14ac:dyDescent="0.2">
      <c r="A15" s="114" t="s">
        <v>3587</v>
      </c>
      <c r="B15" s="114" t="s">
        <v>213</v>
      </c>
      <c r="C15" s="114" t="s">
        <v>1399</v>
      </c>
      <c r="D15" s="114" t="s">
        <v>56</v>
      </c>
      <c r="E15" s="114" t="s">
        <v>214</v>
      </c>
      <c r="F15" s="114" t="s">
        <v>26</v>
      </c>
      <c r="G15" s="115">
        <v>1460.3979999999999</v>
      </c>
      <c r="H15" s="114">
        <v>1</v>
      </c>
      <c r="I15" s="114" t="s">
        <v>3570</v>
      </c>
      <c r="J15" s="114" t="s">
        <v>26</v>
      </c>
      <c r="K15" s="115">
        <v>1</v>
      </c>
      <c r="L15" s="116">
        <v>113.57250000000001</v>
      </c>
      <c r="M15" s="116">
        <f>K15*L15</f>
        <v>113.57250000000001</v>
      </c>
      <c r="N15" s="116">
        <v>0.2223</v>
      </c>
      <c r="O15" s="116">
        <f>P15-M15</f>
        <v>25.24499999999999</v>
      </c>
      <c r="P15" s="116">
        <v>138.8175</v>
      </c>
      <c r="Q15" s="116">
        <f>G15*P15</f>
        <v>202728.79936499998</v>
      </c>
      <c r="R15" s="114" t="s">
        <v>2349</v>
      </c>
      <c r="S15" s="108" t="s">
        <v>3588</v>
      </c>
      <c r="T15" s="108" t="s">
        <v>3572</v>
      </c>
    </row>
    <row r="16" spans="1:20" ht="51" x14ac:dyDescent="0.2">
      <c r="A16" s="114" t="s">
        <v>3587</v>
      </c>
      <c r="B16" s="114" t="s">
        <v>213</v>
      </c>
      <c r="C16" s="114" t="s">
        <v>1399</v>
      </c>
      <c r="D16" s="114" t="s">
        <v>56</v>
      </c>
      <c r="E16" s="114" t="s">
        <v>214</v>
      </c>
      <c r="F16" s="114" t="s">
        <v>26</v>
      </c>
      <c r="G16" s="115">
        <v>1460.3979999999999</v>
      </c>
      <c r="H16" s="114">
        <v>2</v>
      </c>
      <c r="I16" s="114" t="s">
        <v>3573</v>
      </c>
      <c r="J16" s="114" t="s">
        <v>1283</v>
      </c>
      <c r="K16" s="115">
        <v>0.2223</v>
      </c>
      <c r="L16" s="116">
        <v>113.57250000000001</v>
      </c>
      <c r="M16" s="116">
        <v>0</v>
      </c>
      <c r="N16" s="116">
        <v>0.2223</v>
      </c>
      <c r="O16" s="116">
        <f>O15</f>
        <v>25.24499999999999</v>
      </c>
      <c r="P16" s="116"/>
      <c r="Q16" s="116"/>
      <c r="R16" s="114" t="s">
        <v>3574</v>
      </c>
      <c r="S16" s="108" t="s">
        <v>3575</v>
      </c>
      <c r="T16" s="108" t="s">
        <v>3576</v>
      </c>
    </row>
    <row r="17" spans="1:20" ht="51" x14ac:dyDescent="0.2">
      <c r="A17" s="114" t="s">
        <v>3587</v>
      </c>
      <c r="B17" s="114" t="s">
        <v>213</v>
      </c>
      <c r="C17" s="114" t="s">
        <v>1399</v>
      </c>
      <c r="D17" s="114" t="s">
        <v>56</v>
      </c>
      <c r="E17" s="114" t="s">
        <v>214</v>
      </c>
      <c r="F17" s="114" t="s">
        <v>26</v>
      </c>
      <c r="G17" s="115">
        <v>1460.3979999999999</v>
      </c>
      <c r="H17" s="114">
        <v>3</v>
      </c>
      <c r="I17" s="114" t="s">
        <v>3577</v>
      </c>
      <c r="J17" s="114"/>
      <c r="K17" s="115"/>
      <c r="L17" s="116"/>
      <c r="M17" s="116"/>
      <c r="N17" s="116"/>
      <c r="O17" s="116"/>
      <c r="P17" s="116"/>
      <c r="Q17" s="116"/>
      <c r="R17" s="114" t="s">
        <v>3578</v>
      </c>
      <c r="S17" s="108" t="s">
        <v>3579</v>
      </c>
      <c r="T17" s="108" t="s">
        <v>3580</v>
      </c>
    </row>
    <row r="18" spans="1:20" ht="51" x14ac:dyDescent="0.2">
      <c r="A18" s="114" t="s">
        <v>3587</v>
      </c>
      <c r="B18" s="114" t="s">
        <v>213</v>
      </c>
      <c r="C18" s="114" t="s">
        <v>1399</v>
      </c>
      <c r="D18" s="114" t="s">
        <v>56</v>
      </c>
      <c r="E18" s="114" t="s">
        <v>214</v>
      </c>
      <c r="F18" s="114" t="s">
        <v>26</v>
      </c>
      <c r="G18" s="115">
        <v>1460.3979999999999</v>
      </c>
      <c r="H18" s="114">
        <v>4</v>
      </c>
      <c r="I18" s="114" t="s">
        <v>3581</v>
      </c>
      <c r="J18" s="114"/>
      <c r="K18" s="115"/>
      <c r="L18" s="116"/>
      <c r="M18" s="116"/>
      <c r="N18" s="116"/>
      <c r="O18" s="116"/>
      <c r="P18" s="116"/>
      <c r="Q18" s="116"/>
      <c r="R18" s="114" t="s">
        <v>3578</v>
      </c>
      <c r="S18" s="108" t="s">
        <v>3579</v>
      </c>
      <c r="T18" s="108" t="s">
        <v>3580</v>
      </c>
    </row>
    <row r="19" spans="1:20" ht="51" x14ac:dyDescent="0.2">
      <c r="A19" s="114" t="s">
        <v>3589</v>
      </c>
      <c r="B19" s="114" t="s">
        <v>66</v>
      </c>
      <c r="C19" s="114" t="s">
        <v>1337</v>
      </c>
      <c r="D19" s="114" t="s">
        <v>24</v>
      </c>
      <c r="E19" s="114" t="s">
        <v>68</v>
      </c>
      <c r="F19" s="114" t="s">
        <v>58</v>
      </c>
      <c r="G19" s="115">
        <v>15</v>
      </c>
      <c r="H19" s="114">
        <v>1</v>
      </c>
      <c r="I19" s="114" t="s">
        <v>3570</v>
      </c>
      <c r="J19" s="114" t="s">
        <v>58</v>
      </c>
      <c r="K19" s="115">
        <v>1</v>
      </c>
      <c r="L19" s="116">
        <v>10762.275000000001</v>
      </c>
      <c r="M19" s="116">
        <f>K19*L19</f>
        <v>10762.275000000001</v>
      </c>
      <c r="N19" s="116">
        <v>0.2223</v>
      </c>
      <c r="O19" s="116">
        <f>P19-M19</f>
        <v>2392.4474999999984</v>
      </c>
      <c r="P19" s="116">
        <v>13154.7225</v>
      </c>
      <c r="Q19" s="116">
        <f>G19*P19</f>
        <v>197320.83749999999</v>
      </c>
      <c r="R19" s="114" t="s">
        <v>2332</v>
      </c>
      <c r="S19" s="108" t="s">
        <v>3590</v>
      </c>
      <c r="T19" s="108" t="s">
        <v>3572</v>
      </c>
    </row>
    <row r="20" spans="1:20" ht="51" x14ac:dyDescent="0.2">
      <c r="A20" s="114" t="s">
        <v>3589</v>
      </c>
      <c r="B20" s="114" t="s">
        <v>66</v>
      </c>
      <c r="C20" s="114" t="s">
        <v>1337</v>
      </c>
      <c r="D20" s="114" t="s">
        <v>24</v>
      </c>
      <c r="E20" s="114" t="s">
        <v>68</v>
      </c>
      <c r="F20" s="114" t="s">
        <v>58</v>
      </c>
      <c r="G20" s="115">
        <v>15</v>
      </c>
      <c r="H20" s="114">
        <v>2</v>
      </c>
      <c r="I20" s="114" t="s">
        <v>3573</v>
      </c>
      <c r="J20" s="114" t="s">
        <v>1283</v>
      </c>
      <c r="K20" s="115">
        <v>0.2223</v>
      </c>
      <c r="L20" s="116">
        <v>10762.275000000001</v>
      </c>
      <c r="M20" s="116">
        <v>0</v>
      </c>
      <c r="N20" s="116">
        <v>0.2223</v>
      </c>
      <c r="O20" s="116">
        <f>O19</f>
        <v>2392.4474999999984</v>
      </c>
      <c r="P20" s="116"/>
      <c r="Q20" s="116"/>
      <c r="R20" s="114" t="s">
        <v>3574</v>
      </c>
      <c r="S20" s="108" t="s">
        <v>3575</v>
      </c>
      <c r="T20" s="108" t="s">
        <v>3576</v>
      </c>
    </row>
    <row r="21" spans="1:20" ht="51" x14ac:dyDescent="0.2">
      <c r="A21" s="114" t="s">
        <v>3589</v>
      </c>
      <c r="B21" s="114" t="s">
        <v>66</v>
      </c>
      <c r="C21" s="114" t="s">
        <v>1337</v>
      </c>
      <c r="D21" s="114" t="s">
        <v>24</v>
      </c>
      <c r="E21" s="114" t="s">
        <v>68</v>
      </c>
      <c r="F21" s="114" t="s">
        <v>58</v>
      </c>
      <c r="G21" s="115">
        <v>15</v>
      </c>
      <c r="H21" s="114">
        <v>3</v>
      </c>
      <c r="I21" s="114" t="s">
        <v>3577</v>
      </c>
      <c r="J21" s="114"/>
      <c r="K21" s="115"/>
      <c r="L21" s="116"/>
      <c r="M21" s="116"/>
      <c r="N21" s="116"/>
      <c r="O21" s="116"/>
      <c r="P21" s="116"/>
      <c r="Q21" s="116"/>
      <c r="R21" s="114" t="s">
        <v>3578</v>
      </c>
      <c r="S21" s="108" t="s">
        <v>3579</v>
      </c>
      <c r="T21" s="108" t="s">
        <v>3580</v>
      </c>
    </row>
    <row r="22" spans="1:20" ht="51" x14ac:dyDescent="0.2">
      <c r="A22" s="114" t="s">
        <v>3589</v>
      </c>
      <c r="B22" s="114" t="s">
        <v>66</v>
      </c>
      <c r="C22" s="114" t="s">
        <v>1337</v>
      </c>
      <c r="D22" s="114" t="s">
        <v>24</v>
      </c>
      <c r="E22" s="114" t="s">
        <v>68</v>
      </c>
      <c r="F22" s="114" t="s">
        <v>58</v>
      </c>
      <c r="G22" s="115">
        <v>15</v>
      </c>
      <c r="H22" s="114">
        <v>4</v>
      </c>
      <c r="I22" s="114" t="s">
        <v>3581</v>
      </c>
      <c r="J22" s="114"/>
      <c r="K22" s="115"/>
      <c r="L22" s="116"/>
      <c r="M22" s="116"/>
      <c r="N22" s="116"/>
      <c r="O22" s="116"/>
      <c r="P22" s="116"/>
      <c r="Q22" s="116"/>
      <c r="R22" s="114" t="s">
        <v>3578</v>
      </c>
      <c r="S22" s="108" t="s">
        <v>3579</v>
      </c>
      <c r="T22" s="108" t="s">
        <v>3580</v>
      </c>
    </row>
    <row r="23" spans="1:20" ht="38.25" x14ac:dyDescent="0.2">
      <c r="A23" s="114" t="s">
        <v>3591</v>
      </c>
      <c r="B23" s="114" t="s">
        <v>59</v>
      </c>
      <c r="C23" s="114" t="s">
        <v>1332</v>
      </c>
      <c r="D23" s="114" t="s">
        <v>56</v>
      </c>
      <c r="E23" s="114" t="s">
        <v>60</v>
      </c>
      <c r="F23" s="114" t="s">
        <v>61</v>
      </c>
      <c r="G23" s="115">
        <v>1440</v>
      </c>
      <c r="H23" s="114">
        <v>1</v>
      </c>
      <c r="I23" s="114" t="s">
        <v>3570</v>
      </c>
      <c r="J23" s="114" t="s">
        <v>61</v>
      </c>
      <c r="K23" s="115">
        <v>1</v>
      </c>
      <c r="L23" s="116">
        <v>109.58250000000001</v>
      </c>
      <c r="M23" s="116">
        <f>K23*L23</f>
        <v>109.58250000000001</v>
      </c>
      <c r="N23" s="116">
        <v>0.2223</v>
      </c>
      <c r="O23" s="116">
        <f>P23-M23</f>
        <v>24.359999999999985</v>
      </c>
      <c r="P23" s="116">
        <v>133.9425</v>
      </c>
      <c r="Q23" s="116">
        <f>G23*P23</f>
        <v>192877.19999999998</v>
      </c>
      <c r="R23" s="114" t="s">
        <v>2349</v>
      </c>
      <c r="S23" s="108" t="s">
        <v>3592</v>
      </c>
      <c r="T23" s="108" t="s">
        <v>3572</v>
      </c>
    </row>
    <row r="24" spans="1:20" ht="25.5" x14ac:dyDescent="0.2">
      <c r="A24" s="114" t="s">
        <v>3591</v>
      </c>
      <c r="B24" s="114" t="s">
        <v>59</v>
      </c>
      <c r="C24" s="114" t="s">
        <v>1332</v>
      </c>
      <c r="D24" s="114" t="s">
        <v>56</v>
      </c>
      <c r="E24" s="114" t="s">
        <v>60</v>
      </c>
      <c r="F24" s="114" t="s">
        <v>61</v>
      </c>
      <c r="G24" s="115">
        <v>1440</v>
      </c>
      <c r="H24" s="114">
        <v>2</v>
      </c>
      <c r="I24" s="114" t="s">
        <v>3573</v>
      </c>
      <c r="J24" s="114" t="s">
        <v>1283</v>
      </c>
      <c r="K24" s="115">
        <v>0.2223</v>
      </c>
      <c r="L24" s="116">
        <v>109.58250000000001</v>
      </c>
      <c r="M24" s="116">
        <v>0</v>
      </c>
      <c r="N24" s="116">
        <v>0.2223</v>
      </c>
      <c r="O24" s="116">
        <f>O23</f>
        <v>24.359999999999985</v>
      </c>
      <c r="P24" s="116"/>
      <c r="Q24" s="116"/>
      <c r="R24" s="114" t="s">
        <v>3574</v>
      </c>
      <c r="S24" s="108" t="s">
        <v>3575</v>
      </c>
      <c r="T24" s="108" t="s">
        <v>3576</v>
      </c>
    </row>
    <row r="25" spans="1:20" ht="25.5" x14ac:dyDescent="0.2">
      <c r="A25" s="114" t="s">
        <v>3591</v>
      </c>
      <c r="B25" s="114" t="s">
        <v>59</v>
      </c>
      <c r="C25" s="114" t="s">
        <v>1332</v>
      </c>
      <c r="D25" s="114" t="s">
        <v>56</v>
      </c>
      <c r="E25" s="114" t="s">
        <v>60</v>
      </c>
      <c r="F25" s="114" t="s">
        <v>61</v>
      </c>
      <c r="G25" s="115">
        <v>1440</v>
      </c>
      <c r="H25" s="114">
        <v>3</v>
      </c>
      <c r="I25" s="114" t="s">
        <v>3577</v>
      </c>
      <c r="J25" s="114"/>
      <c r="K25" s="115"/>
      <c r="L25" s="116"/>
      <c r="M25" s="116"/>
      <c r="N25" s="116"/>
      <c r="O25" s="116"/>
      <c r="P25" s="116"/>
      <c r="Q25" s="116"/>
      <c r="R25" s="114" t="s">
        <v>3578</v>
      </c>
      <c r="S25" s="108" t="s">
        <v>3579</v>
      </c>
      <c r="T25" s="108" t="s">
        <v>3580</v>
      </c>
    </row>
    <row r="26" spans="1:20" ht="25.5" x14ac:dyDescent="0.2">
      <c r="A26" s="114" t="s">
        <v>3591</v>
      </c>
      <c r="B26" s="114" t="s">
        <v>59</v>
      </c>
      <c r="C26" s="114" t="s">
        <v>1332</v>
      </c>
      <c r="D26" s="114" t="s">
        <v>56</v>
      </c>
      <c r="E26" s="114" t="s">
        <v>60</v>
      </c>
      <c r="F26" s="114" t="s">
        <v>61</v>
      </c>
      <c r="G26" s="115">
        <v>1440</v>
      </c>
      <c r="H26" s="114">
        <v>4</v>
      </c>
      <c r="I26" s="114" t="s">
        <v>3581</v>
      </c>
      <c r="J26" s="114"/>
      <c r="K26" s="115"/>
      <c r="L26" s="116"/>
      <c r="M26" s="116"/>
      <c r="N26" s="116"/>
      <c r="O26" s="116"/>
      <c r="P26" s="116"/>
      <c r="Q26" s="116"/>
      <c r="R26" s="114" t="s">
        <v>3578</v>
      </c>
      <c r="S26" s="108" t="s">
        <v>3579</v>
      </c>
      <c r="T26" s="108" t="s">
        <v>3580</v>
      </c>
    </row>
    <row r="27" spans="1:20" ht="38.25" x14ac:dyDescent="0.2">
      <c r="A27" s="114" t="s">
        <v>3593</v>
      </c>
      <c r="B27" s="114" t="s">
        <v>2194</v>
      </c>
      <c r="C27" s="114" t="s">
        <v>2195</v>
      </c>
      <c r="D27" s="114" t="s">
        <v>56</v>
      </c>
      <c r="E27" s="114" t="s">
        <v>1077</v>
      </c>
      <c r="F27" s="114" t="s">
        <v>26</v>
      </c>
      <c r="G27" s="115">
        <v>1170.211</v>
      </c>
      <c r="H27" s="114">
        <v>1</v>
      </c>
      <c r="I27" s="114" t="s">
        <v>3570</v>
      </c>
      <c r="J27" s="114" t="s">
        <v>26</v>
      </c>
      <c r="K27" s="115">
        <v>1</v>
      </c>
      <c r="L27" s="116">
        <v>133.29</v>
      </c>
      <c r="M27" s="116">
        <f>K27*L27</f>
        <v>133.29</v>
      </c>
      <c r="N27" s="116">
        <v>0.2223</v>
      </c>
      <c r="O27" s="116">
        <f>P27-M27</f>
        <v>29.625</v>
      </c>
      <c r="P27" s="116">
        <v>162.91499999999999</v>
      </c>
      <c r="Q27" s="116">
        <f>G27*P27</f>
        <v>190644.92506499999</v>
      </c>
      <c r="R27" s="114" t="s">
        <v>2349</v>
      </c>
      <c r="S27" s="108" t="s">
        <v>3594</v>
      </c>
      <c r="T27" s="108" t="s">
        <v>3572</v>
      </c>
    </row>
    <row r="28" spans="1:20" ht="38.25" x14ac:dyDescent="0.2">
      <c r="A28" s="114" t="s">
        <v>3593</v>
      </c>
      <c r="B28" s="114" t="s">
        <v>2194</v>
      </c>
      <c r="C28" s="114" t="s">
        <v>2195</v>
      </c>
      <c r="D28" s="114" t="s">
        <v>56</v>
      </c>
      <c r="E28" s="114" t="s">
        <v>1077</v>
      </c>
      <c r="F28" s="114" t="s">
        <v>26</v>
      </c>
      <c r="G28" s="115">
        <v>1170.211</v>
      </c>
      <c r="H28" s="114">
        <v>2</v>
      </c>
      <c r="I28" s="114" t="s">
        <v>3573</v>
      </c>
      <c r="J28" s="114" t="s">
        <v>1283</v>
      </c>
      <c r="K28" s="115">
        <v>0.2223</v>
      </c>
      <c r="L28" s="116">
        <v>133.29</v>
      </c>
      <c r="M28" s="116">
        <v>0</v>
      </c>
      <c r="N28" s="116">
        <v>0.2223</v>
      </c>
      <c r="O28" s="116">
        <f>O27</f>
        <v>29.625</v>
      </c>
      <c r="P28" s="116"/>
      <c r="Q28" s="116"/>
      <c r="R28" s="114" t="s">
        <v>3574</v>
      </c>
      <c r="S28" s="108" t="s">
        <v>3575</v>
      </c>
      <c r="T28" s="108" t="s">
        <v>3576</v>
      </c>
    </row>
    <row r="29" spans="1:20" ht="38.25" x14ac:dyDescent="0.2">
      <c r="A29" s="114" t="s">
        <v>3593</v>
      </c>
      <c r="B29" s="114" t="s">
        <v>2194</v>
      </c>
      <c r="C29" s="114" t="s">
        <v>2195</v>
      </c>
      <c r="D29" s="114" t="s">
        <v>56</v>
      </c>
      <c r="E29" s="114" t="s">
        <v>1077</v>
      </c>
      <c r="F29" s="114" t="s">
        <v>26</v>
      </c>
      <c r="G29" s="115">
        <v>1170.211</v>
      </c>
      <c r="H29" s="114">
        <v>3</v>
      </c>
      <c r="I29" s="114" t="s">
        <v>3577</v>
      </c>
      <c r="J29" s="114"/>
      <c r="K29" s="115"/>
      <c r="L29" s="116"/>
      <c r="M29" s="116"/>
      <c r="N29" s="116"/>
      <c r="O29" s="116"/>
      <c r="P29" s="116"/>
      <c r="Q29" s="116"/>
      <c r="R29" s="114" t="s">
        <v>3578</v>
      </c>
      <c r="S29" s="108" t="s">
        <v>3579</v>
      </c>
      <c r="T29" s="108" t="s">
        <v>3580</v>
      </c>
    </row>
    <row r="30" spans="1:20" ht="38.25" x14ac:dyDescent="0.2">
      <c r="A30" s="114" t="s">
        <v>3593</v>
      </c>
      <c r="B30" s="114" t="s">
        <v>2194</v>
      </c>
      <c r="C30" s="114" t="s">
        <v>2195</v>
      </c>
      <c r="D30" s="114" t="s">
        <v>56</v>
      </c>
      <c r="E30" s="114" t="s">
        <v>1077</v>
      </c>
      <c r="F30" s="114" t="s">
        <v>26</v>
      </c>
      <c r="G30" s="115">
        <v>1170.211</v>
      </c>
      <c r="H30" s="114">
        <v>4</v>
      </c>
      <c r="I30" s="114" t="s">
        <v>3581</v>
      </c>
      <c r="J30" s="114"/>
      <c r="K30" s="115"/>
      <c r="L30" s="116"/>
      <c r="M30" s="116"/>
      <c r="N30" s="116"/>
      <c r="O30" s="116"/>
      <c r="P30" s="116"/>
      <c r="Q30" s="116"/>
      <c r="R30" s="114" t="s">
        <v>3578</v>
      </c>
      <c r="S30" s="108" t="s">
        <v>3579</v>
      </c>
      <c r="T30" s="108" t="s">
        <v>3580</v>
      </c>
    </row>
    <row r="31" spans="1:20" ht="51" x14ac:dyDescent="0.2">
      <c r="A31" s="114" t="s">
        <v>3595</v>
      </c>
      <c r="B31" s="114" t="s">
        <v>215</v>
      </c>
      <c r="C31" s="114" t="s">
        <v>1400</v>
      </c>
      <c r="D31" s="114" t="s">
        <v>56</v>
      </c>
      <c r="E31" s="114" t="s">
        <v>216</v>
      </c>
      <c r="F31" s="114" t="s">
        <v>26</v>
      </c>
      <c r="G31" s="115">
        <v>2614.143</v>
      </c>
      <c r="H31" s="114">
        <v>1</v>
      </c>
      <c r="I31" s="114" t="s">
        <v>3570</v>
      </c>
      <c r="J31" s="114" t="s">
        <v>26</v>
      </c>
      <c r="K31" s="115">
        <v>1</v>
      </c>
      <c r="L31" s="116">
        <v>57.885000000000005</v>
      </c>
      <c r="M31" s="116">
        <f>K31*L31</f>
        <v>57.885000000000005</v>
      </c>
      <c r="N31" s="116">
        <v>0.2223</v>
      </c>
      <c r="O31" s="116">
        <f>P31-M31</f>
        <v>12.862499999999997</v>
      </c>
      <c r="P31" s="116">
        <v>70.747500000000002</v>
      </c>
      <c r="Q31" s="116">
        <f>G31*P31</f>
        <v>184944.08189250002</v>
      </c>
      <c r="R31" s="114" t="s">
        <v>2349</v>
      </c>
      <c r="S31" s="108" t="s">
        <v>3596</v>
      </c>
      <c r="T31" s="108" t="s">
        <v>3572</v>
      </c>
    </row>
    <row r="32" spans="1:20" ht="51" x14ac:dyDescent="0.2">
      <c r="A32" s="114" t="s">
        <v>3595</v>
      </c>
      <c r="B32" s="114" t="s">
        <v>215</v>
      </c>
      <c r="C32" s="114" t="s">
        <v>1400</v>
      </c>
      <c r="D32" s="114" t="s">
        <v>56</v>
      </c>
      <c r="E32" s="114" t="s">
        <v>216</v>
      </c>
      <c r="F32" s="114" t="s">
        <v>26</v>
      </c>
      <c r="G32" s="115">
        <v>2614.143</v>
      </c>
      <c r="H32" s="114">
        <v>2</v>
      </c>
      <c r="I32" s="114" t="s">
        <v>3573</v>
      </c>
      <c r="J32" s="114" t="s">
        <v>1283</v>
      </c>
      <c r="K32" s="115">
        <v>0.2223</v>
      </c>
      <c r="L32" s="116">
        <v>57.885000000000005</v>
      </c>
      <c r="M32" s="116">
        <v>0</v>
      </c>
      <c r="N32" s="116">
        <v>0.2223</v>
      </c>
      <c r="O32" s="116">
        <f>O31</f>
        <v>12.862499999999997</v>
      </c>
      <c r="P32" s="116"/>
      <c r="Q32" s="116"/>
      <c r="R32" s="114" t="s">
        <v>3574</v>
      </c>
      <c r="S32" s="108" t="s">
        <v>3575</v>
      </c>
      <c r="T32" s="108" t="s">
        <v>3576</v>
      </c>
    </row>
    <row r="33" spans="1:20" ht="51" x14ac:dyDescent="0.2">
      <c r="A33" s="114" t="s">
        <v>3595</v>
      </c>
      <c r="B33" s="114" t="s">
        <v>215</v>
      </c>
      <c r="C33" s="114" t="s">
        <v>1400</v>
      </c>
      <c r="D33" s="114" t="s">
        <v>56</v>
      </c>
      <c r="E33" s="114" t="s">
        <v>216</v>
      </c>
      <c r="F33" s="114" t="s">
        <v>26</v>
      </c>
      <c r="G33" s="115">
        <v>2614.143</v>
      </c>
      <c r="H33" s="114">
        <v>3</v>
      </c>
      <c r="I33" s="114" t="s">
        <v>3577</v>
      </c>
      <c r="J33" s="114"/>
      <c r="K33" s="115"/>
      <c r="L33" s="116"/>
      <c r="M33" s="116"/>
      <c r="N33" s="116"/>
      <c r="O33" s="116"/>
      <c r="P33" s="116"/>
      <c r="Q33" s="116"/>
      <c r="R33" s="114" t="s">
        <v>3578</v>
      </c>
      <c r="S33" s="108" t="s">
        <v>3579</v>
      </c>
      <c r="T33" s="108" t="s">
        <v>3580</v>
      </c>
    </row>
    <row r="34" spans="1:20" ht="51" x14ac:dyDescent="0.2">
      <c r="A34" s="114" t="s">
        <v>3595</v>
      </c>
      <c r="B34" s="114" t="s">
        <v>215</v>
      </c>
      <c r="C34" s="114" t="s">
        <v>1400</v>
      </c>
      <c r="D34" s="114" t="s">
        <v>56</v>
      </c>
      <c r="E34" s="114" t="s">
        <v>216</v>
      </c>
      <c r="F34" s="114" t="s">
        <v>26</v>
      </c>
      <c r="G34" s="115">
        <v>2614.143</v>
      </c>
      <c r="H34" s="114">
        <v>4</v>
      </c>
      <c r="I34" s="114" t="s">
        <v>3581</v>
      </c>
      <c r="J34" s="114"/>
      <c r="K34" s="115"/>
      <c r="L34" s="116"/>
      <c r="M34" s="116"/>
      <c r="N34" s="116"/>
      <c r="O34" s="116"/>
      <c r="P34" s="116"/>
      <c r="Q34" s="116"/>
      <c r="R34" s="114" t="s">
        <v>3578</v>
      </c>
      <c r="S34" s="108" t="s">
        <v>3579</v>
      </c>
      <c r="T34" s="108" t="s">
        <v>3580</v>
      </c>
    </row>
    <row r="35" spans="1:20" ht="51" x14ac:dyDescent="0.2">
      <c r="A35" s="114" t="s">
        <v>3597</v>
      </c>
      <c r="B35" s="114" t="s">
        <v>356</v>
      </c>
      <c r="C35" s="114" t="s">
        <v>1465</v>
      </c>
      <c r="D35" s="114" t="s">
        <v>56</v>
      </c>
      <c r="E35" s="114" t="s">
        <v>357</v>
      </c>
      <c r="F35" s="114" t="s">
        <v>26</v>
      </c>
      <c r="G35" s="115">
        <v>1325.896</v>
      </c>
      <c r="H35" s="114">
        <v>1</v>
      </c>
      <c r="I35" s="114" t="s">
        <v>3570</v>
      </c>
      <c r="J35" s="114" t="s">
        <v>26</v>
      </c>
      <c r="K35" s="115">
        <v>1</v>
      </c>
      <c r="L35" s="116">
        <v>92.97</v>
      </c>
      <c r="M35" s="116">
        <f>K35*L35</f>
        <v>92.97</v>
      </c>
      <c r="N35" s="116">
        <v>0.2223</v>
      </c>
      <c r="O35" s="116">
        <f>P35-M35</f>
        <v>20.662499999999994</v>
      </c>
      <c r="P35" s="116">
        <v>113.63249999999999</v>
      </c>
      <c r="Q35" s="116">
        <f>G35*P35</f>
        <v>150664.87721999999</v>
      </c>
      <c r="R35" s="114" t="s">
        <v>2349</v>
      </c>
      <c r="S35" s="108" t="s">
        <v>3598</v>
      </c>
      <c r="T35" s="108" t="s">
        <v>3572</v>
      </c>
    </row>
    <row r="36" spans="1:20" ht="51" x14ac:dyDescent="0.2">
      <c r="A36" s="114" t="s">
        <v>3597</v>
      </c>
      <c r="B36" s="114" t="s">
        <v>356</v>
      </c>
      <c r="C36" s="114" t="s">
        <v>1465</v>
      </c>
      <c r="D36" s="114" t="s">
        <v>56</v>
      </c>
      <c r="E36" s="114" t="s">
        <v>357</v>
      </c>
      <c r="F36" s="114" t="s">
        <v>26</v>
      </c>
      <c r="G36" s="115">
        <v>1325.896</v>
      </c>
      <c r="H36" s="114">
        <v>2</v>
      </c>
      <c r="I36" s="114" t="s">
        <v>3573</v>
      </c>
      <c r="J36" s="114" t="s">
        <v>1283</v>
      </c>
      <c r="K36" s="115">
        <v>0.2223</v>
      </c>
      <c r="L36" s="116">
        <v>92.97</v>
      </c>
      <c r="M36" s="116">
        <v>0</v>
      </c>
      <c r="N36" s="116">
        <v>0.2223</v>
      </c>
      <c r="O36" s="116">
        <f>O35</f>
        <v>20.662499999999994</v>
      </c>
      <c r="P36" s="116"/>
      <c r="Q36" s="116"/>
      <c r="R36" s="114" t="s">
        <v>3574</v>
      </c>
      <c r="S36" s="108" t="s">
        <v>3575</v>
      </c>
      <c r="T36" s="108" t="s">
        <v>3576</v>
      </c>
    </row>
    <row r="37" spans="1:20" ht="51" x14ac:dyDescent="0.2">
      <c r="A37" s="114" t="s">
        <v>3597</v>
      </c>
      <c r="B37" s="114" t="s">
        <v>356</v>
      </c>
      <c r="C37" s="114" t="s">
        <v>1465</v>
      </c>
      <c r="D37" s="114" t="s">
        <v>56</v>
      </c>
      <c r="E37" s="114" t="s">
        <v>357</v>
      </c>
      <c r="F37" s="114" t="s">
        <v>26</v>
      </c>
      <c r="G37" s="115">
        <v>1325.896</v>
      </c>
      <c r="H37" s="114">
        <v>3</v>
      </c>
      <c r="I37" s="114" t="s">
        <v>3577</v>
      </c>
      <c r="J37" s="114"/>
      <c r="K37" s="115"/>
      <c r="L37" s="116"/>
      <c r="M37" s="116"/>
      <c r="N37" s="116"/>
      <c r="O37" s="116"/>
      <c r="P37" s="116"/>
      <c r="Q37" s="116"/>
      <c r="R37" s="114" t="s">
        <v>3578</v>
      </c>
      <c r="S37" s="108" t="s">
        <v>3579</v>
      </c>
      <c r="T37" s="108" t="s">
        <v>3580</v>
      </c>
    </row>
    <row r="38" spans="1:20" ht="51" x14ac:dyDescent="0.2">
      <c r="A38" s="114" t="s">
        <v>3597</v>
      </c>
      <c r="B38" s="114" t="s">
        <v>356</v>
      </c>
      <c r="C38" s="114" t="s">
        <v>1465</v>
      </c>
      <c r="D38" s="114" t="s">
        <v>56</v>
      </c>
      <c r="E38" s="114" t="s">
        <v>357</v>
      </c>
      <c r="F38" s="114" t="s">
        <v>26</v>
      </c>
      <c r="G38" s="115">
        <v>1325.896</v>
      </c>
      <c r="H38" s="114">
        <v>4</v>
      </c>
      <c r="I38" s="114" t="s">
        <v>3581</v>
      </c>
      <c r="J38" s="114"/>
      <c r="K38" s="115"/>
      <c r="L38" s="116"/>
      <c r="M38" s="116"/>
      <c r="N38" s="116"/>
      <c r="O38" s="116"/>
      <c r="P38" s="116"/>
      <c r="Q38" s="116"/>
      <c r="R38" s="114" t="s">
        <v>3578</v>
      </c>
      <c r="S38" s="108" t="s">
        <v>3579</v>
      </c>
      <c r="T38" s="108" t="s">
        <v>3580</v>
      </c>
    </row>
    <row r="39" spans="1:20" ht="38.25" x14ac:dyDescent="0.2">
      <c r="A39" s="114" t="s">
        <v>3599</v>
      </c>
      <c r="B39" s="114" t="s">
        <v>97</v>
      </c>
      <c r="C39" s="114" t="s">
        <v>1348</v>
      </c>
      <c r="D39" s="114" t="s">
        <v>56</v>
      </c>
      <c r="E39" s="114" t="s">
        <v>98</v>
      </c>
      <c r="F39" s="114" t="s">
        <v>99</v>
      </c>
      <c r="G39" s="115">
        <v>3770</v>
      </c>
      <c r="H39" s="114">
        <v>1</v>
      </c>
      <c r="I39" s="114" t="s">
        <v>3570</v>
      </c>
      <c r="J39" s="114" t="s">
        <v>99</v>
      </c>
      <c r="K39" s="115">
        <v>1</v>
      </c>
      <c r="L39" s="116">
        <v>32.04</v>
      </c>
      <c r="M39" s="116">
        <f>K39*L39</f>
        <v>32.04</v>
      </c>
      <c r="N39" s="116">
        <v>0.2223</v>
      </c>
      <c r="O39" s="116">
        <f>P39-M39</f>
        <v>7.1174999999999997</v>
      </c>
      <c r="P39" s="116">
        <v>39.157499999999999</v>
      </c>
      <c r="Q39" s="116">
        <f>G39*P39</f>
        <v>147623.77499999999</v>
      </c>
      <c r="R39" s="114" t="s">
        <v>2349</v>
      </c>
      <c r="S39" s="108" t="s">
        <v>3600</v>
      </c>
      <c r="T39" s="108" t="s">
        <v>3572</v>
      </c>
    </row>
    <row r="40" spans="1:20" ht="38.25" x14ac:dyDescent="0.2">
      <c r="A40" s="114" t="s">
        <v>3599</v>
      </c>
      <c r="B40" s="114" t="s">
        <v>97</v>
      </c>
      <c r="C40" s="114" t="s">
        <v>1348</v>
      </c>
      <c r="D40" s="114" t="s">
        <v>56</v>
      </c>
      <c r="E40" s="114" t="s">
        <v>98</v>
      </c>
      <c r="F40" s="114" t="s">
        <v>99</v>
      </c>
      <c r="G40" s="115">
        <v>3770</v>
      </c>
      <c r="H40" s="114">
        <v>2</v>
      </c>
      <c r="I40" s="114" t="s">
        <v>3573</v>
      </c>
      <c r="J40" s="114" t="s">
        <v>1283</v>
      </c>
      <c r="K40" s="115">
        <v>0.2223</v>
      </c>
      <c r="L40" s="116">
        <v>32.04</v>
      </c>
      <c r="M40" s="116">
        <v>0</v>
      </c>
      <c r="N40" s="116">
        <v>0.2223</v>
      </c>
      <c r="O40" s="116">
        <f>O39</f>
        <v>7.1174999999999997</v>
      </c>
      <c r="P40" s="116"/>
      <c r="Q40" s="116"/>
      <c r="R40" s="114" t="s">
        <v>3574</v>
      </c>
      <c r="S40" s="108" t="s">
        <v>3575</v>
      </c>
      <c r="T40" s="108" t="s">
        <v>3576</v>
      </c>
    </row>
    <row r="41" spans="1:20" ht="38.25" x14ac:dyDescent="0.2">
      <c r="A41" s="114" t="s">
        <v>3599</v>
      </c>
      <c r="B41" s="114" t="s">
        <v>97</v>
      </c>
      <c r="C41" s="114" t="s">
        <v>1348</v>
      </c>
      <c r="D41" s="114" t="s">
        <v>56</v>
      </c>
      <c r="E41" s="114" t="s">
        <v>98</v>
      </c>
      <c r="F41" s="114" t="s">
        <v>99</v>
      </c>
      <c r="G41" s="115">
        <v>3770</v>
      </c>
      <c r="H41" s="114">
        <v>3</v>
      </c>
      <c r="I41" s="114" t="s">
        <v>3577</v>
      </c>
      <c r="J41" s="114"/>
      <c r="K41" s="115"/>
      <c r="L41" s="116"/>
      <c r="M41" s="116"/>
      <c r="N41" s="116"/>
      <c r="O41" s="116"/>
      <c r="P41" s="116"/>
      <c r="Q41" s="116"/>
      <c r="R41" s="114" t="s">
        <v>3578</v>
      </c>
      <c r="S41" s="108" t="s">
        <v>3579</v>
      </c>
      <c r="T41" s="108" t="s">
        <v>3580</v>
      </c>
    </row>
    <row r="42" spans="1:20" ht="38.25" x14ac:dyDescent="0.2">
      <c r="A42" s="114" t="s">
        <v>3599</v>
      </c>
      <c r="B42" s="114" t="s">
        <v>97</v>
      </c>
      <c r="C42" s="114" t="s">
        <v>1348</v>
      </c>
      <c r="D42" s="114" t="s">
        <v>56</v>
      </c>
      <c r="E42" s="114" t="s">
        <v>98</v>
      </c>
      <c r="F42" s="114" t="s">
        <v>99</v>
      </c>
      <c r="G42" s="115">
        <v>3770</v>
      </c>
      <c r="H42" s="114">
        <v>4</v>
      </c>
      <c r="I42" s="114" t="s">
        <v>3581</v>
      </c>
      <c r="J42" s="114"/>
      <c r="K42" s="115"/>
      <c r="L42" s="116"/>
      <c r="M42" s="116"/>
      <c r="N42" s="116"/>
      <c r="O42" s="116"/>
      <c r="P42" s="116"/>
      <c r="Q42" s="116"/>
      <c r="R42" s="114" t="s">
        <v>3578</v>
      </c>
      <c r="S42" s="108" t="s">
        <v>3579</v>
      </c>
      <c r="T42" s="108" t="s">
        <v>3580</v>
      </c>
    </row>
    <row r="43" spans="1:20" ht="38.25" x14ac:dyDescent="0.2">
      <c r="A43" s="114" t="s">
        <v>3601</v>
      </c>
      <c r="B43" s="114" t="s">
        <v>55</v>
      </c>
      <c r="C43" s="114" t="s">
        <v>1331</v>
      </c>
      <c r="D43" s="114" t="s">
        <v>56</v>
      </c>
      <c r="E43" s="114" t="s">
        <v>57</v>
      </c>
      <c r="F43" s="114" t="s">
        <v>58</v>
      </c>
      <c r="G43" s="115">
        <v>15</v>
      </c>
      <c r="H43" s="114">
        <v>1</v>
      </c>
      <c r="I43" s="114" t="s">
        <v>3570</v>
      </c>
      <c r="J43" s="114" t="s">
        <v>58</v>
      </c>
      <c r="K43" s="115">
        <v>1</v>
      </c>
      <c r="L43" s="116">
        <v>7867.7249999999995</v>
      </c>
      <c r="M43" s="116">
        <f>K43*L43</f>
        <v>7867.7249999999995</v>
      </c>
      <c r="N43" s="116">
        <v>0.2223</v>
      </c>
      <c r="O43" s="116">
        <f>P43-M43</f>
        <v>1748.9925000000012</v>
      </c>
      <c r="P43" s="116">
        <v>9616.7175000000007</v>
      </c>
      <c r="Q43" s="116">
        <f>G43*P43</f>
        <v>144250.76250000001</v>
      </c>
      <c r="R43" s="114" t="s">
        <v>2349</v>
      </c>
      <c r="S43" s="108" t="s">
        <v>3602</v>
      </c>
      <c r="T43" s="108" t="s">
        <v>3572</v>
      </c>
    </row>
    <row r="44" spans="1:20" ht="25.5" x14ac:dyDescent="0.2">
      <c r="A44" s="114" t="s">
        <v>3601</v>
      </c>
      <c r="B44" s="114" t="s">
        <v>55</v>
      </c>
      <c r="C44" s="114" t="s">
        <v>1331</v>
      </c>
      <c r="D44" s="114" t="s">
        <v>56</v>
      </c>
      <c r="E44" s="114" t="s">
        <v>57</v>
      </c>
      <c r="F44" s="114" t="s">
        <v>58</v>
      </c>
      <c r="G44" s="115">
        <v>15</v>
      </c>
      <c r="H44" s="114">
        <v>2</v>
      </c>
      <c r="I44" s="114" t="s">
        <v>3573</v>
      </c>
      <c r="J44" s="114" t="s">
        <v>1283</v>
      </c>
      <c r="K44" s="115">
        <v>0.2223</v>
      </c>
      <c r="L44" s="116">
        <v>7867.7249999999995</v>
      </c>
      <c r="M44" s="116">
        <v>0</v>
      </c>
      <c r="N44" s="116">
        <v>0.2223</v>
      </c>
      <c r="O44" s="116">
        <f>O43</f>
        <v>1748.9925000000012</v>
      </c>
      <c r="P44" s="116"/>
      <c r="Q44" s="116"/>
      <c r="R44" s="114" t="s">
        <v>3574</v>
      </c>
      <c r="S44" s="108" t="s">
        <v>3575</v>
      </c>
      <c r="T44" s="108" t="s">
        <v>3576</v>
      </c>
    </row>
    <row r="45" spans="1:20" ht="25.5" x14ac:dyDescent="0.2">
      <c r="A45" s="114" t="s">
        <v>3601</v>
      </c>
      <c r="B45" s="114" t="s">
        <v>55</v>
      </c>
      <c r="C45" s="114" t="s">
        <v>1331</v>
      </c>
      <c r="D45" s="114" t="s">
        <v>56</v>
      </c>
      <c r="E45" s="114" t="s">
        <v>57</v>
      </c>
      <c r="F45" s="114" t="s">
        <v>58</v>
      </c>
      <c r="G45" s="115">
        <v>15</v>
      </c>
      <c r="H45" s="114">
        <v>3</v>
      </c>
      <c r="I45" s="114" t="s">
        <v>3577</v>
      </c>
      <c r="J45" s="114"/>
      <c r="K45" s="115"/>
      <c r="L45" s="116"/>
      <c r="M45" s="116"/>
      <c r="N45" s="116"/>
      <c r="O45" s="116"/>
      <c r="P45" s="116"/>
      <c r="Q45" s="116"/>
      <c r="R45" s="114" t="s">
        <v>3578</v>
      </c>
      <c r="S45" s="108" t="s">
        <v>3579</v>
      </c>
      <c r="T45" s="108" t="s">
        <v>3580</v>
      </c>
    </row>
    <row r="46" spans="1:20" ht="25.5" x14ac:dyDescent="0.2">
      <c r="A46" s="114" t="s">
        <v>3601</v>
      </c>
      <c r="B46" s="114" t="s">
        <v>55</v>
      </c>
      <c r="C46" s="114" t="s">
        <v>1331</v>
      </c>
      <c r="D46" s="114" t="s">
        <v>56</v>
      </c>
      <c r="E46" s="114" t="s">
        <v>57</v>
      </c>
      <c r="F46" s="114" t="s">
        <v>58</v>
      </c>
      <c r="G46" s="115">
        <v>15</v>
      </c>
      <c r="H46" s="114">
        <v>4</v>
      </c>
      <c r="I46" s="114" t="s">
        <v>3581</v>
      </c>
      <c r="J46" s="114"/>
      <c r="K46" s="115"/>
      <c r="L46" s="116"/>
      <c r="M46" s="116"/>
      <c r="N46" s="116"/>
      <c r="O46" s="116"/>
      <c r="P46" s="116"/>
      <c r="Q46" s="116"/>
      <c r="R46" s="114" t="s">
        <v>3578</v>
      </c>
      <c r="S46" s="108" t="s">
        <v>3579</v>
      </c>
      <c r="T46" s="108" t="s">
        <v>3580</v>
      </c>
    </row>
    <row r="47" spans="1:20" ht="38.25" x14ac:dyDescent="0.2">
      <c r="A47" s="114" t="s">
        <v>3603</v>
      </c>
      <c r="B47" s="114" t="s">
        <v>394</v>
      </c>
      <c r="C47" s="114" t="s">
        <v>1487</v>
      </c>
      <c r="D47" s="114" t="s">
        <v>56</v>
      </c>
      <c r="E47" s="114" t="s">
        <v>1488</v>
      </c>
      <c r="F47" s="114" t="s">
        <v>26</v>
      </c>
      <c r="G47" s="115">
        <v>766.25300000000004</v>
      </c>
      <c r="H47" s="114">
        <v>1</v>
      </c>
      <c r="I47" s="114" t="s">
        <v>3570</v>
      </c>
      <c r="J47" s="114" t="s">
        <v>26</v>
      </c>
      <c r="K47" s="115">
        <v>1</v>
      </c>
      <c r="L47" s="116">
        <v>153.89999999999998</v>
      </c>
      <c r="M47" s="116">
        <f>K47*L47</f>
        <v>153.89999999999998</v>
      </c>
      <c r="N47" s="116">
        <v>0.2223</v>
      </c>
      <c r="O47" s="116">
        <f>P47-M47</f>
        <v>34.207500000000039</v>
      </c>
      <c r="P47" s="116">
        <v>188.10750000000002</v>
      </c>
      <c r="Q47" s="116">
        <f>G47*P47</f>
        <v>144137.93619750001</v>
      </c>
      <c r="R47" s="114" t="s">
        <v>2349</v>
      </c>
      <c r="S47" s="108" t="s">
        <v>3604</v>
      </c>
      <c r="T47" s="108" t="s">
        <v>3572</v>
      </c>
    </row>
    <row r="48" spans="1:20" ht="38.25" x14ac:dyDescent="0.2">
      <c r="A48" s="114" t="s">
        <v>3603</v>
      </c>
      <c r="B48" s="114" t="s">
        <v>394</v>
      </c>
      <c r="C48" s="114" t="s">
        <v>1487</v>
      </c>
      <c r="D48" s="114" t="s">
        <v>56</v>
      </c>
      <c r="E48" s="114" t="s">
        <v>1488</v>
      </c>
      <c r="F48" s="114" t="s">
        <v>26</v>
      </c>
      <c r="G48" s="115">
        <v>766.25300000000004</v>
      </c>
      <c r="H48" s="114">
        <v>2</v>
      </c>
      <c r="I48" s="114" t="s">
        <v>3573</v>
      </c>
      <c r="J48" s="114" t="s">
        <v>1283</v>
      </c>
      <c r="K48" s="115">
        <v>0.2223</v>
      </c>
      <c r="L48" s="116">
        <v>153.89999999999998</v>
      </c>
      <c r="M48" s="116">
        <v>0</v>
      </c>
      <c r="N48" s="116">
        <v>0.2223</v>
      </c>
      <c r="O48" s="116">
        <f>O47</f>
        <v>34.207500000000039</v>
      </c>
      <c r="P48" s="116"/>
      <c r="Q48" s="116"/>
      <c r="R48" s="114" t="s">
        <v>3574</v>
      </c>
      <c r="S48" s="108" t="s">
        <v>3575</v>
      </c>
      <c r="T48" s="108" t="s">
        <v>3576</v>
      </c>
    </row>
    <row r="49" spans="1:20" ht="38.25" x14ac:dyDescent="0.2">
      <c r="A49" s="114" t="s">
        <v>3603</v>
      </c>
      <c r="B49" s="114" t="s">
        <v>394</v>
      </c>
      <c r="C49" s="114" t="s">
        <v>1487</v>
      </c>
      <c r="D49" s="114" t="s">
        <v>56</v>
      </c>
      <c r="E49" s="114" t="s">
        <v>1488</v>
      </c>
      <c r="F49" s="114" t="s">
        <v>26</v>
      </c>
      <c r="G49" s="115">
        <v>766.25300000000004</v>
      </c>
      <c r="H49" s="114">
        <v>3</v>
      </c>
      <c r="I49" s="114" t="s">
        <v>3577</v>
      </c>
      <c r="J49" s="114"/>
      <c r="K49" s="115"/>
      <c r="L49" s="116"/>
      <c r="M49" s="116"/>
      <c r="N49" s="116"/>
      <c r="O49" s="116"/>
      <c r="P49" s="116"/>
      <c r="Q49" s="116"/>
      <c r="R49" s="114" t="s">
        <v>3578</v>
      </c>
      <c r="S49" s="108" t="s">
        <v>3579</v>
      </c>
      <c r="T49" s="108" t="s">
        <v>3580</v>
      </c>
    </row>
    <row r="50" spans="1:20" ht="38.25" x14ac:dyDescent="0.2">
      <c r="A50" s="114" t="s">
        <v>3603</v>
      </c>
      <c r="B50" s="114" t="s">
        <v>394</v>
      </c>
      <c r="C50" s="114" t="s">
        <v>1487</v>
      </c>
      <c r="D50" s="114" t="s">
        <v>56</v>
      </c>
      <c r="E50" s="114" t="s">
        <v>1488</v>
      </c>
      <c r="F50" s="114" t="s">
        <v>26</v>
      </c>
      <c r="G50" s="115">
        <v>766.25300000000004</v>
      </c>
      <c r="H50" s="114">
        <v>4</v>
      </c>
      <c r="I50" s="114" t="s">
        <v>3581</v>
      </c>
      <c r="J50" s="114"/>
      <c r="K50" s="115"/>
      <c r="L50" s="116"/>
      <c r="M50" s="116"/>
      <c r="N50" s="116"/>
      <c r="O50" s="116"/>
      <c r="P50" s="116"/>
      <c r="Q50" s="116"/>
      <c r="R50" s="114" t="s">
        <v>3578</v>
      </c>
      <c r="S50" s="108" t="s">
        <v>3579</v>
      </c>
      <c r="T50" s="108" t="s">
        <v>3580</v>
      </c>
    </row>
    <row r="51" spans="1:20" ht="38.25" x14ac:dyDescent="0.2">
      <c r="A51" s="114" t="s">
        <v>3605</v>
      </c>
      <c r="B51" s="114" t="s">
        <v>1946</v>
      </c>
      <c r="C51" s="114" t="s">
        <v>1947</v>
      </c>
      <c r="D51" s="114" t="s">
        <v>24</v>
      </c>
      <c r="E51" s="114" t="s">
        <v>897</v>
      </c>
      <c r="F51" s="114" t="s">
        <v>84</v>
      </c>
      <c r="G51" s="115">
        <v>2</v>
      </c>
      <c r="H51" s="114">
        <v>1</v>
      </c>
      <c r="I51" s="114" t="s">
        <v>3570</v>
      </c>
      <c r="J51" s="114" t="s">
        <v>84</v>
      </c>
      <c r="K51" s="115">
        <v>1</v>
      </c>
      <c r="L51" s="116">
        <v>60936.967499999999</v>
      </c>
      <c r="M51" s="116">
        <f>K51*L51</f>
        <v>60936.967499999999</v>
      </c>
      <c r="N51" s="116">
        <v>0.2223</v>
      </c>
      <c r="O51" s="116">
        <f>P51-M51</f>
        <v>9309.9750000000058</v>
      </c>
      <c r="P51" s="116">
        <v>70246.942500000005</v>
      </c>
      <c r="Q51" s="116">
        <f>G51*P51</f>
        <v>140493.88500000001</v>
      </c>
      <c r="R51" s="114" t="s">
        <v>2332</v>
      </c>
      <c r="S51" s="108" t="s">
        <v>3606</v>
      </c>
      <c r="T51" s="108" t="s">
        <v>3572</v>
      </c>
    </row>
    <row r="52" spans="1:20" ht="38.25" x14ac:dyDescent="0.2">
      <c r="A52" s="114" t="s">
        <v>3605</v>
      </c>
      <c r="B52" s="114" t="s">
        <v>1946</v>
      </c>
      <c r="C52" s="114" t="s">
        <v>1947</v>
      </c>
      <c r="D52" s="114" t="s">
        <v>24</v>
      </c>
      <c r="E52" s="114" t="s">
        <v>897</v>
      </c>
      <c r="F52" s="114" t="s">
        <v>84</v>
      </c>
      <c r="G52" s="115">
        <v>2</v>
      </c>
      <c r="H52" s="114">
        <v>2</v>
      </c>
      <c r="I52" s="114" t="s">
        <v>3573</v>
      </c>
      <c r="J52" s="114" t="s">
        <v>1283</v>
      </c>
      <c r="K52" s="115">
        <v>0.2223</v>
      </c>
      <c r="L52" s="116">
        <v>60936.967499999999</v>
      </c>
      <c r="M52" s="116">
        <v>0</v>
      </c>
      <c r="N52" s="116">
        <v>0.2223</v>
      </c>
      <c r="O52" s="116">
        <f>O51</f>
        <v>9309.9750000000058</v>
      </c>
      <c r="P52" s="116"/>
      <c r="Q52" s="116"/>
      <c r="R52" s="114" t="s">
        <v>3574</v>
      </c>
      <c r="S52" s="108" t="s">
        <v>3575</v>
      </c>
      <c r="T52" s="108" t="s">
        <v>3576</v>
      </c>
    </row>
    <row r="53" spans="1:20" ht="38.25" x14ac:dyDescent="0.2">
      <c r="A53" s="114" t="s">
        <v>3605</v>
      </c>
      <c r="B53" s="114" t="s">
        <v>1946</v>
      </c>
      <c r="C53" s="114" t="s">
        <v>1947</v>
      </c>
      <c r="D53" s="114" t="s">
        <v>24</v>
      </c>
      <c r="E53" s="114" t="s">
        <v>897</v>
      </c>
      <c r="F53" s="114" t="s">
        <v>84</v>
      </c>
      <c r="G53" s="115">
        <v>2</v>
      </c>
      <c r="H53" s="114">
        <v>3</v>
      </c>
      <c r="I53" s="114" t="s">
        <v>3577</v>
      </c>
      <c r="J53" s="114"/>
      <c r="K53" s="115"/>
      <c r="L53" s="116"/>
      <c r="M53" s="116"/>
      <c r="N53" s="116"/>
      <c r="O53" s="116"/>
      <c r="P53" s="116"/>
      <c r="Q53" s="116"/>
      <c r="R53" s="114" t="s">
        <v>3578</v>
      </c>
      <c r="S53" s="108" t="s">
        <v>3579</v>
      </c>
      <c r="T53" s="108" t="s">
        <v>3580</v>
      </c>
    </row>
    <row r="54" spans="1:20" ht="38.25" x14ac:dyDescent="0.2">
      <c r="A54" s="114" t="s">
        <v>3605</v>
      </c>
      <c r="B54" s="114" t="s">
        <v>1946</v>
      </c>
      <c r="C54" s="114" t="s">
        <v>1947</v>
      </c>
      <c r="D54" s="114" t="s">
        <v>24</v>
      </c>
      <c r="E54" s="114" t="s">
        <v>897</v>
      </c>
      <c r="F54" s="114" t="s">
        <v>84</v>
      </c>
      <c r="G54" s="115">
        <v>2</v>
      </c>
      <c r="H54" s="114">
        <v>4</v>
      </c>
      <c r="I54" s="114" t="s">
        <v>3581</v>
      </c>
      <c r="J54" s="114"/>
      <c r="K54" s="115"/>
      <c r="L54" s="116"/>
      <c r="M54" s="116"/>
      <c r="N54" s="116"/>
      <c r="O54" s="116"/>
      <c r="P54" s="116"/>
      <c r="Q54" s="116"/>
      <c r="R54" s="114" t="s">
        <v>3578</v>
      </c>
      <c r="S54" s="108" t="s">
        <v>3579</v>
      </c>
      <c r="T54" s="108" t="s">
        <v>3580</v>
      </c>
    </row>
    <row r="55" spans="1:20" ht="63.75" x14ac:dyDescent="0.2">
      <c r="A55" s="114" t="s">
        <v>3607</v>
      </c>
      <c r="B55" s="114" t="s">
        <v>328</v>
      </c>
      <c r="C55" s="114" t="s">
        <v>1456</v>
      </c>
      <c r="D55" s="114" t="s">
        <v>56</v>
      </c>
      <c r="E55" s="114" t="s">
        <v>329</v>
      </c>
      <c r="F55" s="114" t="s">
        <v>26</v>
      </c>
      <c r="G55" s="115">
        <v>2115.672</v>
      </c>
      <c r="H55" s="114">
        <v>1</v>
      </c>
      <c r="I55" s="114" t="s">
        <v>3570</v>
      </c>
      <c r="J55" s="114" t="s">
        <v>26</v>
      </c>
      <c r="K55" s="115">
        <v>1</v>
      </c>
      <c r="L55" s="116">
        <v>50.722499999999997</v>
      </c>
      <c r="M55" s="116">
        <f>K55*L55</f>
        <v>50.722499999999997</v>
      </c>
      <c r="N55" s="116">
        <v>0.2223</v>
      </c>
      <c r="O55" s="116">
        <f>P55-M55</f>
        <v>11.272500000000001</v>
      </c>
      <c r="P55" s="116">
        <v>61.994999999999997</v>
      </c>
      <c r="Q55" s="116">
        <f>G55*P55</f>
        <v>131161.08564</v>
      </c>
      <c r="R55" s="114" t="s">
        <v>2349</v>
      </c>
      <c r="S55" s="108" t="s">
        <v>3608</v>
      </c>
      <c r="T55" s="108" t="s">
        <v>3572</v>
      </c>
    </row>
    <row r="56" spans="1:20" ht="63.75" x14ac:dyDescent="0.2">
      <c r="A56" s="114" t="s">
        <v>3607</v>
      </c>
      <c r="B56" s="114" t="s">
        <v>328</v>
      </c>
      <c r="C56" s="114" t="s">
        <v>1456</v>
      </c>
      <c r="D56" s="114" t="s">
        <v>56</v>
      </c>
      <c r="E56" s="114" t="s">
        <v>329</v>
      </c>
      <c r="F56" s="114" t="s">
        <v>26</v>
      </c>
      <c r="G56" s="115">
        <v>2115.672</v>
      </c>
      <c r="H56" s="114">
        <v>2</v>
      </c>
      <c r="I56" s="114" t="s">
        <v>3573</v>
      </c>
      <c r="J56" s="114" t="s">
        <v>1283</v>
      </c>
      <c r="K56" s="115">
        <v>0.2223</v>
      </c>
      <c r="L56" s="116">
        <v>50.722499999999997</v>
      </c>
      <c r="M56" s="116">
        <v>0</v>
      </c>
      <c r="N56" s="116">
        <v>0.2223</v>
      </c>
      <c r="O56" s="116">
        <f>O55</f>
        <v>11.272500000000001</v>
      </c>
      <c r="P56" s="116"/>
      <c r="Q56" s="116"/>
      <c r="R56" s="114" t="s">
        <v>3574</v>
      </c>
      <c r="S56" s="108" t="s">
        <v>3575</v>
      </c>
      <c r="T56" s="108" t="s">
        <v>3576</v>
      </c>
    </row>
    <row r="57" spans="1:20" ht="63.75" x14ac:dyDescent="0.2">
      <c r="A57" s="114" t="s">
        <v>3607</v>
      </c>
      <c r="B57" s="114" t="s">
        <v>328</v>
      </c>
      <c r="C57" s="114" t="s">
        <v>1456</v>
      </c>
      <c r="D57" s="114" t="s">
        <v>56</v>
      </c>
      <c r="E57" s="114" t="s">
        <v>329</v>
      </c>
      <c r="F57" s="114" t="s">
        <v>26</v>
      </c>
      <c r="G57" s="115">
        <v>2115.672</v>
      </c>
      <c r="H57" s="114">
        <v>3</v>
      </c>
      <c r="I57" s="114" t="s">
        <v>3577</v>
      </c>
      <c r="J57" s="114"/>
      <c r="K57" s="115"/>
      <c r="L57" s="116"/>
      <c r="M57" s="116"/>
      <c r="N57" s="116"/>
      <c r="O57" s="116"/>
      <c r="P57" s="116"/>
      <c r="Q57" s="116"/>
      <c r="R57" s="114" t="s">
        <v>3578</v>
      </c>
      <c r="S57" s="108" t="s">
        <v>3579</v>
      </c>
      <c r="T57" s="108" t="s">
        <v>3580</v>
      </c>
    </row>
    <row r="58" spans="1:20" ht="63.75" x14ac:dyDescent="0.2">
      <c r="A58" s="114" t="s">
        <v>3607</v>
      </c>
      <c r="B58" s="114" t="s">
        <v>328</v>
      </c>
      <c r="C58" s="114" t="s">
        <v>1456</v>
      </c>
      <c r="D58" s="114" t="s">
        <v>56</v>
      </c>
      <c r="E58" s="114" t="s">
        <v>329</v>
      </c>
      <c r="F58" s="114" t="s">
        <v>26</v>
      </c>
      <c r="G58" s="115">
        <v>2115.672</v>
      </c>
      <c r="H58" s="114">
        <v>4</v>
      </c>
      <c r="I58" s="114" t="s">
        <v>3581</v>
      </c>
      <c r="J58" s="114"/>
      <c r="K58" s="115"/>
      <c r="L58" s="116"/>
      <c r="M58" s="116"/>
      <c r="N58" s="116"/>
      <c r="O58" s="116"/>
      <c r="P58" s="116"/>
      <c r="Q58" s="116"/>
      <c r="R58" s="114" t="s">
        <v>3578</v>
      </c>
      <c r="S58" s="108" t="s">
        <v>3579</v>
      </c>
      <c r="T58" s="108" t="s">
        <v>3580</v>
      </c>
    </row>
    <row r="59" spans="1:20" ht="38.25" x14ac:dyDescent="0.2">
      <c r="A59" s="114" t="s">
        <v>3609</v>
      </c>
      <c r="B59" s="114" t="s">
        <v>348</v>
      </c>
      <c r="C59" s="114" t="s">
        <v>349</v>
      </c>
      <c r="D59" s="114" t="s">
        <v>209</v>
      </c>
      <c r="E59" s="114" t="s">
        <v>350</v>
      </c>
      <c r="F59" s="114" t="s">
        <v>26</v>
      </c>
      <c r="G59" s="115">
        <v>592.59400000000005</v>
      </c>
      <c r="H59" s="114">
        <v>1</v>
      </c>
      <c r="I59" s="114" t="s">
        <v>3570</v>
      </c>
      <c r="J59" s="114" t="s">
        <v>26</v>
      </c>
      <c r="K59" s="115">
        <v>1</v>
      </c>
      <c r="L59" s="116">
        <v>175.58250000000001</v>
      </c>
      <c r="M59" s="116">
        <f>K59*L59</f>
        <v>175.58250000000001</v>
      </c>
      <c r="N59" s="116">
        <v>0.2223</v>
      </c>
      <c r="O59" s="116">
        <f>P59-M59</f>
        <v>39.029999999999973</v>
      </c>
      <c r="P59" s="116">
        <v>214.61249999999998</v>
      </c>
      <c r="Q59" s="116">
        <f>G59*P59</f>
        <v>127178.07982500001</v>
      </c>
      <c r="R59" s="114" t="s">
        <v>3583</v>
      </c>
      <c r="S59" s="108" t="s">
        <v>3610</v>
      </c>
      <c r="T59" s="108" t="s">
        <v>3572</v>
      </c>
    </row>
    <row r="60" spans="1:20" ht="38.25" x14ac:dyDescent="0.2">
      <c r="A60" s="114" t="s">
        <v>3609</v>
      </c>
      <c r="B60" s="114" t="s">
        <v>348</v>
      </c>
      <c r="C60" s="114" t="s">
        <v>349</v>
      </c>
      <c r="D60" s="114" t="s">
        <v>209</v>
      </c>
      <c r="E60" s="114" t="s">
        <v>350</v>
      </c>
      <c r="F60" s="114" t="s">
        <v>26</v>
      </c>
      <c r="G60" s="115">
        <v>592.59400000000005</v>
      </c>
      <c r="H60" s="114">
        <v>2</v>
      </c>
      <c r="I60" s="114" t="s">
        <v>3573</v>
      </c>
      <c r="J60" s="114" t="s">
        <v>1283</v>
      </c>
      <c r="K60" s="115">
        <v>0.2223</v>
      </c>
      <c r="L60" s="116">
        <v>175.58250000000001</v>
      </c>
      <c r="M60" s="116">
        <v>0</v>
      </c>
      <c r="N60" s="116">
        <v>0.2223</v>
      </c>
      <c r="O60" s="116">
        <f>O59</f>
        <v>39.029999999999973</v>
      </c>
      <c r="P60" s="116"/>
      <c r="Q60" s="116"/>
      <c r="R60" s="114" t="s">
        <v>3574</v>
      </c>
      <c r="S60" s="108" t="s">
        <v>3575</v>
      </c>
      <c r="T60" s="108" t="s">
        <v>3576</v>
      </c>
    </row>
    <row r="61" spans="1:20" ht="38.25" x14ac:dyDescent="0.2">
      <c r="A61" s="114" t="s">
        <v>3609</v>
      </c>
      <c r="B61" s="114" t="s">
        <v>348</v>
      </c>
      <c r="C61" s="114" t="s">
        <v>349</v>
      </c>
      <c r="D61" s="114" t="s">
        <v>209</v>
      </c>
      <c r="E61" s="114" t="s">
        <v>350</v>
      </c>
      <c r="F61" s="114" t="s">
        <v>26</v>
      </c>
      <c r="G61" s="115">
        <v>592.59400000000005</v>
      </c>
      <c r="H61" s="114">
        <v>3</v>
      </c>
      <c r="I61" s="114" t="s">
        <v>3577</v>
      </c>
      <c r="J61" s="114"/>
      <c r="K61" s="115"/>
      <c r="L61" s="116"/>
      <c r="M61" s="116"/>
      <c r="N61" s="116"/>
      <c r="O61" s="116"/>
      <c r="P61" s="116"/>
      <c r="Q61" s="116"/>
      <c r="R61" s="114" t="s">
        <v>3578</v>
      </c>
      <c r="S61" s="108" t="s">
        <v>3579</v>
      </c>
      <c r="T61" s="108" t="s">
        <v>3580</v>
      </c>
    </row>
    <row r="62" spans="1:20" ht="38.25" x14ac:dyDescent="0.2">
      <c r="A62" s="114" t="s">
        <v>3609</v>
      </c>
      <c r="B62" s="114" t="s">
        <v>348</v>
      </c>
      <c r="C62" s="114" t="s">
        <v>349</v>
      </c>
      <c r="D62" s="114" t="s">
        <v>209</v>
      </c>
      <c r="E62" s="114" t="s">
        <v>350</v>
      </c>
      <c r="F62" s="114" t="s">
        <v>26</v>
      </c>
      <c r="G62" s="115">
        <v>592.59400000000005</v>
      </c>
      <c r="H62" s="114">
        <v>4</v>
      </c>
      <c r="I62" s="114" t="s">
        <v>3581</v>
      </c>
      <c r="J62" s="114"/>
      <c r="K62" s="115"/>
      <c r="L62" s="116"/>
      <c r="M62" s="116"/>
      <c r="N62" s="116"/>
      <c r="O62" s="116"/>
      <c r="P62" s="116"/>
      <c r="Q62" s="116"/>
      <c r="R62" s="114" t="s">
        <v>3578</v>
      </c>
      <c r="S62" s="108" t="s">
        <v>3579</v>
      </c>
      <c r="T62" s="108" t="s">
        <v>3580</v>
      </c>
    </row>
    <row r="63" spans="1:20" ht="38.25" x14ac:dyDescent="0.2">
      <c r="A63" s="114" t="s">
        <v>3611</v>
      </c>
      <c r="B63" s="114" t="s">
        <v>62</v>
      </c>
      <c r="C63" s="114" t="s">
        <v>1333</v>
      </c>
      <c r="D63" s="114" t="s">
        <v>56</v>
      </c>
      <c r="E63" s="114" t="s">
        <v>1334</v>
      </c>
      <c r="F63" s="114" t="s">
        <v>58</v>
      </c>
      <c r="G63" s="115">
        <v>15</v>
      </c>
      <c r="H63" s="114">
        <v>1</v>
      </c>
      <c r="I63" s="114" t="s">
        <v>3570</v>
      </c>
      <c r="J63" s="114" t="s">
        <v>58</v>
      </c>
      <c r="K63" s="115">
        <v>1</v>
      </c>
      <c r="L63" s="116">
        <v>6406.6875</v>
      </c>
      <c r="M63" s="116">
        <f>K63*L63</f>
        <v>6406.6875</v>
      </c>
      <c r="N63" s="116">
        <v>0.2223</v>
      </c>
      <c r="O63" s="116">
        <f>P63-M63</f>
        <v>1424.2049999999999</v>
      </c>
      <c r="P63" s="116">
        <v>7830.8924999999999</v>
      </c>
      <c r="Q63" s="116">
        <f>G63*P63</f>
        <v>117463.3875</v>
      </c>
      <c r="R63" s="114" t="s">
        <v>2349</v>
      </c>
      <c r="S63" s="108" t="s">
        <v>3612</v>
      </c>
      <c r="T63" s="108" t="s">
        <v>3572</v>
      </c>
    </row>
    <row r="64" spans="1:20" ht="25.5" x14ac:dyDescent="0.2">
      <c r="A64" s="114" t="s">
        <v>3611</v>
      </c>
      <c r="B64" s="114" t="s">
        <v>62</v>
      </c>
      <c r="C64" s="114" t="s">
        <v>1333</v>
      </c>
      <c r="D64" s="114" t="s">
        <v>56</v>
      </c>
      <c r="E64" s="114" t="s">
        <v>1334</v>
      </c>
      <c r="F64" s="114" t="s">
        <v>58</v>
      </c>
      <c r="G64" s="115">
        <v>15</v>
      </c>
      <c r="H64" s="114">
        <v>2</v>
      </c>
      <c r="I64" s="114" t="s">
        <v>3573</v>
      </c>
      <c r="J64" s="114" t="s">
        <v>1283</v>
      </c>
      <c r="K64" s="115">
        <v>0.2223</v>
      </c>
      <c r="L64" s="116">
        <v>6406.6875</v>
      </c>
      <c r="M64" s="116">
        <v>0</v>
      </c>
      <c r="N64" s="116">
        <v>0.2223</v>
      </c>
      <c r="O64" s="116">
        <f>O63</f>
        <v>1424.2049999999999</v>
      </c>
      <c r="P64" s="116"/>
      <c r="Q64" s="116"/>
      <c r="R64" s="114" t="s">
        <v>3574</v>
      </c>
      <c r="S64" s="108" t="s">
        <v>3575</v>
      </c>
      <c r="T64" s="108" t="s">
        <v>3576</v>
      </c>
    </row>
    <row r="65" spans="1:20" ht="25.5" x14ac:dyDescent="0.2">
      <c r="A65" s="114" t="s">
        <v>3611</v>
      </c>
      <c r="B65" s="114" t="s">
        <v>62</v>
      </c>
      <c r="C65" s="114" t="s">
        <v>1333</v>
      </c>
      <c r="D65" s="114" t="s">
        <v>56</v>
      </c>
      <c r="E65" s="114" t="s">
        <v>1334</v>
      </c>
      <c r="F65" s="114" t="s">
        <v>58</v>
      </c>
      <c r="G65" s="115">
        <v>15</v>
      </c>
      <c r="H65" s="114">
        <v>3</v>
      </c>
      <c r="I65" s="114" t="s">
        <v>3577</v>
      </c>
      <c r="J65" s="114"/>
      <c r="K65" s="115"/>
      <c r="L65" s="116"/>
      <c r="M65" s="116"/>
      <c r="N65" s="116"/>
      <c r="O65" s="116"/>
      <c r="P65" s="116"/>
      <c r="Q65" s="116"/>
      <c r="R65" s="114" t="s">
        <v>3578</v>
      </c>
      <c r="S65" s="108" t="s">
        <v>3579</v>
      </c>
      <c r="T65" s="108" t="s">
        <v>3580</v>
      </c>
    </row>
    <row r="66" spans="1:20" ht="25.5" x14ac:dyDescent="0.2">
      <c r="A66" s="114" t="s">
        <v>3611</v>
      </c>
      <c r="B66" s="114" t="s">
        <v>62</v>
      </c>
      <c r="C66" s="114" t="s">
        <v>1333</v>
      </c>
      <c r="D66" s="114" t="s">
        <v>56</v>
      </c>
      <c r="E66" s="114" t="s">
        <v>1334</v>
      </c>
      <c r="F66" s="114" t="s">
        <v>58</v>
      </c>
      <c r="G66" s="115">
        <v>15</v>
      </c>
      <c r="H66" s="114">
        <v>4</v>
      </c>
      <c r="I66" s="114" t="s">
        <v>3581</v>
      </c>
      <c r="J66" s="114"/>
      <c r="K66" s="115"/>
      <c r="L66" s="116"/>
      <c r="M66" s="116"/>
      <c r="N66" s="116"/>
      <c r="O66" s="116"/>
      <c r="P66" s="116"/>
      <c r="Q66" s="116"/>
      <c r="R66" s="114" t="s">
        <v>3578</v>
      </c>
      <c r="S66" s="108" t="s">
        <v>3579</v>
      </c>
      <c r="T66" s="108" t="s">
        <v>3580</v>
      </c>
    </row>
    <row r="67" spans="1:20" ht="51" x14ac:dyDescent="0.2">
      <c r="A67" s="114" t="s">
        <v>3613</v>
      </c>
      <c r="B67" s="114" t="s">
        <v>488</v>
      </c>
      <c r="C67" s="114" t="s">
        <v>1533</v>
      </c>
      <c r="D67" s="114" t="s">
        <v>24</v>
      </c>
      <c r="E67" s="114" t="s">
        <v>490</v>
      </c>
      <c r="F67" s="114" t="s">
        <v>26</v>
      </c>
      <c r="G67" s="115">
        <v>192.67599999999999</v>
      </c>
      <c r="H67" s="114">
        <v>1</v>
      </c>
      <c r="I67" s="114" t="s">
        <v>3570</v>
      </c>
      <c r="J67" s="114" t="s">
        <v>26</v>
      </c>
      <c r="K67" s="115">
        <v>1</v>
      </c>
      <c r="L67" s="116">
        <v>485.12250000000006</v>
      </c>
      <c r="M67" s="116">
        <f>K67*L67</f>
        <v>485.12250000000006</v>
      </c>
      <c r="N67" s="116">
        <v>0.2223</v>
      </c>
      <c r="O67" s="116">
        <f>P67-M67</f>
        <v>107.84249999999997</v>
      </c>
      <c r="P67" s="116">
        <v>592.96500000000003</v>
      </c>
      <c r="Q67" s="116">
        <f>G67*P67</f>
        <v>114250.12433999999</v>
      </c>
      <c r="R67" s="114" t="s">
        <v>2332</v>
      </c>
      <c r="S67" s="108" t="s">
        <v>3614</v>
      </c>
      <c r="T67" s="108" t="s">
        <v>3572</v>
      </c>
    </row>
    <row r="68" spans="1:20" ht="51" x14ac:dyDescent="0.2">
      <c r="A68" s="114" t="s">
        <v>3613</v>
      </c>
      <c r="B68" s="114" t="s">
        <v>488</v>
      </c>
      <c r="C68" s="114" t="s">
        <v>1533</v>
      </c>
      <c r="D68" s="114" t="s">
        <v>24</v>
      </c>
      <c r="E68" s="114" t="s">
        <v>490</v>
      </c>
      <c r="F68" s="114" t="s">
        <v>26</v>
      </c>
      <c r="G68" s="115">
        <v>192.67599999999999</v>
      </c>
      <c r="H68" s="114">
        <v>2</v>
      </c>
      <c r="I68" s="114" t="s">
        <v>3573</v>
      </c>
      <c r="J68" s="114" t="s">
        <v>1283</v>
      </c>
      <c r="K68" s="115">
        <v>0.2223</v>
      </c>
      <c r="L68" s="116">
        <v>485.12250000000006</v>
      </c>
      <c r="M68" s="116">
        <v>0</v>
      </c>
      <c r="N68" s="116">
        <v>0.2223</v>
      </c>
      <c r="O68" s="116">
        <f>O67</f>
        <v>107.84249999999997</v>
      </c>
      <c r="P68" s="116"/>
      <c r="Q68" s="116"/>
      <c r="R68" s="114" t="s">
        <v>3574</v>
      </c>
      <c r="S68" s="108" t="s">
        <v>3575</v>
      </c>
      <c r="T68" s="108" t="s">
        <v>3576</v>
      </c>
    </row>
    <row r="69" spans="1:20" ht="51" x14ac:dyDescent="0.2">
      <c r="A69" s="114" t="s">
        <v>3613</v>
      </c>
      <c r="B69" s="114" t="s">
        <v>488</v>
      </c>
      <c r="C69" s="114" t="s">
        <v>1533</v>
      </c>
      <c r="D69" s="114" t="s">
        <v>24</v>
      </c>
      <c r="E69" s="114" t="s">
        <v>490</v>
      </c>
      <c r="F69" s="114" t="s">
        <v>26</v>
      </c>
      <c r="G69" s="115">
        <v>192.67599999999999</v>
      </c>
      <c r="H69" s="114">
        <v>3</v>
      </c>
      <c r="I69" s="114" t="s">
        <v>3577</v>
      </c>
      <c r="J69" s="114"/>
      <c r="K69" s="115"/>
      <c r="L69" s="116"/>
      <c r="M69" s="116"/>
      <c r="N69" s="116"/>
      <c r="O69" s="116"/>
      <c r="P69" s="116"/>
      <c r="Q69" s="116"/>
      <c r="R69" s="114" t="s">
        <v>3578</v>
      </c>
      <c r="S69" s="108" t="s">
        <v>3579</v>
      </c>
      <c r="T69" s="108" t="s">
        <v>3580</v>
      </c>
    </row>
    <row r="70" spans="1:20" ht="51" x14ac:dyDescent="0.2">
      <c r="A70" s="114" t="s">
        <v>3613</v>
      </c>
      <c r="B70" s="114" t="s">
        <v>488</v>
      </c>
      <c r="C70" s="114" t="s">
        <v>1533</v>
      </c>
      <c r="D70" s="114" t="s">
        <v>24</v>
      </c>
      <c r="E70" s="114" t="s">
        <v>490</v>
      </c>
      <c r="F70" s="114" t="s">
        <v>26</v>
      </c>
      <c r="G70" s="115">
        <v>192.67599999999999</v>
      </c>
      <c r="H70" s="114">
        <v>4</v>
      </c>
      <c r="I70" s="114" t="s">
        <v>3581</v>
      </c>
      <c r="J70" s="114"/>
      <c r="K70" s="115"/>
      <c r="L70" s="116"/>
      <c r="M70" s="116"/>
      <c r="N70" s="116"/>
      <c r="O70" s="116"/>
      <c r="P70" s="116"/>
      <c r="Q70" s="116"/>
      <c r="R70" s="114" t="s">
        <v>3578</v>
      </c>
      <c r="S70" s="108" t="s">
        <v>3579</v>
      </c>
      <c r="T70" s="108" t="s">
        <v>3580</v>
      </c>
    </row>
    <row r="71" spans="1:20" ht="114.75" x14ac:dyDescent="0.2">
      <c r="A71" s="114" t="s">
        <v>3615</v>
      </c>
      <c r="B71" s="114" t="s">
        <v>22</v>
      </c>
      <c r="C71" s="114" t="s">
        <v>1317</v>
      </c>
      <c r="D71" s="114" t="s">
        <v>24</v>
      </c>
      <c r="E71" s="114" t="s">
        <v>1318</v>
      </c>
      <c r="F71" s="114" t="s">
        <v>26</v>
      </c>
      <c r="G71" s="115">
        <v>1404.56</v>
      </c>
      <c r="H71" s="114">
        <v>1</v>
      </c>
      <c r="I71" s="114" t="s">
        <v>3570</v>
      </c>
      <c r="J71" s="114" t="s">
        <v>26</v>
      </c>
      <c r="K71" s="115">
        <v>1</v>
      </c>
      <c r="L71" s="116">
        <v>64.792500000000004</v>
      </c>
      <c r="M71" s="116">
        <f>K71*L71</f>
        <v>64.792500000000004</v>
      </c>
      <c r="N71" s="116">
        <v>0.2223</v>
      </c>
      <c r="O71" s="116">
        <f>P71-M71</f>
        <v>14.399999999999991</v>
      </c>
      <c r="P71" s="116">
        <v>79.192499999999995</v>
      </c>
      <c r="Q71" s="116">
        <f>G71*P71</f>
        <v>111230.61779999999</v>
      </c>
      <c r="R71" s="114" t="s">
        <v>2332</v>
      </c>
      <c r="S71" s="108" t="s">
        <v>3616</v>
      </c>
      <c r="T71" s="108" t="s">
        <v>3572</v>
      </c>
    </row>
    <row r="72" spans="1:20" ht="114.75" x14ac:dyDescent="0.2">
      <c r="A72" s="114" t="s">
        <v>3615</v>
      </c>
      <c r="B72" s="114" t="s">
        <v>22</v>
      </c>
      <c r="C72" s="114" t="s">
        <v>1317</v>
      </c>
      <c r="D72" s="114" t="s">
        <v>24</v>
      </c>
      <c r="E72" s="114" t="s">
        <v>1318</v>
      </c>
      <c r="F72" s="114" t="s">
        <v>26</v>
      </c>
      <c r="G72" s="115">
        <v>1404.56</v>
      </c>
      <c r="H72" s="114">
        <v>2</v>
      </c>
      <c r="I72" s="114" t="s">
        <v>3573</v>
      </c>
      <c r="J72" s="114" t="s">
        <v>1283</v>
      </c>
      <c r="K72" s="115">
        <v>0.2223</v>
      </c>
      <c r="L72" s="116">
        <v>64.792500000000004</v>
      </c>
      <c r="M72" s="116">
        <v>0</v>
      </c>
      <c r="N72" s="116">
        <v>0.2223</v>
      </c>
      <c r="O72" s="116">
        <f>O71</f>
        <v>14.399999999999991</v>
      </c>
      <c r="P72" s="116"/>
      <c r="Q72" s="116"/>
      <c r="R72" s="114" t="s">
        <v>3574</v>
      </c>
      <c r="S72" s="108" t="s">
        <v>3575</v>
      </c>
      <c r="T72" s="108" t="s">
        <v>3576</v>
      </c>
    </row>
    <row r="73" spans="1:20" ht="114.75" x14ac:dyDescent="0.2">
      <c r="A73" s="114" t="s">
        <v>3615</v>
      </c>
      <c r="B73" s="114" t="s">
        <v>22</v>
      </c>
      <c r="C73" s="114" t="s">
        <v>1317</v>
      </c>
      <c r="D73" s="114" t="s">
        <v>24</v>
      </c>
      <c r="E73" s="114" t="s">
        <v>1318</v>
      </c>
      <c r="F73" s="114" t="s">
        <v>26</v>
      </c>
      <c r="G73" s="115">
        <v>1404.56</v>
      </c>
      <c r="H73" s="114">
        <v>3</v>
      </c>
      <c r="I73" s="114" t="s">
        <v>3577</v>
      </c>
      <c r="J73" s="114"/>
      <c r="K73" s="115"/>
      <c r="L73" s="116"/>
      <c r="M73" s="116"/>
      <c r="N73" s="116"/>
      <c r="O73" s="116"/>
      <c r="P73" s="116"/>
      <c r="Q73" s="116"/>
      <c r="R73" s="114" t="s">
        <v>3578</v>
      </c>
      <c r="S73" s="108" t="s">
        <v>3579</v>
      </c>
      <c r="T73" s="108" t="s">
        <v>3580</v>
      </c>
    </row>
    <row r="74" spans="1:20" ht="114.75" x14ac:dyDescent="0.2">
      <c r="A74" s="114" t="s">
        <v>3615</v>
      </c>
      <c r="B74" s="114" t="s">
        <v>22</v>
      </c>
      <c r="C74" s="114" t="s">
        <v>1317</v>
      </c>
      <c r="D74" s="114" t="s">
        <v>24</v>
      </c>
      <c r="E74" s="114" t="s">
        <v>1318</v>
      </c>
      <c r="F74" s="114" t="s">
        <v>26</v>
      </c>
      <c r="G74" s="115">
        <v>1404.56</v>
      </c>
      <c r="H74" s="114">
        <v>4</v>
      </c>
      <c r="I74" s="114" t="s">
        <v>3581</v>
      </c>
      <c r="J74" s="114"/>
      <c r="K74" s="115"/>
      <c r="L74" s="116"/>
      <c r="M74" s="116"/>
      <c r="N74" s="116"/>
      <c r="O74" s="116"/>
      <c r="P74" s="116"/>
      <c r="Q74" s="116"/>
      <c r="R74" s="114" t="s">
        <v>3578</v>
      </c>
      <c r="S74" s="108" t="s">
        <v>3579</v>
      </c>
      <c r="T74" s="108" t="s">
        <v>3580</v>
      </c>
    </row>
    <row r="75" spans="1:20" ht="38.25" x14ac:dyDescent="0.2">
      <c r="A75" s="114" t="s">
        <v>3617</v>
      </c>
      <c r="B75" s="114" t="s">
        <v>217</v>
      </c>
      <c r="C75" s="114" t="s">
        <v>1401</v>
      </c>
      <c r="D75" s="114" t="s">
        <v>56</v>
      </c>
      <c r="E75" s="114" t="s">
        <v>218</v>
      </c>
      <c r="F75" s="114" t="s">
        <v>118</v>
      </c>
      <c r="G75" s="115">
        <v>5400.143</v>
      </c>
      <c r="H75" s="114">
        <v>1</v>
      </c>
      <c r="I75" s="114" t="s">
        <v>3570</v>
      </c>
      <c r="J75" s="114" t="s">
        <v>118</v>
      </c>
      <c r="K75" s="115">
        <v>1</v>
      </c>
      <c r="L75" s="116">
        <v>15.899999999999999</v>
      </c>
      <c r="M75" s="116">
        <f>K75*L75</f>
        <v>15.899999999999999</v>
      </c>
      <c r="N75" s="116">
        <v>0.2223</v>
      </c>
      <c r="O75" s="116">
        <f>P75-M75</f>
        <v>3.5325000000000024</v>
      </c>
      <c r="P75" s="116">
        <v>19.432500000000001</v>
      </c>
      <c r="Q75" s="116">
        <f>G75*P75</f>
        <v>104938.27884750001</v>
      </c>
      <c r="R75" s="114" t="s">
        <v>2349</v>
      </c>
      <c r="S75" s="108" t="s">
        <v>3618</v>
      </c>
      <c r="T75" s="108" t="s">
        <v>3572</v>
      </c>
    </row>
    <row r="76" spans="1:20" ht="38.25" x14ac:dyDescent="0.2">
      <c r="A76" s="114" t="s">
        <v>3617</v>
      </c>
      <c r="B76" s="114" t="s">
        <v>217</v>
      </c>
      <c r="C76" s="114" t="s">
        <v>1401</v>
      </c>
      <c r="D76" s="114" t="s">
        <v>56</v>
      </c>
      <c r="E76" s="114" t="s">
        <v>218</v>
      </c>
      <c r="F76" s="114" t="s">
        <v>118</v>
      </c>
      <c r="G76" s="115">
        <v>5400.143</v>
      </c>
      <c r="H76" s="114">
        <v>2</v>
      </c>
      <c r="I76" s="114" t="s">
        <v>3573</v>
      </c>
      <c r="J76" s="114" t="s">
        <v>1283</v>
      </c>
      <c r="K76" s="115">
        <v>0.2223</v>
      </c>
      <c r="L76" s="116">
        <v>15.899999999999999</v>
      </c>
      <c r="M76" s="116">
        <v>0</v>
      </c>
      <c r="N76" s="116">
        <v>0.2223</v>
      </c>
      <c r="O76" s="116">
        <f>O75</f>
        <v>3.5325000000000024</v>
      </c>
      <c r="P76" s="116"/>
      <c r="Q76" s="116"/>
      <c r="R76" s="114" t="s">
        <v>3574</v>
      </c>
      <c r="S76" s="108" t="s">
        <v>3575</v>
      </c>
      <c r="T76" s="108" t="s">
        <v>3576</v>
      </c>
    </row>
    <row r="77" spans="1:20" ht="38.25" x14ac:dyDescent="0.2">
      <c r="A77" s="114" t="s">
        <v>3617</v>
      </c>
      <c r="B77" s="114" t="s">
        <v>217</v>
      </c>
      <c r="C77" s="114" t="s">
        <v>1401</v>
      </c>
      <c r="D77" s="114" t="s">
        <v>56</v>
      </c>
      <c r="E77" s="114" t="s">
        <v>218</v>
      </c>
      <c r="F77" s="114" t="s">
        <v>118</v>
      </c>
      <c r="G77" s="115">
        <v>5400.143</v>
      </c>
      <c r="H77" s="114">
        <v>3</v>
      </c>
      <c r="I77" s="114" t="s">
        <v>3577</v>
      </c>
      <c r="J77" s="114"/>
      <c r="K77" s="115"/>
      <c r="L77" s="116"/>
      <c r="M77" s="116"/>
      <c r="N77" s="116"/>
      <c r="O77" s="116"/>
      <c r="P77" s="116"/>
      <c r="Q77" s="116"/>
      <c r="R77" s="114" t="s">
        <v>3578</v>
      </c>
      <c r="S77" s="108" t="s">
        <v>3579</v>
      </c>
      <c r="T77" s="108" t="s">
        <v>3580</v>
      </c>
    </row>
    <row r="78" spans="1:20" ht="38.25" x14ac:dyDescent="0.2">
      <c r="A78" s="114" t="s">
        <v>3617</v>
      </c>
      <c r="B78" s="114" t="s">
        <v>217</v>
      </c>
      <c r="C78" s="114" t="s">
        <v>1401</v>
      </c>
      <c r="D78" s="114" t="s">
        <v>56</v>
      </c>
      <c r="E78" s="114" t="s">
        <v>218</v>
      </c>
      <c r="F78" s="114" t="s">
        <v>118</v>
      </c>
      <c r="G78" s="115">
        <v>5400.143</v>
      </c>
      <c r="H78" s="114">
        <v>4</v>
      </c>
      <c r="I78" s="114" t="s">
        <v>3581</v>
      </c>
      <c r="J78" s="114"/>
      <c r="K78" s="115"/>
      <c r="L78" s="116"/>
      <c r="M78" s="116"/>
      <c r="N78" s="116"/>
      <c r="O78" s="116"/>
      <c r="P78" s="116"/>
      <c r="Q78" s="116"/>
      <c r="R78" s="114" t="s">
        <v>3578</v>
      </c>
      <c r="S78" s="108" t="s">
        <v>3579</v>
      </c>
      <c r="T78" s="108" t="s">
        <v>3580</v>
      </c>
    </row>
    <row r="79" spans="1:20" ht="76.5" x14ac:dyDescent="0.2">
      <c r="A79" s="114" t="s">
        <v>3619</v>
      </c>
      <c r="B79" s="114" t="s">
        <v>2126</v>
      </c>
      <c r="C79" s="114" t="s">
        <v>2127</v>
      </c>
      <c r="D79" s="114" t="s">
        <v>24</v>
      </c>
      <c r="E79" s="114" t="s">
        <v>2128</v>
      </c>
      <c r="F79" s="114" t="s">
        <v>84</v>
      </c>
      <c r="G79" s="115">
        <v>377</v>
      </c>
      <c r="H79" s="114">
        <v>1</v>
      </c>
      <c r="I79" s="114" t="s">
        <v>3570</v>
      </c>
      <c r="J79" s="114" t="s">
        <v>84</v>
      </c>
      <c r="K79" s="115">
        <v>1</v>
      </c>
      <c r="L79" s="116">
        <v>225.36750000000001</v>
      </c>
      <c r="M79" s="116">
        <f>K79*L79</f>
        <v>225.36750000000001</v>
      </c>
      <c r="N79" s="116">
        <v>0.2223</v>
      </c>
      <c r="O79" s="116">
        <f>P79-M79</f>
        <v>50.092499999999973</v>
      </c>
      <c r="P79" s="116">
        <v>275.45999999999998</v>
      </c>
      <c r="Q79" s="116">
        <f>G79*P79</f>
        <v>103848.42</v>
      </c>
      <c r="R79" s="114" t="s">
        <v>2332</v>
      </c>
      <c r="S79" s="108" t="s">
        <v>3620</v>
      </c>
      <c r="T79" s="108" t="s">
        <v>3572</v>
      </c>
    </row>
    <row r="80" spans="1:20" ht="76.5" x14ac:dyDescent="0.2">
      <c r="A80" s="114" t="s">
        <v>3619</v>
      </c>
      <c r="B80" s="114" t="s">
        <v>2126</v>
      </c>
      <c r="C80" s="114" t="s">
        <v>2127</v>
      </c>
      <c r="D80" s="114" t="s">
        <v>24</v>
      </c>
      <c r="E80" s="114" t="s">
        <v>2128</v>
      </c>
      <c r="F80" s="114" t="s">
        <v>84</v>
      </c>
      <c r="G80" s="115">
        <v>377</v>
      </c>
      <c r="H80" s="114">
        <v>2</v>
      </c>
      <c r="I80" s="114" t="s">
        <v>3573</v>
      </c>
      <c r="J80" s="114" t="s">
        <v>1283</v>
      </c>
      <c r="K80" s="115">
        <v>0.2223</v>
      </c>
      <c r="L80" s="116">
        <v>225.36750000000001</v>
      </c>
      <c r="M80" s="116">
        <v>0</v>
      </c>
      <c r="N80" s="116">
        <v>0.2223</v>
      </c>
      <c r="O80" s="116">
        <f>O79</f>
        <v>50.092499999999973</v>
      </c>
      <c r="P80" s="116"/>
      <c r="Q80" s="116"/>
      <c r="R80" s="114" t="s">
        <v>3574</v>
      </c>
      <c r="S80" s="108" t="s">
        <v>3575</v>
      </c>
      <c r="T80" s="108" t="s">
        <v>3576</v>
      </c>
    </row>
    <row r="81" spans="1:20" ht="76.5" x14ac:dyDescent="0.2">
      <c r="A81" s="114" t="s">
        <v>3619</v>
      </c>
      <c r="B81" s="114" t="s">
        <v>2126</v>
      </c>
      <c r="C81" s="114" t="s">
        <v>2127</v>
      </c>
      <c r="D81" s="114" t="s">
        <v>24</v>
      </c>
      <c r="E81" s="114" t="s">
        <v>2128</v>
      </c>
      <c r="F81" s="114" t="s">
        <v>84</v>
      </c>
      <c r="G81" s="115">
        <v>377</v>
      </c>
      <c r="H81" s="114">
        <v>3</v>
      </c>
      <c r="I81" s="114" t="s">
        <v>3577</v>
      </c>
      <c r="J81" s="114"/>
      <c r="K81" s="115"/>
      <c r="L81" s="116"/>
      <c r="M81" s="116"/>
      <c r="N81" s="116"/>
      <c r="O81" s="116"/>
      <c r="P81" s="116"/>
      <c r="Q81" s="116"/>
      <c r="R81" s="114" t="s">
        <v>3578</v>
      </c>
      <c r="S81" s="108" t="s">
        <v>3579</v>
      </c>
      <c r="T81" s="108" t="s">
        <v>3580</v>
      </c>
    </row>
    <row r="82" spans="1:20" ht="76.5" x14ac:dyDescent="0.2">
      <c r="A82" s="114" t="s">
        <v>3619</v>
      </c>
      <c r="B82" s="114" t="s">
        <v>2126</v>
      </c>
      <c r="C82" s="114" t="s">
        <v>2127</v>
      </c>
      <c r="D82" s="114" t="s">
        <v>24</v>
      </c>
      <c r="E82" s="114" t="s">
        <v>2128</v>
      </c>
      <c r="F82" s="114" t="s">
        <v>84</v>
      </c>
      <c r="G82" s="115">
        <v>377</v>
      </c>
      <c r="H82" s="114">
        <v>4</v>
      </c>
      <c r="I82" s="114" t="s">
        <v>3581</v>
      </c>
      <c r="J82" s="114"/>
      <c r="K82" s="115"/>
      <c r="L82" s="116"/>
      <c r="M82" s="116"/>
      <c r="N82" s="116"/>
      <c r="O82" s="116"/>
      <c r="P82" s="116"/>
      <c r="Q82" s="116"/>
      <c r="R82" s="114" t="s">
        <v>3578</v>
      </c>
      <c r="S82" s="108" t="s">
        <v>3579</v>
      </c>
      <c r="T82" s="108" t="s">
        <v>3580</v>
      </c>
    </row>
    <row r="83" spans="1:20" ht="127.5" x14ac:dyDescent="0.2">
      <c r="A83" s="114" t="s">
        <v>3621</v>
      </c>
      <c r="B83" s="114" t="s">
        <v>517</v>
      </c>
      <c r="C83" s="114" t="s">
        <v>1544</v>
      </c>
      <c r="D83" s="114" t="s">
        <v>24</v>
      </c>
      <c r="E83" s="114" t="s">
        <v>519</v>
      </c>
      <c r="F83" s="114" t="s">
        <v>26</v>
      </c>
      <c r="G83" s="115">
        <v>115.76900000000001</v>
      </c>
      <c r="H83" s="114">
        <v>1</v>
      </c>
      <c r="I83" s="114" t="s">
        <v>3570</v>
      </c>
      <c r="J83" s="114" t="s">
        <v>26</v>
      </c>
      <c r="K83" s="115">
        <v>1</v>
      </c>
      <c r="L83" s="116">
        <v>712.5</v>
      </c>
      <c r="M83" s="116">
        <f>K83*L83</f>
        <v>712.5</v>
      </c>
      <c r="N83" s="116">
        <v>0.2223</v>
      </c>
      <c r="O83" s="116">
        <f>P83-M83</f>
        <v>158.38499999999999</v>
      </c>
      <c r="P83" s="116">
        <v>870.88499999999999</v>
      </c>
      <c r="Q83" s="116">
        <f>G83*P83</f>
        <v>100821.48556500001</v>
      </c>
      <c r="R83" s="114" t="s">
        <v>2332</v>
      </c>
      <c r="S83" s="108" t="s">
        <v>3622</v>
      </c>
      <c r="T83" s="108" t="s">
        <v>3572</v>
      </c>
    </row>
    <row r="84" spans="1:20" ht="127.5" x14ac:dyDescent="0.2">
      <c r="A84" s="114" t="s">
        <v>3621</v>
      </c>
      <c r="B84" s="114" t="s">
        <v>517</v>
      </c>
      <c r="C84" s="114" t="s">
        <v>1544</v>
      </c>
      <c r="D84" s="114" t="s">
        <v>24</v>
      </c>
      <c r="E84" s="114" t="s">
        <v>519</v>
      </c>
      <c r="F84" s="114" t="s">
        <v>26</v>
      </c>
      <c r="G84" s="115">
        <v>115.76900000000001</v>
      </c>
      <c r="H84" s="114">
        <v>2</v>
      </c>
      <c r="I84" s="114" t="s">
        <v>3573</v>
      </c>
      <c r="J84" s="114" t="s">
        <v>1283</v>
      </c>
      <c r="K84" s="115">
        <v>0.2223</v>
      </c>
      <c r="L84" s="116">
        <v>712.5</v>
      </c>
      <c r="M84" s="116">
        <v>0</v>
      </c>
      <c r="N84" s="116">
        <v>0.2223</v>
      </c>
      <c r="O84" s="116">
        <f>O83</f>
        <v>158.38499999999999</v>
      </c>
      <c r="P84" s="116"/>
      <c r="Q84" s="116"/>
      <c r="R84" s="114" t="s">
        <v>3574</v>
      </c>
      <c r="S84" s="108" t="s">
        <v>3575</v>
      </c>
      <c r="T84" s="108" t="s">
        <v>3576</v>
      </c>
    </row>
    <row r="85" spans="1:20" ht="127.5" x14ac:dyDescent="0.2">
      <c r="A85" s="114" t="s">
        <v>3621</v>
      </c>
      <c r="B85" s="114" t="s">
        <v>517</v>
      </c>
      <c r="C85" s="114" t="s">
        <v>1544</v>
      </c>
      <c r="D85" s="114" t="s">
        <v>24</v>
      </c>
      <c r="E85" s="114" t="s">
        <v>519</v>
      </c>
      <c r="F85" s="114" t="s">
        <v>26</v>
      </c>
      <c r="G85" s="115">
        <v>115.76900000000001</v>
      </c>
      <c r="H85" s="114">
        <v>3</v>
      </c>
      <c r="I85" s="114" t="s">
        <v>3577</v>
      </c>
      <c r="J85" s="114"/>
      <c r="K85" s="115"/>
      <c r="L85" s="116"/>
      <c r="M85" s="116"/>
      <c r="N85" s="116"/>
      <c r="O85" s="116"/>
      <c r="P85" s="116"/>
      <c r="Q85" s="116"/>
      <c r="R85" s="114" t="s">
        <v>3578</v>
      </c>
      <c r="S85" s="108" t="s">
        <v>3579</v>
      </c>
      <c r="T85" s="108" t="s">
        <v>3580</v>
      </c>
    </row>
    <row r="86" spans="1:20" ht="127.5" x14ac:dyDescent="0.2">
      <c r="A86" s="114" t="s">
        <v>3621</v>
      </c>
      <c r="B86" s="114" t="s">
        <v>517</v>
      </c>
      <c r="C86" s="114" t="s">
        <v>1544</v>
      </c>
      <c r="D86" s="114" t="s">
        <v>24</v>
      </c>
      <c r="E86" s="114" t="s">
        <v>519</v>
      </c>
      <c r="F86" s="114" t="s">
        <v>26</v>
      </c>
      <c r="G86" s="115">
        <v>115.76900000000001</v>
      </c>
      <c r="H86" s="114">
        <v>4</v>
      </c>
      <c r="I86" s="114" t="s">
        <v>3581</v>
      </c>
      <c r="J86" s="114"/>
      <c r="K86" s="115"/>
      <c r="L86" s="116"/>
      <c r="M86" s="116"/>
      <c r="N86" s="116"/>
      <c r="O86" s="116"/>
      <c r="P86" s="116"/>
      <c r="Q86" s="116"/>
      <c r="R86" s="114" t="s">
        <v>3578</v>
      </c>
      <c r="S86" s="108" t="s">
        <v>3579</v>
      </c>
      <c r="T86" s="108" t="s">
        <v>3580</v>
      </c>
    </row>
    <row r="87" spans="1:20" ht="38.25" x14ac:dyDescent="0.2">
      <c r="A87" s="114" t="s">
        <v>3623</v>
      </c>
      <c r="B87" s="114" t="s">
        <v>1938</v>
      </c>
      <c r="C87" s="114" t="s">
        <v>1939</v>
      </c>
      <c r="D87" s="114" t="s">
        <v>56</v>
      </c>
      <c r="E87" s="114" t="s">
        <v>887</v>
      </c>
      <c r="F87" s="114" t="s">
        <v>84</v>
      </c>
      <c r="G87" s="115">
        <v>14</v>
      </c>
      <c r="H87" s="114">
        <v>1</v>
      </c>
      <c r="I87" s="114" t="s">
        <v>3570</v>
      </c>
      <c r="J87" s="114" t="s">
        <v>84</v>
      </c>
      <c r="K87" s="115">
        <v>1</v>
      </c>
      <c r="L87" s="116">
        <v>6224.7150000000001</v>
      </c>
      <c r="M87" s="116">
        <f>K87*L87</f>
        <v>6224.7150000000001</v>
      </c>
      <c r="N87" s="116">
        <v>0.2223</v>
      </c>
      <c r="O87" s="116">
        <f>P87-M87</f>
        <v>951.01499999999942</v>
      </c>
      <c r="P87" s="116">
        <v>7175.73</v>
      </c>
      <c r="Q87" s="116">
        <f>G87*P87</f>
        <v>100460.22</v>
      </c>
      <c r="R87" s="114" t="s">
        <v>2349</v>
      </c>
      <c r="S87" s="108" t="s">
        <v>3624</v>
      </c>
      <c r="T87" s="108" t="s">
        <v>3572</v>
      </c>
    </row>
    <row r="88" spans="1:20" ht="38.25" x14ac:dyDescent="0.2">
      <c r="A88" s="114" t="s">
        <v>3623</v>
      </c>
      <c r="B88" s="114" t="s">
        <v>1938</v>
      </c>
      <c r="C88" s="114" t="s">
        <v>1939</v>
      </c>
      <c r="D88" s="114" t="s">
        <v>56</v>
      </c>
      <c r="E88" s="114" t="s">
        <v>887</v>
      </c>
      <c r="F88" s="114" t="s">
        <v>84</v>
      </c>
      <c r="G88" s="115">
        <v>14</v>
      </c>
      <c r="H88" s="114">
        <v>2</v>
      </c>
      <c r="I88" s="114" t="s">
        <v>3573</v>
      </c>
      <c r="J88" s="114" t="s">
        <v>1283</v>
      </c>
      <c r="K88" s="115">
        <v>0.2223</v>
      </c>
      <c r="L88" s="116">
        <v>6224.7150000000001</v>
      </c>
      <c r="M88" s="116">
        <v>0</v>
      </c>
      <c r="N88" s="116">
        <v>0.2223</v>
      </c>
      <c r="O88" s="116">
        <f>O87</f>
        <v>951.01499999999942</v>
      </c>
      <c r="P88" s="116"/>
      <c r="Q88" s="116"/>
      <c r="R88" s="114" t="s">
        <v>3574</v>
      </c>
      <c r="S88" s="108" t="s">
        <v>3575</v>
      </c>
      <c r="T88" s="108" t="s">
        <v>3576</v>
      </c>
    </row>
    <row r="89" spans="1:20" ht="38.25" x14ac:dyDescent="0.2">
      <c r="A89" s="114" t="s">
        <v>3623</v>
      </c>
      <c r="B89" s="114" t="s">
        <v>1938</v>
      </c>
      <c r="C89" s="114" t="s">
        <v>1939</v>
      </c>
      <c r="D89" s="114" t="s">
        <v>56</v>
      </c>
      <c r="E89" s="114" t="s">
        <v>887</v>
      </c>
      <c r="F89" s="114" t="s">
        <v>84</v>
      </c>
      <c r="G89" s="115">
        <v>14</v>
      </c>
      <c r="H89" s="114">
        <v>3</v>
      </c>
      <c r="I89" s="114" t="s">
        <v>3577</v>
      </c>
      <c r="J89" s="114"/>
      <c r="K89" s="115"/>
      <c r="L89" s="116"/>
      <c r="M89" s="116"/>
      <c r="N89" s="116"/>
      <c r="O89" s="116"/>
      <c r="P89" s="116"/>
      <c r="Q89" s="116"/>
      <c r="R89" s="114" t="s">
        <v>3578</v>
      </c>
      <c r="S89" s="108" t="s">
        <v>3579</v>
      </c>
      <c r="T89" s="108" t="s">
        <v>3580</v>
      </c>
    </row>
    <row r="90" spans="1:20" ht="38.25" x14ac:dyDescent="0.2">
      <c r="A90" s="114" t="s">
        <v>3623</v>
      </c>
      <c r="B90" s="114" t="s">
        <v>1938</v>
      </c>
      <c r="C90" s="114" t="s">
        <v>1939</v>
      </c>
      <c r="D90" s="114" t="s">
        <v>56</v>
      </c>
      <c r="E90" s="114" t="s">
        <v>887</v>
      </c>
      <c r="F90" s="114" t="s">
        <v>84</v>
      </c>
      <c r="G90" s="115">
        <v>14</v>
      </c>
      <c r="H90" s="114">
        <v>4</v>
      </c>
      <c r="I90" s="114" t="s">
        <v>3581</v>
      </c>
      <c r="J90" s="114"/>
      <c r="K90" s="115"/>
      <c r="L90" s="116"/>
      <c r="M90" s="116"/>
      <c r="N90" s="116"/>
      <c r="O90" s="116"/>
      <c r="P90" s="116"/>
      <c r="Q90" s="116"/>
      <c r="R90" s="114" t="s">
        <v>3578</v>
      </c>
      <c r="S90" s="108" t="s">
        <v>3579</v>
      </c>
      <c r="T90" s="108" t="s">
        <v>3580</v>
      </c>
    </row>
    <row r="91" spans="1:20" ht="38.25" x14ac:dyDescent="0.2">
      <c r="A91" s="114" t="s">
        <v>3625</v>
      </c>
      <c r="B91" s="114" t="s">
        <v>315</v>
      </c>
      <c r="C91" s="114" t="s">
        <v>316</v>
      </c>
      <c r="D91" s="114" t="s">
        <v>317</v>
      </c>
      <c r="E91" s="114" t="s">
        <v>318</v>
      </c>
      <c r="F91" s="114" t="s">
        <v>26</v>
      </c>
      <c r="G91" s="115">
        <v>76.228999999999999</v>
      </c>
      <c r="H91" s="114">
        <v>1</v>
      </c>
      <c r="I91" s="114" t="s">
        <v>3570</v>
      </c>
      <c r="J91" s="114" t="s">
        <v>26</v>
      </c>
      <c r="K91" s="115">
        <v>1</v>
      </c>
      <c r="L91" s="116">
        <v>1075.9575</v>
      </c>
      <c r="M91" s="116">
        <f>K91*L91</f>
        <v>1075.9575</v>
      </c>
      <c r="N91" s="116">
        <v>0.2223</v>
      </c>
      <c r="O91" s="116">
        <f>P91-M91</f>
        <v>239.18249999999989</v>
      </c>
      <c r="P91" s="116">
        <v>1315.1399999999999</v>
      </c>
      <c r="Q91" s="116">
        <f>G91*P91</f>
        <v>100251.80705999999</v>
      </c>
      <c r="R91" s="114" t="s">
        <v>2574</v>
      </c>
      <c r="S91" s="108" t="s">
        <v>3626</v>
      </c>
      <c r="T91" s="108" t="s">
        <v>3572</v>
      </c>
    </row>
    <row r="92" spans="1:20" ht="38.25" x14ac:dyDescent="0.2">
      <c r="A92" s="114" t="s">
        <v>3625</v>
      </c>
      <c r="B92" s="114" t="s">
        <v>315</v>
      </c>
      <c r="C92" s="114" t="s">
        <v>316</v>
      </c>
      <c r="D92" s="114" t="s">
        <v>317</v>
      </c>
      <c r="E92" s="114" t="s">
        <v>318</v>
      </c>
      <c r="F92" s="114" t="s">
        <v>26</v>
      </c>
      <c r="G92" s="115">
        <v>76.228999999999999</v>
      </c>
      <c r="H92" s="114">
        <v>2</v>
      </c>
      <c r="I92" s="114" t="s">
        <v>3573</v>
      </c>
      <c r="J92" s="114" t="s">
        <v>1283</v>
      </c>
      <c r="K92" s="115">
        <v>0.2223</v>
      </c>
      <c r="L92" s="116">
        <v>1075.9575</v>
      </c>
      <c r="M92" s="116">
        <v>0</v>
      </c>
      <c r="N92" s="116">
        <v>0.2223</v>
      </c>
      <c r="O92" s="116">
        <f>O91</f>
        <v>239.18249999999989</v>
      </c>
      <c r="P92" s="116"/>
      <c r="Q92" s="116"/>
      <c r="R92" s="114" t="s">
        <v>3574</v>
      </c>
      <c r="S92" s="108" t="s">
        <v>3575</v>
      </c>
      <c r="T92" s="108" t="s">
        <v>3576</v>
      </c>
    </row>
    <row r="93" spans="1:20" ht="38.25" x14ac:dyDescent="0.2">
      <c r="A93" s="114" t="s">
        <v>3625</v>
      </c>
      <c r="B93" s="114" t="s">
        <v>315</v>
      </c>
      <c r="C93" s="114" t="s">
        <v>316</v>
      </c>
      <c r="D93" s="114" t="s">
        <v>317</v>
      </c>
      <c r="E93" s="114" t="s">
        <v>318</v>
      </c>
      <c r="F93" s="114" t="s">
        <v>26</v>
      </c>
      <c r="G93" s="115">
        <v>76.228999999999999</v>
      </c>
      <c r="H93" s="114">
        <v>3</v>
      </c>
      <c r="I93" s="114" t="s">
        <v>3577</v>
      </c>
      <c r="J93" s="114"/>
      <c r="K93" s="115"/>
      <c r="L93" s="116"/>
      <c r="M93" s="116"/>
      <c r="N93" s="116"/>
      <c r="O93" s="116"/>
      <c r="P93" s="116"/>
      <c r="Q93" s="116"/>
      <c r="R93" s="114" t="s">
        <v>3578</v>
      </c>
      <c r="S93" s="108" t="s">
        <v>3579</v>
      </c>
      <c r="T93" s="108" t="s">
        <v>3580</v>
      </c>
    </row>
    <row r="94" spans="1:20" ht="38.25" x14ac:dyDescent="0.2">
      <c r="A94" s="114" t="s">
        <v>3625</v>
      </c>
      <c r="B94" s="114" t="s">
        <v>315</v>
      </c>
      <c r="C94" s="114" t="s">
        <v>316</v>
      </c>
      <c r="D94" s="114" t="s">
        <v>317</v>
      </c>
      <c r="E94" s="114" t="s">
        <v>318</v>
      </c>
      <c r="F94" s="114" t="s">
        <v>26</v>
      </c>
      <c r="G94" s="115">
        <v>76.228999999999999</v>
      </c>
      <c r="H94" s="114">
        <v>4</v>
      </c>
      <c r="I94" s="114" t="s">
        <v>3581</v>
      </c>
      <c r="J94" s="114"/>
      <c r="K94" s="115"/>
      <c r="L94" s="116"/>
      <c r="M94" s="116"/>
      <c r="N94" s="116"/>
      <c r="O94" s="116"/>
      <c r="P94" s="116"/>
      <c r="Q94" s="116"/>
      <c r="R94" s="114" t="s">
        <v>3578</v>
      </c>
      <c r="S94" s="108" t="s">
        <v>3579</v>
      </c>
      <c r="T94" s="108" t="s">
        <v>3580</v>
      </c>
    </row>
    <row r="95" spans="1:20" ht="38.25" x14ac:dyDescent="0.2">
      <c r="A95" s="114" t="s">
        <v>3627</v>
      </c>
      <c r="B95" s="114" t="s">
        <v>1936</v>
      </c>
      <c r="C95" s="114" t="s">
        <v>1937</v>
      </c>
      <c r="D95" s="114" t="s">
        <v>56</v>
      </c>
      <c r="E95" s="114" t="s">
        <v>885</v>
      </c>
      <c r="F95" s="114" t="s">
        <v>84</v>
      </c>
      <c r="G95" s="115">
        <v>17</v>
      </c>
      <c r="H95" s="114">
        <v>1</v>
      </c>
      <c r="I95" s="114" t="s">
        <v>3570</v>
      </c>
      <c r="J95" s="114" t="s">
        <v>84</v>
      </c>
      <c r="K95" s="115">
        <v>1</v>
      </c>
      <c r="L95" s="116">
        <v>5068.1025</v>
      </c>
      <c r="M95" s="116">
        <f>K95*L95</f>
        <v>5068.1025</v>
      </c>
      <c r="N95" s="116">
        <v>0.2223</v>
      </c>
      <c r="O95" s="116">
        <f>P95-M95</f>
        <v>774.30000000000018</v>
      </c>
      <c r="P95" s="116">
        <v>5842.4025000000001</v>
      </c>
      <c r="Q95" s="116">
        <f>G95*P95</f>
        <v>99320.842499999999</v>
      </c>
      <c r="R95" s="114" t="s">
        <v>2349</v>
      </c>
      <c r="S95" s="108" t="s">
        <v>3628</v>
      </c>
      <c r="T95" s="108" t="s">
        <v>3572</v>
      </c>
    </row>
    <row r="96" spans="1:20" ht="38.25" x14ac:dyDescent="0.2">
      <c r="A96" s="114" t="s">
        <v>3627</v>
      </c>
      <c r="B96" s="114" t="s">
        <v>1936</v>
      </c>
      <c r="C96" s="114" t="s">
        <v>1937</v>
      </c>
      <c r="D96" s="114" t="s">
        <v>56</v>
      </c>
      <c r="E96" s="114" t="s">
        <v>885</v>
      </c>
      <c r="F96" s="114" t="s">
        <v>84</v>
      </c>
      <c r="G96" s="115">
        <v>17</v>
      </c>
      <c r="H96" s="114">
        <v>2</v>
      </c>
      <c r="I96" s="114" t="s">
        <v>3573</v>
      </c>
      <c r="J96" s="114" t="s">
        <v>1283</v>
      </c>
      <c r="K96" s="115">
        <v>0.2223</v>
      </c>
      <c r="L96" s="116">
        <v>5068.1025</v>
      </c>
      <c r="M96" s="116">
        <v>0</v>
      </c>
      <c r="N96" s="116">
        <v>0.2223</v>
      </c>
      <c r="O96" s="116">
        <f>O95</f>
        <v>774.30000000000018</v>
      </c>
      <c r="P96" s="116"/>
      <c r="Q96" s="116"/>
      <c r="R96" s="114" t="s">
        <v>3574</v>
      </c>
      <c r="S96" s="108" t="s">
        <v>3575</v>
      </c>
      <c r="T96" s="108" t="s">
        <v>3576</v>
      </c>
    </row>
    <row r="97" spans="1:20" ht="38.25" x14ac:dyDescent="0.2">
      <c r="A97" s="114" t="s">
        <v>3627</v>
      </c>
      <c r="B97" s="114" t="s">
        <v>1936</v>
      </c>
      <c r="C97" s="114" t="s">
        <v>1937</v>
      </c>
      <c r="D97" s="114" t="s">
        <v>56</v>
      </c>
      <c r="E97" s="114" t="s">
        <v>885</v>
      </c>
      <c r="F97" s="114" t="s">
        <v>84</v>
      </c>
      <c r="G97" s="115">
        <v>17</v>
      </c>
      <c r="H97" s="114">
        <v>3</v>
      </c>
      <c r="I97" s="114" t="s">
        <v>3577</v>
      </c>
      <c r="J97" s="114"/>
      <c r="K97" s="115"/>
      <c r="L97" s="116"/>
      <c r="M97" s="116"/>
      <c r="N97" s="116"/>
      <c r="O97" s="116"/>
      <c r="P97" s="116"/>
      <c r="Q97" s="116"/>
      <c r="R97" s="114" t="s">
        <v>3578</v>
      </c>
      <c r="S97" s="108" t="s">
        <v>3579</v>
      </c>
      <c r="T97" s="108" t="s">
        <v>3580</v>
      </c>
    </row>
    <row r="98" spans="1:20" ht="38.25" x14ac:dyDescent="0.2">
      <c r="A98" s="114" t="s">
        <v>3627</v>
      </c>
      <c r="B98" s="114" t="s">
        <v>1936</v>
      </c>
      <c r="C98" s="114" t="s">
        <v>1937</v>
      </c>
      <c r="D98" s="114" t="s">
        <v>56</v>
      </c>
      <c r="E98" s="114" t="s">
        <v>885</v>
      </c>
      <c r="F98" s="114" t="s">
        <v>84</v>
      </c>
      <c r="G98" s="115">
        <v>17</v>
      </c>
      <c r="H98" s="114">
        <v>4</v>
      </c>
      <c r="I98" s="114" t="s">
        <v>3581</v>
      </c>
      <c r="J98" s="114"/>
      <c r="K98" s="115"/>
      <c r="L98" s="116"/>
      <c r="M98" s="116"/>
      <c r="N98" s="116"/>
      <c r="O98" s="116"/>
      <c r="P98" s="116"/>
      <c r="Q98" s="116"/>
      <c r="R98" s="114" t="s">
        <v>3578</v>
      </c>
      <c r="S98" s="108" t="s">
        <v>3579</v>
      </c>
      <c r="T98" s="108" t="s">
        <v>3580</v>
      </c>
    </row>
    <row r="99" spans="1:20" ht="51" x14ac:dyDescent="0.2">
      <c r="A99" s="114" t="s">
        <v>3629</v>
      </c>
      <c r="B99" s="114" t="s">
        <v>1416</v>
      </c>
      <c r="C99" s="114" t="s">
        <v>236</v>
      </c>
      <c r="D99" s="114" t="s">
        <v>209</v>
      </c>
      <c r="E99" s="114" t="s">
        <v>271</v>
      </c>
      <c r="F99" s="114" t="s">
        <v>118</v>
      </c>
      <c r="G99" s="115">
        <v>147.48699999999999</v>
      </c>
      <c r="H99" s="114">
        <v>1</v>
      </c>
      <c r="I99" s="114" t="s">
        <v>3570</v>
      </c>
      <c r="J99" s="114" t="s">
        <v>118</v>
      </c>
      <c r="K99" s="115">
        <v>1</v>
      </c>
      <c r="L99" s="116">
        <v>521.81999999999994</v>
      </c>
      <c r="M99" s="116">
        <f>K99*L99</f>
        <v>521.81999999999994</v>
      </c>
      <c r="N99" s="116">
        <v>0.2223</v>
      </c>
      <c r="O99" s="116">
        <f>P99-M99</f>
        <v>115.995</v>
      </c>
      <c r="P99" s="116">
        <v>637.81499999999994</v>
      </c>
      <c r="Q99" s="116">
        <f>G99*P99</f>
        <v>94069.420904999992</v>
      </c>
      <c r="R99" s="114" t="s">
        <v>3583</v>
      </c>
      <c r="S99" s="108" t="s">
        <v>3630</v>
      </c>
      <c r="T99" s="108" t="s">
        <v>3572</v>
      </c>
    </row>
    <row r="100" spans="1:20" ht="51" x14ac:dyDescent="0.2">
      <c r="A100" s="114" t="s">
        <v>3629</v>
      </c>
      <c r="B100" s="114" t="s">
        <v>1416</v>
      </c>
      <c r="C100" s="114" t="s">
        <v>236</v>
      </c>
      <c r="D100" s="114" t="s">
        <v>209</v>
      </c>
      <c r="E100" s="114" t="s">
        <v>271</v>
      </c>
      <c r="F100" s="114" t="s">
        <v>118</v>
      </c>
      <c r="G100" s="115">
        <v>147.48699999999999</v>
      </c>
      <c r="H100" s="114">
        <v>2</v>
      </c>
      <c r="I100" s="114" t="s">
        <v>3573</v>
      </c>
      <c r="J100" s="114" t="s">
        <v>1283</v>
      </c>
      <c r="K100" s="115">
        <v>0.2223</v>
      </c>
      <c r="L100" s="116">
        <v>521.81999999999994</v>
      </c>
      <c r="M100" s="116">
        <v>0</v>
      </c>
      <c r="N100" s="116">
        <v>0.2223</v>
      </c>
      <c r="O100" s="116">
        <f>O99</f>
        <v>115.995</v>
      </c>
      <c r="P100" s="116"/>
      <c r="Q100" s="116"/>
      <c r="R100" s="114" t="s">
        <v>3574</v>
      </c>
      <c r="S100" s="108" t="s">
        <v>3575</v>
      </c>
      <c r="T100" s="108" t="s">
        <v>3576</v>
      </c>
    </row>
    <row r="101" spans="1:20" ht="51" x14ac:dyDescent="0.2">
      <c r="A101" s="114" t="s">
        <v>3629</v>
      </c>
      <c r="B101" s="114" t="s">
        <v>1416</v>
      </c>
      <c r="C101" s="114" t="s">
        <v>236</v>
      </c>
      <c r="D101" s="114" t="s">
        <v>209</v>
      </c>
      <c r="E101" s="114" t="s">
        <v>271</v>
      </c>
      <c r="F101" s="114" t="s">
        <v>118</v>
      </c>
      <c r="G101" s="115">
        <v>147.48699999999999</v>
      </c>
      <c r="H101" s="114">
        <v>3</v>
      </c>
      <c r="I101" s="114" t="s">
        <v>3577</v>
      </c>
      <c r="J101" s="114"/>
      <c r="K101" s="115"/>
      <c r="L101" s="116"/>
      <c r="M101" s="116"/>
      <c r="N101" s="116"/>
      <c r="O101" s="116"/>
      <c r="P101" s="116"/>
      <c r="Q101" s="116"/>
      <c r="R101" s="114" t="s">
        <v>3578</v>
      </c>
      <c r="S101" s="108" t="s">
        <v>3579</v>
      </c>
      <c r="T101" s="108" t="s">
        <v>3580</v>
      </c>
    </row>
    <row r="102" spans="1:20" ht="51" x14ac:dyDescent="0.2">
      <c r="A102" s="114" t="s">
        <v>3629</v>
      </c>
      <c r="B102" s="114" t="s">
        <v>1416</v>
      </c>
      <c r="C102" s="114" t="s">
        <v>236</v>
      </c>
      <c r="D102" s="114" t="s">
        <v>209</v>
      </c>
      <c r="E102" s="114" t="s">
        <v>271</v>
      </c>
      <c r="F102" s="114" t="s">
        <v>118</v>
      </c>
      <c r="G102" s="115">
        <v>147.48699999999999</v>
      </c>
      <c r="H102" s="114">
        <v>4</v>
      </c>
      <c r="I102" s="114" t="s">
        <v>3581</v>
      </c>
      <c r="J102" s="114"/>
      <c r="K102" s="115"/>
      <c r="L102" s="116"/>
      <c r="M102" s="116"/>
      <c r="N102" s="116"/>
      <c r="O102" s="116"/>
      <c r="P102" s="116"/>
      <c r="Q102" s="116"/>
      <c r="R102" s="114" t="s">
        <v>3578</v>
      </c>
      <c r="S102" s="108" t="s">
        <v>3579</v>
      </c>
      <c r="T102" s="108" t="s">
        <v>3580</v>
      </c>
    </row>
    <row r="103" spans="1:20" ht="51" x14ac:dyDescent="0.2">
      <c r="A103" s="114" t="s">
        <v>3631</v>
      </c>
      <c r="B103" s="114" t="s">
        <v>2206</v>
      </c>
      <c r="C103" s="114" t="s">
        <v>2207</v>
      </c>
      <c r="D103" s="114" t="s">
        <v>56</v>
      </c>
      <c r="E103" s="114" t="s">
        <v>2208</v>
      </c>
      <c r="F103" s="114" t="s">
        <v>26</v>
      </c>
      <c r="G103" s="115">
        <v>359.84500000000003</v>
      </c>
      <c r="H103" s="114">
        <v>1</v>
      </c>
      <c r="I103" s="114" t="s">
        <v>3570</v>
      </c>
      <c r="J103" s="114" t="s">
        <v>26</v>
      </c>
      <c r="K103" s="115">
        <v>1</v>
      </c>
      <c r="L103" s="116">
        <v>212.54999999999998</v>
      </c>
      <c r="M103" s="116">
        <f>K103*L103</f>
        <v>212.54999999999998</v>
      </c>
      <c r="N103" s="116">
        <v>0.2223</v>
      </c>
      <c r="O103" s="116">
        <f>P103-M103</f>
        <v>47.242500000000035</v>
      </c>
      <c r="P103" s="116">
        <v>259.79250000000002</v>
      </c>
      <c r="Q103" s="116">
        <f>G103*P103</f>
        <v>93485.032162500007</v>
      </c>
      <c r="R103" s="114" t="s">
        <v>2349</v>
      </c>
      <c r="S103" s="108" t="s">
        <v>3632</v>
      </c>
      <c r="T103" s="108" t="s">
        <v>3572</v>
      </c>
    </row>
    <row r="104" spans="1:20" ht="51" x14ac:dyDescent="0.2">
      <c r="A104" s="114" t="s">
        <v>3631</v>
      </c>
      <c r="B104" s="114" t="s">
        <v>2206</v>
      </c>
      <c r="C104" s="114" t="s">
        <v>2207</v>
      </c>
      <c r="D104" s="114" t="s">
        <v>56</v>
      </c>
      <c r="E104" s="114" t="s">
        <v>2208</v>
      </c>
      <c r="F104" s="114" t="s">
        <v>26</v>
      </c>
      <c r="G104" s="115">
        <v>359.84500000000003</v>
      </c>
      <c r="H104" s="114">
        <v>2</v>
      </c>
      <c r="I104" s="114" t="s">
        <v>3573</v>
      </c>
      <c r="J104" s="114" t="s">
        <v>1283</v>
      </c>
      <c r="K104" s="115">
        <v>0.2223</v>
      </c>
      <c r="L104" s="116">
        <v>212.54999999999998</v>
      </c>
      <c r="M104" s="116">
        <v>0</v>
      </c>
      <c r="N104" s="116">
        <v>0.2223</v>
      </c>
      <c r="O104" s="116">
        <f>O103</f>
        <v>47.242500000000035</v>
      </c>
      <c r="P104" s="116"/>
      <c r="Q104" s="116"/>
      <c r="R104" s="114" t="s">
        <v>3574</v>
      </c>
      <c r="S104" s="108" t="s">
        <v>3575</v>
      </c>
      <c r="T104" s="108" t="s">
        <v>3576</v>
      </c>
    </row>
    <row r="105" spans="1:20" ht="51" x14ac:dyDescent="0.2">
      <c r="A105" s="114" t="s">
        <v>3631</v>
      </c>
      <c r="B105" s="114" t="s">
        <v>2206</v>
      </c>
      <c r="C105" s="114" t="s">
        <v>2207</v>
      </c>
      <c r="D105" s="114" t="s">
        <v>56</v>
      </c>
      <c r="E105" s="114" t="s">
        <v>2208</v>
      </c>
      <c r="F105" s="114" t="s">
        <v>26</v>
      </c>
      <c r="G105" s="115">
        <v>359.84500000000003</v>
      </c>
      <c r="H105" s="114">
        <v>3</v>
      </c>
      <c r="I105" s="114" t="s">
        <v>3577</v>
      </c>
      <c r="J105" s="114"/>
      <c r="K105" s="115"/>
      <c r="L105" s="116"/>
      <c r="M105" s="116"/>
      <c r="N105" s="116"/>
      <c r="O105" s="116"/>
      <c r="P105" s="116"/>
      <c r="Q105" s="116"/>
      <c r="R105" s="114" t="s">
        <v>3578</v>
      </c>
      <c r="S105" s="108" t="s">
        <v>3579</v>
      </c>
      <c r="T105" s="108" t="s">
        <v>3580</v>
      </c>
    </row>
    <row r="106" spans="1:20" ht="51" x14ac:dyDescent="0.2">
      <c r="A106" s="114" t="s">
        <v>3631</v>
      </c>
      <c r="B106" s="114" t="s">
        <v>2206</v>
      </c>
      <c r="C106" s="114" t="s">
        <v>2207</v>
      </c>
      <c r="D106" s="114" t="s">
        <v>56</v>
      </c>
      <c r="E106" s="114" t="s">
        <v>2208</v>
      </c>
      <c r="F106" s="114" t="s">
        <v>26</v>
      </c>
      <c r="G106" s="115">
        <v>359.84500000000003</v>
      </c>
      <c r="H106" s="114">
        <v>4</v>
      </c>
      <c r="I106" s="114" t="s">
        <v>3581</v>
      </c>
      <c r="J106" s="114"/>
      <c r="K106" s="115"/>
      <c r="L106" s="116"/>
      <c r="M106" s="116"/>
      <c r="N106" s="116"/>
      <c r="O106" s="116"/>
      <c r="P106" s="116"/>
      <c r="Q106" s="116"/>
      <c r="R106" s="114" t="s">
        <v>3578</v>
      </c>
      <c r="S106" s="108" t="s">
        <v>3579</v>
      </c>
      <c r="T106" s="108" t="s">
        <v>3580</v>
      </c>
    </row>
    <row r="107" spans="1:20" ht="51" x14ac:dyDescent="0.2">
      <c r="A107" s="114" t="s">
        <v>3633</v>
      </c>
      <c r="B107" s="114" t="s">
        <v>1408</v>
      </c>
      <c r="C107" s="114" t="s">
        <v>1409</v>
      </c>
      <c r="D107" s="114" t="s">
        <v>56</v>
      </c>
      <c r="E107" s="114" t="s">
        <v>232</v>
      </c>
      <c r="F107" s="114" t="s">
        <v>180</v>
      </c>
      <c r="G107" s="115">
        <v>7341.5159999999996</v>
      </c>
      <c r="H107" s="114">
        <v>1</v>
      </c>
      <c r="I107" s="114" t="s">
        <v>3570</v>
      </c>
      <c r="J107" s="114" t="s">
        <v>180</v>
      </c>
      <c r="K107" s="115">
        <v>1</v>
      </c>
      <c r="L107" s="116">
        <v>10.08</v>
      </c>
      <c r="M107" s="116">
        <f>K107*L107</f>
        <v>10.08</v>
      </c>
      <c r="N107" s="116">
        <v>0.2223</v>
      </c>
      <c r="O107" s="116">
        <f>P107-M107</f>
        <v>2.2350000000000012</v>
      </c>
      <c r="P107" s="116">
        <v>12.315000000000001</v>
      </c>
      <c r="Q107" s="116">
        <f>G107*P107</f>
        <v>90410.769540000008</v>
      </c>
      <c r="R107" s="114" t="s">
        <v>2349</v>
      </c>
      <c r="S107" s="108" t="s">
        <v>3634</v>
      </c>
      <c r="T107" s="108" t="s">
        <v>3572</v>
      </c>
    </row>
    <row r="108" spans="1:20" ht="51" x14ac:dyDescent="0.2">
      <c r="A108" s="114" t="s">
        <v>3633</v>
      </c>
      <c r="B108" s="114" t="s">
        <v>1408</v>
      </c>
      <c r="C108" s="114" t="s">
        <v>1409</v>
      </c>
      <c r="D108" s="114" t="s">
        <v>56</v>
      </c>
      <c r="E108" s="114" t="s">
        <v>232</v>
      </c>
      <c r="F108" s="114" t="s">
        <v>180</v>
      </c>
      <c r="G108" s="115">
        <v>7341.5159999999996</v>
      </c>
      <c r="H108" s="114">
        <v>2</v>
      </c>
      <c r="I108" s="114" t="s">
        <v>3573</v>
      </c>
      <c r="J108" s="114" t="s">
        <v>1283</v>
      </c>
      <c r="K108" s="115">
        <v>0.2223</v>
      </c>
      <c r="L108" s="116">
        <v>10.08</v>
      </c>
      <c r="M108" s="116">
        <v>0</v>
      </c>
      <c r="N108" s="116">
        <v>0.2223</v>
      </c>
      <c r="O108" s="116">
        <f>O107</f>
        <v>2.2350000000000012</v>
      </c>
      <c r="P108" s="116"/>
      <c r="Q108" s="116"/>
      <c r="R108" s="114" t="s">
        <v>3574</v>
      </c>
      <c r="S108" s="108" t="s">
        <v>3575</v>
      </c>
      <c r="T108" s="108" t="s">
        <v>3576</v>
      </c>
    </row>
    <row r="109" spans="1:20" ht="51" x14ac:dyDescent="0.2">
      <c r="A109" s="114" t="s">
        <v>3633</v>
      </c>
      <c r="B109" s="114" t="s">
        <v>1408</v>
      </c>
      <c r="C109" s="114" t="s">
        <v>1409</v>
      </c>
      <c r="D109" s="114" t="s">
        <v>56</v>
      </c>
      <c r="E109" s="114" t="s">
        <v>232</v>
      </c>
      <c r="F109" s="114" t="s">
        <v>180</v>
      </c>
      <c r="G109" s="115">
        <v>7341.5159999999996</v>
      </c>
      <c r="H109" s="114">
        <v>3</v>
      </c>
      <c r="I109" s="114" t="s">
        <v>3577</v>
      </c>
      <c r="J109" s="114"/>
      <c r="K109" s="115"/>
      <c r="L109" s="116"/>
      <c r="M109" s="116"/>
      <c r="N109" s="116"/>
      <c r="O109" s="116"/>
      <c r="P109" s="116"/>
      <c r="Q109" s="116"/>
      <c r="R109" s="114" t="s">
        <v>3578</v>
      </c>
      <c r="S109" s="108" t="s">
        <v>3579</v>
      </c>
      <c r="T109" s="108" t="s">
        <v>3580</v>
      </c>
    </row>
    <row r="110" spans="1:20" ht="51" x14ac:dyDescent="0.2">
      <c r="A110" s="114" t="s">
        <v>3633</v>
      </c>
      <c r="B110" s="114" t="s">
        <v>1408</v>
      </c>
      <c r="C110" s="114" t="s">
        <v>1409</v>
      </c>
      <c r="D110" s="114" t="s">
        <v>56</v>
      </c>
      <c r="E110" s="114" t="s">
        <v>232</v>
      </c>
      <c r="F110" s="114" t="s">
        <v>180</v>
      </c>
      <c r="G110" s="115">
        <v>7341.5159999999996</v>
      </c>
      <c r="H110" s="114">
        <v>4</v>
      </c>
      <c r="I110" s="114" t="s">
        <v>3581</v>
      </c>
      <c r="J110" s="114"/>
      <c r="K110" s="115"/>
      <c r="L110" s="116"/>
      <c r="M110" s="116"/>
      <c r="N110" s="116"/>
      <c r="O110" s="116"/>
      <c r="P110" s="116"/>
      <c r="Q110" s="116"/>
      <c r="R110" s="114" t="s">
        <v>3578</v>
      </c>
      <c r="S110" s="108" t="s">
        <v>3579</v>
      </c>
      <c r="T110" s="108" t="s">
        <v>3580</v>
      </c>
    </row>
    <row r="111" spans="1:20" ht="63.75" x14ac:dyDescent="0.2">
      <c r="A111" s="114" t="s">
        <v>3635</v>
      </c>
      <c r="B111" s="114" t="s">
        <v>428</v>
      </c>
      <c r="C111" s="114" t="s">
        <v>1503</v>
      </c>
      <c r="D111" s="114" t="s">
        <v>56</v>
      </c>
      <c r="E111" s="114" t="s">
        <v>429</v>
      </c>
      <c r="F111" s="114" t="s">
        <v>26</v>
      </c>
      <c r="G111" s="115">
        <v>1359.8</v>
      </c>
      <c r="H111" s="114">
        <v>1</v>
      </c>
      <c r="I111" s="114" t="s">
        <v>3570</v>
      </c>
      <c r="J111" s="114" t="s">
        <v>26</v>
      </c>
      <c r="K111" s="115">
        <v>1</v>
      </c>
      <c r="L111" s="116">
        <v>50.662499999999994</v>
      </c>
      <c r="M111" s="116">
        <f>K111*L111</f>
        <v>50.662499999999994</v>
      </c>
      <c r="N111" s="116">
        <v>0.2223</v>
      </c>
      <c r="O111" s="116">
        <f>P111-M111</f>
        <v>11.257500000000007</v>
      </c>
      <c r="P111" s="116">
        <v>61.92</v>
      </c>
      <c r="Q111" s="116">
        <f>G111*P111</f>
        <v>84198.816000000006</v>
      </c>
      <c r="R111" s="114" t="s">
        <v>2349</v>
      </c>
      <c r="S111" s="108" t="s">
        <v>3636</v>
      </c>
      <c r="T111" s="108" t="s">
        <v>3572</v>
      </c>
    </row>
    <row r="112" spans="1:20" ht="63.75" x14ac:dyDescent="0.2">
      <c r="A112" s="114" t="s">
        <v>3635</v>
      </c>
      <c r="B112" s="114" t="s">
        <v>428</v>
      </c>
      <c r="C112" s="114" t="s">
        <v>1503</v>
      </c>
      <c r="D112" s="114" t="s">
        <v>56</v>
      </c>
      <c r="E112" s="114" t="s">
        <v>429</v>
      </c>
      <c r="F112" s="114" t="s">
        <v>26</v>
      </c>
      <c r="G112" s="115">
        <v>1359.8</v>
      </c>
      <c r="H112" s="114">
        <v>2</v>
      </c>
      <c r="I112" s="114" t="s">
        <v>3573</v>
      </c>
      <c r="J112" s="114" t="s">
        <v>1283</v>
      </c>
      <c r="K112" s="115">
        <v>0.2223</v>
      </c>
      <c r="L112" s="116">
        <v>50.662499999999994</v>
      </c>
      <c r="M112" s="116">
        <v>0</v>
      </c>
      <c r="N112" s="116">
        <v>0.2223</v>
      </c>
      <c r="O112" s="116">
        <f>O111</f>
        <v>11.257500000000007</v>
      </c>
      <c r="P112" s="116"/>
      <c r="Q112" s="116"/>
      <c r="R112" s="114" t="s">
        <v>3574</v>
      </c>
      <c r="S112" s="108" t="s">
        <v>3575</v>
      </c>
      <c r="T112" s="108" t="s">
        <v>3576</v>
      </c>
    </row>
    <row r="113" spans="1:20" ht="63.75" x14ac:dyDescent="0.2">
      <c r="A113" s="114" t="s">
        <v>3635</v>
      </c>
      <c r="B113" s="114" t="s">
        <v>428</v>
      </c>
      <c r="C113" s="114" t="s">
        <v>1503</v>
      </c>
      <c r="D113" s="114" t="s">
        <v>56</v>
      </c>
      <c r="E113" s="114" t="s">
        <v>429</v>
      </c>
      <c r="F113" s="114" t="s">
        <v>26</v>
      </c>
      <c r="G113" s="115">
        <v>1359.8</v>
      </c>
      <c r="H113" s="114">
        <v>3</v>
      </c>
      <c r="I113" s="114" t="s">
        <v>3577</v>
      </c>
      <c r="J113" s="114"/>
      <c r="K113" s="115"/>
      <c r="L113" s="116"/>
      <c r="M113" s="116"/>
      <c r="N113" s="116"/>
      <c r="O113" s="116"/>
      <c r="P113" s="116"/>
      <c r="Q113" s="116"/>
      <c r="R113" s="114" t="s">
        <v>3578</v>
      </c>
      <c r="S113" s="108" t="s">
        <v>3579</v>
      </c>
      <c r="T113" s="108" t="s">
        <v>3580</v>
      </c>
    </row>
    <row r="114" spans="1:20" ht="63.75" x14ac:dyDescent="0.2">
      <c r="A114" s="114" t="s">
        <v>3635</v>
      </c>
      <c r="B114" s="114" t="s">
        <v>428</v>
      </c>
      <c r="C114" s="114" t="s">
        <v>1503</v>
      </c>
      <c r="D114" s="114" t="s">
        <v>56</v>
      </c>
      <c r="E114" s="114" t="s">
        <v>429</v>
      </c>
      <c r="F114" s="114" t="s">
        <v>26</v>
      </c>
      <c r="G114" s="115">
        <v>1359.8</v>
      </c>
      <c r="H114" s="114">
        <v>4</v>
      </c>
      <c r="I114" s="114" t="s">
        <v>3581</v>
      </c>
      <c r="J114" s="114"/>
      <c r="K114" s="115"/>
      <c r="L114" s="116"/>
      <c r="M114" s="116"/>
      <c r="N114" s="116"/>
      <c r="O114" s="116"/>
      <c r="P114" s="116"/>
      <c r="Q114" s="116"/>
      <c r="R114" s="114" t="s">
        <v>3578</v>
      </c>
      <c r="S114" s="108" t="s">
        <v>3579</v>
      </c>
      <c r="T114" s="108" t="s">
        <v>3580</v>
      </c>
    </row>
    <row r="115" spans="1:20" ht="38.25" x14ac:dyDescent="0.2">
      <c r="A115" s="114" t="s">
        <v>3637</v>
      </c>
      <c r="B115" s="114" t="s">
        <v>400</v>
      </c>
      <c r="C115" s="114" t="s">
        <v>1491</v>
      </c>
      <c r="D115" s="114" t="s">
        <v>335</v>
      </c>
      <c r="E115" s="114" t="s">
        <v>401</v>
      </c>
      <c r="F115" s="114" t="s">
        <v>26</v>
      </c>
      <c r="G115" s="115">
        <v>483.697</v>
      </c>
      <c r="H115" s="114">
        <v>1</v>
      </c>
      <c r="I115" s="114" t="s">
        <v>3570</v>
      </c>
      <c r="J115" s="114" t="s">
        <v>26</v>
      </c>
      <c r="K115" s="115">
        <v>1</v>
      </c>
      <c r="L115" s="116">
        <v>138.8175</v>
      </c>
      <c r="M115" s="116">
        <f>K115*L115</f>
        <v>138.8175</v>
      </c>
      <c r="N115" s="116">
        <v>0.2223</v>
      </c>
      <c r="O115" s="116">
        <f>P115-M115</f>
        <v>30.85499999999999</v>
      </c>
      <c r="P115" s="116">
        <v>169.67249999999999</v>
      </c>
      <c r="Q115" s="116">
        <f>G115*P115</f>
        <v>82070.079232499993</v>
      </c>
      <c r="R115" s="114" t="s">
        <v>2589</v>
      </c>
      <c r="S115" s="108" t="s">
        <v>3638</v>
      </c>
      <c r="T115" s="108" t="s">
        <v>3572</v>
      </c>
    </row>
    <row r="116" spans="1:20" ht="25.5" x14ac:dyDescent="0.2">
      <c r="A116" s="114" t="s">
        <v>3637</v>
      </c>
      <c r="B116" s="114" t="s">
        <v>400</v>
      </c>
      <c r="C116" s="114" t="s">
        <v>1491</v>
      </c>
      <c r="D116" s="114" t="s">
        <v>335</v>
      </c>
      <c r="E116" s="114" t="s">
        <v>401</v>
      </c>
      <c r="F116" s="114" t="s">
        <v>26</v>
      </c>
      <c r="G116" s="115">
        <v>483.697</v>
      </c>
      <c r="H116" s="114">
        <v>2</v>
      </c>
      <c r="I116" s="114" t="s">
        <v>3573</v>
      </c>
      <c r="J116" s="114" t="s">
        <v>1283</v>
      </c>
      <c r="K116" s="115">
        <v>0.2223</v>
      </c>
      <c r="L116" s="116">
        <v>138.8175</v>
      </c>
      <c r="M116" s="116">
        <v>0</v>
      </c>
      <c r="N116" s="116">
        <v>0.2223</v>
      </c>
      <c r="O116" s="116">
        <f>O115</f>
        <v>30.85499999999999</v>
      </c>
      <c r="P116" s="116"/>
      <c r="Q116" s="116"/>
      <c r="R116" s="114" t="s">
        <v>3574</v>
      </c>
      <c r="S116" s="108" t="s">
        <v>3575</v>
      </c>
      <c r="T116" s="108" t="s">
        <v>3576</v>
      </c>
    </row>
    <row r="117" spans="1:20" ht="25.5" x14ac:dyDescent="0.2">
      <c r="A117" s="114" t="s">
        <v>3637</v>
      </c>
      <c r="B117" s="114" t="s">
        <v>400</v>
      </c>
      <c r="C117" s="114" t="s">
        <v>1491</v>
      </c>
      <c r="D117" s="114" t="s">
        <v>335</v>
      </c>
      <c r="E117" s="114" t="s">
        <v>401</v>
      </c>
      <c r="F117" s="114" t="s">
        <v>26</v>
      </c>
      <c r="G117" s="115">
        <v>483.697</v>
      </c>
      <c r="H117" s="114">
        <v>3</v>
      </c>
      <c r="I117" s="114" t="s">
        <v>3577</v>
      </c>
      <c r="J117" s="114"/>
      <c r="K117" s="115"/>
      <c r="L117" s="116"/>
      <c r="M117" s="116"/>
      <c r="N117" s="116"/>
      <c r="O117" s="116"/>
      <c r="P117" s="116"/>
      <c r="Q117" s="116"/>
      <c r="R117" s="114" t="s">
        <v>3578</v>
      </c>
      <c r="S117" s="108" t="s">
        <v>3579</v>
      </c>
      <c r="T117" s="108" t="s">
        <v>3580</v>
      </c>
    </row>
    <row r="118" spans="1:20" ht="25.5" x14ac:dyDescent="0.2">
      <c r="A118" s="114" t="s">
        <v>3637</v>
      </c>
      <c r="B118" s="114" t="s">
        <v>400</v>
      </c>
      <c r="C118" s="114" t="s">
        <v>1491</v>
      </c>
      <c r="D118" s="114" t="s">
        <v>335</v>
      </c>
      <c r="E118" s="114" t="s">
        <v>401</v>
      </c>
      <c r="F118" s="114" t="s">
        <v>26</v>
      </c>
      <c r="G118" s="115">
        <v>483.697</v>
      </c>
      <c r="H118" s="114">
        <v>4</v>
      </c>
      <c r="I118" s="114" t="s">
        <v>3581</v>
      </c>
      <c r="J118" s="114"/>
      <c r="K118" s="115"/>
      <c r="L118" s="116"/>
      <c r="M118" s="116"/>
      <c r="N118" s="116"/>
      <c r="O118" s="116"/>
      <c r="P118" s="116"/>
      <c r="Q118" s="116"/>
      <c r="R118" s="114" t="s">
        <v>3578</v>
      </c>
      <c r="S118" s="108" t="s">
        <v>3579</v>
      </c>
      <c r="T118" s="108" t="s">
        <v>3580</v>
      </c>
    </row>
    <row r="119" spans="1:20" ht="63.75" x14ac:dyDescent="0.2">
      <c r="A119" s="114" t="s">
        <v>3639</v>
      </c>
      <c r="B119" s="114" t="s">
        <v>307</v>
      </c>
      <c r="C119" s="114" t="s">
        <v>1451</v>
      </c>
      <c r="D119" s="114" t="s">
        <v>56</v>
      </c>
      <c r="E119" s="114" t="s">
        <v>308</v>
      </c>
      <c r="F119" s="114" t="s">
        <v>26</v>
      </c>
      <c r="G119" s="115">
        <v>803.67100000000005</v>
      </c>
      <c r="H119" s="114">
        <v>1</v>
      </c>
      <c r="I119" s="114" t="s">
        <v>3570</v>
      </c>
      <c r="J119" s="114" t="s">
        <v>26</v>
      </c>
      <c r="K119" s="115">
        <v>1</v>
      </c>
      <c r="L119" s="116">
        <v>83.317499999999995</v>
      </c>
      <c r="M119" s="116">
        <f>K119*L119</f>
        <v>83.317499999999995</v>
      </c>
      <c r="N119" s="116">
        <v>0.2223</v>
      </c>
      <c r="O119" s="116">
        <f>P119-M119</f>
        <v>18.517500000000013</v>
      </c>
      <c r="P119" s="116">
        <v>101.83500000000001</v>
      </c>
      <c r="Q119" s="116">
        <f>G119*P119</f>
        <v>81841.836285000012</v>
      </c>
      <c r="R119" s="114" t="s">
        <v>2349</v>
      </c>
      <c r="S119" s="108" t="s">
        <v>3640</v>
      </c>
      <c r="T119" s="108" t="s">
        <v>3572</v>
      </c>
    </row>
    <row r="120" spans="1:20" ht="63.75" x14ac:dyDescent="0.2">
      <c r="A120" s="114" t="s">
        <v>3639</v>
      </c>
      <c r="B120" s="114" t="s">
        <v>307</v>
      </c>
      <c r="C120" s="114" t="s">
        <v>1451</v>
      </c>
      <c r="D120" s="114" t="s">
        <v>56</v>
      </c>
      <c r="E120" s="114" t="s">
        <v>308</v>
      </c>
      <c r="F120" s="114" t="s">
        <v>26</v>
      </c>
      <c r="G120" s="115">
        <v>803.67100000000005</v>
      </c>
      <c r="H120" s="114">
        <v>2</v>
      </c>
      <c r="I120" s="114" t="s">
        <v>3573</v>
      </c>
      <c r="J120" s="114" t="s">
        <v>1283</v>
      </c>
      <c r="K120" s="115">
        <v>0.2223</v>
      </c>
      <c r="L120" s="116">
        <v>83.317499999999995</v>
      </c>
      <c r="M120" s="116">
        <v>0</v>
      </c>
      <c r="N120" s="116">
        <v>0.2223</v>
      </c>
      <c r="O120" s="116">
        <f>O119</f>
        <v>18.517500000000013</v>
      </c>
      <c r="P120" s="116"/>
      <c r="Q120" s="116"/>
      <c r="R120" s="114" t="s">
        <v>3574</v>
      </c>
      <c r="S120" s="108" t="s">
        <v>3575</v>
      </c>
      <c r="T120" s="108" t="s">
        <v>3576</v>
      </c>
    </row>
    <row r="121" spans="1:20" ht="63.75" x14ac:dyDescent="0.2">
      <c r="A121" s="114" t="s">
        <v>3639</v>
      </c>
      <c r="B121" s="114" t="s">
        <v>307</v>
      </c>
      <c r="C121" s="114" t="s">
        <v>1451</v>
      </c>
      <c r="D121" s="114" t="s">
        <v>56</v>
      </c>
      <c r="E121" s="114" t="s">
        <v>308</v>
      </c>
      <c r="F121" s="114" t="s">
        <v>26</v>
      </c>
      <c r="G121" s="115">
        <v>803.67100000000005</v>
      </c>
      <c r="H121" s="114">
        <v>3</v>
      </c>
      <c r="I121" s="114" t="s">
        <v>3577</v>
      </c>
      <c r="J121" s="114"/>
      <c r="K121" s="115"/>
      <c r="L121" s="116"/>
      <c r="M121" s="116"/>
      <c r="N121" s="116"/>
      <c r="O121" s="116"/>
      <c r="P121" s="116"/>
      <c r="Q121" s="116"/>
      <c r="R121" s="114" t="s">
        <v>3578</v>
      </c>
      <c r="S121" s="108" t="s">
        <v>3579</v>
      </c>
      <c r="T121" s="108" t="s">
        <v>3580</v>
      </c>
    </row>
    <row r="122" spans="1:20" ht="63.75" x14ac:dyDescent="0.2">
      <c r="A122" s="114" t="s">
        <v>3639</v>
      </c>
      <c r="B122" s="114" t="s">
        <v>307</v>
      </c>
      <c r="C122" s="114" t="s">
        <v>1451</v>
      </c>
      <c r="D122" s="114" t="s">
        <v>56</v>
      </c>
      <c r="E122" s="114" t="s">
        <v>308</v>
      </c>
      <c r="F122" s="114" t="s">
        <v>26</v>
      </c>
      <c r="G122" s="115">
        <v>803.67100000000005</v>
      </c>
      <c r="H122" s="114">
        <v>4</v>
      </c>
      <c r="I122" s="114" t="s">
        <v>3581</v>
      </c>
      <c r="J122" s="114"/>
      <c r="K122" s="115"/>
      <c r="L122" s="116"/>
      <c r="M122" s="116"/>
      <c r="N122" s="116"/>
      <c r="O122" s="116"/>
      <c r="P122" s="116"/>
      <c r="Q122" s="116"/>
      <c r="R122" s="114" t="s">
        <v>3578</v>
      </c>
      <c r="S122" s="108" t="s">
        <v>3579</v>
      </c>
      <c r="T122" s="108" t="s">
        <v>3580</v>
      </c>
    </row>
    <row r="123" spans="1:20" ht="102" x14ac:dyDescent="0.2">
      <c r="A123" s="114" t="s">
        <v>3641</v>
      </c>
      <c r="B123" s="114" t="s">
        <v>1524</v>
      </c>
      <c r="C123" s="114" t="s">
        <v>1525</v>
      </c>
      <c r="D123" s="114" t="s">
        <v>24</v>
      </c>
      <c r="E123" s="114" t="s">
        <v>473</v>
      </c>
      <c r="F123" s="114" t="s">
        <v>26</v>
      </c>
      <c r="G123" s="115">
        <v>73.483000000000004</v>
      </c>
      <c r="H123" s="114">
        <v>1</v>
      </c>
      <c r="I123" s="114" t="s">
        <v>3570</v>
      </c>
      <c r="J123" s="114" t="s">
        <v>26</v>
      </c>
      <c r="K123" s="115">
        <v>1</v>
      </c>
      <c r="L123" s="116">
        <v>875.84999999999991</v>
      </c>
      <c r="M123" s="116">
        <f>K123*L123</f>
        <v>875.84999999999991</v>
      </c>
      <c r="N123" s="116">
        <v>0.2223</v>
      </c>
      <c r="O123" s="116">
        <f>P123-M123</f>
        <v>194.70000000000027</v>
      </c>
      <c r="P123" s="116">
        <v>1070.5500000000002</v>
      </c>
      <c r="Q123" s="116">
        <f>G123*P123</f>
        <v>78667.225650000022</v>
      </c>
      <c r="R123" s="114" t="s">
        <v>2332</v>
      </c>
      <c r="S123" s="108" t="s">
        <v>3642</v>
      </c>
      <c r="T123" s="108" t="s">
        <v>3572</v>
      </c>
    </row>
    <row r="124" spans="1:20" ht="102" x14ac:dyDescent="0.2">
      <c r="A124" s="114" t="s">
        <v>3641</v>
      </c>
      <c r="B124" s="114" t="s">
        <v>1524</v>
      </c>
      <c r="C124" s="114" t="s">
        <v>1525</v>
      </c>
      <c r="D124" s="114" t="s">
        <v>24</v>
      </c>
      <c r="E124" s="114" t="s">
        <v>473</v>
      </c>
      <c r="F124" s="114" t="s">
        <v>26</v>
      </c>
      <c r="G124" s="115">
        <v>73.483000000000004</v>
      </c>
      <c r="H124" s="114">
        <v>2</v>
      </c>
      <c r="I124" s="114" t="s">
        <v>3573</v>
      </c>
      <c r="J124" s="114" t="s">
        <v>1283</v>
      </c>
      <c r="K124" s="115">
        <v>0.2223</v>
      </c>
      <c r="L124" s="116">
        <v>875.84999999999991</v>
      </c>
      <c r="M124" s="116">
        <v>0</v>
      </c>
      <c r="N124" s="116">
        <v>0.2223</v>
      </c>
      <c r="O124" s="116">
        <f>O123</f>
        <v>194.70000000000027</v>
      </c>
      <c r="P124" s="116"/>
      <c r="Q124" s="116"/>
      <c r="R124" s="114" t="s">
        <v>3574</v>
      </c>
      <c r="S124" s="108" t="s">
        <v>3575</v>
      </c>
      <c r="T124" s="108" t="s">
        <v>3576</v>
      </c>
    </row>
    <row r="125" spans="1:20" ht="102" x14ac:dyDescent="0.2">
      <c r="A125" s="114" t="s">
        <v>3641</v>
      </c>
      <c r="B125" s="114" t="s">
        <v>1524</v>
      </c>
      <c r="C125" s="114" t="s">
        <v>1525</v>
      </c>
      <c r="D125" s="114" t="s">
        <v>24</v>
      </c>
      <c r="E125" s="114" t="s">
        <v>473</v>
      </c>
      <c r="F125" s="114" t="s">
        <v>26</v>
      </c>
      <c r="G125" s="115">
        <v>73.483000000000004</v>
      </c>
      <c r="H125" s="114">
        <v>3</v>
      </c>
      <c r="I125" s="114" t="s">
        <v>3577</v>
      </c>
      <c r="J125" s="114"/>
      <c r="K125" s="115"/>
      <c r="L125" s="116"/>
      <c r="M125" s="116"/>
      <c r="N125" s="116"/>
      <c r="O125" s="116"/>
      <c r="P125" s="116"/>
      <c r="Q125" s="116"/>
      <c r="R125" s="114" t="s">
        <v>3578</v>
      </c>
      <c r="S125" s="108" t="s">
        <v>3579</v>
      </c>
      <c r="T125" s="108" t="s">
        <v>3580</v>
      </c>
    </row>
    <row r="126" spans="1:20" ht="102" x14ac:dyDescent="0.2">
      <c r="A126" s="114" t="s">
        <v>3641</v>
      </c>
      <c r="B126" s="114" t="s">
        <v>1524</v>
      </c>
      <c r="C126" s="114" t="s">
        <v>1525</v>
      </c>
      <c r="D126" s="114" t="s">
        <v>24</v>
      </c>
      <c r="E126" s="114" t="s">
        <v>473</v>
      </c>
      <c r="F126" s="114" t="s">
        <v>26</v>
      </c>
      <c r="G126" s="115">
        <v>73.483000000000004</v>
      </c>
      <c r="H126" s="114">
        <v>4</v>
      </c>
      <c r="I126" s="114" t="s">
        <v>3581</v>
      </c>
      <c r="J126" s="114"/>
      <c r="K126" s="115"/>
      <c r="L126" s="116"/>
      <c r="M126" s="116"/>
      <c r="N126" s="116"/>
      <c r="O126" s="116"/>
      <c r="P126" s="116"/>
      <c r="Q126" s="116"/>
      <c r="R126" s="114" t="s">
        <v>3578</v>
      </c>
      <c r="S126" s="108" t="s">
        <v>3579</v>
      </c>
      <c r="T126" s="108" t="s">
        <v>3580</v>
      </c>
    </row>
    <row r="127" spans="1:20" ht="38.25" x14ac:dyDescent="0.2">
      <c r="A127" s="114" t="s">
        <v>3643</v>
      </c>
      <c r="B127" s="114" t="s">
        <v>541</v>
      </c>
      <c r="C127" s="114" t="s">
        <v>1556</v>
      </c>
      <c r="D127" s="114" t="s">
        <v>335</v>
      </c>
      <c r="E127" s="114" t="s">
        <v>542</v>
      </c>
      <c r="F127" s="114" t="s">
        <v>26</v>
      </c>
      <c r="G127" s="115">
        <v>173.72300000000001</v>
      </c>
      <c r="H127" s="114">
        <v>1</v>
      </c>
      <c r="I127" s="114" t="s">
        <v>3570</v>
      </c>
      <c r="J127" s="114" t="s">
        <v>26</v>
      </c>
      <c r="K127" s="115">
        <v>1</v>
      </c>
      <c r="L127" s="116">
        <v>369.07500000000005</v>
      </c>
      <c r="M127" s="116">
        <f>K127*L127</f>
        <v>369.07500000000005</v>
      </c>
      <c r="N127" s="116">
        <v>0.2223</v>
      </c>
      <c r="O127" s="116">
        <f>P127-M127</f>
        <v>82.042499999999961</v>
      </c>
      <c r="P127" s="116">
        <v>451.11750000000001</v>
      </c>
      <c r="Q127" s="116">
        <f>G127*P127</f>
        <v>78369.485452500012</v>
      </c>
      <c r="R127" s="114" t="s">
        <v>2589</v>
      </c>
      <c r="S127" s="108" t="s">
        <v>3644</v>
      </c>
      <c r="T127" s="108" t="s">
        <v>3572</v>
      </c>
    </row>
    <row r="128" spans="1:20" ht="25.5" x14ac:dyDescent="0.2">
      <c r="A128" s="114" t="s">
        <v>3643</v>
      </c>
      <c r="B128" s="114" t="s">
        <v>541</v>
      </c>
      <c r="C128" s="114" t="s">
        <v>1556</v>
      </c>
      <c r="D128" s="114" t="s">
        <v>335</v>
      </c>
      <c r="E128" s="114" t="s">
        <v>542</v>
      </c>
      <c r="F128" s="114" t="s">
        <v>26</v>
      </c>
      <c r="G128" s="115">
        <v>173.72300000000001</v>
      </c>
      <c r="H128" s="114">
        <v>2</v>
      </c>
      <c r="I128" s="114" t="s">
        <v>3573</v>
      </c>
      <c r="J128" s="114" t="s">
        <v>1283</v>
      </c>
      <c r="K128" s="115">
        <v>0.2223</v>
      </c>
      <c r="L128" s="116">
        <v>369.07500000000005</v>
      </c>
      <c r="M128" s="116">
        <v>0</v>
      </c>
      <c r="N128" s="116">
        <v>0.2223</v>
      </c>
      <c r="O128" s="116">
        <f>O127</f>
        <v>82.042499999999961</v>
      </c>
      <c r="P128" s="116"/>
      <c r="Q128" s="116"/>
      <c r="R128" s="114" t="s">
        <v>3574</v>
      </c>
      <c r="S128" s="108" t="s">
        <v>3575</v>
      </c>
      <c r="T128" s="108" t="s">
        <v>3576</v>
      </c>
    </row>
    <row r="129" spans="1:20" ht="25.5" x14ac:dyDescent="0.2">
      <c r="A129" s="114" t="s">
        <v>3643</v>
      </c>
      <c r="B129" s="114" t="s">
        <v>541</v>
      </c>
      <c r="C129" s="114" t="s">
        <v>1556</v>
      </c>
      <c r="D129" s="114" t="s">
        <v>335</v>
      </c>
      <c r="E129" s="114" t="s">
        <v>542</v>
      </c>
      <c r="F129" s="114" t="s">
        <v>26</v>
      </c>
      <c r="G129" s="115">
        <v>173.72300000000001</v>
      </c>
      <c r="H129" s="114">
        <v>3</v>
      </c>
      <c r="I129" s="114" t="s">
        <v>3577</v>
      </c>
      <c r="J129" s="114"/>
      <c r="K129" s="115"/>
      <c r="L129" s="116"/>
      <c r="M129" s="116"/>
      <c r="N129" s="116"/>
      <c r="O129" s="116"/>
      <c r="P129" s="116"/>
      <c r="Q129" s="116"/>
      <c r="R129" s="114" t="s">
        <v>3578</v>
      </c>
      <c r="S129" s="108" t="s">
        <v>3579</v>
      </c>
      <c r="T129" s="108" t="s">
        <v>3580</v>
      </c>
    </row>
    <row r="130" spans="1:20" ht="25.5" x14ac:dyDescent="0.2">
      <c r="A130" s="114" t="s">
        <v>3643</v>
      </c>
      <c r="B130" s="114" t="s">
        <v>541</v>
      </c>
      <c r="C130" s="114" t="s">
        <v>1556</v>
      </c>
      <c r="D130" s="114" t="s">
        <v>335</v>
      </c>
      <c r="E130" s="114" t="s">
        <v>542</v>
      </c>
      <c r="F130" s="114" t="s">
        <v>26</v>
      </c>
      <c r="G130" s="115">
        <v>173.72300000000001</v>
      </c>
      <c r="H130" s="114">
        <v>4</v>
      </c>
      <c r="I130" s="114" t="s">
        <v>3581</v>
      </c>
      <c r="J130" s="114"/>
      <c r="K130" s="115"/>
      <c r="L130" s="116"/>
      <c r="M130" s="116"/>
      <c r="N130" s="116"/>
      <c r="O130" s="116"/>
      <c r="P130" s="116"/>
      <c r="Q130" s="116"/>
      <c r="R130" s="114" t="s">
        <v>3578</v>
      </c>
      <c r="S130" s="108" t="s">
        <v>3579</v>
      </c>
      <c r="T130" s="108" t="s">
        <v>3580</v>
      </c>
    </row>
    <row r="131" spans="1:20" ht="51" x14ac:dyDescent="0.2">
      <c r="A131" s="114" t="s">
        <v>3645</v>
      </c>
      <c r="B131" s="114" t="s">
        <v>1969</v>
      </c>
      <c r="C131" s="114" t="s">
        <v>1970</v>
      </c>
      <c r="D131" s="114" t="s">
        <v>24</v>
      </c>
      <c r="E131" s="114" t="s">
        <v>918</v>
      </c>
      <c r="F131" s="114" t="s">
        <v>84</v>
      </c>
      <c r="G131" s="115">
        <v>1</v>
      </c>
      <c r="H131" s="114">
        <v>1</v>
      </c>
      <c r="I131" s="114" t="s">
        <v>3570</v>
      </c>
      <c r="J131" s="114" t="s">
        <v>84</v>
      </c>
      <c r="K131" s="115">
        <v>1</v>
      </c>
      <c r="L131" s="116">
        <v>63435.345000000001</v>
      </c>
      <c r="M131" s="116">
        <f>K131*L131</f>
        <v>63435.345000000001</v>
      </c>
      <c r="N131" s="116">
        <v>0.2223</v>
      </c>
      <c r="O131" s="116">
        <f>P131-M131</f>
        <v>14101.672500000001</v>
      </c>
      <c r="P131" s="116">
        <v>77537.017500000002</v>
      </c>
      <c r="Q131" s="116">
        <f>G131*P131</f>
        <v>77537.017500000002</v>
      </c>
      <c r="R131" s="114" t="s">
        <v>2332</v>
      </c>
      <c r="S131" s="108" t="s">
        <v>3646</v>
      </c>
      <c r="T131" s="108" t="s">
        <v>3572</v>
      </c>
    </row>
    <row r="132" spans="1:20" ht="51" x14ac:dyDescent="0.2">
      <c r="A132" s="114" t="s">
        <v>3645</v>
      </c>
      <c r="B132" s="114" t="s">
        <v>1969</v>
      </c>
      <c r="C132" s="114" t="s">
        <v>1970</v>
      </c>
      <c r="D132" s="114" t="s">
        <v>24</v>
      </c>
      <c r="E132" s="114" t="s">
        <v>918</v>
      </c>
      <c r="F132" s="114" t="s">
        <v>84</v>
      </c>
      <c r="G132" s="115">
        <v>1</v>
      </c>
      <c r="H132" s="114">
        <v>2</v>
      </c>
      <c r="I132" s="114" t="s">
        <v>3573</v>
      </c>
      <c r="J132" s="114" t="s">
        <v>1283</v>
      </c>
      <c r="K132" s="115">
        <v>0.2223</v>
      </c>
      <c r="L132" s="116">
        <v>63435.345000000001</v>
      </c>
      <c r="M132" s="116">
        <v>0</v>
      </c>
      <c r="N132" s="116">
        <v>0.2223</v>
      </c>
      <c r="O132" s="116">
        <f>O131</f>
        <v>14101.672500000001</v>
      </c>
      <c r="P132" s="116"/>
      <c r="Q132" s="116"/>
      <c r="R132" s="114" t="s">
        <v>3574</v>
      </c>
      <c r="S132" s="108" t="s">
        <v>3575</v>
      </c>
      <c r="T132" s="108" t="s">
        <v>3576</v>
      </c>
    </row>
    <row r="133" spans="1:20" ht="51" x14ac:dyDescent="0.2">
      <c r="A133" s="114" t="s">
        <v>3645</v>
      </c>
      <c r="B133" s="114" t="s">
        <v>1969</v>
      </c>
      <c r="C133" s="114" t="s">
        <v>1970</v>
      </c>
      <c r="D133" s="114" t="s">
        <v>24</v>
      </c>
      <c r="E133" s="114" t="s">
        <v>918</v>
      </c>
      <c r="F133" s="114" t="s">
        <v>84</v>
      </c>
      <c r="G133" s="115">
        <v>1</v>
      </c>
      <c r="H133" s="114">
        <v>3</v>
      </c>
      <c r="I133" s="114" t="s">
        <v>3577</v>
      </c>
      <c r="J133" s="114"/>
      <c r="K133" s="115"/>
      <c r="L133" s="116"/>
      <c r="M133" s="116"/>
      <c r="N133" s="116"/>
      <c r="O133" s="116"/>
      <c r="P133" s="116"/>
      <c r="Q133" s="116"/>
      <c r="R133" s="114" t="s">
        <v>3578</v>
      </c>
      <c r="S133" s="108" t="s">
        <v>3579</v>
      </c>
      <c r="T133" s="108" t="s">
        <v>3580</v>
      </c>
    </row>
    <row r="134" spans="1:20" ht="51" x14ac:dyDescent="0.2">
      <c r="A134" s="114" t="s">
        <v>3645</v>
      </c>
      <c r="B134" s="114" t="s">
        <v>1969</v>
      </c>
      <c r="C134" s="114" t="s">
        <v>1970</v>
      </c>
      <c r="D134" s="114" t="s">
        <v>24</v>
      </c>
      <c r="E134" s="114" t="s">
        <v>918</v>
      </c>
      <c r="F134" s="114" t="s">
        <v>84</v>
      </c>
      <c r="G134" s="115">
        <v>1</v>
      </c>
      <c r="H134" s="114">
        <v>4</v>
      </c>
      <c r="I134" s="114" t="s">
        <v>3581</v>
      </c>
      <c r="J134" s="114"/>
      <c r="K134" s="115"/>
      <c r="L134" s="116"/>
      <c r="M134" s="116"/>
      <c r="N134" s="116"/>
      <c r="O134" s="116"/>
      <c r="P134" s="116"/>
      <c r="Q134" s="116"/>
      <c r="R134" s="114" t="s">
        <v>3578</v>
      </c>
      <c r="S134" s="108" t="s">
        <v>3579</v>
      </c>
      <c r="T134" s="108" t="s">
        <v>3580</v>
      </c>
    </row>
    <row r="135" spans="1:20" ht="51" x14ac:dyDescent="0.2">
      <c r="A135" s="114" t="s">
        <v>3647</v>
      </c>
      <c r="B135" s="114" t="s">
        <v>392</v>
      </c>
      <c r="C135" s="114" t="s">
        <v>1485</v>
      </c>
      <c r="D135" s="114" t="s">
        <v>56</v>
      </c>
      <c r="E135" s="114" t="s">
        <v>1486</v>
      </c>
      <c r="F135" s="114" t="s">
        <v>26</v>
      </c>
      <c r="G135" s="115">
        <v>834.29499999999996</v>
      </c>
      <c r="H135" s="114">
        <v>1</v>
      </c>
      <c r="I135" s="114" t="s">
        <v>3570</v>
      </c>
      <c r="J135" s="114" t="s">
        <v>26</v>
      </c>
      <c r="K135" s="115">
        <v>1</v>
      </c>
      <c r="L135" s="116">
        <v>73.710000000000008</v>
      </c>
      <c r="M135" s="116">
        <f>K135*L135</f>
        <v>73.710000000000008</v>
      </c>
      <c r="N135" s="116">
        <v>0.2223</v>
      </c>
      <c r="O135" s="116">
        <f>P135-M135</f>
        <v>16.379999999999995</v>
      </c>
      <c r="P135" s="116">
        <v>90.09</v>
      </c>
      <c r="Q135" s="116">
        <f>G135*P135</f>
        <v>75161.636549999996</v>
      </c>
      <c r="R135" s="114" t="s">
        <v>2349</v>
      </c>
      <c r="S135" s="108" t="s">
        <v>3648</v>
      </c>
      <c r="T135" s="108" t="s">
        <v>3572</v>
      </c>
    </row>
    <row r="136" spans="1:20" ht="51" x14ac:dyDescent="0.2">
      <c r="A136" s="114" t="s">
        <v>3647</v>
      </c>
      <c r="B136" s="114" t="s">
        <v>392</v>
      </c>
      <c r="C136" s="114" t="s">
        <v>1485</v>
      </c>
      <c r="D136" s="114" t="s">
        <v>56</v>
      </c>
      <c r="E136" s="114" t="s">
        <v>1486</v>
      </c>
      <c r="F136" s="114" t="s">
        <v>26</v>
      </c>
      <c r="G136" s="115">
        <v>834.29499999999996</v>
      </c>
      <c r="H136" s="114">
        <v>2</v>
      </c>
      <c r="I136" s="114" t="s">
        <v>3573</v>
      </c>
      <c r="J136" s="114" t="s">
        <v>1283</v>
      </c>
      <c r="K136" s="115">
        <v>0.2223</v>
      </c>
      <c r="L136" s="116">
        <v>73.710000000000008</v>
      </c>
      <c r="M136" s="116">
        <v>0</v>
      </c>
      <c r="N136" s="116">
        <v>0.2223</v>
      </c>
      <c r="O136" s="116">
        <f>O135</f>
        <v>16.379999999999995</v>
      </c>
      <c r="P136" s="116"/>
      <c r="Q136" s="116"/>
      <c r="R136" s="114" t="s">
        <v>3574</v>
      </c>
      <c r="S136" s="108" t="s">
        <v>3575</v>
      </c>
      <c r="T136" s="108" t="s">
        <v>3576</v>
      </c>
    </row>
    <row r="137" spans="1:20" ht="51" x14ac:dyDescent="0.2">
      <c r="A137" s="114" t="s">
        <v>3647</v>
      </c>
      <c r="B137" s="114" t="s">
        <v>392</v>
      </c>
      <c r="C137" s="114" t="s">
        <v>1485</v>
      </c>
      <c r="D137" s="114" t="s">
        <v>56</v>
      </c>
      <c r="E137" s="114" t="s">
        <v>1486</v>
      </c>
      <c r="F137" s="114" t="s">
        <v>26</v>
      </c>
      <c r="G137" s="115">
        <v>834.29499999999996</v>
      </c>
      <c r="H137" s="114">
        <v>3</v>
      </c>
      <c r="I137" s="114" t="s">
        <v>3577</v>
      </c>
      <c r="J137" s="114"/>
      <c r="K137" s="115"/>
      <c r="L137" s="116"/>
      <c r="M137" s="116"/>
      <c r="N137" s="116"/>
      <c r="O137" s="116"/>
      <c r="P137" s="116"/>
      <c r="Q137" s="116"/>
      <c r="R137" s="114" t="s">
        <v>3578</v>
      </c>
      <c r="S137" s="108" t="s">
        <v>3579</v>
      </c>
      <c r="T137" s="108" t="s">
        <v>3580</v>
      </c>
    </row>
    <row r="138" spans="1:20" ht="51" x14ac:dyDescent="0.2">
      <c r="A138" s="114" t="s">
        <v>3647</v>
      </c>
      <c r="B138" s="114" t="s">
        <v>392</v>
      </c>
      <c r="C138" s="114" t="s">
        <v>1485</v>
      </c>
      <c r="D138" s="114" t="s">
        <v>56</v>
      </c>
      <c r="E138" s="114" t="s">
        <v>1486</v>
      </c>
      <c r="F138" s="114" t="s">
        <v>26</v>
      </c>
      <c r="G138" s="115">
        <v>834.29499999999996</v>
      </c>
      <c r="H138" s="114">
        <v>4</v>
      </c>
      <c r="I138" s="114" t="s">
        <v>3581</v>
      </c>
      <c r="J138" s="114"/>
      <c r="K138" s="115"/>
      <c r="L138" s="116"/>
      <c r="M138" s="116"/>
      <c r="N138" s="116"/>
      <c r="O138" s="116"/>
      <c r="P138" s="116"/>
      <c r="Q138" s="116"/>
      <c r="R138" s="114" t="s">
        <v>3578</v>
      </c>
      <c r="S138" s="108" t="s">
        <v>3579</v>
      </c>
      <c r="T138" s="108" t="s">
        <v>3580</v>
      </c>
    </row>
    <row r="139" spans="1:20" ht="51" x14ac:dyDescent="0.2">
      <c r="A139" s="114" t="s">
        <v>3649</v>
      </c>
      <c r="B139" s="114" t="s">
        <v>295</v>
      </c>
      <c r="C139" s="114" t="s">
        <v>1443</v>
      </c>
      <c r="D139" s="114" t="s">
        <v>56</v>
      </c>
      <c r="E139" s="114" t="s">
        <v>296</v>
      </c>
      <c r="F139" s="114" t="s">
        <v>26</v>
      </c>
      <c r="G139" s="115">
        <v>741.14700000000005</v>
      </c>
      <c r="H139" s="114">
        <v>1</v>
      </c>
      <c r="I139" s="114" t="s">
        <v>3570</v>
      </c>
      <c r="J139" s="114" t="s">
        <v>26</v>
      </c>
      <c r="K139" s="115">
        <v>1</v>
      </c>
      <c r="L139" s="116">
        <v>82.717500000000001</v>
      </c>
      <c r="M139" s="116">
        <f>K139*L139</f>
        <v>82.717500000000001</v>
      </c>
      <c r="N139" s="116">
        <v>0.2223</v>
      </c>
      <c r="O139" s="116">
        <f>P139-M139</f>
        <v>18.382500000000007</v>
      </c>
      <c r="P139" s="116">
        <v>101.10000000000001</v>
      </c>
      <c r="Q139" s="116">
        <f>G139*P139</f>
        <v>74929.961700000014</v>
      </c>
      <c r="R139" s="114" t="s">
        <v>2349</v>
      </c>
      <c r="S139" s="108" t="s">
        <v>3650</v>
      </c>
      <c r="T139" s="108" t="s">
        <v>3572</v>
      </c>
    </row>
    <row r="140" spans="1:20" ht="51" x14ac:dyDescent="0.2">
      <c r="A140" s="114" t="s">
        <v>3649</v>
      </c>
      <c r="B140" s="114" t="s">
        <v>295</v>
      </c>
      <c r="C140" s="114" t="s">
        <v>1443</v>
      </c>
      <c r="D140" s="114" t="s">
        <v>56</v>
      </c>
      <c r="E140" s="114" t="s">
        <v>296</v>
      </c>
      <c r="F140" s="114" t="s">
        <v>26</v>
      </c>
      <c r="G140" s="115">
        <v>741.14700000000005</v>
      </c>
      <c r="H140" s="114">
        <v>2</v>
      </c>
      <c r="I140" s="114" t="s">
        <v>3573</v>
      </c>
      <c r="J140" s="114" t="s">
        <v>1283</v>
      </c>
      <c r="K140" s="115">
        <v>0.2223</v>
      </c>
      <c r="L140" s="116">
        <v>82.717500000000001</v>
      </c>
      <c r="M140" s="116">
        <v>0</v>
      </c>
      <c r="N140" s="116">
        <v>0.2223</v>
      </c>
      <c r="O140" s="116">
        <f>O139</f>
        <v>18.382500000000007</v>
      </c>
      <c r="P140" s="116"/>
      <c r="Q140" s="116"/>
      <c r="R140" s="114" t="s">
        <v>3574</v>
      </c>
      <c r="S140" s="108" t="s">
        <v>3575</v>
      </c>
      <c r="T140" s="108" t="s">
        <v>3576</v>
      </c>
    </row>
    <row r="141" spans="1:20" ht="51" x14ac:dyDescent="0.2">
      <c r="A141" s="114" t="s">
        <v>3649</v>
      </c>
      <c r="B141" s="114" t="s">
        <v>295</v>
      </c>
      <c r="C141" s="114" t="s">
        <v>1443</v>
      </c>
      <c r="D141" s="114" t="s">
        <v>56</v>
      </c>
      <c r="E141" s="114" t="s">
        <v>296</v>
      </c>
      <c r="F141" s="114" t="s">
        <v>26</v>
      </c>
      <c r="G141" s="115">
        <v>741.14700000000005</v>
      </c>
      <c r="H141" s="114">
        <v>3</v>
      </c>
      <c r="I141" s="114" t="s">
        <v>3577</v>
      </c>
      <c r="J141" s="114"/>
      <c r="K141" s="115"/>
      <c r="L141" s="116"/>
      <c r="M141" s="116"/>
      <c r="N141" s="116"/>
      <c r="O141" s="116"/>
      <c r="P141" s="116"/>
      <c r="Q141" s="116"/>
      <c r="R141" s="114" t="s">
        <v>3578</v>
      </c>
      <c r="S141" s="108" t="s">
        <v>3579</v>
      </c>
      <c r="T141" s="108" t="s">
        <v>3580</v>
      </c>
    </row>
    <row r="142" spans="1:20" ht="51" x14ac:dyDescent="0.2">
      <c r="A142" s="114" t="s">
        <v>3649</v>
      </c>
      <c r="B142" s="114" t="s">
        <v>295</v>
      </c>
      <c r="C142" s="114" t="s">
        <v>1443</v>
      </c>
      <c r="D142" s="114" t="s">
        <v>56</v>
      </c>
      <c r="E142" s="114" t="s">
        <v>296</v>
      </c>
      <c r="F142" s="114" t="s">
        <v>26</v>
      </c>
      <c r="G142" s="115">
        <v>741.14700000000005</v>
      </c>
      <c r="H142" s="114">
        <v>4</v>
      </c>
      <c r="I142" s="114" t="s">
        <v>3581</v>
      </c>
      <c r="J142" s="114"/>
      <c r="K142" s="115"/>
      <c r="L142" s="116"/>
      <c r="M142" s="116"/>
      <c r="N142" s="116"/>
      <c r="O142" s="116"/>
      <c r="P142" s="116"/>
      <c r="Q142" s="116"/>
      <c r="R142" s="114" t="s">
        <v>3578</v>
      </c>
      <c r="S142" s="108" t="s">
        <v>3579</v>
      </c>
      <c r="T142" s="108" t="s">
        <v>3580</v>
      </c>
    </row>
    <row r="143" spans="1:20" ht="76.5" x14ac:dyDescent="0.2">
      <c r="A143" s="114" t="s">
        <v>3651</v>
      </c>
      <c r="B143" s="114" t="s">
        <v>309</v>
      </c>
      <c r="C143" s="114" t="s">
        <v>310</v>
      </c>
      <c r="D143" s="114" t="s">
        <v>209</v>
      </c>
      <c r="E143" s="114" t="s">
        <v>311</v>
      </c>
      <c r="F143" s="114" t="s">
        <v>26</v>
      </c>
      <c r="G143" s="115">
        <v>638.43600000000004</v>
      </c>
      <c r="H143" s="114">
        <v>1</v>
      </c>
      <c r="I143" s="114" t="s">
        <v>3570</v>
      </c>
      <c r="J143" s="114" t="s">
        <v>26</v>
      </c>
      <c r="K143" s="115">
        <v>1</v>
      </c>
      <c r="L143" s="116">
        <v>95.474999999999994</v>
      </c>
      <c r="M143" s="116">
        <f>K143*L143</f>
        <v>95.474999999999994</v>
      </c>
      <c r="N143" s="116">
        <v>0.2223</v>
      </c>
      <c r="O143" s="116">
        <f>P143-M143</f>
        <v>21.217500000000001</v>
      </c>
      <c r="P143" s="116">
        <v>116.6925</v>
      </c>
      <c r="Q143" s="116">
        <f>G143*P143</f>
        <v>74500.692930000005</v>
      </c>
      <c r="R143" s="114" t="s">
        <v>3583</v>
      </c>
      <c r="S143" s="108" t="s">
        <v>3652</v>
      </c>
      <c r="T143" s="108" t="s">
        <v>3572</v>
      </c>
    </row>
    <row r="144" spans="1:20" ht="76.5" x14ac:dyDescent="0.2">
      <c r="A144" s="114" t="s">
        <v>3651</v>
      </c>
      <c r="B144" s="114" t="s">
        <v>309</v>
      </c>
      <c r="C144" s="114" t="s">
        <v>310</v>
      </c>
      <c r="D144" s="114" t="s">
        <v>209</v>
      </c>
      <c r="E144" s="114" t="s">
        <v>311</v>
      </c>
      <c r="F144" s="114" t="s">
        <v>26</v>
      </c>
      <c r="G144" s="115">
        <v>638.43600000000004</v>
      </c>
      <c r="H144" s="114">
        <v>2</v>
      </c>
      <c r="I144" s="114" t="s">
        <v>3573</v>
      </c>
      <c r="J144" s="114" t="s">
        <v>1283</v>
      </c>
      <c r="K144" s="115">
        <v>0.2223</v>
      </c>
      <c r="L144" s="116">
        <v>95.474999999999994</v>
      </c>
      <c r="M144" s="116">
        <v>0</v>
      </c>
      <c r="N144" s="116">
        <v>0.2223</v>
      </c>
      <c r="O144" s="116">
        <f>O143</f>
        <v>21.217500000000001</v>
      </c>
      <c r="P144" s="116"/>
      <c r="Q144" s="116"/>
      <c r="R144" s="114" t="s">
        <v>3574</v>
      </c>
      <c r="S144" s="108" t="s">
        <v>3575</v>
      </c>
      <c r="T144" s="108" t="s">
        <v>3576</v>
      </c>
    </row>
    <row r="145" spans="1:20" ht="76.5" x14ac:dyDescent="0.2">
      <c r="A145" s="114" t="s">
        <v>3651</v>
      </c>
      <c r="B145" s="114" t="s">
        <v>309</v>
      </c>
      <c r="C145" s="114" t="s">
        <v>310</v>
      </c>
      <c r="D145" s="114" t="s">
        <v>209</v>
      </c>
      <c r="E145" s="114" t="s">
        <v>311</v>
      </c>
      <c r="F145" s="114" t="s">
        <v>26</v>
      </c>
      <c r="G145" s="115">
        <v>638.43600000000004</v>
      </c>
      <c r="H145" s="114">
        <v>3</v>
      </c>
      <c r="I145" s="114" t="s">
        <v>3577</v>
      </c>
      <c r="J145" s="114"/>
      <c r="K145" s="115"/>
      <c r="L145" s="116"/>
      <c r="M145" s="116"/>
      <c r="N145" s="116"/>
      <c r="O145" s="116"/>
      <c r="P145" s="116"/>
      <c r="Q145" s="116"/>
      <c r="R145" s="114" t="s">
        <v>3578</v>
      </c>
      <c r="S145" s="108" t="s">
        <v>3579</v>
      </c>
      <c r="T145" s="108" t="s">
        <v>3580</v>
      </c>
    </row>
    <row r="146" spans="1:20" ht="76.5" x14ac:dyDescent="0.2">
      <c r="A146" s="114" t="s">
        <v>3651</v>
      </c>
      <c r="B146" s="114" t="s">
        <v>309</v>
      </c>
      <c r="C146" s="114" t="s">
        <v>310</v>
      </c>
      <c r="D146" s="114" t="s">
        <v>209</v>
      </c>
      <c r="E146" s="114" t="s">
        <v>311</v>
      </c>
      <c r="F146" s="114" t="s">
        <v>26</v>
      </c>
      <c r="G146" s="115">
        <v>638.43600000000004</v>
      </c>
      <c r="H146" s="114">
        <v>4</v>
      </c>
      <c r="I146" s="114" t="s">
        <v>3581</v>
      </c>
      <c r="J146" s="114"/>
      <c r="K146" s="115"/>
      <c r="L146" s="116"/>
      <c r="M146" s="116"/>
      <c r="N146" s="116"/>
      <c r="O146" s="116"/>
      <c r="P146" s="116"/>
      <c r="Q146" s="116"/>
      <c r="R146" s="114" t="s">
        <v>3578</v>
      </c>
      <c r="S146" s="108" t="s">
        <v>3579</v>
      </c>
      <c r="T146" s="108" t="s">
        <v>3580</v>
      </c>
    </row>
    <row r="147" spans="1:20" ht="51" x14ac:dyDescent="0.2">
      <c r="A147" s="114" t="s">
        <v>3653</v>
      </c>
      <c r="B147" s="114" t="s">
        <v>345</v>
      </c>
      <c r="C147" s="114" t="s">
        <v>346</v>
      </c>
      <c r="D147" s="114" t="s">
        <v>209</v>
      </c>
      <c r="E147" s="114" t="s">
        <v>1462</v>
      </c>
      <c r="F147" s="114" t="s">
        <v>26</v>
      </c>
      <c r="G147" s="115">
        <v>135.49</v>
      </c>
      <c r="H147" s="114">
        <v>1</v>
      </c>
      <c r="I147" s="114" t="s">
        <v>3570</v>
      </c>
      <c r="J147" s="114" t="s">
        <v>26</v>
      </c>
      <c r="K147" s="115">
        <v>1</v>
      </c>
      <c r="L147" s="116">
        <v>447.85500000000002</v>
      </c>
      <c r="M147" s="116">
        <f>K147*L147</f>
        <v>447.85500000000002</v>
      </c>
      <c r="N147" s="116">
        <v>0.2223</v>
      </c>
      <c r="O147" s="116">
        <f>P147-M147</f>
        <v>99.55499999999995</v>
      </c>
      <c r="P147" s="116">
        <v>547.41</v>
      </c>
      <c r="Q147" s="116">
        <f>G147*P147</f>
        <v>74168.580900000001</v>
      </c>
      <c r="R147" s="114" t="s">
        <v>3583</v>
      </c>
      <c r="S147" s="108" t="s">
        <v>3654</v>
      </c>
      <c r="T147" s="108" t="s">
        <v>3572</v>
      </c>
    </row>
    <row r="148" spans="1:20" ht="51" x14ac:dyDescent="0.2">
      <c r="A148" s="114" t="s">
        <v>3653</v>
      </c>
      <c r="B148" s="114" t="s">
        <v>345</v>
      </c>
      <c r="C148" s="114" t="s">
        <v>346</v>
      </c>
      <c r="D148" s="114" t="s">
        <v>209</v>
      </c>
      <c r="E148" s="114" t="s">
        <v>1462</v>
      </c>
      <c r="F148" s="114" t="s">
        <v>26</v>
      </c>
      <c r="G148" s="115">
        <v>135.49</v>
      </c>
      <c r="H148" s="114">
        <v>2</v>
      </c>
      <c r="I148" s="114" t="s">
        <v>3573</v>
      </c>
      <c r="J148" s="114" t="s">
        <v>1283</v>
      </c>
      <c r="K148" s="115">
        <v>0.2223</v>
      </c>
      <c r="L148" s="116">
        <v>447.85500000000002</v>
      </c>
      <c r="M148" s="116">
        <v>0</v>
      </c>
      <c r="N148" s="116">
        <v>0.2223</v>
      </c>
      <c r="O148" s="116">
        <f>O147</f>
        <v>99.55499999999995</v>
      </c>
      <c r="P148" s="116"/>
      <c r="Q148" s="116"/>
      <c r="R148" s="114" t="s">
        <v>3574</v>
      </c>
      <c r="S148" s="108" t="s">
        <v>3575</v>
      </c>
      <c r="T148" s="108" t="s">
        <v>3576</v>
      </c>
    </row>
    <row r="149" spans="1:20" ht="51" x14ac:dyDescent="0.2">
      <c r="A149" s="114" t="s">
        <v>3653</v>
      </c>
      <c r="B149" s="114" t="s">
        <v>345</v>
      </c>
      <c r="C149" s="114" t="s">
        <v>346</v>
      </c>
      <c r="D149" s="114" t="s">
        <v>209</v>
      </c>
      <c r="E149" s="114" t="s">
        <v>1462</v>
      </c>
      <c r="F149" s="114" t="s">
        <v>26</v>
      </c>
      <c r="G149" s="115">
        <v>135.49</v>
      </c>
      <c r="H149" s="114">
        <v>3</v>
      </c>
      <c r="I149" s="114" t="s">
        <v>3577</v>
      </c>
      <c r="J149" s="114"/>
      <c r="K149" s="115"/>
      <c r="L149" s="116"/>
      <c r="M149" s="116"/>
      <c r="N149" s="116"/>
      <c r="O149" s="116"/>
      <c r="P149" s="116"/>
      <c r="Q149" s="116"/>
      <c r="R149" s="114" t="s">
        <v>3578</v>
      </c>
      <c r="S149" s="108" t="s">
        <v>3579</v>
      </c>
      <c r="T149" s="108" t="s">
        <v>3580</v>
      </c>
    </row>
    <row r="150" spans="1:20" ht="51" x14ac:dyDescent="0.2">
      <c r="A150" s="114" t="s">
        <v>3653</v>
      </c>
      <c r="B150" s="114" t="s">
        <v>345</v>
      </c>
      <c r="C150" s="114" t="s">
        <v>346</v>
      </c>
      <c r="D150" s="114" t="s">
        <v>209</v>
      </c>
      <c r="E150" s="114" t="s">
        <v>1462</v>
      </c>
      <c r="F150" s="114" t="s">
        <v>26</v>
      </c>
      <c r="G150" s="115">
        <v>135.49</v>
      </c>
      <c r="H150" s="114">
        <v>4</v>
      </c>
      <c r="I150" s="114" t="s">
        <v>3581</v>
      </c>
      <c r="J150" s="114"/>
      <c r="K150" s="115"/>
      <c r="L150" s="116"/>
      <c r="M150" s="116"/>
      <c r="N150" s="116"/>
      <c r="O150" s="116"/>
      <c r="P150" s="116"/>
      <c r="Q150" s="116"/>
      <c r="R150" s="114" t="s">
        <v>3578</v>
      </c>
      <c r="S150" s="108" t="s">
        <v>3579</v>
      </c>
      <c r="T150" s="108" t="s">
        <v>3580</v>
      </c>
    </row>
    <row r="151" spans="1:20" ht="38.25" x14ac:dyDescent="0.2">
      <c r="A151" s="114" t="s">
        <v>3655</v>
      </c>
      <c r="B151" s="114" t="s">
        <v>2038</v>
      </c>
      <c r="C151" s="114" t="s">
        <v>2039</v>
      </c>
      <c r="D151" s="114" t="s">
        <v>56</v>
      </c>
      <c r="E151" s="114" t="s">
        <v>966</v>
      </c>
      <c r="F151" s="114" t="s">
        <v>99</v>
      </c>
      <c r="G151" s="115">
        <v>9877.1</v>
      </c>
      <c r="H151" s="114">
        <v>1</v>
      </c>
      <c r="I151" s="114" t="s">
        <v>3570</v>
      </c>
      <c r="J151" s="114" t="s">
        <v>99</v>
      </c>
      <c r="K151" s="115">
        <v>1</v>
      </c>
      <c r="L151" s="116">
        <v>5.76</v>
      </c>
      <c r="M151" s="116">
        <f>K151*L151</f>
        <v>5.76</v>
      </c>
      <c r="N151" s="116">
        <v>0.2223</v>
      </c>
      <c r="O151" s="116">
        <f>P151-M151</f>
        <v>1.2750000000000004</v>
      </c>
      <c r="P151" s="116">
        <v>7.0350000000000001</v>
      </c>
      <c r="Q151" s="116">
        <f>G151*P151</f>
        <v>69485.39850000001</v>
      </c>
      <c r="R151" s="114" t="s">
        <v>2349</v>
      </c>
      <c r="S151" s="108" t="s">
        <v>3656</v>
      </c>
      <c r="T151" s="108" t="s">
        <v>3572</v>
      </c>
    </row>
    <row r="152" spans="1:20" ht="38.25" x14ac:dyDescent="0.2">
      <c r="A152" s="114" t="s">
        <v>3655</v>
      </c>
      <c r="B152" s="114" t="s">
        <v>2038</v>
      </c>
      <c r="C152" s="114" t="s">
        <v>2039</v>
      </c>
      <c r="D152" s="114" t="s">
        <v>56</v>
      </c>
      <c r="E152" s="114" t="s">
        <v>966</v>
      </c>
      <c r="F152" s="114" t="s">
        <v>99</v>
      </c>
      <c r="G152" s="115">
        <v>9877.1</v>
      </c>
      <c r="H152" s="114">
        <v>2</v>
      </c>
      <c r="I152" s="114" t="s">
        <v>3573</v>
      </c>
      <c r="J152" s="114" t="s">
        <v>1283</v>
      </c>
      <c r="K152" s="115">
        <v>0.2223</v>
      </c>
      <c r="L152" s="116">
        <v>5.76</v>
      </c>
      <c r="M152" s="116">
        <v>0</v>
      </c>
      <c r="N152" s="116">
        <v>0.2223</v>
      </c>
      <c r="O152" s="116">
        <f>O151</f>
        <v>1.2750000000000004</v>
      </c>
      <c r="P152" s="116"/>
      <c r="Q152" s="116"/>
      <c r="R152" s="114" t="s">
        <v>3574</v>
      </c>
      <c r="S152" s="108" t="s">
        <v>3575</v>
      </c>
      <c r="T152" s="108" t="s">
        <v>3576</v>
      </c>
    </row>
    <row r="153" spans="1:20" ht="38.25" x14ac:dyDescent="0.2">
      <c r="A153" s="114" t="s">
        <v>3655</v>
      </c>
      <c r="B153" s="114" t="s">
        <v>2038</v>
      </c>
      <c r="C153" s="114" t="s">
        <v>2039</v>
      </c>
      <c r="D153" s="114" t="s">
        <v>56</v>
      </c>
      <c r="E153" s="114" t="s">
        <v>966</v>
      </c>
      <c r="F153" s="114" t="s">
        <v>99</v>
      </c>
      <c r="G153" s="115">
        <v>9877.1</v>
      </c>
      <c r="H153" s="114">
        <v>3</v>
      </c>
      <c r="I153" s="114" t="s">
        <v>3577</v>
      </c>
      <c r="J153" s="114"/>
      <c r="K153" s="115"/>
      <c r="L153" s="116"/>
      <c r="M153" s="116"/>
      <c r="N153" s="116"/>
      <c r="O153" s="116"/>
      <c r="P153" s="116"/>
      <c r="Q153" s="116"/>
      <c r="R153" s="114" t="s">
        <v>3578</v>
      </c>
      <c r="S153" s="108" t="s">
        <v>3579</v>
      </c>
      <c r="T153" s="108" t="s">
        <v>3580</v>
      </c>
    </row>
    <row r="154" spans="1:20" ht="38.25" x14ac:dyDescent="0.2">
      <c r="A154" s="114" t="s">
        <v>3655</v>
      </c>
      <c r="B154" s="114" t="s">
        <v>2038</v>
      </c>
      <c r="C154" s="114" t="s">
        <v>2039</v>
      </c>
      <c r="D154" s="114" t="s">
        <v>56</v>
      </c>
      <c r="E154" s="114" t="s">
        <v>966</v>
      </c>
      <c r="F154" s="114" t="s">
        <v>99</v>
      </c>
      <c r="G154" s="115">
        <v>9877.1</v>
      </c>
      <c r="H154" s="114">
        <v>4</v>
      </c>
      <c r="I154" s="114" t="s">
        <v>3581</v>
      </c>
      <c r="J154" s="114"/>
      <c r="K154" s="115"/>
      <c r="L154" s="116"/>
      <c r="M154" s="116"/>
      <c r="N154" s="116"/>
      <c r="O154" s="116"/>
      <c r="P154" s="116"/>
      <c r="Q154" s="116"/>
      <c r="R154" s="114" t="s">
        <v>3578</v>
      </c>
      <c r="S154" s="108" t="s">
        <v>3579</v>
      </c>
      <c r="T154" s="108" t="s">
        <v>3580</v>
      </c>
    </row>
    <row r="155" spans="1:20" ht="63.75" x14ac:dyDescent="0.2">
      <c r="A155" s="114" t="s">
        <v>3657</v>
      </c>
      <c r="B155" s="114" t="s">
        <v>197</v>
      </c>
      <c r="C155" s="114" t="s">
        <v>1394</v>
      </c>
      <c r="D155" s="114" t="s">
        <v>56</v>
      </c>
      <c r="E155" s="114" t="s">
        <v>198</v>
      </c>
      <c r="F155" s="114" t="s">
        <v>26</v>
      </c>
      <c r="G155" s="115">
        <v>680.04700000000003</v>
      </c>
      <c r="H155" s="114">
        <v>1</v>
      </c>
      <c r="I155" s="114" t="s">
        <v>3570</v>
      </c>
      <c r="J155" s="114" t="s">
        <v>26</v>
      </c>
      <c r="K155" s="115">
        <v>1</v>
      </c>
      <c r="L155" s="116">
        <v>83.594999999999999</v>
      </c>
      <c r="M155" s="116">
        <f>K155*L155</f>
        <v>83.594999999999999</v>
      </c>
      <c r="N155" s="116">
        <v>0.2223</v>
      </c>
      <c r="O155" s="116">
        <f>P155-M155</f>
        <v>18.577499999999986</v>
      </c>
      <c r="P155" s="116">
        <v>102.17249999999999</v>
      </c>
      <c r="Q155" s="116">
        <f>G155*P155</f>
        <v>69482.102107499988</v>
      </c>
      <c r="R155" s="114" t="s">
        <v>2349</v>
      </c>
      <c r="S155" s="108" t="s">
        <v>3658</v>
      </c>
      <c r="T155" s="108" t="s">
        <v>3572</v>
      </c>
    </row>
    <row r="156" spans="1:20" ht="63.75" x14ac:dyDescent="0.2">
      <c r="A156" s="114" t="s">
        <v>3657</v>
      </c>
      <c r="B156" s="114" t="s">
        <v>197</v>
      </c>
      <c r="C156" s="114" t="s">
        <v>1394</v>
      </c>
      <c r="D156" s="114" t="s">
        <v>56</v>
      </c>
      <c r="E156" s="114" t="s">
        <v>198</v>
      </c>
      <c r="F156" s="114" t="s">
        <v>26</v>
      </c>
      <c r="G156" s="115">
        <v>680.04700000000003</v>
      </c>
      <c r="H156" s="114">
        <v>2</v>
      </c>
      <c r="I156" s="114" t="s">
        <v>3573</v>
      </c>
      <c r="J156" s="114" t="s">
        <v>1283</v>
      </c>
      <c r="K156" s="115">
        <v>0.2223</v>
      </c>
      <c r="L156" s="116">
        <v>83.594999999999999</v>
      </c>
      <c r="M156" s="116">
        <v>0</v>
      </c>
      <c r="N156" s="116">
        <v>0.2223</v>
      </c>
      <c r="O156" s="116">
        <f>O155</f>
        <v>18.577499999999986</v>
      </c>
      <c r="P156" s="116"/>
      <c r="Q156" s="116"/>
      <c r="R156" s="114" t="s">
        <v>3574</v>
      </c>
      <c r="S156" s="108" t="s">
        <v>3575</v>
      </c>
      <c r="T156" s="108" t="s">
        <v>3576</v>
      </c>
    </row>
    <row r="157" spans="1:20" ht="63.75" x14ac:dyDescent="0.2">
      <c r="A157" s="114" t="s">
        <v>3657</v>
      </c>
      <c r="B157" s="114" t="s">
        <v>197</v>
      </c>
      <c r="C157" s="114" t="s">
        <v>1394</v>
      </c>
      <c r="D157" s="114" t="s">
        <v>56</v>
      </c>
      <c r="E157" s="114" t="s">
        <v>198</v>
      </c>
      <c r="F157" s="114" t="s">
        <v>26</v>
      </c>
      <c r="G157" s="115">
        <v>680.04700000000003</v>
      </c>
      <c r="H157" s="114">
        <v>3</v>
      </c>
      <c r="I157" s="114" t="s">
        <v>3577</v>
      </c>
      <c r="J157" s="114"/>
      <c r="K157" s="115"/>
      <c r="L157" s="116"/>
      <c r="M157" s="116"/>
      <c r="N157" s="116"/>
      <c r="O157" s="116"/>
      <c r="P157" s="116"/>
      <c r="Q157" s="116"/>
      <c r="R157" s="114" t="s">
        <v>3578</v>
      </c>
      <c r="S157" s="108" t="s">
        <v>3579</v>
      </c>
      <c r="T157" s="108" t="s">
        <v>3580</v>
      </c>
    </row>
    <row r="158" spans="1:20" ht="63.75" x14ac:dyDescent="0.2">
      <c r="A158" s="114" t="s">
        <v>3657</v>
      </c>
      <c r="B158" s="114" t="s">
        <v>197</v>
      </c>
      <c r="C158" s="114" t="s">
        <v>1394</v>
      </c>
      <c r="D158" s="114" t="s">
        <v>56</v>
      </c>
      <c r="E158" s="114" t="s">
        <v>198</v>
      </c>
      <c r="F158" s="114" t="s">
        <v>26</v>
      </c>
      <c r="G158" s="115">
        <v>680.04700000000003</v>
      </c>
      <c r="H158" s="114">
        <v>4</v>
      </c>
      <c r="I158" s="114" t="s">
        <v>3581</v>
      </c>
      <c r="J158" s="114"/>
      <c r="K158" s="115"/>
      <c r="L158" s="116"/>
      <c r="M158" s="116"/>
      <c r="N158" s="116"/>
      <c r="O158" s="116"/>
      <c r="P158" s="116"/>
      <c r="Q158" s="116"/>
      <c r="R158" s="114" t="s">
        <v>3578</v>
      </c>
      <c r="S158" s="108" t="s">
        <v>3579</v>
      </c>
      <c r="T158" s="108" t="s">
        <v>3580</v>
      </c>
    </row>
    <row r="159" spans="1:20" ht="38.25" x14ac:dyDescent="0.2">
      <c r="A159" s="114" t="s">
        <v>3659</v>
      </c>
      <c r="B159" s="114" t="s">
        <v>334</v>
      </c>
      <c r="C159" s="114" t="s">
        <v>1459</v>
      </c>
      <c r="D159" s="114" t="s">
        <v>335</v>
      </c>
      <c r="E159" s="114" t="s">
        <v>336</v>
      </c>
      <c r="F159" s="114" t="s">
        <v>26</v>
      </c>
      <c r="G159" s="115">
        <v>1233.3820000000001</v>
      </c>
      <c r="H159" s="114">
        <v>1</v>
      </c>
      <c r="I159" s="114" t="s">
        <v>3570</v>
      </c>
      <c r="J159" s="114" t="s">
        <v>26</v>
      </c>
      <c r="K159" s="115">
        <v>1</v>
      </c>
      <c r="L159" s="116">
        <v>41.467500000000001</v>
      </c>
      <c r="M159" s="116">
        <f>K159*L159</f>
        <v>41.467500000000001</v>
      </c>
      <c r="N159" s="116">
        <v>0.2223</v>
      </c>
      <c r="O159" s="116">
        <f>P159-M159</f>
        <v>9.2175000000000011</v>
      </c>
      <c r="P159" s="116">
        <v>50.685000000000002</v>
      </c>
      <c r="Q159" s="116">
        <f>G159*P159</f>
        <v>62513.966670000009</v>
      </c>
      <c r="R159" s="114" t="s">
        <v>2589</v>
      </c>
      <c r="S159" s="108" t="s">
        <v>3660</v>
      </c>
      <c r="T159" s="108" t="s">
        <v>3572</v>
      </c>
    </row>
    <row r="160" spans="1:20" ht="25.5" x14ac:dyDescent="0.2">
      <c r="A160" s="114" t="s">
        <v>3659</v>
      </c>
      <c r="B160" s="114" t="s">
        <v>334</v>
      </c>
      <c r="C160" s="114" t="s">
        <v>1459</v>
      </c>
      <c r="D160" s="114" t="s">
        <v>335</v>
      </c>
      <c r="E160" s="114" t="s">
        <v>336</v>
      </c>
      <c r="F160" s="114" t="s">
        <v>26</v>
      </c>
      <c r="G160" s="115">
        <v>1233.3820000000001</v>
      </c>
      <c r="H160" s="114">
        <v>2</v>
      </c>
      <c r="I160" s="114" t="s">
        <v>3573</v>
      </c>
      <c r="J160" s="114" t="s">
        <v>1283</v>
      </c>
      <c r="K160" s="115">
        <v>0.2223</v>
      </c>
      <c r="L160" s="116">
        <v>41.467500000000001</v>
      </c>
      <c r="M160" s="116">
        <v>0</v>
      </c>
      <c r="N160" s="116">
        <v>0.2223</v>
      </c>
      <c r="O160" s="116">
        <f>O159</f>
        <v>9.2175000000000011</v>
      </c>
      <c r="P160" s="116"/>
      <c r="Q160" s="116"/>
      <c r="R160" s="114" t="s">
        <v>3574</v>
      </c>
      <c r="S160" s="108" t="s">
        <v>3575</v>
      </c>
      <c r="T160" s="108" t="s">
        <v>3576</v>
      </c>
    </row>
    <row r="161" spans="1:20" ht="25.5" x14ac:dyDescent="0.2">
      <c r="A161" s="114" t="s">
        <v>3659</v>
      </c>
      <c r="B161" s="114" t="s">
        <v>334</v>
      </c>
      <c r="C161" s="114" t="s">
        <v>1459</v>
      </c>
      <c r="D161" s="114" t="s">
        <v>335</v>
      </c>
      <c r="E161" s="114" t="s">
        <v>336</v>
      </c>
      <c r="F161" s="114" t="s">
        <v>26</v>
      </c>
      <c r="G161" s="115">
        <v>1233.3820000000001</v>
      </c>
      <c r="H161" s="114">
        <v>3</v>
      </c>
      <c r="I161" s="114" t="s">
        <v>3577</v>
      </c>
      <c r="J161" s="114"/>
      <c r="K161" s="115"/>
      <c r="L161" s="116"/>
      <c r="M161" s="116"/>
      <c r="N161" s="116"/>
      <c r="O161" s="116"/>
      <c r="P161" s="116"/>
      <c r="Q161" s="116"/>
      <c r="R161" s="114" t="s">
        <v>3578</v>
      </c>
      <c r="S161" s="108" t="s">
        <v>3579</v>
      </c>
      <c r="T161" s="108" t="s">
        <v>3580</v>
      </c>
    </row>
    <row r="162" spans="1:20" ht="25.5" x14ac:dyDescent="0.2">
      <c r="A162" s="114" t="s">
        <v>3659</v>
      </c>
      <c r="B162" s="114" t="s">
        <v>334</v>
      </c>
      <c r="C162" s="114" t="s">
        <v>1459</v>
      </c>
      <c r="D162" s="114" t="s">
        <v>335</v>
      </c>
      <c r="E162" s="114" t="s">
        <v>336</v>
      </c>
      <c r="F162" s="114" t="s">
        <v>26</v>
      </c>
      <c r="G162" s="115">
        <v>1233.3820000000001</v>
      </c>
      <c r="H162" s="114">
        <v>4</v>
      </c>
      <c r="I162" s="114" t="s">
        <v>3581</v>
      </c>
      <c r="J162" s="114"/>
      <c r="K162" s="115"/>
      <c r="L162" s="116"/>
      <c r="M162" s="116"/>
      <c r="N162" s="116"/>
      <c r="O162" s="116"/>
      <c r="P162" s="116"/>
      <c r="Q162" s="116"/>
      <c r="R162" s="114" t="s">
        <v>3578</v>
      </c>
      <c r="S162" s="108" t="s">
        <v>3579</v>
      </c>
      <c r="T162" s="108" t="s">
        <v>3580</v>
      </c>
    </row>
    <row r="163" spans="1:20" ht="89.25" x14ac:dyDescent="0.2">
      <c r="A163" s="114" t="s">
        <v>3661</v>
      </c>
      <c r="B163" s="114" t="s">
        <v>27</v>
      </c>
      <c r="C163" s="114" t="s">
        <v>1321</v>
      </c>
      <c r="D163" s="114" t="s">
        <v>24</v>
      </c>
      <c r="E163" s="114" t="s">
        <v>29</v>
      </c>
      <c r="F163" s="114" t="s">
        <v>26</v>
      </c>
      <c r="G163" s="115">
        <v>1404.56</v>
      </c>
      <c r="H163" s="114">
        <v>1</v>
      </c>
      <c r="I163" s="114" t="s">
        <v>3570</v>
      </c>
      <c r="J163" s="114" t="s">
        <v>26</v>
      </c>
      <c r="K163" s="115">
        <v>1</v>
      </c>
      <c r="L163" s="116">
        <v>36.255000000000003</v>
      </c>
      <c r="M163" s="116">
        <f>K163*L163</f>
        <v>36.255000000000003</v>
      </c>
      <c r="N163" s="116">
        <v>0.2223</v>
      </c>
      <c r="O163" s="116">
        <f>P163-M163</f>
        <v>8.0549999999999997</v>
      </c>
      <c r="P163" s="116">
        <v>44.31</v>
      </c>
      <c r="Q163" s="116">
        <f>G163*P163</f>
        <v>62236.053599999999</v>
      </c>
      <c r="R163" s="114" t="s">
        <v>2332</v>
      </c>
      <c r="S163" s="108" t="s">
        <v>3662</v>
      </c>
      <c r="T163" s="108" t="s">
        <v>3572</v>
      </c>
    </row>
    <row r="164" spans="1:20" ht="89.25" x14ac:dyDescent="0.2">
      <c r="A164" s="114" t="s">
        <v>3661</v>
      </c>
      <c r="B164" s="114" t="s">
        <v>27</v>
      </c>
      <c r="C164" s="114" t="s">
        <v>1321</v>
      </c>
      <c r="D164" s="114" t="s">
        <v>24</v>
      </c>
      <c r="E164" s="114" t="s">
        <v>29</v>
      </c>
      <c r="F164" s="114" t="s">
        <v>26</v>
      </c>
      <c r="G164" s="115">
        <v>1404.56</v>
      </c>
      <c r="H164" s="114">
        <v>2</v>
      </c>
      <c r="I164" s="114" t="s">
        <v>3573</v>
      </c>
      <c r="J164" s="114" t="s">
        <v>1283</v>
      </c>
      <c r="K164" s="115">
        <v>0.2223</v>
      </c>
      <c r="L164" s="116">
        <v>36.255000000000003</v>
      </c>
      <c r="M164" s="116">
        <v>0</v>
      </c>
      <c r="N164" s="116">
        <v>0.2223</v>
      </c>
      <c r="O164" s="116">
        <f>O163</f>
        <v>8.0549999999999997</v>
      </c>
      <c r="P164" s="116"/>
      <c r="Q164" s="116"/>
      <c r="R164" s="114" t="s">
        <v>3574</v>
      </c>
      <c r="S164" s="108" t="s">
        <v>3575</v>
      </c>
      <c r="T164" s="108" t="s">
        <v>3576</v>
      </c>
    </row>
    <row r="165" spans="1:20" ht="89.25" x14ac:dyDescent="0.2">
      <c r="A165" s="114" t="s">
        <v>3661</v>
      </c>
      <c r="B165" s="114" t="s">
        <v>27</v>
      </c>
      <c r="C165" s="114" t="s">
        <v>1321</v>
      </c>
      <c r="D165" s="114" t="s">
        <v>24</v>
      </c>
      <c r="E165" s="114" t="s">
        <v>29</v>
      </c>
      <c r="F165" s="114" t="s">
        <v>26</v>
      </c>
      <c r="G165" s="115">
        <v>1404.56</v>
      </c>
      <c r="H165" s="114">
        <v>3</v>
      </c>
      <c r="I165" s="114" t="s">
        <v>3577</v>
      </c>
      <c r="J165" s="114"/>
      <c r="K165" s="115"/>
      <c r="L165" s="116"/>
      <c r="M165" s="116"/>
      <c r="N165" s="116"/>
      <c r="O165" s="116"/>
      <c r="P165" s="116"/>
      <c r="Q165" s="116"/>
      <c r="R165" s="114" t="s">
        <v>3578</v>
      </c>
      <c r="S165" s="108" t="s">
        <v>3579</v>
      </c>
      <c r="T165" s="108" t="s">
        <v>3580</v>
      </c>
    </row>
    <row r="166" spans="1:20" ht="89.25" x14ac:dyDescent="0.2">
      <c r="A166" s="114" t="s">
        <v>3661</v>
      </c>
      <c r="B166" s="114" t="s">
        <v>27</v>
      </c>
      <c r="C166" s="114" t="s">
        <v>1321</v>
      </c>
      <c r="D166" s="114" t="s">
        <v>24</v>
      </c>
      <c r="E166" s="114" t="s">
        <v>29</v>
      </c>
      <c r="F166" s="114" t="s">
        <v>26</v>
      </c>
      <c r="G166" s="115">
        <v>1404.56</v>
      </c>
      <c r="H166" s="114">
        <v>4</v>
      </c>
      <c r="I166" s="114" t="s">
        <v>3581</v>
      </c>
      <c r="J166" s="114"/>
      <c r="K166" s="115"/>
      <c r="L166" s="116"/>
      <c r="M166" s="116"/>
      <c r="N166" s="116"/>
      <c r="O166" s="116"/>
      <c r="P166" s="116"/>
      <c r="Q166" s="116"/>
      <c r="R166" s="114" t="s">
        <v>3578</v>
      </c>
      <c r="S166" s="108" t="s">
        <v>3579</v>
      </c>
      <c r="T166" s="108" t="s">
        <v>3580</v>
      </c>
    </row>
    <row r="167" spans="1:20" ht="63.75" x14ac:dyDescent="0.2">
      <c r="A167" s="114" t="s">
        <v>3663</v>
      </c>
      <c r="B167" s="114" t="s">
        <v>291</v>
      </c>
      <c r="C167" s="114" t="s">
        <v>1441</v>
      </c>
      <c r="D167" s="114" t="s">
        <v>56</v>
      </c>
      <c r="E167" s="114" t="s">
        <v>292</v>
      </c>
      <c r="F167" s="114" t="s">
        <v>26</v>
      </c>
      <c r="G167" s="115">
        <v>922.11</v>
      </c>
      <c r="H167" s="114">
        <v>1</v>
      </c>
      <c r="I167" s="114" t="s">
        <v>3570</v>
      </c>
      <c r="J167" s="114" t="s">
        <v>26</v>
      </c>
      <c r="K167" s="115">
        <v>1</v>
      </c>
      <c r="L167" s="116">
        <v>54.157499999999999</v>
      </c>
      <c r="M167" s="116">
        <f>K167*L167</f>
        <v>54.157499999999999</v>
      </c>
      <c r="N167" s="116">
        <v>0.2223</v>
      </c>
      <c r="O167" s="116">
        <f>P167-M167</f>
        <v>12.037500000000009</v>
      </c>
      <c r="P167" s="116">
        <v>66.195000000000007</v>
      </c>
      <c r="Q167" s="116">
        <f>G167*P167</f>
        <v>61039.07145000001</v>
      </c>
      <c r="R167" s="114" t="s">
        <v>2349</v>
      </c>
      <c r="S167" s="108" t="s">
        <v>3664</v>
      </c>
      <c r="T167" s="108" t="s">
        <v>3572</v>
      </c>
    </row>
    <row r="168" spans="1:20" ht="63.75" x14ac:dyDescent="0.2">
      <c r="A168" s="114" t="s">
        <v>3663</v>
      </c>
      <c r="B168" s="114" t="s">
        <v>291</v>
      </c>
      <c r="C168" s="114" t="s">
        <v>1441</v>
      </c>
      <c r="D168" s="114" t="s">
        <v>56</v>
      </c>
      <c r="E168" s="114" t="s">
        <v>292</v>
      </c>
      <c r="F168" s="114" t="s">
        <v>26</v>
      </c>
      <c r="G168" s="115">
        <v>922.11</v>
      </c>
      <c r="H168" s="114">
        <v>2</v>
      </c>
      <c r="I168" s="114" t="s">
        <v>3573</v>
      </c>
      <c r="J168" s="114" t="s">
        <v>1283</v>
      </c>
      <c r="K168" s="115">
        <v>0.2223</v>
      </c>
      <c r="L168" s="116">
        <v>54.157499999999999</v>
      </c>
      <c r="M168" s="116">
        <v>0</v>
      </c>
      <c r="N168" s="116">
        <v>0.2223</v>
      </c>
      <c r="O168" s="116">
        <f>O167</f>
        <v>12.037500000000009</v>
      </c>
      <c r="P168" s="116"/>
      <c r="Q168" s="116"/>
      <c r="R168" s="114" t="s">
        <v>3574</v>
      </c>
      <c r="S168" s="108" t="s">
        <v>3575</v>
      </c>
      <c r="T168" s="108" t="s">
        <v>3576</v>
      </c>
    </row>
    <row r="169" spans="1:20" ht="63.75" x14ac:dyDescent="0.2">
      <c r="A169" s="114" t="s">
        <v>3663</v>
      </c>
      <c r="B169" s="114" t="s">
        <v>291</v>
      </c>
      <c r="C169" s="114" t="s">
        <v>1441</v>
      </c>
      <c r="D169" s="114" t="s">
        <v>56</v>
      </c>
      <c r="E169" s="114" t="s">
        <v>292</v>
      </c>
      <c r="F169" s="114" t="s">
        <v>26</v>
      </c>
      <c r="G169" s="115">
        <v>922.11</v>
      </c>
      <c r="H169" s="114">
        <v>3</v>
      </c>
      <c r="I169" s="114" t="s">
        <v>3577</v>
      </c>
      <c r="J169" s="114"/>
      <c r="K169" s="115"/>
      <c r="L169" s="116"/>
      <c r="M169" s="116"/>
      <c r="N169" s="116"/>
      <c r="O169" s="116"/>
      <c r="P169" s="116"/>
      <c r="Q169" s="116"/>
      <c r="R169" s="114" t="s">
        <v>3578</v>
      </c>
      <c r="S169" s="108" t="s">
        <v>3579</v>
      </c>
      <c r="T169" s="108" t="s">
        <v>3580</v>
      </c>
    </row>
    <row r="170" spans="1:20" ht="63.75" x14ac:dyDescent="0.2">
      <c r="A170" s="114" t="s">
        <v>3663</v>
      </c>
      <c r="B170" s="114" t="s">
        <v>291</v>
      </c>
      <c r="C170" s="114" t="s">
        <v>1441</v>
      </c>
      <c r="D170" s="114" t="s">
        <v>56</v>
      </c>
      <c r="E170" s="114" t="s">
        <v>292</v>
      </c>
      <c r="F170" s="114" t="s">
        <v>26</v>
      </c>
      <c r="G170" s="115">
        <v>922.11</v>
      </c>
      <c r="H170" s="114">
        <v>4</v>
      </c>
      <c r="I170" s="114" t="s">
        <v>3581</v>
      </c>
      <c r="J170" s="114"/>
      <c r="K170" s="115"/>
      <c r="L170" s="116"/>
      <c r="M170" s="116"/>
      <c r="N170" s="116"/>
      <c r="O170" s="116"/>
      <c r="P170" s="116"/>
      <c r="Q170" s="116"/>
      <c r="R170" s="114" t="s">
        <v>3578</v>
      </c>
      <c r="S170" s="108" t="s">
        <v>3579</v>
      </c>
      <c r="T170" s="108" t="s">
        <v>3580</v>
      </c>
    </row>
    <row r="171" spans="1:20" ht="51" x14ac:dyDescent="0.2">
      <c r="A171" s="114" t="s">
        <v>3665</v>
      </c>
      <c r="B171" s="114" t="s">
        <v>312</v>
      </c>
      <c r="C171" s="114" t="s">
        <v>1452</v>
      </c>
      <c r="D171" s="114" t="s">
        <v>24</v>
      </c>
      <c r="E171" s="114" t="s">
        <v>314</v>
      </c>
      <c r="F171" s="114" t="s">
        <v>26</v>
      </c>
      <c r="G171" s="115">
        <v>1442.107</v>
      </c>
      <c r="H171" s="114">
        <v>1</v>
      </c>
      <c r="I171" s="114" t="s">
        <v>3570</v>
      </c>
      <c r="J171" s="114" t="s">
        <v>26</v>
      </c>
      <c r="K171" s="115">
        <v>1</v>
      </c>
      <c r="L171" s="116">
        <v>34.5075</v>
      </c>
      <c r="M171" s="116">
        <f>K171*L171</f>
        <v>34.5075</v>
      </c>
      <c r="N171" s="116">
        <v>0.2223</v>
      </c>
      <c r="O171" s="116">
        <f>P171-M171</f>
        <v>7.6649999999999991</v>
      </c>
      <c r="P171" s="116">
        <v>42.172499999999999</v>
      </c>
      <c r="Q171" s="116">
        <f>G171*P171</f>
        <v>60817.257457499996</v>
      </c>
      <c r="R171" s="114" t="s">
        <v>2332</v>
      </c>
      <c r="S171" s="108" t="s">
        <v>3666</v>
      </c>
      <c r="T171" s="108" t="s">
        <v>3572</v>
      </c>
    </row>
    <row r="172" spans="1:20" ht="51" x14ac:dyDescent="0.2">
      <c r="A172" s="114" t="s">
        <v>3665</v>
      </c>
      <c r="B172" s="114" t="s">
        <v>312</v>
      </c>
      <c r="C172" s="114" t="s">
        <v>1452</v>
      </c>
      <c r="D172" s="114" t="s">
        <v>24</v>
      </c>
      <c r="E172" s="114" t="s">
        <v>314</v>
      </c>
      <c r="F172" s="114" t="s">
        <v>26</v>
      </c>
      <c r="G172" s="115">
        <v>1442.107</v>
      </c>
      <c r="H172" s="114">
        <v>2</v>
      </c>
      <c r="I172" s="114" t="s">
        <v>3573</v>
      </c>
      <c r="J172" s="114" t="s">
        <v>1283</v>
      </c>
      <c r="K172" s="115">
        <v>0.2223</v>
      </c>
      <c r="L172" s="116">
        <v>34.5075</v>
      </c>
      <c r="M172" s="116">
        <v>0</v>
      </c>
      <c r="N172" s="116">
        <v>0.2223</v>
      </c>
      <c r="O172" s="116">
        <f>O171</f>
        <v>7.6649999999999991</v>
      </c>
      <c r="P172" s="116"/>
      <c r="Q172" s="116"/>
      <c r="R172" s="114" t="s">
        <v>3574</v>
      </c>
      <c r="S172" s="108" t="s">
        <v>3575</v>
      </c>
      <c r="T172" s="108" t="s">
        <v>3576</v>
      </c>
    </row>
    <row r="173" spans="1:20" ht="51" x14ac:dyDescent="0.2">
      <c r="A173" s="114" t="s">
        <v>3665</v>
      </c>
      <c r="B173" s="114" t="s">
        <v>312</v>
      </c>
      <c r="C173" s="114" t="s">
        <v>1452</v>
      </c>
      <c r="D173" s="114" t="s">
        <v>24</v>
      </c>
      <c r="E173" s="114" t="s">
        <v>314</v>
      </c>
      <c r="F173" s="114" t="s">
        <v>26</v>
      </c>
      <c r="G173" s="115">
        <v>1442.107</v>
      </c>
      <c r="H173" s="114">
        <v>3</v>
      </c>
      <c r="I173" s="114" t="s">
        <v>3577</v>
      </c>
      <c r="J173" s="114"/>
      <c r="K173" s="115"/>
      <c r="L173" s="116"/>
      <c r="M173" s="116"/>
      <c r="N173" s="116"/>
      <c r="O173" s="116"/>
      <c r="P173" s="116"/>
      <c r="Q173" s="116"/>
      <c r="R173" s="114" t="s">
        <v>3578</v>
      </c>
      <c r="S173" s="108" t="s">
        <v>3579</v>
      </c>
      <c r="T173" s="108" t="s">
        <v>3580</v>
      </c>
    </row>
    <row r="174" spans="1:20" ht="51" x14ac:dyDescent="0.2">
      <c r="A174" s="114" t="s">
        <v>3665</v>
      </c>
      <c r="B174" s="114" t="s">
        <v>312</v>
      </c>
      <c r="C174" s="114" t="s">
        <v>1452</v>
      </c>
      <c r="D174" s="114" t="s">
        <v>24</v>
      </c>
      <c r="E174" s="114" t="s">
        <v>314</v>
      </c>
      <c r="F174" s="114" t="s">
        <v>26</v>
      </c>
      <c r="G174" s="115">
        <v>1442.107</v>
      </c>
      <c r="H174" s="114">
        <v>4</v>
      </c>
      <c r="I174" s="114" t="s">
        <v>3581</v>
      </c>
      <c r="J174" s="114"/>
      <c r="K174" s="115"/>
      <c r="L174" s="116"/>
      <c r="M174" s="116"/>
      <c r="N174" s="116"/>
      <c r="O174" s="116"/>
      <c r="P174" s="116"/>
      <c r="Q174" s="116"/>
      <c r="R174" s="114" t="s">
        <v>3578</v>
      </c>
      <c r="S174" s="108" t="s">
        <v>3579</v>
      </c>
      <c r="T174" s="108" t="s">
        <v>3580</v>
      </c>
    </row>
    <row r="175" spans="1:20" ht="51" x14ac:dyDescent="0.2">
      <c r="A175" s="114" t="s">
        <v>3667</v>
      </c>
      <c r="B175" s="114" t="s">
        <v>491</v>
      </c>
      <c r="C175" s="114" t="s">
        <v>1534</v>
      </c>
      <c r="D175" s="114" t="s">
        <v>24</v>
      </c>
      <c r="E175" s="114" t="s">
        <v>493</v>
      </c>
      <c r="F175" s="114" t="s">
        <v>26</v>
      </c>
      <c r="G175" s="115">
        <v>140.98599999999999</v>
      </c>
      <c r="H175" s="114">
        <v>1</v>
      </c>
      <c r="I175" s="114" t="s">
        <v>3570</v>
      </c>
      <c r="J175" s="114" t="s">
        <v>26</v>
      </c>
      <c r="K175" s="115">
        <v>1</v>
      </c>
      <c r="L175" s="116">
        <v>321.47249999999997</v>
      </c>
      <c r="M175" s="116">
        <f>K175*L175</f>
        <v>321.47249999999997</v>
      </c>
      <c r="N175" s="116">
        <v>0.2223</v>
      </c>
      <c r="O175" s="116">
        <f>P175-M175</f>
        <v>71.460000000000036</v>
      </c>
      <c r="P175" s="116">
        <v>392.9325</v>
      </c>
      <c r="Q175" s="116">
        <f>G175*P175</f>
        <v>55397.981444999998</v>
      </c>
      <c r="R175" s="114" t="s">
        <v>2332</v>
      </c>
      <c r="S175" s="108" t="s">
        <v>3668</v>
      </c>
      <c r="T175" s="108" t="s">
        <v>3572</v>
      </c>
    </row>
    <row r="176" spans="1:20" ht="51" x14ac:dyDescent="0.2">
      <c r="A176" s="114" t="s">
        <v>3667</v>
      </c>
      <c r="B176" s="114" t="s">
        <v>491</v>
      </c>
      <c r="C176" s="114" t="s">
        <v>1534</v>
      </c>
      <c r="D176" s="114" t="s">
        <v>24</v>
      </c>
      <c r="E176" s="114" t="s">
        <v>493</v>
      </c>
      <c r="F176" s="114" t="s">
        <v>26</v>
      </c>
      <c r="G176" s="115">
        <v>140.98599999999999</v>
      </c>
      <c r="H176" s="114">
        <v>2</v>
      </c>
      <c r="I176" s="114" t="s">
        <v>3573</v>
      </c>
      <c r="J176" s="114" t="s">
        <v>1283</v>
      </c>
      <c r="K176" s="115">
        <v>0.2223</v>
      </c>
      <c r="L176" s="116">
        <v>321.47249999999997</v>
      </c>
      <c r="M176" s="116">
        <v>0</v>
      </c>
      <c r="N176" s="116">
        <v>0.2223</v>
      </c>
      <c r="O176" s="116">
        <f>O175</f>
        <v>71.460000000000036</v>
      </c>
      <c r="P176" s="116"/>
      <c r="Q176" s="116"/>
      <c r="R176" s="114" t="s">
        <v>3574</v>
      </c>
      <c r="S176" s="108" t="s">
        <v>3575</v>
      </c>
      <c r="T176" s="108" t="s">
        <v>3576</v>
      </c>
    </row>
    <row r="177" spans="1:20" ht="51" x14ac:dyDescent="0.2">
      <c r="A177" s="114" t="s">
        <v>3667</v>
      </c>
      <c r="B177" s="114" t="s">
        <v>491</v>
      </c>
      <c r="C177" s="114" t="s">
        <v>1534</v>
      </c>
      <c r="D177" s="114" t="s">
        <v>24</v>
      </c>
      <c r="E177" s="114" t="s">
        <v>493</v>
      </c>
      <c r="F177" s="114" t="s">
        <v>26</v>
      </c>
      <c r="G177" s="115">
        <v>140.98599999999999</v>
      </c>
      <c r="H177" s="114">
        <v>3</v>
      </c>
      <c r="I177" s="114" t="s">
        <v>3577</v>
      </c>
      <c r="J177" s="114"/>
      <c r="K177" s="115"/>
      <c r="L177" s="116"/>
      <c r="M177" s="116"/>
      <c r="N177" s="116"/>
      <c r="O177" s="116"/>
      <c r="P177" s="116"/>
      <c r="Q177" s="116"/>
      <c r="R177" s="114" t="s">
        <v>3578</v>
      </c>
      <c r="S177" s="108" t="s">
        <v>3579</v>
      </c>
      <c r="T177" s="108" t="s">
        <v>3580</v>
      </c>
    </row>
    <row r="178" spans="1:20" ht="51" x14ac:dyDescent="0.2">
      <c r="A178" s="114" t="s">
        <v>3667</v>
      </c>
      <c r="B178" s="114" t="s">
        <v>491</v>
      </c>
      <c r="C178" s="114" t="s">
        <v>1534</v>
      </c>
      <c r="D178" s="114" t="s">
        <v>24</v>
      </c>
      <c r="E178" s="114" t="s">
        <v>493</v>
      </c>
      <c r="F178" s="114" t="s">
        <v>26</v>
      </c>
      <c r="G178" s="115">
        <v>140.98599999999999</v>
      </c>
      <c r="H178" s="114">
        <v>4</v>
      </c>
      <c r="I178" s="114" t="s">
        <v>3581</v>
      </c>
      <c r="J178" s="114"/>
      <c r="K178" s="115"/>
      <c r="L178" s="116"/>
      <c r="M178" s="116"/>
      <c r="N178" s="116"/>
      <c r="O178" s="116"/>
      <c r="P178" s="116"/>
      <c r="Q178" s="116"/>
      <c r="R178" s="114" t="s">
        <v>3578</v>
      </c>
      <c r="S178" s="108" t="s">
        <v>3579</v>
      </c>
      <c r="T178" s="108" t="s">
        <v>3580</v>
      </c>
    </row>
    <row r="179" spans="1:20" ht="38.25" x14ac:dyDescent="0.2">
      <c r="A179" s="114" t="s">
        <v>3669</v>
      </c>
      <c r="B179" s="114" t="s">
        <v>546</v>
      </c>
      <c r="C179" s="114" t="s">
        <v>1558</v>
      </c>
      <c r="D179" s="114" t="s">
        <v>335</v>
      </c>
      <c r="E179" s="114" t="s">
        <v>547</v>
      </c>
      <c r="F179" s="114" t="s">
        <v>26</v>
      </c>
      <c r="G179" s="115">
        <v>208.96299999999999</v>
      </c>
      <c r="H179" s="114">
        <v>1</v>
      </c>
      <c r="I179" s="114" t="s">
        <v>3570</v>
      </c>
      <c r="J179" s="114" t="s">
        <v>26</v>
      </c>
      <c r="K179" s="115">
        <v>1</v>
      </c>
      <c r="L179" s="116">
        <v>215.715</v>
      </c>
      <c r="M179" s="116">
        <f>K179*L179</f>
        <v>215.715</v>
      </c>
      <c r="N179" s="116">
        <v>0.2223</v>
      </c>
      <c r="O179" s="116">
        <f>P179-M179</f>
        <v>47.947500000000019</v>
      </c>
      <c r="P179" s="116">
        <v>263.66250000000002</v>
      </c>
      <c r="Q179" s="116">
        <f>G179*P179</f>
        <v>55095.706987500002</v>
      </c>
      <c r="R179" s="114" t="s">
        <v>2589</v>
      </c>
      <c r="S179" s="108" t="s">
        <v>3670</v>
      </c>
      <c r="T179" s="108" t="s">
        <v>3572</v>
      </c>
    </row>
    <row r="180" spans="1:20" ht="25.5" x14ac:dyDescent="0.2">
      <c r="A180" s="114" t="s">
        <v>3669</v>
      </c>
      <c r="B180" s="114" t="s">
        <v>546</v>
      </c>
      <c r="C180" s="114" t="s">
        <v>1558</v>
      </c>
      <c r="D180" s="114" t="s">
        <v>335</v>
      </c>
      <c r="E180" s="114" t="s">
        <v>547</v>
      </c>
      <c r="F180" s="114" t="s">
        <v>26</v>
      </c>
      <c r="G180" s="115">
        <v>208.96299999999999</v>
      </c>
      <c r="H180" s="114">
        <v>2</v>
      </c>
      <c r="I180" s="114" t="s">
        <v>3573</v>
      </c>
      <c r="J180" s="114" t="s">
        <v>1283</v>
      </c>
      <c r="K180" s="115">
        <v>0.2223</v>
      </c>
      <c r="L180" s="116">
        <v>215.715</v>
      </c>
      <c r="M180" s="116">
        <v>0</v>
      </c>
      <c r="N180" s="116">
        <v>0.2223</v>
      </c>
      <c r="O180" s="116">
        <f>O179</f>
        <v>47.947500000000019</v>
      </c>
      <c r="P180" s="116"/>
      <c r="Q180" s="116"/>
      <c r="R180" s="114" t="s">
        <v>3574</v>
      </c>
      <c r="S180" s="108" t="s">
        <v>3575</v>
      </c>
      <c r="T180" s="108" t="s">
        <v>3576</v>
      </c>
    </row>
    <row r="181" spans="1:20" ht="25.5" x14ac:dyDescent="0.2">
      <c r="A181" s="114" t="s">
        <v>3669</v>
      </c>
      <c r="B181" s="114" t="s">
        <v>546</v>
      </c>
      <c r="C181" s="114" t="s">
        <v>1558</v>
      </c>
      <c r="D181" s="114" t="s">
        <v>335</v>
      </c>
      <c r="E181" s="114" t="s">
        <v>547</v>
      </c>
      <c r="F181" s="114" t="s">
        <v>26</v>
      </c>
      <c r="G181" s="115">
        <v>208.96299999999999</v>
      </c>
      <c r="H181" s="114">
        <v>3</v>
      </c>
      <c r="I181" s="114" t="s">
        <v>3577</v>
      </c>
      <c r="J181" s="114"/>
      <c r="K181" s="115"/>
      <c r="L181" s="116"/>
      <c r="M181" s="116"/>
      <c r="N181" s="116"/>
      <c r="O181" s="116"/>
      <c r="P181" s="116"/>
      <c r="Q181" s="116"/>
      <c r="R181" s="114" t="s">
        <v>3578</v>
      </c>
      <c r="S181" s="108" t="s">
        <v>3579</v>
      </c>
      <c r="T181" s="108" t="s">
        <v>3580</v>
      </c>
    </row>
    <row r="182" spans="1:20" ht="25.5" x14ac:dyDescent="0.2">
      <c r="A182" s="114" t="s">
        <v>3669</v>
      </c>
      <c r="B182" s="114" t="s">
        <v>546</v>
      </c>
      <c r="C182" s="114" t="s">
        <v>1558</v>
      </c>
      <c r="D182" s="114" t="s">
        <v>335</v>
      </c>
      <c r="E182" s="114" t="s">
        <v>547</v>
      </c>
      <c r="F182" s="114" t="s">
        <v>26</v>
      </c>
      <c r="G182" s="115">
        <v>208.96299999999999</v>
      </c>
      <c r="H182" s="114">
        <v>4</v>
      </c>
      <c r="I182" s="114" t="s">
        <v>3581</v>
      </c>
      <c r="J182" s="114"/>
      <c r="K182" s="115"/>
      <c r="L182" s="116"/>
      <c r="M182" s="116"/>
      <c r="N182" s="116"/>
      <c r="O182" s="116"/>
      <c r="P182" s="116"/>
      <c r="Q182" s="116"/>
      <c r="R182" s="114" t="s">
        <v>3578</v>
      </c>
      <c r="S182" s="108" t="s">
        <v>3579</v>
      </c>
      <c r="T182" s="108" t="s">
        <v>3580</v>
      </c>
    </row>
    <row r="183" spans="1:20" ht="38.25" x14ac:dyDescent="0.2">
      <c r="A183" s="114" t="s">
        <v>3671</v>
      </c>
      <c r="B183" s="114" t="s">
        <v>406</v>
      </c>
      <c r="C183" s="114" t="s">
        <v>1493</v>
      </c>
      <c r="D183" s="114" t="s">
        <v>56</v>
      </c>
      <c r="E183" s="114" t="s">
        <v>407</v>
      </c>
      <c r="F183" s="114" t="s">
        <v>99</v>
      </c>
      <c r="G183" s="115">
        <v>336.04300000000001</v>
      </c>
      <c r="H183" s="114">
        <v>1</v>
      </c>
      <c r="I183" s="114" t="s">
        <v>3570</v>
      </c>
      <c r="J183" s="114" t="s">
        <v>99</v>
      </c>
      <c r="K183" s="115">
        <v>1</v>
      </c>
      <c r="L183" s="116">
        <v>132.03750000000002</v>
      </c>
      <c r="M183" s="116">
        <f>K183*L183</f>
        <v>132.03750000000002</v>
      </c>
      <c r="N183" s="116">
        <v>0.2223</v>
      </c>
      <c r="O183" s="116">
        <f>P183-M183</f>
        <v>29.347499999999968</v>
      </c>
      <c r="P183" s="116">
        <v>161.38499999999999</v>
      </c>
      <c r="Q183" s="116">
        <f>G183*P183</f>
        <v>54232.299554999998</v>
      </c>
      <c r="R183" s="114" t="s">
        <v>2349</v>
      </c>
      <c r="S183" s="108" t="s">
        <v>3672</v>
      </c>
      <c r="T183" s="108" t="s">
        <v>3572</v>
      </c>
    </row>
    <row r="184" spans="1:20" ht="38.25" x14ac:dyDescent="0.2">
      <c r="A184" s="114" t="s">
        <v>3671</v>
      </c>
      <c r="B184" s="114" t="s">
        <v>406</v>
      </c>
      <c r="C184" s="114" t="s">
        <v>1493</v>
      </c>
      <c r="D184" s="114" t="s">
        <v>56</v>
      </c>
      <c r="E184" s="114" t="s">
        <v>407</v>
      </c>
      <c r="F184" s="114" t="s">
        <v>99</v>
      </c>
      <c r="G184" s="115">
        <v>336.04300000000001</v>
      </c>
      <c r="H184" s="114">
        <v>2</v>
      </c>
      <c r="I184" s="114" t="s">
        <v>3573</v>
      </c>
      <c r="J184" s="114" t="s">
        <v>1283</v>
      </c>
      <c r="K184" s="115">
        <v>0.2223</v>
      </c>
      <c r="L184" s="116">
        <v>132.03750000000002</v>
      </c>
      <c r="M184" s="116">
        <v>0</v>
      </c>
      <c r="N184" s="116">
        <v>0.2223</v>
      </c>
      <c r="O184" s="116">
        <f>O183</f>
        <v>29.347499999999968</v>
      </c>
      <c r="P184" s="116"/>
      <c r="Q184" s="116"/>
      <c r="R184" s="114" t="s">
        <v>3574</v>
      </c>
      <c r="S184" s="108" t="s">
        <v>3575</v>
      </c>
      <c r="T184" s="108" t="s">
        <v>3576</v>
      </c>
    </row>
    <row r="185" spans="1:20" ht="38.25" x14ac:dyDescent="0.2">
      <c r="A185" s="114" t="s">
        <v>3671</v>
      </c>
      <c r="B185" s="114" t="s">
        <v>406</v>
      </c>
      <c r="C185" s="114" t="s">
        <v>1493</v>
      </c>
      <c r="D185" s="114" t="s">
        <v>56</v>
      </c>
      <c r="E185" s="114" t="s">
        <v>407</v>
      </c>
      <c r="F185" s="114" t="s">
        <v>99</v>
      </c>
      <c r="G185" s="115">
        <v>336.04300000000001</v>
      </c>
      <c r="H185" s="114">
        <v>3</v>
      </c>
      <c r="I185" s="114" t="s">
        <v>3577</v>
      </c>
      <c r="J185" s="114"/>
      <c r="K185" s="115"/>
      <c r="L185" s="116"/>
      <c r="M185" s="116"/>
      <c r="N185" s="116"/>
      <c r="O185" s="116"/>
      <c r="P185" s="116"/>
      <c r="Q185" s="116"/>
      <c r="R185" s="114" t="s">
        <v>3578</v>
      </c>
      <c r="S185" s="108" t="s">
        <v>3579</v>
      </c>
      <c r="T185" s="108" t="s">
        <v>3580</v>
      </c>
    </row>
    <row r="186" spans="1:20" ht="38.25" x14ac:dyDescent="0.2">
      <c r="A186" s="114" t="s">
        <v>3671</v>
      </c>
      <c r="B186" s="114" t="s">
        <v>406</v>
      </c>
      <c r="C186" s="114" t="s">
        <v>1493</v>
      </c>
      <c r="D186" s="114" t="s">
        <v>56</v>
      </c>
      <c r="E186" s="114" t="s">
        <v>407</v>
      </c>
      <c r="F186" s="114" t="s">
        <v>99</v>
      </c>
      <c r="G186" s="115">
        <v>336.04300000000001</v>
      </c>
      <c r="H186" s="114">
        <v>4</v>
      </c>
      <c r="I186" s="114" t="s">
        <v>3581</v>
      </c>
      <c r="J186" s="114"/>
      <c r="K186" s="115"/>
      <c r="L186" s="116"/>
      <c r="M186" s="116"/>
      <c r="N186" s="116"/>
      <c r="O186" s="116"/>
      <c r="P186" s="116"/>
      <c r="Q186" s="116"/>
      <c r="R186" s="114" t="s">
        <v>3578</v>
      </c>
      <c r="S186" s="108" t="s">
        <v>3579</v>
      </c>
      <c r="T186" s="108" t="s">
        <v>3580</v>
      </c>
    </row>
    <row r="187" spans="1:20" ht="51" x14ac:dyDescent="0.2">
      <c r="A187" s="114" t="s">
        <v>3673</v>
      </c>
      <c r="B187" s="114" t="s">
        <v>1410</v>
      </c>
      <c r="C187" s="114" t="s">
        <v>1411</v>
      </c>
      <c r="D187" s="114" t="s">
        <v>56</v>
      </c>
      <c r="E187" s="114" t="s">
        <v>233</v>
      </c>
      <c r="F187" s="114" t="s">
        <v>180</v>
      </c>
      <c r="G187" s="115">
        <v>4850.1769999999997</v>
      </c>
      <c r="H187" s="114">
        <v>1</v>
      </c>
      <c r="I187" s="114" t="s">
        <v>3570</v>
      </c>
      <c r="J187" s="114" t="s">
        <v>180</v>
      </c>
      <c r="K187" s="115">
        <v>1</v>
      </c>
      <c r="L187" s="116">
        <v>9.0824999999999996</v>
      </c>
      <c r="M187" s="116">
        <f>K187*L187</f>
        <v>9.0824999999999996</v>
      </c>
      <c r="N187" s="116">
        <v>0.2223</v>
      </c>
      <c r="O187" s="116">
        <f>P187-M187</f>
        <v>2.0175000000000018</v>
      </c>
      <c r="P187" s="116">
        <v>11.100000000000001</v>
      </c>
      <c r="Q187" s="116">
        <f>G187*P187</f>
        <v>53836.964700000004</v>
      </c>
      <c r="R187" s="114" t="s">
        <v>2349</v>
      </c>
      <c r="S187" s="108" t="s">
        <v>3674</v>
      </c>
      <c r="T187" s="108" t="s">
        <v>3572</v>
      </c>
    </row>
    <row r="188" spans="1:20" ht="51" x14ac:dyDescent="0.2">
      <c r="A188" s="114" t="s">
        <v>3673</v>
      </c>
      <c r="B188" s="114" t="s">
        <v>1410</v>
      </c>
      <c r="C188" s="114" t="s">
        <v>1411</v>
      </c>
      <c r="D188" s="114" t="s">
        <v>56</v>
      </c>
      <c r="E188" s="114" t="s">
        <v>233</v>
      </c>
      <c r="F188" s="114" t="s">
        <v>180</v>
      </c>
      <c r="G188" s="115">
        <v>4850.1769999999997</v>
      </c>
      <c r="H188" s="114">
        <v>2</v>
      </c>
      <c r="I188" s="114" t="s">
        <v>3573</v>
      </c>
      <c r="J188" s="114" t="s">
        <v>1283</v>
      </c>
      <c r="K188" s="115">
        <v>0.2223</v>
      </c>
      <c r="L188" s="116">
        <v>9.0824999999999996</v>
      </c>
      <c r="M188" s="116">
        <v>0</v>
      </c>
      <c r="N188" s="116">
        <v>0.2223</v>
      </c>
      <c r="O188" s="116">
        <f>O187</f>
        <v>2.0175000000000018</v>
      </c>
      <c r="P188" s="116"/>
      <c r="Q188" s="116"/>
      <c r="R188" s="114" t="s">
        <v>3574</v>
      </c>
      <c r="S188" s="108" t="s">
        <v>3575</v>
      </c>
      <c r="T188" s="108" t="s">
        <v>3576</v>
      </c>
    </row>
    <row r="189" spans="1:20" ht="51" x14ac:dyDescent="0.2">
      <c r="A189" s="114" t="s">
        <v>3673</v>
      </c>
      <c r="B189" s="114" t="s">
        <v>1410</v>
      </c>
      <c r="C189" s="114" t="s">
        <v>1411</v>
      </c>
      <c r="D189" s="114" t="s">
        <v>56</v>
      </c>
      <c r="E189" s="114" t="s">
        <v>233</v>
      </c>
      <c r="F189" s="114" t="s">
        <v>180</v>
      </c>
      <c r="G189" s="115">
        <v>4850.1769999999997</v>
      </c>
      <c r="H189" s="114">
        <v>3</v>
      </c>
      <c r="I189" s="114" t="s">
        <v>3577</v>
      </c>
      <c r="J189" s="114"/>
      <c r="K189" s="115"/>
      <c r="L189" s="116"/>
      <c r="M189" s="116"/>
      <c r="N189" s="116"/>
      <c r="O189" s="116"/>
      <c r="P189" s="116"/>
      <c r="Q189" s="116"/>
      <c r="R189" s="114" t="s">
        <v>3578</v>
      </c>
      <c r="S189" s="108" t="s">
        <v>3579</v>
      </c>
      <c r="T189" s="108" t="s">
        <v>3580</v>
      </c>
    </row>
    <row r="190" spans="1:20" ht="51" x14ac:dyDescent="0.2">
      <c r="A190" s="114" t="s">
        <v>3673</v>
      </c>
      <c r="B190" s="114" t="s">
        <v>1410</v>
      </c>
      <c r="C190" s="114" t="s">
        <v>1411</v>
      </c>
      <c r="D190" s="114" t="s">
        <v>56</v>
      </c>
      <c r="E190" s="114" t="s">
        <v>233</v>
      </c>
      <c r="F190" s="114" t="s">
        <v>180</v>
      </c>
      <c r="G190" s="115">
        <v>4850.1769999999997</v>
      </c>
      <c r="H190" s="114">
        <v>4</v>
      </c>
      <c r="I190" s="114" t="s">
        <v>3581</v>
      </c>
      <c r="J190" s="114"/>
      <c r="K190" s="115"/>
      <c r="L190" s="116"/>
      <c r="M190" s="116"/>
      <c r="N190" s="116"/>
      <c r="O190" s="116"/>
      <c r="P190" s="116"/>
      <c r="Q190" s="116"/>
      <c r="R190" s="114" t="s">
        <v>3578</v>
      </c>
      <c r="S190" s="108" t="s">
        <v>3579</v>
      </c>
      <c r="T190" s="108" t="s">
        <v>3580</v>
      </c>
    </row>
    <row r="191" spans="1:20" ht="38.25" x14ac:dyDescent="0.2">
      <c r="A191" s="114" t="s">
        <v>3675</v>
      </c>
      <c r="B191" s="114" t="s">
        <v>1944</v>
      </c>
      <c r="C191" s="114" t="s">
        <v>1945</v>
      </c>
      <c r="D191" s="114" t="s">
        <v>24</v>
      </c>
      <c r="E191" s="114" t="s">
        <v>894</v>
      </c>
      <c r="F191" s="114" t="s">
        <v>84</v>
      </c>
      <c r="G191" s="115">
        <v>1</v>
      </c>
      <c r="H191" s="114">
        <v>1</v>
      </c>
      <c r="I191" s="114" t="s">
        <v>3570</v>
      </c>
      <c r="J191" s="114" t="s">
        <v>84</v>
      </c>
      <c r="K191" s="115">
        <v>1</v>
      </c>
      <c r="L191" s="116">
        <v>44898.21</v>
      </c>
      <c r="M191" s="116">
        <f>K191*L191</f>
        <v>44898.21</v>
      </c>
      <c r="N191" s="116">
        <v>0.2223</v>
      </c>
      <c r="O191" s="116">
        <f>P191-M191</f>
        <v>6859.5674999999974</v>
      </c>
      <c r="P191" s="116">
        <v>51757.777499999997</v>
      </c>
      <c r="Q191" s="116">
        <f>G191*P191</f>
        <v>51757.777499999997</v>
      </c>
      <c r="R191" s="114" t="s">
        <v>2332</v>
      </c>
      <c r="S191" s="108" t="s">
        <v>3676</v>
      </c>
      <c r="T191" s="108" t="s">
        <v>3572</v>
      </c>
    </row>
    <row r="192" spans="1:20" ht="38.25" x14ac:dyDescent="0.2">
      <c r="A192" s="114" t="s">
        <v>3675</v>
      </c>
      <c r="B192" s="114" t="s">
        <v>1944</v>
      </c>
      <c r="C192" s="114" t="s">
        <v>1945</v>
      </c>
      <c r="D192" s="114" t="s">
        <v>24</v>
      </c>
      <c r="E192" s="114" t="s">
        <v>894</v>
      </c>
      <c r="F192" s="114" t="s">
        <v>84</v>
      </c>
      <c r="G192" s="115">
        <v>1</v>
      </c>
      <c r="H192" s="114">
        <v>2</v>
      </c>
      <c r="I192" s="114" t="s">
        <v>3573</v>
      </c>
      <c r="J192" s="114" t="s">
        <v>1283</v>
      </c>
      <c r="K192" s="115">
        <v>0.2223</v>
      </c>
      <c r="L192" s="116">
        <v>44898.21</v>
      </c>
      <c r="M192" s="116">
        <v>0</v>
      </c>
      <c r="N192" s="116">
        <v>0.2223</v>
      </c>
      <c r="O192" s="116">
        <f>O191</f>
        <v>6859.5674999999974</v>
      </c>
      <c r="P192" s="116"/>
      <c r="Q192" s="116"/>
      <c r="R192" s="114" t="s">
        <v>3574</v>
      </c>
      <c r="S192" s="108" t="s">
        <v>3575</v>
      </c>
      <c r="T192" s="108" t="s">
        <v>3576</v>
      </c>
    </row>
    <row r="193" spans="1:20" ht="38.25" x14ac:dyDescent="0.2">
      <c r="A193" s="114" t="s">
        <v>3675</v>
      </c>
      <c r="B193" s="114" t="s">
        <v>1944</v>
      </c>
      <c r="C193" s="114" t="s">
        <v>1945</v>
      </c>
      <c r="D193" s="114" t="s">
        <v>24</v>
      </c>
      <c r="E193" s="114" t="s">
        <v>894</v>
      </c>
      <c r="F193" s="114" t="s">
        <v>84</v>
      </c>
      <c r="G193" s="115">
        <v>1</v>
      </c>
      <c r="H193" s="114">
        <v>3</v>
      </c>
      <c r="I193" s="114" t="s">
        <v>3577</v>
      </c>
      <c r="J193" s="114"/>
      <c r="K193" s="115"/>
      <c r="L193" s="116"/>
      <c r="M193" s="116"/>
      <c r="N193" s="116"/>
      <c r="O193" s="116"/>
      <c r="P193" s="116"/>
      <c r="Q193" s="116"/>
      <c r="R193" s="114" t="s">
        <v>3578</v>
      </c>
      <c r="S193" s="108" t="s">
        <v>3579</v>
      </c>
      <c r="T193" s="108" t="s">
        <v>3580</v>
      </c>
    </row>
    <row r="194" spans="1:20" ht="38.25" x14ac:dyDescent="0.2">
      <c r="A194" s="114" t="s">
        <v>3675</v>
      </c>
      <c r="B194" s="114" t="s">
        <v>1944</v>
      </c>
      <c r="C194" s="114" t="s">
        <v>1945</v>
      </c>
      <c r="D194" s="114" t="s">
        <v>24</v>
      </c>
      <c r="E194" s="114" t="s">
        <v>894</v>
      </c>
      <c r="F194" s="114" t="s">
        <v>84</v>
      </c>
      <c r="G194" s="115">
        <v>1</v>
      </c>
      <c r="H194" s="114">
        <v>4</v>
      </c>
      <c r="I194" s="114" t="s">
        <v>3581</v>
      </c>
      <c r="J194" s="114"/>
      <c r="K194" s="115"/>
      <c r="L194" s="116"/>
      <c r="M194" s="116"/>
      <c r="N194" s="116"/>
      <c r="O194" s="116"/>
      <c r="P194" s="116"/>
      <c r="Q194" s="116"/>
      <c r="R194" s="114" t="s">
        <v>3578</v>
      </c>
      <c r="S194" s="108" t="s">
        <v>3579</v>
      </c>
      <c r="T194" s="108" t="s">
        <v>3580</v>
      </c>
    </row>
    <row r="195" spans="1:20" ht="51" x14ac:dyDescent="0.2">
      <c r="A195" s="114" t="s">
        <v>3677</v>
      </c>
      <c r="B195" s="114" t="s">
        <v>332</v>
      </c>
      <c r="C195" s="114" t="s">
        <v>1458</v>
      </c>
      <c r="D195" s="114" t="s">
        <v>56</v>
      </c>
      <c r="E195" s="114" t="s">
        <v>333</v>
      </c>
      <c r="F195" s="114" t="s">
        <v>26</v>
      </c>
      <c r="G195" s="115">
        <v>682.82500000000005</v>
      </c>
      <c r="H195" s="114">
        <v>1</v>
      </c>
      <c r="I195" s="114" t="s">
        <v>3570</v>
      </c>
      <c r="J195" s="114" t="s">
        <v>26</v>
      </c>
      <c r="K195" s="115">
        <v>1</v>
      </c>
      <c r="L195" s="116">
        <v>60.12</v>
      </c>
      <c r="M195" s="116">
        <f>K195*L195</f>
        <v>60.12</v>
      </c>
      <c r="N195" s="116">
        <v>0.2223</v>
      </c>
      <c r="O195" s="116">
        <f>P195-M195</f>
        <v>13.357499999999995</v>
      </c>
      <c r="P195" s="116">
        <v>73.477499999999992</v>
      </c>
      <c r="Q195" s="116">
        <f>G195*P195</f>
        <v>50172.273937499995</v>
      </c>
      <c r="R195" s="114" t="s">
        <v>2349</v>
      </c>
      <c r="S195" s="108" t="s">
        <v>3678</v>
      </c>
      <c r="T195" s="108" t="s">
        <v>3572</v>
      </c>
    </row>
    <row r="196" spans="1:20" ht="51" x14ac:dyDescent="0.2">
      <c r="A196" s="114" t="s">
        <v>3677</v>
      </c>
      <c r="B196" s="114" t="s">
        <v>332</v>
      </c>
      <c r="C196" s="114" t="s">
        <v>1458</v>
      </c>
      <c r="D196" s="114" t="s">
        <v>56</v>
      </c>
      <c r="E196" s="114" t="s">
        <v>333</v>
      </c>
      <c r="F196" s="114" t="s">
        <v>26</v>
      </c>
      <c r="G196" s="115">
        <v>682.82500000000005</v>
      </c>
      <c r="H196" s="114">
        <v>2</v>
      </c>
      <c r="I196" s="114" t="s">
        <v>3573</v>
      </c>
      <c r="J196" s="114" t="s">
        <v>1283</v>
      </c>
      <c r="K196" s="115">
        <v>0.2223</v>
      </c>
      <c r="L196" s="116">
        <v>60.12</v>
      </c>
      <c r="M196" s="116">
        <v>0</v>
      </c>
      <c r="N196" s="116">
        <v>0.2223</v>
      </c>
      <c r="O196" s="116">
        <f>O195</f>
        <v>13.357499999999995</v>
      </c>
      <c r="P196" s="116"/>
      <c r="Q196" s="116"/>
      <c r="R196" s="114" t="s">
        <v>3574</v>
      </c>
      <c r="S196" s="108" t="s">
        <v>3575</v>
      </c>
      <c r="T196" s="108" t="s">
        <v>3576</v>
      </c>
    </row>
    <row r="197" spans="1:20" ht="51" x14ac:dyDescent="0.2">
      <c r="A197" s="114" t="s">
        <v>3677</v>
      </c>
      <c r="B197" s="114" t="s">
        <v>332</v>
      </c>
      <c r="C197" s="114" t="s">
        <v>1458</v>
      </c>
      <c r="D197" s="114" t="s">
        <v>56</v>
      </c>
      <c r="E197" s="114" t="s">
        <v>333</v>
      </c>
      <c r="F197" s="114" t="s">
        <v>26</v>
      </c>
      <c r="G197" s="115">
        <v>682.82500000000005</v>
      </c>
      <c r="H197" s="114">
        <v>3</v>
      </c>
      <c r="I197" s="114" t="s">
        <v>3577</v>
      </c>
      <c r="J197" s="114"/>
      <c r="K197" s="115"/>
      <c r="L197" s="116"/>
      <c r="M197" s="116"/>
      <c r="N197" s="116"/>
      <c r="O197" s="116"/>
      <c r="P197" s="116"/>
      <c r="Q197" s="116"/>
      <c r="R197" s="114" t="s">
        <v>3578</v>
      </c>
      <c r="S197" s="108" t="s">
        <v>3579</v>
      </c>
      <c r="T197" s="108" t="s">
        <v>3580</v>
      </c>
    </row>
    <row r="198" spans="1:20" ht="51" x14ac:dyDescent="0.2">
      <c r="A198" s="114" t="s">
        <v>3677</v>
      </c>
      <c r="B198" s="114" t="s">
        <v>332</v>
      </c>
      <c r="C198" s="114" t="s">
        <v>1458</v>
      </c>
      <c r="D198" s="114" t="s">
        <v>56</v>
      </c>
      <c r="E198" s="114" t="s">
        <v>333</v>
      </c>
      <c r="F198" s="114" t="s">
        <v>26</v>
      </c>
      <c r="G198" s="115">
        <v>682.82500000000005</v>
      </c>
      <c r="H198" s="114">
        <v>4</v>
      </c>
      <c r="I198" s="114" t="s">
        <v>3581</v>
      </c>
      <c r="J198" s="114"/>
      <c r="K198" s="115"/>
      <c r="L198" s="116"/>
      <c r="M198" s="116"/>
      <c r="N198" s="116"/>
      <c r="O198" s="116"/>
      <c r="P198" s="116"/>
      <c r="Q198" s="116"/>
      <c r="R198" s="114" t="s">
        <v>3578</v>
      </c>
      <c r="S198" s="108" t="s">
        <v>3579</v>
      </c>
      <c r="T198" s="108" t="s">
        <v>3580</v>
      </c>
    </row>
    <row r="199" spans="1:20" ht="38.25" x14ac:dyDescent="0.2">
      <c r="A199" s="114" t="s">
        <v>3679</v>
      </c>
      <c r="B199" s="114" t="s">
        <v>418</v>
      </c>
      <c r="C199" s="114" t="s">
        <v>1498</v>
      </c>
      <c r="D199" s="114" t="s">
        <v>56</v>
      </c>
      <c r="E199" s="114" t="s">
        <v>419</v>
      </c>
      <c r="F199" s="114" t="s">
        <v>26</v>
      </c>
      <c r="G199" s="115">
        <v>2257.8420000000001</v>
      </c>
      <c r="H199" s="114">
        <v>1</v>
      </c>
      <c r="I199" s="114" t="s">
        <v>3570</v>
      </c>
      <c r="J199" s="114" t="s">
        <v>26</v>
      </c>
      <c r="K199" s="115">
        <v>1</v>
      </c>
      <c r="L199" s="116">
        <v>18.037500000000001</v>
      </c>
      <c r="M199" s="116">
        <f>K199*L199</f>
        <v>18.037500000000001</v>
      </c>
      <c r="N199" s="116">
        <v>0.2223</v>
      </c>
      <c r="O199" s="116">
        <f>P199-M199</f>
        <v>4.004999999999999</v>
      </c>
      <c r="P199" s="116">
        <v>22.0425</v>
      </c>
      <c r="Q199" s="116">
        <f>G199*P199</f>
        <v>49768.482285000006</v>
      </c>
      <c r="R199" s="114" t="s">
        <v>2349</v>
      </c>
      <c r="S199" s="108" t="s">
        <v>3680</v>
      </c>
      <c r="T199" s="108" t="s">
        <v>3572</v>
      </c>
    </row>
    <row r="200" spans="1:20" ht="38.25" x14ac:dyDescent="0.2">
      <c r="A200" s="114" t="s">
        <v>3679</v>
      </c>
      <c r="B200" s="114" t="s">
        <v>418</v>
      </c>
      <c r="C200" s="114" t="s">
        <v>1498</v>
      </c>
      <c r="D200" s="114" t="s">
        <v>56</v>
      </c>
      <c r="E200" s="114" t="s">
        <v>419</v>
      </c>
      <c r="F200" s="114" t="s">
        <v>26</v>
      </c>
      <c r="G200" s="115">
        <v>2257.8420000000001</v>
      </c>
      <c r="H200" s="114">
        <v>2</v>
      </c>
      <c r="I200" s="114" t="s">
        <v>3573</v>
      </c>
      <c r="J200" s="114" t="s">
        <v>1283</v>
      </c>
      <c r="K200" s="115">
        <v>0.2223</v>
      </c>
      <c r="L200" s="116">
        <v>18.037500000000001</v>
      </c>
      <c r="M200" s="116">
        <v>0</v>
      </c>
      <c r="N200" s="116">
        <v>0.2223</v>
      </c>
      <c r="O200" s="116">
        <f>O199</f>
        <v>4.004999999999999</v>
      </c>
      <c r="P200" s="116"/>
      <c r="Q200" s="116"/>
      <c r="R200" s="114" t="s">
        <v>3574</v>
      </c>
      <c r="S200" s="108" t="s">
        <v>3575</v>
      </c>
      <c r="T200" s="108" t="s">
        <v>3576</v>
      </c>
    </row>
    <row r="201" spans="1:20" ht="38.25" x14ac:dyDescent="0.2">
      <c r="A201" s="114" t="s">
        <v>3679</v>
      </c>
      <c r="B201" s="114" t="s">
        <v>418</v>
      </c>
      <c r="C201" s="114" t="s">
        <v>1498</v>
      </c>
      <c r="D201" s="114" t="s">
        <v>56</v>
      </c>
      <c r="E201" s="114" t="s">
        <v>419</v>
      </c>
      <c r="F201" s="114" t="s">
        <v>26</v>
      </c>
      <c r="G201" s="115">
        <v>2257.8420000000001</v>
      </c>
      <c r="H201" s="114">
        <v>3</v>
      </c>
      <c r="I201" s="114" t="s">
        <v>3577</v>
      </c>
      <c r="J201" s="114"/>
      <c r="K201" s="115"/>
      <c r="L201" s="116"/>
      <c r="M201" s="116"/>
      <c r="N201" s="116"/>
      <c r="O201" s="116"/>
      <c r="P201" s="116"/>
      <c r="Q201" s="116"/>
      <c r="R201" s="114" t="s">
        <v>3578</v>
      </c>
      <c r="S201" s="108" t="s">
        <v>3579</v>
      </c>
      <c r="T201" s="108" t="s">
        <v>3580</v>
      </c>
    </row>
    <row r="202" spans="1:20" ht="38.25" x14ac:dyDescent="0.2">
      <c r="A202" s="114" t="s">
        <v>3679</v>
      </c>
      <c r="B202" s="114" t="s">
        <v>418</v>
      </c>
      <c r="C202" s="114" t="s">
        <v>1498</v>
      </c>
      <c r="D202" s="114" t="s">
        <v>56</v>
      </c>
      <c r="E202" s="114" t="s">
        <v>419</v>
      </c>
      <c r="F202" s="114" t="s">
        <v>26</v>
      </c>
      <c r="G202" s="115">
        <v>2257.8420000000001</v>
      </c>
      <c r="H202" s="114">
        <v>4</v>
      </c>
      <c r="I202" s="114" t="s">
        <v>3581</v>
      </c>
      <c r="J202" s="114"/>
      <c r="K202" s="115"/>
      <c r="L202" s="116"/>
      <c r="M202" s="116"/>
      <c r="N202" s="116"/>
      <c r="O202" s="116"/>
      <c r="P202" s="116"/>
      <c r="Q202" s="116"/>
      <c r="R202" s="114" t="s">
        <v>3578</v>
      </c>
      <c r="S202" s="108" t="s">
        <v>3579</v>
      </c>
      <c r="T202" s="108" t="s">
        <v>3580</v>
      </c>
    </row>
    <row r="203" spans="1:20" ht="38.25" x14ac:dyDescent="0.2">
      <c r="A203" s="114" t="s">
        <v>3681</v>
      </c>
      <c r="B203" s="114" t="s">
        <v>319</v>
      </c>
      <c r="C203" s="114" t="s">
        <v>1453</v>
      </c>
      <c r="D203" s="114" t="s">
        <v>56</v>
      </c>
      <c r="E203" s="114" t="s">
        <v>320</v>
      </c>
      <c r="F203" s="114" t="s">
        <v>26</v>
      </c>
      <c r="G203" s="115">
        <v>48.411000000000001</v>
      </c>
      <c r="H203" s="114">
        <v>1</v>
      </c>
      <c r="I203" s="114" t="s">
        <v>3570</v>
      </c>
      <c r="J203" s="114" t="s">
        <v>26</v>
      </c>
      <c r="K203" s="115">
        <v>1</v>
      </c>
      <c r="L203" s="116">
        <v>805.41750000000002</v>
      </c>
      <c r="M203" s="116">
        <f>K203*L203</f>
        <v>805.41750000000002</v>
      </c>
      <c r="N203" s="116">
        <v>0.2223</v>
      </c>
      <c r="O203" s="116">
        <f>P203-M203</f>
        <v>179.03999999999996</v>
      </c>
      <c r="P203" s="116">
        <v>984.45749999999998</v>
      </c>
      <c r="Q203" s="116">
        <f>G203*P203</f>
        <v>47658.5720325</v>
      </c>
      <c r="R203" s="114" t="s">
        <v>2349</v>
      </c>
      <c r="S203" s="108" t="s">
        <v>3682</v>
      </c>
      <c r="T203" s="108" t="s">
        <v>3572</v>
      </c>
    </row>
    <row r="204" spans="1:20" ht="38.25" x14ac:dyDescent="0.2">
      <c r="A204" s="114" t="s">
        <v>3681</v>
      </c>
      <c r="B204" s="114" t="s">
        <v>319</v>
      </c>
      <c r="C204" s="114" t="s">
        <v>1453</v>
      </c>
      <c r="D204" s="114" t="s">
        <v>56</v>
      </c>
      <c r="E204" s="114" t="s">
        <v>320</v>
      </c>
      <c r="F204" s="114" t="s">
        <v>26</v>
      </c>
      <c r="G204" s="115">
        <v>48.411000000000001</v>
      </c>
      <c r="H204" s="114">
        <v>2</v>
      </c>
      <c r="I204" s="114" t="s">
        <v>3573</v>
      </c>
      <c r="J204" s="114" t="s">
        <v>1283</v>
      </c>
      <c r="K204" s="115">
        <v>0.2223</v>
      </c>
      <c r="L204" s="116">
        <v>805.41750000000002</v>
      </c>
      <c r="M204" s="116">
        <v>0</v>
      </c>
      <c r="N204" s="116">
        <v>0.2223</v>
      </c>
      <c r="O204" s="116">
        <f>O203</f>
        <v>179.03999999999996</v>
      </c>
      <c r="P204" s="116"/>
      <c r="Q204" s="116"/>
      <c r="R204" s="114" t="s">
        <v>3574</v>
      </c>
      <c r="S204" s="108" t="s">
        <v>3575</v>
      </c>
      <c r="T204" s="108" t="s">
        <v>3576</v>
      </c>
    </row>
    <row r="205" spans="1:20" ht="38.25" x14ac:dyDescent="0.2">
      <c r="A205" s="114" t="s">
        <v>3681</v>
      </c>
      <c r="B205" s="114" t="s">
        <v>319</v>
      </c>
      <c r="C205" s="114" t="s">
        <v>1453</v>
      </c>
      <c r="D205" s="114" t="s">
        <v>56</v>
      </c>
      <c r="E205" s="114" t="s">
        <v>320</v>
      </c>
      <c r="F205" s="114" t="s">
        <v>26</v>
      </c>
      <c r="G205" s="115">
        <v>48.411000000000001</v>
      </c>
      <c r="H205" s="114">
        <v>3</v>
      </c>
      <c r="I205" s="114" t="s">
        <v>3577</v>
      </c>
      <c r="J205" s="114"/>
      <c r="K205" s="115"/>
      <c r="L205" s="116"/>
      <c r="M205" s="116"/>
      <c r="N205" s="116"/>
      <c r="O205" s="116"/>
      <c r="P205" s="116"/>
      <c r="Q205" s="116"/>
      <c r="R205" s="114" t="s">
        <v>3578</v>
      </c>
      <c r="S205" s="108" t="s">
        <v>3579</v>
      </c>
      <c r="T205" s="108" t="s">
        <v>3580</v>
      </c>
    </row>
    <row r="206" spans="1:20" ht="38.25" x14ac:dyDescent="0.2">
      <c r="A206" s="114" t="s">
        <v>3681</v>
      </c>
      <c r="B206" s="114" t="s">
        <v>319</v>
      </c>
      <c r="C206" s="114" t="s">
        <v>1453</v>
      </c>
      <c r="D206" s="114" t="s">
        <v>56</v>
      </c>
      <c r="E206" s="114" t="s">
        <v>320</v>
      </c>
      <c r="F206" s="114" t="s">
        <v>26</v>
      </c>
      <c r="G206" s="115">
        <v>48.411000000000001</v>
      </c>
      <c r="H206" s="114">
        <v>4</v>
      </c>
      <c r="I206" s="114" t="s">
        <v>3581</v>
      </c>
      <c r="J206" s="114"/>
      <c r="K206" s="115"/>
      <c r="L206" s="116"/>
      <c r="M206" s="116"/>
      <c r="N206" s="116"/>
      <c r="O206" s="116"/>
      <c r="P206" s="116"/>
      <c r="Q206" s="116"/>
      <c r="R206" s="114" t="s">
        <v>3578</v>
      </c>
      <c r="S206" s="108" t="s">
        <v>3579</v>
      </c>
      <c r="T206" s="108" t="s">
        <v>3580</v>
      </c>
    </row>
    <row r="207" spans="1:20" ht="63.75" x14ac:dyDescent="0.2">
      <c r="A207" s="114" t="s">
        <v>3683</v>
      </c>
      <c r="B207" s="114" t="s">
        <v>364</v>
      </c>
      <c r="C207" s="114" t="s">
        <v>1469</v>
      </c>
      <c r="D207" s="114" t="s">
        <v>56</v>
      </c>
      <c r="E207" s="114" t="s">
        <v>365</v>
      </c>
      <c r="F207" s="114" t="s">
        <v>26</v>
      </c>
      <c r="G207" s="115">
        <v>1131.93</v>
      </c>
      <c r="H207" s="114">
        <v>1</v>
      </c>
      <c r="I207" s="114" t="s">
        <v>3570</v>
      </c>
      <c r="J207" s="114" t="s">
        <v>26</v>
      </c>
      <c r="K207" s="115">
        <v>1</v>
      </c>
      <c r="L207" s="116">
        <v>34.072499999999998</v>
      </c>
      <c r="M207" s="116">
        <f>K207*L207</f>
        <v>34.072499999999998</v>
      </c>
      <c r="N207" s="116">
        <v>0.2223</v>
      </c>
      <c r="O207" s="116">
        <f>P207-M207</f>
        <v>7.5675000000000026</v>
      </c>
      <c r="P207" s="116">
        <v>41.64</v>
      </c>
      <c r="Q207" s="116">
        <f>G207*P207</f>
        <v>47133.565200000005</v>
      </c>
      <c r="R207" s="114" t="s">
        <v>2349</v>
      </c>
      <c r="S207" s="108" t="s">
        <v>3684</v>
      </c>
      <c r="T207" s="108" t="s">
        <v>3572</v>
      </c>
    </row>
    <row r="208" spans="1:20" ht="63.75" x14ac:dyDescent="0.2">
      <c r="A208" s="114" t="s">
        <v>3683</v>
      </c>
      <c r="B208" s="114" t="s">
        <v>364</v>
      </c>
      <c r="C208" s="114" t="s">
        <v>1469</v>
      </c>
      <c r="D208" s="114" t="s">
        <v>56</v>
      </c>
      <c r="E208" s="114" t="s">
        <v>365</v>
      </c>
      <c r="F208" s="114" t="s">
        <v>26</v>
      </c>
      <c r="G208" s="115">
        <v>1131.93</v>
      </c>
      <c r="H208" s="114">
        <v>2</v>
      </c>
      <c r="I208" s="114" t="s">
        <v>3573</v>
      </c>
      <c r="J208" s="114" t="s">
        <v>1283</v>
      </c>
      <c r="K208" s="115">
        <v>0.2223</v>
      </c>
      <c r="L208" s="116">
        <v>34.072499999999998</v>
      </c>
      <c r="M208" s="116">
        <v>0</v>
      </c>
      <c r="N208" s="116">
        <v>0.2223</v>
      </c>
      <c r="O208" s="116">
        <f>O207</f>
        <v>7.5675000000000026</v>
      </c>
      <c r="P208" s="116"/>
      <c r="Q208" s="116"/>
      <c r="R208" s="114" t="s">
        <v>3574</v>
      </c>
      <c r="S208" s="108" t="s">
        <v>3575</v>
      </c>
      <c r="T208" s="108" t="s">
        <v>3576</v>
      </c>
    </row>
    <row r="209" spans="1:20" ht="63.75" x14ac:dyDescent="0.2">
      <c r="A209" s="114" t="s">
        <v>3683</v>
      </c>
      <c r="B209" s="114" t="s">
        <v>364</v>
      </c>
      <c r="C209" s="114" t="s">
        <v>1469</v>
      </c>
      <c r="D209" s="114" t="s">
        <v>56</v>
      </c>
      <c r="E209" s="114" t="s">
        <v>365</v>
      </c>
      <c r="F209" s="114" t="s">
        <v>26</v>
      </c>
      <c r="G209" s="115">
        <v>1131.93</v>
      </c>
      <c r="H209" s="114">
        <v>3</v>
      </c>
      <c r="I209" s="114" t="s">
        <v>3577</v>
      </c>
      <c r="J209" s="114"/>
      <c r="K209" s="115"/>
      <c r="L209" s="116"/>
      <c r="M209" s="116"/>
      <c r="N209" s="116"/>
      <c r="O209" s="116"/>
      <c r="P209" s="116"/>
      <c r="Q209" s="116"/>
      <c r="R209" s="114" t="s">
        <v>3578</v>
      </c>
      <c r="S209" s="108" t="s">
        <v>3579</v>
      </c>
      <c r="T209" s="108" t="s">
        <v>3580</v>
      </c>
    </row>
    <row r="210" spans="1:20" ht="63.75" x14ac:dyDescent="0.2">
      <c r="A210" s="114" t="s">
        <v>3683</v>
      </c>
      <c r="B210" s="114" t="s">
        <v>364</v>
      </c>
      <c r="C210" s="114" t="s">
        <v>1469</v>
      </c>
      <c r="D210" s="114" t="s">
        <v>56</v>
      </c>
      <c r="E210" s="114" t="s">
        <v>365</v>
      </c>
      <c r="F210" s="114" t="s">
        <v>26</v>
      </c>
      <c r="G210" s="115">
        <v>1131.93</v>
      </c>
      <c r="H210" s="114">
        <v>4</v>
      </c>
      <c r="I210" s="114" t="s">
        <v>3581</v>
      </c>
      <c r="J210" s="114"/>
      <c r="K210" s="115"/>
      <c r="L210" s="116"/>
      <c r="M210" s="116"/>
      <c r="N210" s="116"/>
      <c r="O210" s="116"/>
      <c r="P210" s="116"/>
      <c r="Q210" s="116"/>
      <c r="R210" s="114" t="s">
        <v>3578</v>
      </c>
      <c r="S210" s="108" t="s">
        <v>3579</v>
      </c>
      <c r="T210" s="108" t="s">
        <v>3580</v>
      </c>
    </row>
    <row r="211" spans="1:20" ht="38.25" x14ac:dyDescent="0.2">
      <c r="A211" s="114" t="s">
        <v>3685</v>
      </c>
      <c r="B211" s="114" t="s">
        <v>351</v>
      </c>
      <c r="C211" s="114" t="s">
        <v>1463</v>
      </c>
      <c r="D211" s="114" t="s">
        <v>209</v>
      </c>
      <c r="E211" s="114" t="s">
        <v>1464</v>
      </c>
      <c r="F211" s="114" t="s">
        <v>26</v>
      </c>
      <c r="G211" s="115">
        <v>136.19300000000001</v>
      </c>
      <c r="H211" s="114">
        <v>1</v>
      </c>
      <c r="I211" s="114" t="s">
        <v>3570</v>
      </c>
      <c r="J211" s="114" t="s">
        <v>26</v>
      </c>
      <c r="K211" s="115">
        <v>1</v>
      </c>
      <c r="L211" s="116">
        <v>281.80500000000001</v>
      </c>
      <c r="M211" s="116">
        <f>K211*L211</f>
        <v>281.80500000000001</v>
      </c>
      <c r="N211" s="116">
        <v>0.2223</v>
      </c>
      <c r="O211" s="116">
        <f>P211-M211</f>
        <v>62.639999999999986</v>
      </c>
      <c r="P211" s="116">
        <v>344.44499999999999</v>
      </c>
      <c r="Q211" s="116">
        <f>G211*P211</f>
        <v>46910.997885000004</v>
      </c>
      <c r="R211" s="114" t="s">
        <v>3583</v>
      </c>
      <c r="S211" s="108" t="s">
        <v>3686</v>
      </c>
      <c r="T211" s="108" t="s">
        <v>3572</v>
      </c>
    </row>
    <row r="212" spans="1:20" ht="38.25" x14ac:dyDescent="0.2">
      <c r="A212" s="114" t="s">
        <v>3685</v>
      </c>
      <c r="B212" s="114" t="s">
        <v>351</v>
      </c>
      <c r="C212" s="114" t="s">
        <v>1463</v>
      </c>
      <c r="D212" s="114" t="s">
        <v>209</v>
      </c>
      <c r="E212" s="114" t="s">
        <v>1464</v>
      </c>
      <c r="F212" s="114" t="s">
        <v>26</v>
      </c>
      <c r="G212" s="115">
        <v>136.19300000000001</v>
      </c>
      <c r="H212" s="114">
        <v>2</v>
      </c>
      <c r="I212" s="114" t="s">
        <v>3573</v>
      </c>
      <c r="J212" s="114" t="s">
        <v>1283</v>
      </c>
      <c r="K212" s="115">
        <v>0.2223</v>
      </c>
      <c r="L212" s="116">
        <v>281.80500000000001</v>
      </c>
      <c r="M212" s="116">
        <v>0</v>
      </c>
      <c r="N212" s="116">
        <v>0.2223</v>
      </c>
      <c r="O212" s="116">
        <f>O211</f>
        <v>62.639999999999986</v>
      </c>
      <c r="P212" s="116"/>
      <c r="Q212" s="116"/>
      <c r="R212" s="114" t="s">
        <v>3574</v>
      </c>
      <c r="S212" s="108" t="s">
        <v>3575</v>
      </c>
      <c r="T212" s="108" t="s">
        <v>3576</v>
      </c>
    </row>
    <row r="213" spans="1:20" ht="38.25" x14ac:dyDescent="0.2">
      <c r="A213" s="114" t="s">
        <v>3685</v>
      </c>
      <c r="B213" s="114" t="s">
        <v>351</v>
      </c>
      <c r="C213" s="114" t="s">
        <v>1463</v>
      </c>
      <c r="D213" s="114" t="s">
        <v>209</v>
      </c>
      <c r="E213" s="114" t="s">
        <v>1464</v>
      </c>
      <c r="F213" s="114" t="s">
        <v>26</v>
      </c>
      <c r="G213" s="115">
        <v>136.19300000000001</v>
      </c>
      <c r="H213" s="114">
        <v>3</v>
      </c>
      <c r="I213" s="114" t="s">
        <v>3577</v>
      </c>
      <c r="J213" s="114"/>
      <c r="K213" s="115"/>
      <c r="L213" s="116"/>
      <c r="M213" s="116"/>
      <c r="N213" s="116"/>
      <c r="O213" s="116"/>
      <c r="P213" s="116"/>
      <c r="Q213" s="116"/>
      <c r="R213" s="114" t="s">
        <v>3578</v>
      </c>
      <c r="S213" s="108" t="s">
        <v>3579</v>
      </c>
      <c r="T213" s="108" t="s">
        <v>3580</v>
      </c>
    </row>
    <row r="214" spans="1:20" ht="38.25" x14ac:dyDescent="0.2">
      <c r="A214" s="114" t="s">
        <v>3685</v>
      </c>
      <c r="B214" s="114" t="s">
        <v>351</v>
      </c>
      <c r="C214" s="114" t="s">
        <v>1463</v>
      </c>
      <c r="D214" s="114" t="s">
        <v>209</v>
      </c>
      <c r="E214" s="114" t="s">
        <v>1464</v>
      </c>
      <c r="F214" s="114" t="s">
        <v>26</v>
      </c>
      <c r="G214" s="115">
        <v>136.19300000000001</v>
      </c>
      <c r="H214" s="114">
        <v>4</v>
      </c>
      <c r="I214" s="114" t="s">
        <v>3581</v>
      </c>
      <c r="J214" s="114"/>
      <c r="K214" s="115"/>
      <c r="L214" s="116"/>
      <c r="M214" s="116"/>
      <c r="N214" s="116"/>
      <c r="O214" s="116"/>
      <c r="P214" s="116"/>
      <c r="Q214" s="116"/>
      <c r="R214" s="114" t="s">
        <v>3578</v>
      </c>
      <c r="S214" s="108" t="s">
        <v>3579</v>
      </c>
      <c r="T214" s="108" t="s">
        <v>3580</v>
      </c>
    </row>
    <row r="215" spans="1:20" ht="63.75" x14ac:dyDescent="0.2">
      <c r="A215" s="114" t="s">
        <v>3687</v>
      </c>
      <c r="B215" s="114" t="s">
        <v>330</v>
      </c>
      <c r="C215" s="114" t="s">
        <v>1457</v>
      </c>
      <c r="D215" s="114" t="s">
        <v>56</v>
      </c>
      <c r="E215" s="114" t="s">
        <v>331</v>
      </c>
      <c r="F215" s="114" t="s">
        <v>26</v>
      </c>
      <c r="G215" s="115">
        <v>1175.704</v>
      </c>
      <c r="H215" s="114">
        <v>1</v>
      </c>
      <c r="I215" s="114" t="s">
        <v>3570</v>
      </c>
      <c r="J215" s="114" t="s">
        <v>26</v>
      </c>
      <c r="K215" s="115">
        <v>1</v>
      </c>
      <c r="L215" s="116">
        <v>31.807499999999997</v>
      </c>
      <c r="M215" s="116">
        <f>K215*L215</f>
        <v>31.807499999999997</v>
      </c>
      <c r="N215" s="116">
        <v>0.2223</v>
      </c>
      <c r="O215" s="116">
        <f>P215-M215</f>
        <v>7.0650000000000048</v>
      </c>
      <c r="P215" s="116">
        <v>38.872500000000002</v>
      </c>
      <c r="Q215" s="116">
        <f>G215*P215</f>
        <v>45702.553740000003</v>
      </c>
      <c r="R215" s="114" t="s">
        <v>2349</v>
      </c>
      <c r="S215" s="108" t="s">
        <v>3688</v>
      </c>
      <c r="T215" s="108" t="s">
        <v>3572</v>
      </c>
    </row>
    <row r="216" spans="1:20" ht="63.75" x14ac:dyDescent="0.2">
      <c r="A216" s="114" t="s">
        <v>3687</v>
      </c>
      <c r="B216" s="114" t="s">
        <v>330</v>
      </c>
      <c r="C216" s="114" t="s">
        <v>1457</v>
      </c>
      <c r="D216" s="114" t="s">
        <v>56</v>
      </c>
      <c r="E216" s="114" t="s">
        <v>331</v>
      </c>
      <c r="F216" s="114" t="s">
        <v>26</v>
      </c>
      <c r="G216" s="115">
        <v>1175.704</v>
      </c>
      <c r="H216" s="114">
        <v>2</v>
      </c>
      <c r="I216" s="114" t="s">
        <v>3573</v>
      </c>
      <c r="J216" s="114" t="s">
        <v>1283</v>
      </c>
      <c r="K216" s="115">
        <v>0.2223</v>
      </c>
      <c r="L216" s="116">
        <v>31.807499999999997</v>
      </c>
      <c r="M216" s="116">
        <v>0</v>
      </c>
      <c r="N216" s="116">
        <v>0.2223</v>
      </c>
      <c r="O216" s="116">
        <f>O215</f>
        <v>7.0650000000000048</v>
      </c>
      <c r="P216" s="116"/>
      <c r="Q216" s="116"/>
      <c r="R216" s="114" t="s">
        <v>3574</v>
      </c>
      <c r="S216" s="108" t="s">
        <v>3575</v>
      </c>
      <c r="T216" s="108" t="s">
        <v>3576</v>
      </c>
    </row>
    <row r="217" spans="1:20" ht="63.75" x14ac:dyDescent="0.2">
      <c r="A217" s="114" t="s">
        <v>3687</v>
      </c>
      <c r="B217" s="114" t="s">
        <v>330</v>
      </c>
      <c r="C217" s="114" t="s">
        <v>1457</v>
      </c>
      <c r="D217" s="114" t="s">
        <v>56</v>
      </c>
      <c r="E217" s="114" t="s">
        <v>331</v>
      </c>
      <c r="F217" s="114" t="s">
        <v>26</v>
      </c>
      <c r="G217" s="115">
        <v>1175.704</v>
      </c>
      <c r="H217" s="114">
        <v>3</v>
      </c>
      <c r="I217" s="114" t="s">
        <v>3577</v>
      </c>
      <c r="J217" s="114"/>
      <c r="K217" s="115"/>
      <c r="L217" s="116"/>
      <c r="M217" s="116"/>
      <c r="N217" s="116"/>
      <c r="O217" s="116"/>
      <c r="P217" s="116"/>
      <c r="Q217" s="116"/>
      <c r="R217" s="114" t="s">
        <v>3578</v>
      </c>
      <c r="S217" s="108" t="s">
        <v>3579</v>
      </c>
      <c r="T217" s="108" t="s">
        <v>3580</v>
      </c>
    </row>
    <row r="218" spans="1:20" ht="63.75" x14ac:dyDescent="0.2">
      <c r="A218" s="114" t="s">
        <v>3687</v>
      </c>
      <c r="B218" s="114" t="s">
        <v>330</v>
      </c>
      <c r="C218" s="114" t="s">
        <v>1457</v>
      </c>
      <c r="D218" s="114" t="s">
        <v>56</v>
      </c>
      <c r="E218" s="114" t="s">
        <v>331</v>
      </c>
      <c r="F218" s="114" t="s">
        <v>26</v>
      </c>
      <c r="G218" s="115">
        <v>1175.704</v>
      </c>
      <c r="H218" s="114">
        <v>4</v>
      </c>
      <c r="I218" s="114" t="s">
        <v>3581</v>
      </c>
      <c r="J218" s="114"/>
      <c r="K218" s="115"/>
      <c r="L218" s="116"/>
      <c r="M218" s="116"/>
      <c r="N218" s="116"/>
      <c r="O218" s="116"/>
      <c r="P218" s="116"/>
      <c r="Q218" s="116"/>
      <c r="R218" s="114" t="s">
        <v>3578</v>
      </c>
      <c r="S218" s="108" t="s">
        <v>3579</v>
      </c>
      <c r="T218" s="108" t="s">
        <v>3580</v>
      </c>
    </row>
    <row r="219" spans="1:20" ht="51" x14ac:dyDescent="0.2">
      <c r="A219" s="114" t="s">
        <v>3689</v>
      </c>
      <c r="B219" s="114" t="s">
        <v>279</v>
      </c>
      <c r="C219" s="114" t="s">
        <v>1399</v>
      </c>
      <c r="D219" s="114" t="s">
        <v>56</v>
      </c>
      <c r="E219" s="114" t="s">
        <v>214</v>
      </c>
      <c r="F219" s="114" t="s">
        <v>26</v>
      </c>
      <c r="G219" s="115">
        <v>326.78399999999999</v>
      </c>
      <c r="H219" s="114">
        <v>1</v>
      </c>
      <c r="I219" s="114" t="s">
        <v>3570</v>
      </c>
      <c r="J219" s="114" t="s">
        <v>26</v>
      </c>
      <c r="K219" s="115">
        <v>1</v>
      </c>
      <c r="L219" s="116">
        <v>113.57250000000001</v>
      </c>
      <c r="M219" s="116">
        <f>K219*L219</f>
        <v>113.57250000000001</v>
      </c>
      <c r="N219" s="116">
        <v>0.2223</v>
      </c>
      <c r="O219" s="116">
        <f>P219-M219</f>
        <v>25.24499999999999</v>
      </c>
      <c r="P219" s="116">
        <v>138.8175</v>
      </c>
      <c r="Q219" s="116">
        <f>G219*P219</f>
        <v>45363.337919999998</v>
      </c>
      <c r="R219" s="114" t="s">
        <v>2349</v>
      </c>
      <c r="S219" s="108" t="s">
        <v>3690</v>
      </c>
      <c r="T219" s="108" t="s">
        <v>3572</v>
      </c>
    </row>
    <row r="220" spans="1:20" ht="51" x14ac:dyDescent="0.2">
      <c r="A220" s="114" t="s">
        <v>3689</v>
      </c>
      <c r="B220" s="114" t="s">
        <v>279</v>
      </c>
      <c r="C220" s="114" t="s">
        <v>1399</v>
      </c>
      <c r="D220" s="114" t="s">
        <v>56</v>
      </c>
      <c r="E220" s="114" t="s">
        <v>214</v>
      </c>
      <c r="F220" s="114" t="s">
        <v>26</v>
      </c>
      <c r="G220" s="115">
        <v>326.78399999999999</v>
      </c>
      <c r="H220" s="114">
        <v>2</v>
      </c>
      <c r="I220" s="114" t="s">
        <v>3573</v>
      </c>
      <c r="J220" s="114" t="s">
        <v>1283</v>
      </c>
      <c r="K220" s="115">
        <v>0.2223</v>
      </c>
      <c r="L220" s="116">
        <v>113.57250000000001</v>
      </c>
      <c r="M220" s="116">
        <v>0</v>
      </c>
      <c r="N220" s="116">
        <v>0.2223</v>
      </c>
      <c r="O220" s="116">
        <f>O219</f>
        <v>25.24499999999999</v>
      </c>
      <c r="P220" s="116"/>
      <c r="Q220" s="116"/>
      <c r="R220" s="114" t="s">
        <v>3574</v>
      </c>
      <c r="S220" s="108" t="s">
        <v>3575</v>
      </c>
      <c r="T220" s="108" t="s">
        <v>3576</v>
      </c>
    </row>
    <row r="221" spans="1:20" ht="51" x14ac:dyDescent="0.2">
      <c r="A221" s="114" t="s">
        <v>3689</v>
      </c>
      <c r="B221" s="114" t="s">
        <v>279</v>
      </c>
      <c r="C221" s="114" t="s">
        <v>1399</v>
      </c>
      <c r="D221" s="114" t="s">
        <v>56</v>
      </c>
      <c r="E221" s="114" t="s">
        <v>214</v>
      </c>
      <c r="F221" s="114" t="s">
        <v>26</v>
      </c>
      <c r="G221" s="115">
        <v>326.78399999999999</v>
      </c>
      <c r="H221" s="114">
        <v>3</v>
      </c>
      <c r="I221" s="114" t="s">
        <v>3577</v>
      </c>
      <c r="J221" s="114"/>
      <c r="K221" s="115"/>
      <c r="L221" s="116"/>
      <c r="M221" s="116"/>
      <c r="N221" s="116"/>
      <c r="O221" s="116"/>
      <c r="P221" s="116"/>
      <c r="Q221" s="116"/>
      <c r="R221" s="114" t="s">
        <v>3578</v>
      </c>
      <c r="S221" s="108" t="s">
        <v>3579</v>
      </c>
      <c r="T221" s="108" t="s">
        <v>3580</v>
      </c>
    </row>
    <row r="222" spans="1:20" ht="51" x14ac:dyDescent="0.2">
      <c r="A222" s="114" t="s">
        <v>3689</v>
      </c>
      <c r="B222" s="114" t="s">
        <v>279</v>
      </c>
      <c r="C222" s="114" t="s">
        <v>1399</v>
      </c>
      <c r="D222" s="114" t="s">
        <v>56</v>
      </c>
      <c r="E222" s="114" t="s">
        <v>214</v>
      </c>
      <c r="F222" s="114" t="s">
        <v>26</v>
      </c>
      <c r="G222" s="115">
        <v>326.78399999999999</v>
      </c>
      <c r="H222" s="114">
        <v>4</v>
      </c>
      <c r="I222" s="114" t="s">
        <v>3581</v>
      </c>
      <c r="J222" s="114"/>
      <c r="K222" s="115"/>
      <c r="L222" s="116"/>
      <c r="M222" s="116"/>
      <c r="N222" s="116"/>
      <c r="O222" s="116"/>
      <c r="P222" s="116"/>
      <c r="Q222" s="116"/>
      <c r="R222" s="114" t="s">
        <v>3578</v>
      </c>
      <c r="S222" s="108" t="s">
        <v>3579</v>
      </c>
      <c r="T222" s="108" t="s">
        <v>3580</v>
      </c>
    </row>
    <row r="223" spans="1:20" ht="51" x14ac:dyDescent="0.2">
      <c r="A223" s="114" t="s">
        <v>3691</v>
      </c>
      <c r="B223" s="114" t="s">
        <v>2063</v>
      </c>
      <c r="C223" s="114" t="s">
        <v>2064</v>
      </c>
      <c r="D223" s="114" t="s">
        <v>56</v>
      </c>
      <c r="E223" s="114" t="s">
        <v>977</v>
      </c>
      <c r="F223" s="114" t="s">
        <v>99</v>
      </c>
      <c r="G223" s="115">
        <v>243.8</v>
      </c>
      <c r="H223" s="114">
        <v>1</v>
      </c>
      <c r="I223" s="114" t="s">
        <v>3570</v>
      </c>
      <c r="J223" s="114" t="s">
        <v>99</v>
      </c>
      <c r="K223" s="115">
        <v>1</v>
      </c>
      <c r="L223" s="116">
        <v>149.16749999999999</v>
      </c>
      <c r="M223" s="116">
        <f>K223*L223</f>
        <v>149.16749999999999</v>
      </c>
      <c r="N223" s="116">
        <v>0.2223</v>
      </c>
      <c r="O223" s="116">
        <f>P223-M223</f>
        <v>33.157499999999999</v>
      </c>
      <c r="P223" s="116">
        <v>182.32499999999999</v>
      </c>
      <c r="Q223" s="116">
        <f>G223*P223</f>
        <v>44450.834999999999</v>
      </c>
      <c r="R223" s="114" t="s">
        <v>2349</v>
      </c>
      <c r="S223" s="108" t="s">
        <v>3692</v>
      </c>
      <c r="T223" s="108" t="s">
        <v>3572</v>
      </c>
    </row>
    <row r="224" spans="1:20" ht="51" x14ac:dyDescent="0.2">
      <c r="A224" s="114" t="s">
        <v>3691</v>
      </c>
      <c r="B224" s="114" t="s">
        <v>2063</v>
      </c>
      <c r="C224" s="114" t="s">
        <v>2064</v>
      </c>
      <c r="D224" s="114" t="s">
        <v>56</v>
      </c>
      <c r="E224" s="114" t="s">
        <v>977</v>
      </c>
      <c r="F224" s="114" t="s">
        <v>99</v>
      </c>
      <c r="G224" s="115">
        <v>243.8</v>
      </c>
      <c r="H224" s="114">
        <v>2</v>
      </c>
      <c r="I224" s="114" t="s">
        <v>3573</v>
      </c>
      <c r="J224" s="114" t="s">
        <v>1283</v>
      </c>
      <c r="K224" s="115">
        <v>0.2223</v>
      </c>
      <c r="L224" s="116">
        <v>149.16749999999999</v>
      </c>
      <c r="M224" s="116">
        <v>0</v>
      </c>
      <c r="N224" s="116">
        <v>0.2223</v>
      </c>
      <c r="O224" s="116">
        <f>O223</f>
        <v>33.157499999999999</v>
      </c>
      <c r="P224" s="116"/>
      <c r="Q224" s="116"/>
      <c r="R224" s="114" t="s">
        <v>3574</v>
      </c>
      <c r="S224" s="108" t="s">
        <v>3575</v>
      </c>
      <c r="T224" s="108" t="s">
        <v>3576</v>
      </c>
    </row>
    <row r="225" spans="1:20" ht="51" x14ac:dyDescent="0.2">
      <c r="A225" s="114" t="s">
        <v>3691</v>
      </c>
      <c r="B225" s="114" t="s">
        <v>2063</v>
      </c>
      <c r="C225" s="114" t="s">
        <v>2064</v>
      </c>
      <c r="D225" s="114" t="s">
        <v>56</v>
      </c>
      <c r="E225" s="114" t="s">
        <v>977</v>
      </c>
      <c r="F225" s="114" t="s">
        <v>99</v>
      </c>
      <c r="G225" s="115">
        <v>243.8</v>
      </c>
      <c r="H225" s="114">
        <v>3</v>
      </c>
      <c r="I225" s="114" t="s">
        <v>3577</v>
      </c>
      <c r="J225" s="114"/>
      <c r="K225" s="115"/>
      <c r="L225" s="116"/>
      <c r="M225" s="116"/>
      <c r="N225" s="116"/>
      <c r="O225" s="116"/>
      <c r="P225" s="116"/>
      <c r="Q225" s="116"/>
      <c r="R225" s="114" t="s">
        <v>3578</v>
      </c>
      <c r="S225" s="108" t="s">
        <v>3579</v>
      </c>
      <c r="T225" s="108" t="s">
        <v>3580</v>
      </c>
    </row>
    <row r="226" spans="1:20" ht="51" x14ac:dyDescent="0.2">
      <c r="A226" s="114" t="s">
        <v>3691</v>
      </c>
      <c r="B226" s="114" t="s">
        <v>2063</v>
      </c>
      <c r="C226" s="114" t="s">
        <v>2064</v>
      </c>
      <c r="D226" s="114" t="s">
        <v>56</v>
      </c>
      <c r="E226" s="114" t="s">
        <v>977</v>
      </c>
      <c r="F226" s="114" t="s">
        <v>99</v>
      </c>
      <c r="G226" s="115">
        <v>243.8</v>
      </c>
      <c r="H226" s="114">
        <v>4</v>
      </c>
      <c r="I226" s="114" t="s">
        <v>3581</v>
      </c>
      <c r="J226" s="114"/>
      <c r="K226" s="115"/>
      <c r="L226" s="116"/>
      <c r="M226" s="116"/>
      <c r="N226" s="116"/>
      <c r="O226" s="116"/>
      <c r="P226" s="116"/>
      <c r="Q226" s="116"/>
      <c r="R226" s="114" t="s">
        <v>3578</v>
      </c>
      <c r="S226" s="108" t="s">
        <v>3579</v>
      </c>
      <c r="T226" s="108" t="s">
        <v>3580</v>
      </c>
    </row>
    <row r="227" spans="1:20" ht="51" x14ac:dyDescent="0.2">
      <c r="A227" s="114" t="s">
        <v>3693</v>
      </c>
      <c r="B227" s="114" t="s">
        <v>2065</v>
      </c>
      <c r="C227" s="114" t="s">
        <v>2066</v>
      </c>
      <c r="D227" s="114" t="s">
        <v>56</v>
      </c>
      <c r="E227" s="114" t="s">
        <v>978</v>
      </c>
      <c r="F227" s="114" t="s">
        <v>99</v>
      </c>
      <c r="G227" s="115">
        <v>178.4</v>
      </c>
      <c r="H227" s="114">
        <v>1</v>
      </c>
      <c r="I227" s="114" t="s">
        <v>3570</v>
      </c>
      <c r="J227" s="114" t="s">
        <v>99</v>
      </c>
      <c r="K227" s="115">
        <v>1</v>
      </c>
      <c r="L227" s="116">
        <v>197.21249999999998</v>
      </c>
      <c r="M227" s="116">
        <f>K227*L227</f>
        <v>197.21249999999998</v>
      </c>
      <c r="N227" s="116">
        <v>0.2223</v>
      </c>
      <c r="O227" s="116">
        <f>P227-M227</f>
        <v>43.837500000000006</v>
      </c>
      <c r="P227" s="116">
        <v>241.04999999999998</v>
      </c>
      <c r="Q227" s="116">
        <f>G227*P227</f>
        <v>43003.32</v>
      </c>
      <c r="R227" s="114" t="s">
        <v>2349</v>
      </c>
      <c r="S227" s="108" t="s">
        <v>3694</v>
      </c>
      <c r="T227" s="108" t="s">
        <v>3572</v>
      </c>
    </row>
    <row r="228" spans="1:20" ht="51" x14ac:dyDescent="0.2">
      <c r="A228" s="114" t="s">
        <v>3693</v>
      </c>
      <c r="B228" s="114" t="s">
        <v>2065</v>
      </c>
      <c r="C228" s="114" t="s">
        <v>2066</v>
      </c>
      <c r="D228" s="114" t="s">
        <v>56</v>
      </c>
      <c r="E228" s="114" t="s">
        <v>978</v>
      </c>
      <c r="F228" s="114" t="s">
        <v>99</v>
      </c>
      <c r="G228" s="115">
        <v>178.4</v>
      </c>
      <c r="H228" s="114">
        <v>2</v>
      </c>
      <c r="I228" s="114" t="s">
        <v>3573</v>
      </c>
      <c r="J228" s="114" t="s">
        <v>1283</v>
      </c>
      <c r="K228" s="115">
        <v>0.2223</v>
      </c>
      <c r="L228" s="116">
        <v>197.21249999999998</v>
      </c>
      <c r="M228" s="116">
        <v>0</v>
      </c>
      <c r="N228" s="116">
        <v>0.2223</v>
      </c>
      <c r="O228" s="116">
        <f>O227</f>
        <v>43.837500000000006</v>
      </c>
      <c r="P228" s="116"/>
      <c r="Q228" s="116"/>
      <c r="R228" s="114" t="s">
        <v>3574</v>
      </c>
      <c r="S228" s="108" t="s">
        <v>3575</v>
      </c>
      <c r="T228" s="108" t="s">
        <v>3576</v>
      </c>
    </row>
    <row r="229" spans="1:20" ht="51" x14ac:dyDescent="0.2">
      <c r="A229" s="114" t="s">
        <v>3693</v>
      </c>
      <c r="B229" s="114" t="s">
        <v>2065</v>
      </c>
      <c r="C229" s="114" t="s">
        <v>2066</v>
      </c>
      <c r="D229" s="114" t="s">
        <v>56</v>
      </c>
      <c r="E229" s="114" t="s">
        <v>978</v>
      </c>
      <c r="F229" s="114" t="s">
        <v>99</v>
      </c>
      <c r="G229" s="115">
        <v>178.4</v>
      </c>
      <c r="H229" s="114">
        <v>3</v>
      </c>
      <c r="I229" s="114" t="s">
        <v>3577</v>
      </c>
      <c r="J229" s="114"/>
      <c r="K229" s="115"/>
      <c r="L229" s="116"/>
      <c r="M229" s="116"/>
      <c r="N229" s="116"/>
      <c r="O229" s="116"/>
      <c r="P229" s="116"/>
      <c r="Q229" s="116"/>
      <c r="R229" s="114" t="s">
        <v>3578</v>
      </c>
      <c r="S229" s="108" t="s">
        <v>3579</v>
      </c>
      <c r="T229" s="108" t="s">
        <v>3580</v>
      </c>
    </row>
    <row r="230" spans="1:20" ht="51" x14ac:dyDescent="0.2">
      <c r="A230" s="114" t="s">
        <v>3693</v>
      </c>
      <c r="B230" s="114" t="s">
        <v>2065</v>
      </c>
      <c r="C230" s="114" t="s">
        <v>2066</v>
      </c>
      <c r="D230" s="114" t="s">
        <v>56</v>
      </c>
      <c r="E230" s="114" t="s">
        <v>978</v>
      </c>
      <c r="F230" s="114" t="s">
        <v>99</v>
      </c>
      <c r="G230" s="115">
        <v>178.4</v>
      </c>
      <c r="H230" s="114">
        <v>4</v>
      </c>
      <c r="I230" s="114" t="s">
        <v>3581</v>
      </c>
      <c r="J230" s="114"/>
      <c r="K230" s="115"/>
      <c r="L230" s="116"/>
      <c r="M230" s="116"/>
      <c r="N230" s="116"/>
      <c r="O230" s="116"/>
      <c r="P230" s="116"/>
      <c r="Q230" s="116"/>
      <c r="R230" s="114" t="s">
        <v>3578</v>
      </c>
      <c r="S230" s="108" t="s">
        <v>3579</v>
      </c>
      <c r="T230" s="108" t="s">
        <v>3580</v>
      </c>
    </row>
    <row r="231" spans="1:20" ht="51" x14ac:dyDescent="0.2">
      <c r="A231" s="114" t="s">
        <v>3695</v>
      </c>
      <c r="B231" s="114" t="s">
        <v>1388</v>
      </c>
      <c r="C231" s="114" t="s">
        <v>1389</v>
      </c>
      <c r="D231" s="114" t="s">
        <v>56</v>
      </c>
      <c r="E231" s="114" t="s">
        <v>191</v>
      </c>
      <c r="F231" s="114" t="s">
        <v>118</v>
      </c>
      <c r="G231" s="115">
        <v>63.536999999999999</v>
      </c>
      <c r="H231" s="114">
        <v>1</v>
      </c>
      <c r="I231" s="114" t="s">
        <v>3570</v>
      </c>
      <c r="J231" s="114" t="s">
        <v>118</v>
      </c>
      <c r="K231" s="115">
        <v>1</v>
      </c>
      <c r="L231" s="116">
        <v>551.95500000000004</v>
      </c>
      <c r="M231" s="116">
        <f>K231*L231</f>
        <v>551.95500000000004</v>
      </c>
      <c r="N231" s="116">
        <v>0.2223</v>
      </c>
      <c r="O231" s="116">
        <f>P231-M231</f>
        <v>122.6925</v>
      </c>
      <c r="P231" s="116">
        <v>674.64750000000004</v>
      </c>
      <c r="Q231" s="116">
        <f>G231*P231</f>
        <v>42865.078207500002</v>
      </c>
      <c r="R231" s="114" t="s">
        <v>2349</v>
      </c>
      <c r="S231" s="108" t="s">
        <v>3696</v>
      </c>
      <c r="T231" s="108" t="s">
        <v>3572</v>
      </c>
    </row>
    <row r="232" spans="1:20" ht="51" x14ac:dyDescent="0.2">
      <c r="A232" s="114" t="s">
        <v>3695</v>
      </c>
      <c r="B232" s="114" t="s">
        <v>1388</v>
      </c>
      <c r="C232" s="114" t="s">
        <v>1389</v>
      </c>
      <c r="D232" s="114" t="s">
        <v>56</v>
      </c>
      <c r="E232" s="114" t="s">
        <v>191</v>
      </c>
      <c r="F232" s="114" t="s">
        <v>118</v>
      </c>
      <c r="G232" s="115">
        <v>63.536999999999999</v>
      </c>
      <c r="H232" s="114">
        <v>2</v>
      </c>
      <c r="I232" s="114" t="s">
        <v>3573</v>
      </c>
      <c r="J232" s="114" t="s">
        <v>1283</v>
      </c>
      <c r="K232" s="115">
        <v>0.2223</v>
      </c>
      <c r="L232" s="116">
        <v>551.95500000000004</v>
      </c>
      <c r="M232" s="116">
        <v>0</v>
      </c>
      <c r="N232" s="116">
        <v>0.2223</v>
      </c>
      <c r="O232" s="116">
        <f>O231</f>
        <v>122.6925</v>
      </c>
      <c r="P232" s="116"/>
      <c r="Q232" s="116"/>
      <c r="R232" s="114" t="s">
        <v>3574</v>
      </c>
      <c r="S232" s="108" t="s">
        <v>3575</v>
      </c>
      <c r="T232" s="108" t="s">
        <v>3576</v>
      </c>
    </row>
    <row r="233" spans="1:20" ht="51" x14ac:dyDescent="0.2">
      <c r="A233" s="114" t="s">
        <v>3695</v>
      </c>
      <c r="B233" s="114" t="s">
        <v>1388</v>
      </c>
      <c r="C233" s="114" t="s">
        <v>1389</v>
      </c>
      <c r="D233" s="114" t="s">
        <v>56</v>
      </c>
      <c r="E233" s="114" t="s">
        <v>191</v>
      </c>
      <c r="F233" s="114" t="s">
        <v>118</v>
      </c>
      <c r="G233" s="115">
        <v>63.536999999999999</v>
      </c>
      <c r="H233" s="114">
        <v>3</v>
      </c>
      <c r="I233" s="114" t="s">
        <v>3577</v>
      </c>
      <c r="J233" s="114"/>
      <c r="K233" s="115"/>
      <c r="L233" s="116"/>
      <c r="M233" s="116"/>
      <c r="N233" s="116"/>
      <c r="O233" s="116"/>
      <c r="P233" s="116"/>
      <c r="Q233" s="116"/>
      <c r="R233" s="114" t="s">
        <v>3578</v>
      </c>
      <c r="S233" s="108" t="s">
        <v>3579</v>
      </c>
      <c r="T233" s="108" t="s">
        <v>3580</v>
      </c>
    </row>
    <row r="234" spans="1:20" ht="51" x14ac:dyDescent="0.2">
      <c r="A234" s="114" t="s">
        <v>3695</v>
      </c>
      <c r="B234" s="114" t="s">
        <v>1388</v>
      </c>
      <c r="C234" s="114" t="s">
        <v>1389</v>
      </c>
      <c r="D234" s="114" t="s">
        <v>56</v>
      </c>
      <c r="E234" s="114" t="s">
        <v>191</v>
      </c>
      <c r="F234" s="114" t="s">
        <v>118</v>
      </c>
      <c r="G234" s="115">
        <v>63.536999999999999</v>
      </c>
      <c r="H234" s="114">
        <v>4</v>
      </c>
      <c r="I234" s="114" t="s">
        <v>3581</v>
      </c>
      <c r="J234" s="114"/>
      <c r="K234" s="115"/>
      <c r="L234" s="116"/>
      <c r="M234" s="116"/>
      <c r="N234" s="116"/>
      <c r="O234" s="116"/>
      <c r="P234" s="116"/>
      <c r="Q234" s="116"/>
      <c r="R234" s="114" t="s">
        <v>3578</v>
      </c>
      <c r="S234" s="108" t="s">
        <v>3579</v>
      </c>
      <c r="T234" s="108" t="s">
        <v>3580</v>
      </c>
    </row>
    <row r="235" spans="1:20" ht="51" x14ac:dyDescent="0.2">
      <c r="A235" s="114" t="s">
        <v>3697</v>
      </c>
      <c r="B235" s="114" t="s">
        <v>95</v>
      </c>
      <c r="C235" s="114" t="s">
        <v>1347</v>
      </c>
      <c r="D235" s="114" t="s">
        <v>56</v>
      </c>
      <c r="E235" s="114" t="s">
        <v>96</v>
      </c>
      <c r="F235" s="114" t="s">
        <v>26</v>
      </c>
      <c r="G235" s="115">
        <v>1456</v>
      </c>
      <c r="H235" s="114">
        <v>1</v>
      </c>
      <c r="I235" s="114" t="s">
        <v>3570</v>
      </c>
      <c r="J235" s="114" t="s">
        <v>26</v>
      </c>
      <c r="K235" s="115">
        <v>1</v>
      </c>
      <c r="L235" s="116">
        <v>23.2425</v>
      </c>
      <c r="M235" s="116">
        <f>K235*L235</f>
        <v>23.2425</v>
      </c>
      <c r="N235" s="116">
        <v>0.2223</v>
      </c>
      <c r="O235" s="116">
        <f>P235-M235</f>
        <v>5.1599999999999966</v>
      </c>
      <c r="P235" s="116">
        <v>28.402499999999996</v>
      </c>
      <c r="Q235" s="116">
        <f>G235*P235</f>
        <v>41354.039999999994</v>
      </c>
      <c r="R235" s="114" t="s">
        <v>2349</v>
      </c>
      <c r="S235" s="108" t="s">
        <v>3698</v>
      </c>
      <c r="T235" s="108" t="s">
        <v>3572</v>
      </c>
    </row>
    <row r="236" spans="1:20" ht="51" x14ac:dyDescent="0.2">
      <c r="A236" s="114" t="s">
        <v>3697</v>
      </c>
      <c r="B236" s="114" t="s">
        <v>95</v>
      </c>
      <c r="C236" s="114" t="s">
        <v>1347</v>
      </c>
      <c r="D236" s="114" t="s">
        <v>56</v>
      </c>
      <c r="E236" s="114" t="s">
        <v>96</v>
      </c>
      <c r="F236" s="114" t="s">
        <v>26</v>
      </c>
      <c r="G236" s="115">
        <v>1456</v>
      </c>
      <c r="H236" s="114">
        <v>2</v>
      </c>
      <c r="I236" s="114" t="s">
        <v>3573</v>
      </c>
      <c r="J236" s="114" t="s">
        <v>1283</v>
      </c>
      <c r="K236" s="115">
        <v>0.2223</v>
      </c>
      <c r="L236" s="116">
        <v>23.2425</v>
      </c>
      <c r="M236" s="116">
        <v>0</v>
      </c>
      <c r="N236" s="116">
        <v>0.2223</v>
      </c>
      <c r="O236" s="116">
        <f>O235</f>
        <v>5.1599999999999966</v>
      </c>
      <c r="P236" s="116"/>
      <c r="Q236" s="116"/>
      <c r="R236" s="114" t="s">
        <v>3574</v>
      </c>
      <c r="S236" s="108" t="s">
        <v>3575</v>
      </c>
      <c r="T236" s="108" t="s">
        <v>3576</v>
      </c>
    </row>
    <row r="237" spans="1:20" ht="51" x14ac:dyDescent="0.2">
      <c r="A237" s="114" t="s">
        <v>3697</v>
      </c>
      <c r="B237" s="114" t="s">
        <v>95</v>
      </c>
      <c r="C237" s="114" t="s">
        <v>1347</v>
      </c>
      <c r="D237" s="114" t="s">
        <v>56</v>
      </c>
      <c r="E237" s="114" t="s">
        <v>96</v>
      </c>
      <c r="F237" s="114" t="s">
        <v>26</v>
      </c>
      <c r="G237" s="115">
        <v>1456</v>
      </c>
      <c r="H237" s="114">
        <v>3</v>
      </c>
      <c r="I237" s="114" t="s">
        <v>3577</v>
      </c>
      <c r="J237" s="114"/>
      <c r="K237" s="115"/>
      <c r="L237" s="116"/>
      <c r="M237" s="116"/>
      <c r="N237" s="116"/>
      <c r="O237" s="116"/>
      <c r="P237" s="116"/>
      <c r="Q237" s="116"/>
      <c r="R237" s="114" t="s">
        <v>3578</v>
      </c>
      <c r="S237" s="108" t="s">
        <v>3579</v>
      </c>
      <c r="T237" s="108" t="s">
        <v>3580</v>
      </c>
    </row>
    <row r="238" spans="1:20" ht="51" x14ac:dyDescent="0.2">
      <c r="A238" s="114" t="s">
        <v>3697</v>
      </c>
      <c r="B238" s="114" t="s">
        <v>95</v>
      </c>
      <c r="C238" s="114" t="s">
        <v>1347</v>
      </c>
      <c r="D238" s="114" t="s">
        <v>56</v>
      </c>
      <c r="E238" s="114" t="s">
        <v>96</v>
      </c>
      <c r="F238" s="114" t="s">
        <v>26</v>
      </c>
      <c r="G238" s="115">
        <v>1456</v>
      </c>
      <c r="H238" s="114">
        <v>4</v>
      </c>
      <c r="I238" s="114" t="s">
        <v>3581</v>
      </c>
      <c r="J238" s="114"/>
      <c r="K238" s="115"/>
      <c r="L238" s="116"/>
      <c r="M238" s="116"/>
      <c r="N238" s="116"/>
      <c r="O238" s="116"/>
      <c r="P238" s="116"/>
      <c r="Q238" s="116"/>
      <c r="R238" s="114" t="s">
        <v>3578</v>
      </c>
      <c r="S238" s="108" t="s">
        <v>3579</v>
      </c>
      <c r="T238" s="108" t="s">
        <v>3580</v>
      </c>
    </row>
    <row r="239" spans="1:20" ht="51" x14ac:dyDescent="0.2">
      <c r="A239" s="114" t="s">
        <v>3699</v>
      </c>
      <c r="B239" s="114" t="s">
        <v>396</v>
      </c>
      <c r="C239" s="114" t="s">
        <v>1489</v>
      </c>
      <c r="D239" s="114" t="s">
        <v>56</v>
      </c>
      <c r="E239" s="114" t="s">
        <v>397</v>
      </c>
      <c r="F239" s="114" t="s">
        <v>26</v>
      </c>
      <c r="G239" s="115">
        <v>548.673</v>
      </c>
      <c r="H239" s="114">
        <v>1</v>
      </c>
      <c r="I239" s="114" t="s">
        <v>3570</v>
      </c>
      <c r="J239" s="114" t="s">
        <v>26</v>
      </c>
      <c r="K239" s="115">
        <v>1</v>
      </c>
      <c r="L239" s="116">
        <v>60.382500000000007</v>
      </c>
      <c r="M239" s="116">
        <f>K239*L239</f>
        <v>60.382500000000007</v>
      </c>
      <c r="N239" s="116">
        <v>0.2223</v>
      </c>
      <c r="O239" s="116">
        <f>P239-M239</f>
        <v>13.417500000000004</v>
      </c>
      <c r="P239" s="116">
        <v>73.800000000000011</v>
      </c>
      <c r="Q239" s="116">
        <f>G239*P239</f>
        <v>40492.067400000007</v>
      </c>
      <c r="R239" s="114" t="s">
        <v>2349</v>
      </c>
      <c r="S239" s="108" t="s">
        <v>3700</v>
      </c>
      <c r="T239" s="108" t="s">
        <v>3572</v>
      </c>
    </row>
    <row r="240" spans="1:20" ht="51" x14ac:dyDescent="0.2">
      <c r="A240" s="114" t="s">
        <v>3699</v>
      </c>
      <c r="B240" s="114" t="s">
        <v>396</v>
      </c>
      <c r="C240" s="114" t="s">
        <v>1489</v>
      </c>
      <c r="D240" s="114" t="s">
        <v>56</v>
      </c>
      <c r="E240" s="114" t="s">
        <v>397</v>
      </c>
      <c r="F240" s="114" t="s">
        <v>26</v>
      </c>
      <c r="G240" s="115">
        <v>548.673</v>
      </c>
      <c r="H240" s="114">
        <v>2</v>
      </c>
      <c r="I240" s="114" t="s">
        <v>3573</v>
      </c>
      <c r="J240" s="114" t="s">
        <v>1283</v>
      </c>
      <c r="K240" s="115">
        <v>0.2223</v>
      </c>
      <c r="L240" s="116">
        <v>60.382500000000007</v>
      </c>
      <c r="M240" s="116">
        <v>0</v>
      </c>
      <c r="N240" s="116">
        <v>0.2223</v>
      </c>
      <c r="O240" s="116">
        <f>O239</f>
        <v>13.417500000000004</v>
      </c>
      <c r="P240" s="116"/>
      <c r="Q240" s="116"/>
      <c r="R240" s="114" t="s">
        <v>3574</v>
      </c>
      <c r="S240" s="108" t="s">
        <v>3575</v>
      </c>
      <c r="T240" s="108" t="s">
        <v>3576</v>
      </c>
    </row>
    <row r="241" spans="1:20" ht="51" x14ac:dyDescent="0.2">
      <c r="A241" s="114" t="s">
        <v>3699</v>
      </c>
      <c r="B241" s="114" t="s">
        <v>396</v>
      </c>
      <c r="C241" s="114" t="s">
        <v>1489</v>
      </c>
      <c r="D241" s="114" t="s">
        <v>56</v>
      </c>
      <c r="E241" s="114" t="s">
        <v>397</v>
      </c>
      <c r="F241" s="114" t="s">
        <v>26</v>
      </c>
      <c r="G241" s="115">
        <v>548.673</v>
      </c>
      <c r="H241" s="114">
        <v>3</v>
      </c>
      <c r="I241" s="114" t="s">
        <v>3577</v>
      </c>
      <c r="J241" s="114"/>
      <c r="K241" s="115"/>
      <c r="L241" s="116"/>
      <c r="M241" s="116"/>
      <c r="N241" s="116"/>
      <c r="O241" s="116"/>
      <c r="P241" s="116"/>
      <c r="Q241" s="116"/>
      <c r="R241" s="114" t="s">
        <v>3578</v>
      </c>
      <c r="S241" s="108" t="s">
        <v>3579</v>
      </c>
      <c r="T241" s="108" t="s">
        <v>3580</v>
      </c>
    </row>
    <row r="242" spans="1:20" ht="51" x14ac:dyDescent="0.2">
      <c r="A242" s="114" t="s">
        <v>3699</v>
      </c>
      <c r="B242" s="114" t="s">
        <v>396</v>
      </c>
      <c r="C242" s="114" t="s">
        <v>1489</v>
      </c>
      <c r="D242" s="114" t="s">
        <v>56</v>
      </c>
      <c r="E242" s="114" t="s">
        <v>397</v>
      </c>
      <c r="F242" s="114" t="s">
        <v>26</v>
      </c>
      <c r="G242" s="115">
        <v>548.673</v>
      </c>
      <c r="H242" s="114">
        <v>4</v>
      </c>
      <c r="I242" s="114" t="s">
        <v>3581</v>
      </c>
      <c r="J242" s="114"/>
      <c r="K242" s="115"/>
      <c r="L242" s="116"/>
      <c r="M242" s="116"/>
      <c r="N242" s="116"/>
      <c r="O242" s="116"/>
      <c r="P242" s="116"/>
      <c r="Q242" s="116"/>
      <c r="R242" s="114" t="s">
        <v>3578</v>
      </c>
      <c r="S242" s="108" t="s">
        <v>3579</v>
      </c>
      <c r="T242" s="108" t="s">
        <v>3580</v>
      </c>
    </row>
    <row r="243" spans="1:20" ht="38.25" x14ac:dyDescent="0.2">
      <c r="A243" s="114" t="s">
        <v>3701</v>
      </c>
      <c r="B243" s="114" t="s">
        <v>2044</v>
      </c>
      <c r="C243" s="114" t="s">
        <v>2045</v>
      </c>
      <c r="D243" s="114" t="s">
        <v>56</v>
      </c>
      <c r="E243" s="114" t="s">
        <v>2046</v>
      </c>
      <c r="F243" s="114" t="s">
        <v>99</v>
      </c>
      <c r="G243" s="115">
        <v>2322.1999999999998</v>
      </c>
      <c r="H243" s="114">
        <v>1</v>
      </c>
      <c r="I243" s="114" t="s">
        <v>3570</v>
      </c>
      <c r="J243" s="114" t="s">
        <v>99</v>
      </c>
      <c r="K243" s="115">
        <v>1</v>
      </c>
      <c r="L243" s="116">
        <v>13.995000000000001</v>
      </c>
      <c r="M243" s="116">
        <f>K243*L243</f>
        <v>13.995000000000001</v>
      </c>
      <c r="N243" s="116">
        <v>0.2223</v>
      </c>
      <c r="O243" s="116">
        <f>P243-M243</f>
        <v>3.1050000000000004</v>
      </c>
      <c r="P243" s="116">
        <v>17.100000000000001</v>
      </c>
      <c r="Q243" s="116">
        <f>G243*P243</f>
        <v>39709.620000000003</v>
      </c>
      <c r="R243" s="114" t="s">
        <v>2349</v>
      </c>
      <c r="S243" s="108" t="s">
        <v>3702</v>
      </c>
      <c r="T243" s="108" t="s">
        <v>3572</v>
      </c>
    </row>
    <row r="244" spans="1:20" ht="38.25" x14ac:dyDescent="0.2">
      <c r="A244" s="114" t="s">
        <v>3701</v>
      </c>
      <c r="B244" s="114" t="s">
        <v>2044</v>
      </c>
      <c r="C244" s="114" t="s">
        <v>2045</v>
      </c>
      <c r="D244" s="114" t="s">
        <v>56</v>
      </c>
      <c r="E244" s="114" t="s">
        <v>2046</v>
      </c>
      <c r="F244" s="114" t="s">
        <v>99</v>
      </c>
      <c r="G244" s="115">
        <v>2322.1999999999998</v>
      </c>
      <c r="H244" s="114">
        <v>2</v>
      </c>
      <c r="I244" s="114" t="s">
        <v>3573</v>
      </c>
      <c r="J244" s="114" t="s">
        <v>1283</v>
      </c>
      <c r="K244" s="115">
        <v>0.2223</v>
      </c>
      <c r="L244" s="116">
        <v>13.995000000000001</v>
      </c>
      <c r="M244" s="116">
        <v>0</v>
      </c>
      <c r="N244" s="116">
        <v>0.2223</v>
      </c>
      <c r="O244" s="116">
        <f>O243</f>
        <v>3.1050000000000004</v>
      </c>
      <c r="P244" s="116"/>
      <c r="Q244" s="116"/>
      <c r="R244" s="114" t="s">
        <v>3574</v>
      </c>
      <c r="S244" s="108" t="s">
        <v>3575</v>
      </c>
      <c r="T244" s="108" t="s">
        <v>3576</v>
      </c>
    </row>
    <row r="245" spans="1:20" ht="38.25" x14ac:dyDescent="0.2">
      <c r="A245" s="114" t="s">
        <v>3701</v>
      </c>
      <c r="B245" s="114" t="s">
        <v>2044</v>
      </c>
      <c r="C245" s="114" t="s">
        <v>2045</v>
      </c>
      <c r="D245" s="114" t="s">
        <v>56</v>
      </c>
      <c r="E245" s="114" t="s">
        <v>2046</v>
      </c>
      <c r="F245" s="114" t="s">
        <v>99</v>
      </c>
      <c r="G245" s="115">
        <v>2322.1999999999998</v>
      </c>
      <c r="H245" s="114">
        <v>3</v>
      </c>
      <c r="I245" s="114" t="s">
        <v>3577</v>
      </c>
      <c r="J245" s="114"/>
      <c r="K245" s="115"/>
      <c r="L245" s="116"/>
      <c r="M245" s="116"/>
      <c r="N245" s="116"/>
      <c r="O245" s="116"/>
      <c r="P245" s="116"/>
      <c r="Q245" s="116"/>
      <c r="R245" s="114" t="s">
        <v>3578</v>
      </c>
      <c r="S245" s="108" t="s">
        <v>3579</v>
      </c>
      <c r="T245" s="108" t="s">
        <v>3580</v>
      </c>
    </row>
    <row r="246" spans="1:20" ht="38.25" x14ac:dyDescent="0.2">
      <c r="A246" s="114" t="s">
        <v>3701</v>
      </c>
      <c r="B246" s="114" t="s">
        <v>2044</v>
      </c>
      <c r="C246" s="114" t="s">
        <v>2045</v>
      </c>
      <c r="D246" s="114" t="s">
        <v>56</v>
      </c>
      <c r="E246" s="114" t="s">
        <v>2046</v>
      </c>
      <c r="F246" s="114" t="s">
        <v>99</v>
      </c>
      <c r="G246" s="115">
        <v>2322.1999999999998</v>
      </c>
      <c r="H246" s="114">
        <v>4</v>
      </c>
      <c r="I246" s="114" t="s">
        <v>3581</v>
      </c>
      <c r="J246" s="114"/>
      <c r="K246" s="115"/>
      <c r="L246" s="116"/>
      <c r="M246" s="116"/>
      <c r="N246" s="116"/>
      <c r="O246" s="116"/>
      <c r="P246" s="116"/>
      <c r="Q246" s="116"/>
      <c r="R246" s="114" t="s">
        <v>3578</v>
      </c>
      <c r="S246" s="108" t="s">
        <v>3579</v>
      </c>
      <c r="T246" s="108" t="s">
        <v>3580</v>
      </c>
    </row>
    <row r="247" spans="1:20" ht="76.5" x14ac:dyDescent="0.2">
      <c r="A247" s="114" t="s">
        <v>3703</v>
      </c>
      <c r="B247" s="114" t="s">
        <v>2019</v>
      </c>
      <c r="C247" s="114" t="s">
        <v>2020</v>
      </c>
      <c r="D247" s="114" t="s">
        <v>24</v>
      </c>
      <c r="E247" s="114" t="s">
        <v>954</v>
      </c>
      <c r="F247" s="114" t="s">
        <v>99</v>
      </c>
      <c r="G247" s="115">
        <v>372.5</v>
      </c>
      <c r="H247" s="114">
        <v>1</v>
      </c>
      <c r="I247" s="114" t="s">
        <v>3570</v>
      </c>
      <c r="J247" s="114" t="s">
        <v>99</v>
      </c>
      <c r="K247" s="115">
        <v>1</v>
      </c>
      <c r="L247" s="116">
        <v>83.699999999999989</v>
      </c>
      <c r="M247" s="116">
        <f>K247*L247</f>
        <v>83.699999999999989</v>
      </c>
      <c r="N247" s="116">
        <v>0.2223</v>
      </c>
      <c r="O247" s="116">
        <f>P247-M247</f>
        <v>18.600000000000023</v>
      </c>
      <c r="P247" s="116">
        <v>102.30000000000001</v>
      </c>
      <c r="Q247" s="116">
        <f>G247*P247</f>
        <v>38106.750000000007</v>
      </c>
      <c r="R247" s="114" t="s">
        <v>2332</v>
      </c>
      <c r="S247" s="108" t="s">
        <v>3704</v>
      </c>
      <c r="T247" s="108" t="s">
        <v>3572</v>
      </c>
    </row>
    <row r="248" spans="1:20" ht="76.5" x14ac:dyDescent="0.2">
      <c r="A248" s="114" t="s">
        <v>3703</v>
      </c>
      <c r="B248" s="114" t="s">
        <v>2019</v>
      </c>
      <c r="C248" s="114" t="s">
        <v>2020</v>
      </c>
      <c r="D248" s="114" t="s">
        <v>24</v>
      </c>
      <c r="E248" s="114" t="s">
        <v>954</v>
      </c>
      <c r="F248" s="114" t="s">
        <v>99</v>
      </c>
      <c r="G248" s="115">
        <v>372.5</v>
      </c>
      <c r="H248" s="114">
        <v>2</v>
      </c>
      <c r="I248" s="114" t="s">
        <v>3573</v>
      </c>
      <c r="J248" s="114" t="s">
        <v>1283</v>
      </c>
      <c r="K248" s="115">
        <v>0.2223</v>
      </c>
      <c r="L248" s="116">
        <v>83.699999999999989</v>
      </c>
      <c r="M248" s="116">
        <v>0</v>
      </c>
      <c r="N248" s="116">
        <v>0.2223</v>
      </c>
      <c r="O248" s="116">
        <f>O247</f>
        <v>18.600000000000023</v>
      </c>
      <c r="P248" s="116"/>
      <c r="Q248" s="116"/>
      <c r="R248" s="114" t="s">
        <v>3574</v>
      </c>
      <c r="S248" s="108" t="s">
        <v>3575</v>
      </c>
      <c r="T248" s="108" t="s">
        <v>3576</v>
      </c>
    </row>
    <row r="249" spans="1:20" ht="76.5" x14ac:dyDescent="0.2">
      <c r="A249" s="114" t="s">
        <v>3703</v>
      </c>
      <c r="B249" s="114" t="s">
        <v>2019</v>
      </c>
      <c r="C249" s="114" t="s">
        <v>2020</v>
      </c>
      <c r="D249" s="114" t="s">
        <v>24</v>
      </c>
      <c r="E249" s="114" t="s">
        <v>954</v>
      </c>
      <c r="F249" s="114" t="s">
        <v>99</v>
      </c>
      <c r="G249" s="115">
        <v>372.5</v>
      </c>
      <c r="H249" s="114">
        <v>3</v>
      </c>
      <c r="I249" s="114" t="s">
        <v>3577</v>
      </c>
      <c r="J249" s="114"/>
      <c r="K249" s="115"/>
      <c r="L249" s="116"/>
      <c r="M249" s="116"/>
      <c r="N249" s="116"/>
      <c r="O249" s="116"/>
      <c r="P249" s="116"/>
      <c r="Q249" s="116"/>
      <c r="R249" s="114" t="s">
        <v>3578</v>
      </c>
      <c r="S249" s="108" t="s">
        <v>3579</v>
      </c>
      <c r="T249" s="108" t="s">
        <v>3580</v>
      </c>
    </row>
    <row r="250" spans="1:20" ht="76.5" x14ac:dyDescent="0.2">
      <c r="A250" s="114" t="s">
        <v>3703</v>
      </c>
      <c r="B250" s="114" t="s">
        <v>2019</v>
      </c>
      <c r="C250" s="114" t="s">
        <v>2020</v>
      </c>
      <c r="D250" s="114" t="s">
        <v>24</v>
      </c>
      <c r="E250" s="114" t="s">
        <v>954</v>
      </c>
      <c r="F250" s="114" t="s">
        <v>99</v>
      </c>
      <c r="G250" s="115">
        <v>372.5</v>
      </c>
      <c r="H250" s="114">
        <v>4</v>
      </c>
      <c r="I250" s="114" t="s">
        <v>3581</v>
      </c>
      <c r="J250" s="114"/>
      <c r="K250" s="115"/>
      <c r="L250" s="116"/>
      <c r="M250" s="116"/>
      <c r="N250" s="116"/>
      <c r="O250" s="116"/>
      <c r="P250" s="116"/>
      <c r="Q250" s="116"/>
      <c r="R250" s="114" t="s">
        <v>3578</v>
      </c>
      <c r="S250" s="108" t="s">
        <v>3579</v>
      </c>
      <c r="T250" s="108" t="s">
        <v>3580</v>
      </c>
    </row>
    <row r="251" spans="1:20" ht="76.5" x14ac:dyDescent="0.2">
      <c r="A251" s="114" t="s">
        <v>3705</v>
      </c>
      <c r="B251" s="114" t="s">
        <v>2189</v>
      </c>
      <c r="C251" s="114" t="s">
        <v>2190</v>
      </c>
      <c r="D251" s="114" t="s">
        <v>56</v>
      </c>
      <c r="E251" s="114" t="s">
        <v>1075</v>
      </c>
      <c r="F251" s="114" t="s">
        <v>26</v>
      </c>
      <c r="G251" s="115">
        <v>1131.723</v>
      </c>
      <c r="H251" s="114">
        <v>1</v>
      </c>
      <c r="I251" s="114" t="s">
        <v>3570</v>
      </c>
      <c r="J251" s="114" t="s">
        <v>26</v>
      </c>
      <c r="K251" s="115">
        <v>1</v>
      </c>
      <c r="L251" s="116">
        <v>27.285000000000004</v>
      </c>
      <c r="M251" s="116">
        <f>K251*L251</f>
        <v>27.285000000000004</v>
      </c>
      <c r="N251" s="116">
        <v>0.2223</v>
      </c>
      <c r="O251" s="116">
        <f>P251-M251</f>
        <v>6.0599999999999952</v>
      </c>
      <c r="P251" s="116">
        <v>33.344999999999999</v>
      </c>
      <c r="Q251" s="116">
        <f>G251*P251</f>
        <v>37737.303434999994</v>
      </c>
      <c r="R251" s="114" t="s">
        <v>2349</v>
      </c>
      <c r="S251" s="108" t="s">
        <v>3706</v>
      </c>
      <c r="T251" s="108" t="s">
        <v>3572</v>
      </c>
    </row>
    <row r="252" spans="1:20" ht="76.5" x14ac:dyDescent="0.2">
      <c r="A252" s="114" t="s">
        <v>3705</v>
      </c>
      <c r="B252" s="114" t="s">
        <v>2189</v>
      </c>
      <c r="C252" s="114" t="s">
        <v>2190</v>
      </c>
      <c r="D252" s="114" t="s">
        <v>56</v>
      </c>
      <c r="E252" s="114" t="s">
        <v>1075</v>
      </c>
      <c r="F252" s="114" t="s">
        <v>26</v>
      </c>
      <c r="G252" s="115">
        <v>1131.723</v>
      </c>
      <c r="H252" s="114">
        <v>2</v>
      </c>
      <c r="I252" s="114" t="s">
        <v>3573</v>
      </c>
      <c r="J252" s="114" t="s">
        <v>1283</v>
      </c>
      <c r="K252" s="115">
        <v>0.2223</v>
      </c>
      <c r="L252" s="116">
        <v>27.285000000000004</v>
      </c>
      <c r="M252" s="116">
        <v>0</v>
      </c>
      <c r="N252" s="116">
        <v>0.2223</v>
      </c>
      <c r="O252" s="116">
        <f>O251</f>
        <v>6.0599999999999952</v>
      </c>
      <c r="P252" s="116"/>
      <c r="Q252" s="116"/>
      <c r="R252" s="114" t="s">
        <v>3574</v>
      </c>
      <c r="S252" s="108" t="s">
        <v>3575</v>
      </c>
      <c r="T252" s="108" t="s">
        <v>3576</v>
      </c>
    </row>
    <row r="253" spans="1:20" ht="76.5" x14ac:dyDescent="0.2">
      <c r="A253" s="114" t="s">
        <v>3705</v>
      </c>
      <c r="B253" s="114" t="s">
        <v>2189</v>
      </c>
      <c r="C253" s="114" t="s">
        <v>2190</v>
      </c>
      <c r="D253" s="114" t="s">
        <v>56</v>
      </c>
      <c r="E253" s="114" t="s">
        <v>1075</v>
      </c>
      <c r="F253" s="114" t="s">
        <v>26</v>
      </c>
      <c r="G253" s="115">
        <v>1131.723</v>
      </c>
      <c r="H253" s="114">
        <v>3</v>
      </c>
      <c r="I253" s="114" t="s">
        <v>3577</v>
      </c>
      <c r="J253" s="114"/>
      <c r="K253" s="115"/>
      <c r="L253" s="116"/>
      <c r="M253" s="116"/>
      <c r="N253" s="116"/>
      <c r="O253" s="116"/>
      <c r="P253" s="116"/>
      <c r="Q253" s="116"/>
      <c r="R253" s="114" t="s">
        <v>3578</v>
      </c>
      <c r="S253" s="108" t="s">
        <v>3579</v>
      </c>
      <c r="T253" s="108" t="s">
        <v>3580</v>
      </c>
    </row>
    <row r="254" spans="1:20" ht="76.5" x14ac:dyDescent="0.2">
      <c r="A254" s="114" t="s">
        <v>3705</v>
      </c>
      <c r="B254" s="114" t="s">
        <v>2189</v>
      </c>
      <c r="C254" s="114" t="s">
        <v>2190</v>
      </c>
      <c r="D254" s="114" t="s">
        <v>56</v>
      </c>
      <c r="E254" s="114" t="s">
        <v>1075</v>
      </c>
      <c r="F254" s="114" t="s">
        <v>26</v>
      </c>
      <c r="G254" s="115">
        <v>1131.723</v>
      </c>
      <c r="H254" s="114">
        <v>4</v>
      </c>
      <c r="I254" s="114" t="s">
        <v>3581</v>
      </c>
      <c r="J254" s="114"/>
      <c r="K254" s="115"/>
      <c r="L254" s="116"/>
      <c r="M254" s="116"/>
      <c r="N254" s="116"/>
      <c r="O254" s="116"/>
      <c r="P254" s="116"/>
      <c r="Q254" s="116"/>
      <c r="R254" s="114" t="s">
        <v>3578</v>
      </c>
      <c r="S254" s="108" t="s">
        <v>3579</v>
      </c>
      <c r="T254" s="108" t="s">
        <v>3580</v>
      </c>
    </row>
    <row r="255" spans="1:20" ht="51" x14ac:dyDescent="0.2">
      <c r="A255" s="114" t="s">
        <v>3707</v>
      </c>
      <c r="B255" s="114" t="s">
        <v>1392</v>
      </c>
      <c r="C255" s="114" t="s">
        <v>1393</v>
      </c>
      <c r="D255" s="114" t="s">
        <v>24</v>
      </c>
      <c r="E255" s="114" t="s">
        <v>194</v>
      </c>
      <c r="F255" s="114" t="s">
        <v>180</v>
      </c>
      <c r="G255" s="115">
        <v>1270.74</v>
      </c>
      <c r="H255" s="114">
        <v>1</v>
      </c>
      <c r="I255" s="114" t="s">
        <v>3570</v>
      </c>
      <c r="J255" s="114" t="s">
        <v>180</v>
      </c>
      <c r="K255" s="115">
        <v>1</v>
      </c>
      <c r="L255" s="116">
        <v>23.13</v>
      </c>
      <c r="M255" s="116">
        <f>K255*L255</f>
        <v>23.13</v>
      </c>
      <c r="N255" s="116">
        <v>0.2223</v>
      </c>
      <c r="O255" s="116">
        <f>P255-M255</f>
        <v>5.1374999999999993</v>
      </c>
      <c r="P255" s="116">
        <v>28.267499999999998</v>
      </c>
      <c r="Q255" s="116">
        <f>G255*P255</f>
        <v>35920.642950000001</v>
      </c>
      <c r="R255" s="114" t="s">
        <v>2332</v>
      </c>
      <c r="S255" s="108" t="s">
        <v>3708</v>
      </c>
      <c r="T255" s="108" t="s">
        <v>3572</v>
      </c>
    </row>
    <row r="256" spans="1:20" ht="51" x14ac:dyDescent="0.2">
      <c r="A256" s="114" t="s">
        <v>3707</v>
      </c>
      <c r="B256" s="114" t="s">
        <v>1392</v>
      </c>
      <c r="C256" s="114" t="s">
        <v>1393</v>
      </c>
      <c r="D256" s="114" t="s">
        <v>24</v>
      </c>
      <c r="E256" s="114" t="s">
        <v>194</v>
      </c>
      <c r="F256" s="114" t="s">
        <v>180</v>
      </c>
      <c r="G256" s="115">
        <v>1270.74</v>
      </c>
      <c r="H256" s="114">
        <v>2</v>
      </c>
      <c r="I256" s="114" t="s">
        <v>3573</v>
      </c>
      <c r="J256" s="114" t="s">
        <v>1283</v>
      </c>
      <c r="K256" s="115">
        <v>0.2223</v>
      </c>
      <c r="L256" s="116">
        <v>23.13</v>
      </c>
      <c r="M256" s="116">
        <v>0</v>
      </c>
      <c r="N256" s="116">
        <v>0.2223</v>
      </c>
      <c r="O256" s="116">
        <f>O255</f>
        <v>5.1374999999999993</v>
      </c>
      <c r="P256" s="116"/>
      <c r="Q256" s="116"/>
      <c r="R256" s="114" t="s">
        <v>3574</v>
      </c>
      <c r="S256" s="108" t="s">
        <v>3575</v>
      </c>
      <c r="T256" s="108" t="s">
        <v>3576</v>
      </c>
    </row>
    <row r="257" spans="1:20" ht="51" x14ac:dyDescent="0.2">
      <c r="A257" s="114" t="s">
        <v>3707</v>
      </c>
      <c r="B257" s="114" t="s">
        <v>1392</v>
      </c>
      <c r="C257" s="114" t="s">
        <v>1393</v>
      </c>
      <c r="D257" s="114" t="s">
        <v>24</v>
      </c>
      <c r="E257" s="114" t="s">
        <v>194</v>
      </c>
      <c r="F257" s="114" t="s">
        <v>180</v>
      </c>
      <c r="G257" s="115">
        <v>1270.74</v>
      </c>
      <c r="H257" s="114">
        <v>3</v>
      </c>
      <c r="I257" s="114" t="s">
        <v>3577</v>
      </c>
      <c r="J257" s="114"/>
      <c r="K257" s="115"/>
      <c r="L257" s="116"/>
      <c r="M257" s="116"/>
      <c r="N257" s="116"/>
      <c r="O257" s="116"/>
      <c r="P257" s="116"/>
      <c r="Q257" s="116"/>
      <c r="R257" s="114" t="s">
        <v>3578</v>
      </c>
      <c r="S257" s="108" t="s">
        <v>3579</v>
      </c>
      <c r="T257" s="108" t="s">
        <v>3580</v>
      </c>
    </row>
    <row r="258" spans="1:20" ht="51" x14ac:dyDescent="0.2">
      <c r="A258" s="114" t="s">
        <v>3707</v>
      </c>
      <c r="B258" s="114" t="s">
        <v>1392</v>
      </c>
      <c r="C258" s="114" t="s">
        <v>1393</v>
      </c>
      <c r="D258" s="114" t="s">
        <v>24</v>
      </c>
      <c r="E258" s="114" t="s">
        <v>194</v>
      </c>
      <c r="F258" s="114" t="s">
        <v>180</v>
      </c>
      <c r="G258" s="115">
        <v>1270.74</v>
      </c>
      <c r="H258" s="114">
        <v>4</v>
      </c>
      <c r="I258" s="114" t="s">
        <v>3581</v>
      </c>
      <c r="J258" s="114"/>
      <c r="K258" s="115"/>
      <c r="L258" s="116"/>
      <c r="M258" s="116"/>
      <c r="N258" s="116"/>
      <c r="O258" s="116"/>
      <c r="P258" s="116"/>
      <c r="Q258" s="116"/>
      <c r="R258" s="114" t="s">
        <v>3578</v>
      </c>
      <c r="S258" s="108" t="s">
        <v>3579</v>
      </c>
      <c r="T258" s="108" t="s">
        <v>3580</v>
      </c>
    </row>
    <row r="259" spans="1:20" ht="38.25" x14ac:dyDescent="0.2">
      <c r="A259" s="114" t="s">
        <v>3709</v>
      </c>
      <c r="B259" s="114" t="s">
        <v>337</v>
      </c>
      <c r="C259" s="114" t="s">
        <v>1460</v>
      </c>
      <c r="D259" s="114" t="s">
        <v>56</v>
      </c>
      <c r="E259" s="114" t="s">
        <v>338</v>
      </c>
      <c r="F259" s="114" t="s">
        <v>26</v>
      </c>
      <c r="G259" s="115">
        <v>1233.3820000000001</v>
      </c>
      <c r="H259" s="114">
        <v>1</v>
      </c>
      <c r="I259" s="114" t="s">
        <v>3570</v>
      </c>
      <c r="J259" s="114" t="s">
        <v>26</v>
      </c>
      <c r="K259" s="115">
        <v>1</v>
      </c>
      <c r="L259" s="116">
        <v>23.565000000000001</v>
      </c>
      <c r="M259" s="116">
        <f>K259*L259</f>
        <v>23.565000000000001</v>
      </c>
      <c r="N259" s="116">
        <v>0.2223</v>
      </c>
      <c r="O259" s="116">
        <f>P259-M259</f>
        <v>5.2349999999999959</v>
      </c>
      <c r="P259" s="116">
        <v>28.799999999999997</v>
      </c>
      <c r="Q259" s="116">
        <f>G259*P259</f>
        <v>35521.401599999997</v>
      </c>
      <c r="R259" s="114" t="s">
        <v>2349</v>
      </c>
      <c r="S259" s="108" t="s">
        <v>3710</v>
      </c>
      <c r="T259" s="108" t="s">
        <v>3572</v>
      </c>
    </row>
    <row r="260" spans="1:20" ht="25.5" x14ac:dyDescent="0.2">
      <c r="A260" s="114" t="s">
        <v>3709</v>
      </c>
      <c r="B260" s="114" t="s">
        <v>337</v>
      </c>
      <c r="C260" s="114" t="s">
        <v>1460</v>
      </c>
      <c r="D260" s="114" t="s">
        <v>56</v>
      </c>
      <c r="E260" s="114" t="s">
        <v>338</v>
      </c>
      <c r="F260" s="114" t="s">
        <v>26</v>
      </c>
      <c r="G260" s="115">
        <v>1233.3820000000001</v>
      </c>
      <c r="H260" s="114">
        <v>2</v>
      </c>
      <c r="I260" s="114" t="s">
        <v>3573</v>
      </c>
      <c r="J260" s="114" t="s">
        <v>1283</v>
      </c>
      <c r="K260" s="115">
        <v>0.2223</v>
      </c>
      <c r="L260" s="116">
        <v>23.565000000000001</v>
      </c>
      <c r="M260" s="116">
        <v>0</v>
      </c>
      <c r="N260" s="116">
        <v>0.2223</v>
      </c>
      <c r="O260" s="116">
        <f>O259</f>
        <v>5.2349999999999959</v>
      </c>
      <c r="P260" s="116"/>
      <c r="Q260" s="116"/>
      <c r="R260" s="114" t="s">
        <v>3574</v>
      </c>
      <c r="S260" s="108" t="s">
        <v>3575</v>
      </c>
      <c r="T260" s="108" t="s">
        <v>3576</v>
      </c>
    </row>
    <row r="261" spans="1:20" ht="25.5" x14ac:dyDescent="0.2">
      <c r="A261" s="114" t="s">
        <v>3709</v>
      </c>
      <c r="B261" s="114" t="s">
        <v>337</v>
      </c>
      <c r="C261" s="114" t="s">
        <v>1460</v>
      </c>
      <c r="D261" s="114" t="s">
        <v>56</v>
      </c>
      <c r="E261" s="114" t="s">
        <v>338</v>
      </c>
      <c r="F261" s="114" t="s">
        <v>26</v>
      </c>
      <c r="G261" s="115">
        <v>1233.3820000000001</v>
      </c>
      <c r="H261" s="114">
        <v>3</v>
      </c>
      <c r="I261" s="114" t="s">
        <v>3577</v>
      </c>
      <c r="J261" s="114"/>
      <c r="K261" s="115"/>
      <c r="L261" s="116"/>
      <c r="M261" s="116"/>
      <c r="N261" s="116"/>
      <c r="O261" s="116"/>
      <c r="P261" s="116"/>
      <c r="Q261" s="116"/>
      <c r="R261" s="114" t="s">
        <v>3578</v>
      </c>
      <c r="S261" s="108" t="s">
        <v>3579</v>
      </c>
      <c r="T261" s="108" t="s">
        <v>3580</v>
      </c>
    </row>
    <row r="262" spans="1:20" ht="25.5" x14ac:dyDescent="0.2">
      <c r="A262" s="114" t="s">
        <v>3709</v>
      </c>
      <c r="B262" s="114" t="s">
        <v>337</v>
      </c>
      <c r="C262" s="114" t="s">
        <v>1460</v>
      </c>
      <c r="D262" s="114" t="s">
        <v>56</v>
      </c>
      <c r="E262" s="114" t="s">
        <v>338</v>
      </c>
      <c r="F262" s="114" t="s">
        <v>26</v>
      </c>
      <c r="G262" s="115">
        <v>1233.3820000000001</v>
      </c>
      <c r="H262" s="114">
        <v>4</v>
      </c>
      <c r="I262" s="114" t="s">
        <v>3581</v>
      </c>
      <c r="J262" s="114"/>
      <c r="K262" s="115"/>
      <c r="L262" s="116"/>
      <c r="M262" s="116"/>
      <c r="N262" s="116"/>
      <c r="O262" s="116"/>
      <c r="P262" s="116"/>
      <c r="Q262" s="116"/>
      <c r="R262" s="114" t="s">
        <v>3578</v>
      </c>
      <c r="S262" s="108" t="s">
        <v>3579</v>
      </c>
      <c r="T262" s="108" t="s">
        <v>3580</v>
      </c>
    </row>
    <row r="263" spans="1:20" ht="63.75" x14ac:dyDescent="0.2">
      <c r="A263" s="114" t="s">
        <v>3711</v>
      </c>
      <c r="B263" s="114" t="s">
        <v>326</v>
      </c>
      <c r="C263" s="114" t="s">
        <v>1454</v>
      </c>
      <c r="D263" s="114" t="s">
        <v>56</v>
      </c>
      <c r="E263" s="114" t="s">
        <v>1455</v>
      </c>
      <c r="F263" s="114" t="s">
        <v>26</v>
      </c>
      <c r="G263" s="115">
        <v>3488.8989999999999</v>
      </c>
      <c r="H263" s="114">
        <v>1</v>
      </c>
      <c r="I263" s="114" t="s">
        <v>3570</v>
      </c>
      <c r="J263" s="114" t="s">
        <v>26</v>
      </c>
      <c r="K263" s="115">
        <v>1</v>
      </c>
      <c r="L263" s="116">
        <v>8.1750000000000007</v>
      </c>
      <c r="M263" s="116">
        <f>K263*L263</f>
        <v>8.1750000000000007</v>
      </c>
      <c r="N263" s="116">
        <v>0.2223</v>
      </c>
      <c r="O263" s="116">
        <f>P263-M263</f>
        <v>1.8149999999999995</v>
      </c>
      <c r="P263" s="116">
        <v>9.99</v>
      </c>
      <c r="Q263" s="116">
        <f>G263*P263</f>
        <v>34854.101009999998</v>
      </c>
      <c r="R263" s="114" t="s">
        <v>2349</v>
      </c>
      <c r="S263" s="108" t="s">
        <v>3712</v>
      </c>
      <c r="T263" s="108" t="s">
        <v>3572</v>
      </c>
    </row>
    <row r="264" spans="1:20" ht="63.75" x14ac:dyDescent="0.2">
      <c r="A264" s="114" t="s">
        <v>3711</v>
      </c>
      <c r="B264" s="114" t="s">
        <v>326</v>
      </c>
      <c r="C264" s="114" t="s">
        <v>1454</v>
      </c>
      <c r="D264" s="114" t="s">
        <v>56</v>
      </c>
      <c r="E264" s="114" t="s">
        <v>1455</v>
      </c>
      <c r="F264" s="114" t="s">
        <v>26</v>
      </c>
      <c r="G264" s="115">
        <v>3488.8989999999999</v>
      </c>
      <c r="H264" s="114">
        <v>2</v>
      </c>
      <c r="I264" s="114" t="s">
        <v>3573</v>
      </c>
      <c r="J264" s="114" t="s">
        <v>1283</v>
      </c>
      <c r="K264" s="115">
        <v>0.2223</v>
      </c>
      <c r="L264" s="116">
        <v>8.1750000000000007</v>
      </c>
      <c r="M264" s="116">
        <v>0</v>
      </c>
      <c r="N264" s="116">
        <v>0.2223</v>
      </c>
      <c r="O264" s="116">
        <f>O263</f>
        <v>1.8149999999999995</v>
      </c>
      <c r="P264" s="116"/>
      <c r="Q264" s="116"/>
      <c r="R264" s="114" t="s">
        <v>3574</v>
      </c>
      <c r="S264" s="108" t="s">
        <v>3575</v>
      </c>
      <c r="T264" s="108" t="s">
        <v>3576</v>
      </c>
    </row>
    <row r="265" spans="1:20" ht="63.75" x14ac:dyDescent="0.2">
      <c r="A265" s="114" t="s">
        <v>3711</v>
      </c>
      <c r="B265" s="114" t="s">
        <v>326</v>
      </c>
      <c r="C265" s="114" t="s">
        <v>1454</v>
      </c>
      <c r="D265" s="114" t="s">
        <v>56</v>
      </c>
      <c r="E265" s="114" t="s">
        <v>1455</v>
      </c>
      <c r="F265" s="114" t="s">
        <v>26</v>
      </c>
      <c r="G265" s="115">
        <v>3488.8989999999999</v>
      </c>
      <c r="H265" s="114">
        <v>3</v>
      </c>
      <c r="I265" s="114" t="s">
        <v>3577</v>
      </c>
      <c r="J265" s="114"/>
      <c r="K265" s="115"/>
      <c r="L265" s="116"/>
      <c r="M265" s="116"/>
      <c r="N265" s="116"/>
      <c r="O265" s="116"/>
      <c r="P265" s="116"/>
      <c r="Q265" s="116"/>
      <c r="R265" s="114" t="s">
        <v>3578</v>
      </c>
      <c r="S265" s="108" t="s">
        <v>3579</v>
      </c>
      <c r="T265" s="108" t="s">
        <v>3580</v>
      </c>
    </row>
    <row r="266" spans="1:20" ht="63.75" x14ac:dyDescent="0.2">
      <c r="A266" s="114" t="s">
        <v>3711</v>
      </c>
      <c r="B266" s="114" t="s">
        <v>326</v>
      </c>
      <c r="C266" s="114" t="s">
        <v>1454</v>
      </c>
      <c r="D266" s="114" t="s">
        <v>56</v>
      </c>
      <c r="E266" s="114" t="s">
        <v>1455</v>
      </c>
      <c r="F266" s="114" t="s">
        <v>26</v>
      </c>
      <c r="G266" s="115">
        <v>3488.8989999999999</v>
      </c>
      <c r="H266" s="114">
        <v>4</v>
      </c>
      <c r="I266" s="114" t="s">
        <v>3581</v>
      </c>
      <c r="J266" s="114"/>
      <c r="K266" s="115"/>
      <c r="L266" s="116"/>
      <c r="M266" s="116"/>
      <c r="N266" s="116"/>
      <c r="O266" s="116"/>
      <c r="P266" s="116"/>
      <c r="Q266" s="116"/>
      <c r="R266" s="114" t="s">
        <v>3578</v>
      </c>
      <c r="S266" s="108" t="s">
        <v>3579</v>
      </c>
      <c r="T266" s="108" t="s">
        <v>3580</v>
      </c>
    </row>
    <row r="267" spans="1:20" ht="63.75" x14ac:dyDescent="0.2">
      <c r="A267" s="114" t="s">
        <v>3713</v>
      </c>
      <c r="B267" s="114" t="s">
        <v>2187</v>
      </c>
      <c r="C267" s="114" t="s">
        <v>2188</v>
      </c>
      <c r="D267" s="114" t="s">
        <v>56</v>
      </c>
      <c r="E267" s="114" t="s">
        <v>1074</v>
      </c>
      <c r="F267" s="114" t="s">
        <v>26</v>
      </c>
      <c r="G267" s="115">
        <v>1131.723</v>
      </c>
      <c r="H267" s="114">
        <v>1</v>
      </c>
      <c r="I267" s="114" t="s">
        <v>3570</v>
      </c>
      <c r="J267" s="114" t="s">
        <v>26</v>
      </c>
      <c r="K267" s="115">
        <v>1</v>
      </c>
      <c r="L267" s="116">
        <v>25.102499999999999</v>
      </c>
      <c r="M267" s="116">
        <f>K267*L267</f>
        <v>25.102499999999999</v>
      </c>
      <c r="N267" s="116">
        <v>0.2223</v>
      </c>
      <c r="O267" s="116">
        <f>P267-M267</f>
        <v>5.5799999999999983</v>
      </c>
      <c r="P267" s="116">
        <v>30.682499999999997</v>
      </c>
      <c r="Q267" s="116">
        <f>G267*P267</f>
        <v>34724.090947499993</v>
      </c>
      <c r="R267" s="114" t="s">
        <v>2349</v>
      </c>
      <c r="S267" s="108" t="s">
        <v>3714</v>
      </c>
      <c r="T267" s="108" t="s">
        <v>3572</v>
      </c>
    </row>
    <row r="268" spans="1:20" ht="63.75" x14ac:dyDescent="0.2">
      <c r="A268" s="114" t="s">
        <v>3713</v>
      </c>
      <c r="B268" s="114" t="s">
        <v>2187</v>
      </c>
      <c r="C268" s="114" t="s">
        <v>2188</v>
      </c>
      <c r="D268" s="114" t="s">
        <v>56</v>
      </c>
      <c r="E268" s="114" t="s">
        <v>1074</v>
      </c>
      <c r="F268" s="114" t="s">
        <v>26</v>
      </c>
      <c r="G268" s="115">
        <v>1131.723</v>
      </c>
      <c r="H268" s="114">
        <v>2</v>
      </c>
      <c r="I268" s="114" t="s">
        <v>3573</v>
      </c>
      <c r="J268" s="114" t="s">
        <v>1283</v>
      </c>
      <c r="K268" s="115">
        <v>0.2223</v>
      </c>
      <c r="L268" s="116">
        <v>25.102499999999999</v>
      </c>
      <c r="M268" s="116">
        <v>0</v>
      </c>
      <c r="N268" s="116">
        <v>0.2223</v>
      </c>
      <c r="O268" s="116">
        <f>O267</f>
        <v>5.5799999999999983</v>
      </c>
      <c r="P268" s="116"/>
      <c r="Q268" s="116"/>
      <c r="R268" s="114" t="s">
        <v>3574</v>
      </c>
      <c r="S268" s="108" t="s">
        <v>3575</v>
      </c>
      <c r="T268" s="108" t="s">
        <v>3576</v>
      </c>
    </row>
    <row r="269" spans="1:20" ht="63.75" x14ac:dyDescent="0.2">
      <c r="A269" s="114" t="s">
        <v>3713</v>
      </c>
      <c r="B269" s="114" t="s">
        <v>2187</v>
      </c>
      <c r="C269" s="114" t="s">
        <v>2188</v>
      </c>
      <c r="D269" s="114" t="s">
        <v>56</v>
      </c>
      <c r="E269" s="114" t="s">
        <v>1074</v>
      </c>
      <c r="F269" s="114" t="s">
        <v>26</v>
      </c>
      <c r="G269" s="115">
        <v>1131.723</v>
      </c>
      <c r="H269" s="114">
        <v>3</v>
      </c>
      <c r="I269" s="114" t="s">
        <v>3577</v>
      </c>
      <c r="J269" s="114"/>
      <c r="K269" s="115"/>
      <c r="L269" s="116"/>
      <c r="M269" s="116"/>
      <c r="N269" s="116"/>
      <c r="O269" s="116"/>
      <c r="P269" s="116"/>
      <c r="Q269" s="116"/>
      <c r="R269" s="114" t="s">
        <v>3578</v>
      </c>
      <c r="S269" s="108" t="s">
        <v>3579</v>
      </c>
      <c r="T269" s="108" t="s">
        <v>3580</v>
      </c>
    </row>
    <row r="270" spans="1:20" ht="63.75" x14ac:dyDescent="0.2">
      <c r="A270" s="114" t="s">
        <v>3713</v>
      </c>
      <c r="B270" s="114" t="s">
        <v>2187</v>
      </c>
      <c r="C270" s="114" t="s">
        <v>2188</v>
      </c>
      <c r="D270" s="114" t="s">
        <v>56</v>
      </c>
      <c r="E270" s="114" t="s">
        <v>1074</v>
      </c>
      <c r="F270" s="114" t="s">
        <v>26</v>
      </c>
      <c r="G270" s="115">
        <v>1131.723</v>
      </c>
      <c r="H270" s="114">
        <v>4</v>
      </c>
      <c r="I270" s="114" t="s">
        <v>3581</v>
      </c>
      <c r="J270" s="114"/>
      <c r="K270" s="115"/>
      <c r="L270" s="116"/>
      <c r="M270" s="116"/>
      <c r="N270" s="116"/>
      <c r="O270" s="116"/>
      <c r="P270" s="116"/>
      <c r="Q270" s="116"/>
      <c r="R270" s="114" t="s">
        <v>3578</v>
      </c>
      <c r="S270" s="108" t="s">
        <v>3579</v>
      </c>
      <c r="T270" s="108" t="s">
        <v>3580</v>
      </c>
    </row>
    <row r="271" spans="1:20" ht="51" x14ac:dyDescent="0.2">
      <c r="A271" s="114" t="s">
        <v>3715</v>
      </c>
      <c r="B271" s="114" t="s">
        <v>225</v>
      </c>
      <c r="C271" s="114" t="s">
        <v>1397</v>
      </c>
      <c r="D271" s="114" t="s">
        <v>56</v>
      </c>
      <c r="E271" s="114" t="s">
        <v>204</v>
      </c>
      <c r="F271" s="114" t="s">
        <v>180</v>
      </c>
      <c r="G271" s="115">
        <v>3357.0189999999998</v>
      </c>
      <c r="H271" s="114">
        <v>1</v>
      </c>
      <c r="I271" s="114" t="s">
        <v>3570</v>
      </c>
      <c r="J271" s="114" t="s">
        <v>180</v>
      </c>
      <c r="K271" s="115">
        <v>1</v>
      </c>
      <c r="L271" s="116">
        <v>8.3925000000000001</v>
      </c>
      <c r="M271" s="116">
        <f>K271*L271</f>
        <v>8.3925000000000001</v>
      </c>
      <c r="N271" s="116">
        <v>0.2223</v>
      </c>
      <c r="O271" s="116">
        <f>P271-M271</f>
        <v>1.8599999999999994</v>
      </c>
      <c r="P271" s="116">
        <v>10.2525</v>
      </c>
      <c r="Q271" s="116">
        <f>G271*P271</f>
        <v>34417.837297499995</v>
      </c>
      <c r="R271" s="114" t="s">
        <v>2349</v>
      </c>
      <c r="S271" s="108" t="s">
        <v>3716</v>
      </c>
      <c r="T271" s="108" t="s">
        <v>3572</v>
      </c>
    </row>
    <row r="272" spans="1:20" ht="51" x14ac:dyDescent="0.2">
      <c r="A272" s="114" t="s">
        <v>3715</v>
      </c>
      <c r="B272" s="114" t="s">
        <v>225</v>
      </c>
      <c r="C272" s="114" t="s">
        <v>1397</v>
      </c>
      <c r="D272" s="114" t="s">
        <v>56</v>
      </c>
      <c r="E272" s="114" t="s">
        <v>204</v>
      </c>
      <c r="F272" s="114" t="s">
        <v>180</v>
      </c>
      <c r="G272" s="115">
        <v>3357.0189999999998</v>
      </c>
      <c r="H272" s="114">
        <v>2</v>
      </c>
      <c r="I272" s="114" t="s">
        <v>3573</v>
      </c>
      <c r="J272" s="114" t="s">
        <v>1283</v>
      </c>
      <c r="K272" s="115">
        <v>0.2223</v>
      </c>
      <c r="L272" s="116">
        <v>8.3925000000000001</v>
      </c>
      <c r="M272" s="116">
        <v>0</v>
      </c>
      <c r="N272" s="116">
        <v>0.2223</v>
      </c>
      <c r="O272" s="116">
        <f>O271</f>
        <v>1.8599999999999994</v>
      </c>
      <c r="P272" s="116"/>
      <c r="Q272" s="116"/>
      <c r="R272" s="114" t="s">
        <v>3574</v>
      </c>
      <c r="S272" s="108" t="s">
        <v>3575</v>
      </c>
      <c r="T272" s="108" t="s">
        <v>3576</v>
      </c>
    </row>
    <row r="273" spans="1:20" ht="51" x14ac:dyDescent="0.2">
      <c r="A273" s="114" t="s">
        <v>3715</v>
      </c>
      <c r="B273" s="114" t="s">
        <v>225</v>
      </c>
      <c r="C273" s="114" t="s">
        <v>1397</v>
      </c>
      <c r="D273" s="114" t="s">
        <v>56</v>
      </c>
      <c r="E273" s="114" t="s">
        <v>204</v>
      </c>
      <c r="F273" s="114" t="s">
        <v>180</v>
      </c>
      <c r="G273" s="115">
        <v>3357.0189999999998</v>
      </c>
      <c r="H273" s="114">
        <v>3</v>
      </c>
      <c r="I273" s="114" t="s">
        <v>3577</v>
      </c>
      <c r="J273" s="114"/>
      <c r="K273" s="115"/>
      <c r="L273" s="116"/>
      <c r="M273" s="116"/>
      <c r="N273" s="116"/>
      <c r="O273" s="116"/>
      <c r="P273" s="116"/>
      <c r="Q273" s="116"/>
      <c r="R273" s="114" t="s">
        <v>3578</v>
      </c>
      <c r="S273" s="108" t="s">
        <v>3579</v>
      </c>
      <c r="T273" s="108" t="s">
        <v>3580</v>
      </c>
    </row>
    <row r="274" spans="1:20" ht="51" x14ac:dyDescent="0.2">
      <c r="A274" s="114" t="s">
        <v>3715</v>
      </c>
      <c r="B274" s="114" t="s">
        <v>225</v>
      </c>
      <c r="C274" s="114" t="s">
        <v>1397</v>
      </c>
      <c r="D274" s="114" t="s">
        <v>56</v>
      </c>
      <c r="E274" s="114" t="s">
        <v>204</v>
      </c>
      <c r="F274" s="114" t="s">
        <v>180</v>
      </c>
      <c r="G274" s="115">
        <v>3357.0189999999998</v>
      </c>
      <c r="H274" s="114">
        <v>4</v>
      </c>
      <c r="I274" s="114" t="s">
        <v>3581</v>
      </c>
      <c r="J274" s="114"/>
      <c r="K274" s="115"/>
      <c r="L274" s="116"/>
      <c r="M274" s="116"/>
      <c r="N274" s="116"/>
      <c r="O274" s="116"/>
      <c r="P274" s="116"/>
      <c r="Q274" s="116"/>
      <c r="R274" s="114" t="s">
        <v>3578</v>
      </c>
      <c r="S274" s="108" t="s">
        <v>3579</v>
      </c>
      <c r="T274" s="108" t="s">
        <v>3580</v>
      </c>
    </row>
    <row r="275" spans="1:20" ht="38.25" x14ac:dyDescent="0.2">
      <c r="A275" s="114" t="s">
        <v>3717</v>
      </c>
      <c r="B275" s="114" t="s">
        <v>420</v>
      </c>
      <c r="C275" s="114" t="s">
        <v>1499</v>
      </c>
      <c r="D275" s="114" t="s">
        <v>56</v>
      </c>
      <c r="E275" s="114" t="s">
        <v>1500</v>
      </c>
      <c r="F275" s="114" t="s">
        <v>26</v>
      </c>
      <c r="G275" s="115">
        <v>2257.8420000000001</v>
      </c>
      <c r="H275" s="114">
        <v>1</v>
      </c>
      <c r="I275" s="114" t="s">
        <v>3570</v>
      </c>
      <c r="J275" s="114" t="s">
        <v>26</v>
      </c>
      <c r="K275" s="115">
        <v>1</v>
      </c>
      <c r="L275" s="116">
        <v>12.375</v>
      </c>
      <c r="M275" s="116">
        <f>K275*L275</f>
        <v>12.375</v>
      </c>
      <c r="N275" s="116">
        <v>0.2223</v>
      </c>
      <c r="O275" s="116">
        <f>P275-M275</f>
        <v>2.745000000000001</v>
      </c>
      <c r="P275" s="116">
        <v>15.120000000000001</v>
      </c>
      <c r="Q275" s="116">
        <f>G275*P275</f>
        <v>34138.571040000003</v>
      </c>
      <c r="R275" s="114" t="s">
        <v>2349</v>
      </c>
      <c r="S275" s="108" t="s">
        <v>3718</v>
      </c>
      <c r="T275" s="108" t="s">
        <v>3572</v>
      </c>
    </row>
    <row r="276" spans="1:20" ht="25.5" x14ac:dyDescent="0.2">
      <c r="A276" s="114" t="s">
        <v>3717</v>
      </c>
      <c r="B276" s="114" t="s">
        <v>420</v>
      </c>
      <c r="C276" s="114" t="s">
        <v>1499</v>
      </c>
      <c r="D276" s="114" t="s">
        <v>56</v>
      </c>
      <c r="E276" s="114" t="s">
        <v>1500</v>
      </c>
      <c r="F276" s="114" t="s">
        <v>26</v>
      </c>
      <c r="G276" s="115">
        <v>2257.8420000000001</v>
      </c>
      <c r="H276" s="114">
        <v>2</v>
      </c>
      <c r="I276" s="114" t="s">
        <v>3573</v>
      </c>
      <c r="J276" s="114" t="s">
        <v>1283</v>
      </c>
      <c r="K276" s="115">
        <v>0.2223</v>
      </c>
      <c r="L276" s="116">
        <v>12.375</v>
      </c>
      <c r="M276" s="116">
        <v>0</v>
      </c>
      <c r="N276" s="116">
        <v>0.2223</v>
      </c>
      <c r="O276" s="116">
        <f>O275</f>
        <v>2.745000000000001</v>
      </c>
      <c r="P276" s="116"/>
      <c r="Q276" s="116"/>
      <c r="R276" s="114" t="s">
        <v>3574</v>
      </c>
      <c r="S276" s="108" t="s">
        <v>3575</v>
      </c>
      <c r="T276" s="108" t="s">
        <v>3576</v>
      </c>
    </row>
    <row r="277" spans="1:20" ht="25.5" x14ac:dyDescent="0.2">
      <c r="A277" s="114" t="s">
        <v>3717</v>
      </c>
      <c r="B277" s="114" t="s">
        <v>420</v>
      </c>
      <c r="C277" s="114" t="s">
        <v>1499</v>
      </c>
      <c r="D277" s="114" t="s">
        <v>56</v>
      </c>
      <c r="E277" s="114" t="s">
        <v>1500</v>
      </c>
      <c r="F277" s="114" t="s">
        <v>26</v>
      </c>
      <c r="G277" s="115">
        <v>2257.8420000000001</v>
      </c>
      <c r="H277" s="114">
        <v>3</v>
      </c>
      <c r="I277" s="114" t="s">
        <v>3577</v>
      </c>
      <c r="J277" s="114"/>
      <c r="K277" s="115"/>
      <c r="L277" s="116"/>
      <c r="M277" s="116"/>
      <c r="N277" s="116"/>
      <c r="O277" s="116"/>
      <c r="P277" s="116"/>
      <c r="Q277" s="116"/>
      <c r="R277" s="114" t="s">
        <v>3578</v>
      </c>
      <c r="S277" s="108" t="s">
        <v>3579</v>
      </c>
      <c r="T277" s="108" t="s">
        <v>3580</v>
      </c>
    </row>
    <row r="278" spans="1:20" ht="25.5" x14ac:dyDescent="0.2">
      <c r="A278" s="114" t="s">
        <v>3717</v>
      </c>
      <c r="B278" s="114" t="s">
        <v>420</v>
      </c>
      <c r="C278" s="114" t="s">
        <v>1499</v>
      </c>
      <c r="D278" s="114" t="s">
        <v>56</v>
      </c>
      <c r="E278" s="114" t="s">
        <v>1500</v>
      </c>
      <c r="F278" s="114" t="s">
        <v>26</v>
      </c>
      <c r="G278" s="115">
        <v>2257.8420000000001</v>
      </c>
      <c r="H278" s="114">
        <v>4</v>
      </c>
      <c r="I278" s="114" t="s">
        <v>3581</v>
      </c>
      <c r="J278" s="114"/>
      <c r="K278" s="115"/>
      <c r="L278" s="116"/>
      <c r="M278" s="116"/>
      <c r="N278" s="116"/>
      <c r="O278" s="116"/>
      <c r="P278" s="116"/>
      <c r="Q278" s="116"/>
      <c r="R278" s="114" t="s">
        <v>3578</v>
      </c>
      <c r="S278" s="108" t="s">
        <v>3579</v>
      </c>
      <c r="T278" s="108" t="s">
        <v>3580</v>
      </c>
    </row>
    <row r="279" spans="1:20" ht="38.25" x14ac:dyDescent="0.2">
      <c r="A279" s="114" t="s">
        <v>3719</v>
      </c>
      <c r="B279" s="114" t="s">
        <v>207</v>
      </c>
      <c r="C279" s="114" t="s">
        <v>208</v>
      </c>
      <c r="D279" s="114" t="s">
        <v>209</v>
      </c>
      <c r="E279" s="114" t="s">
        <v>210</v>
      </c>
      <c r="F279" s="114" t="s">
        <v>118</v>
      </c>
      <c r="G279" s="115">
        <v>52.64</v>
      </c>
      <c r="H279" s="114">
        <v>1</v>
      </c>
      <c r="I279" s="114" t="s">
        <v>3570</v>
      </c>
      <c r="J279" s="114" t="s">
        <v>118</v>
      </c>
      <c r="K279" s="115">
        <v>1</v>
      </c>
      <c r="L279" s="116">
        <v>520.93500000000006</v>
      </c>
      <c r="M279" s="116">
        <f>K279*L279</f>
        <v>520.93500000000006</v>
      </c>
      <c r="N279" s="116">
        <v>0.2223</v>
      </c>
      <c r="O279" s="116">
        <f>P279-M279</f>
        <v>115.79999999999995</v>
      </c>
      <c r="P279" s="116">
        <v>636.73500000000001</v>
      </c>
      <c r="Q279" s="116">
        <f>G279*P279</f>
        <v>33517.7304</v>
      </c>
      <c r="R279" s="114" t="s">
        <v>3583</v>
      </c>
      <c r="S279" s="108" t="s">
        <v>3720</v>
      </c>
      <c r="T279" s="108" t="s">
        <v>3572</v>
      </c>
    </row>
    <row r="280" spans="1:20" ht="38.25" x14ac:dyDescent="0.2">
      <c r="A280" s="114" t="s">
        <v>3719</v>
      </c>
      <c r="B280" s="114" t="s">
        <v>207</v>
      </c>
      <c r="C280" s="114" t="s">
        <v>208</v>
      </c>
      <c r="D280" s="114" t="s">
        <v>209</v>
      </c>
      <c r="E280" s="114" t="s">
        <v>210</v>
      </c>
      <c r="F280" s="114" t="s">
        <v>118</v>
      </c>
      <c r="G280" s="115">
        <v>52.64</v>
      </c>
      <c r="H280" s="114">
        <v>2</v>
      </c>
      <c r="I280" s="114" t="s">
        <v>3573</v>
      </c>
      <c r="J280" s="114" t="s">
        <v>1283</v>
      </c>
      <c r="K280" s="115">
        <v>0.2223</v>
      </c>
      <c r="L280" s="116">
        <v>520.93500000000006</v>
      </c>
      <c r="M280" s="116">
        <v>0</v>
      </c>
      <c r="N280" s="116">
        <v>0.2223</v>
      </c>
      <c r="O280" s="116">
        <f>O279</f>
        <v>115.79999999999995</v>
      </c>
      <c r="P280" s="116"/>
      <c r="Q280" s="116"/>
      <c r="R280" s="114" t="s">
        <v>3574</v>
      </c>
      <c r="S280" s="108" t="s">
        <v>3575</v>
      </c>
      <c r="T280" s="108" t="s">
        <v>3576</v>
      </c>
    </row>
    <row r="281" spans="1:20" ht="38.25" x14ac:dyDescent="0.2">
      <c r="A281" s="114" t="s">
        <v>3719</v>
      </c>
      <c r="B281" s="114" t="s">
        <v>207</v>
      </c>
      <c r="C281" s="114" t="s">
        <v>208</v>
      </c>
      <c r="D281" s="114" t="s">
        <v>209</v>
      </c>
      <c r="E281" s="114" t="s">
        <v>210</v>
      </c>
      <c r="F281" s="114" t="s">
        <v>118</v>
      </c>
      <c r="G281" s="115">
        <v>52.64</v>
      </c>
      <c r="H281" s="114">
        <v>3</v>
      </c>
      <c r="I281" s="114" t="s">
        <v>3577</v>
      </c>
      <c r="J281" s="114"/>
      <c r="K281" s="115"/>
      <c r="L281" s="116"/>
      <c r="M281" s="116"/>
      <c r="N281" s="116"/>
      <c r="O281" s="116"/>
      <c r="P281" s="116"/>
      <c r="Q281" s="116"/>
      <c r="R281" s="114" t="s">
        <v>3578</v>
      </c>
      <c r="S281" s="108" t="s">
        <v>3579</v>
      </c>
      <c r="T281" s="108" t="s">
        <v>3580</v>
      </c>
    </row>
    <row r="282" spans="1:20" ht="38.25" x14ac:dyDescent="0.2">
      <c r="A282" s="114" t="s">
        <v>3719</v>
      </c>
      <c r="B282" s="114" t="s">
        <v>207</v>
      </c>
      <c r="C282" s="114" t="s">
        <v>208</v>
      </c>
      <c r="D282" s="114" t="s">
        <v>209</v>
      </c>
      <c r="E282" s="114" t="s">
        <v>210</v>
      </c>
      <c r="F282" s="114" t="s">
        <v>118</v>
      </c>
      <c r="G282" s="115">
        <v>52.64</v>
      </c>
      <c r="H282" s="114">
        <v>4</v>
      </c>
      <c r="I282" s="114" t="s">
        <v>3581</v>
      </c>
      <c r="J282" s="114"/>
      <c r="K282" s="115"/>
      <c r="L282" s="116"/>
      <c r="M282" s="116"/>
      <c r="N282" s="116"/>
      <c r="O282" s="116"/>
      <c r="P282" s="116"/>
      <c r="Q282" s="116"/>
      <c r="R282" s="114" t="s">
        <v>3578</v>
      </c>
      <c r="S282" s="108" t="s">
        <v>3579</v>
      </c>
      <c r="T282" s="108" t="s">
        <v>3580</v>
      </c>
    </row>
    <row r="283" spans="1:20" ht="51" x14ac:dyDescent="0.2">
      <c r="A283" s="114" t="s">
        <v>3721</v>
      </c>
      <c r="B283" s="114" t="s">
        <v>174</v>
      </c>
      <c r="C283" s="114" t="s">
        <v>1378</v>
      </c>
      <c r="D283" s="114" t="s">
        <v>56</v>
      </c>
      <c r="E283" s="114" t="s">
        <v>175</v>
      </c>
      <c r="F283" s="114" t="s">
        <v>26</v>
      </c>
      <c r="G283" s="115">
        <v>204.94</v>
      </c>
      <c r="H283" s="114">
        <v>1</v>
      </c>
      <c r="I283" s="114" t="s">
        <v>3570</v>
      </c>
      <c r="J283" s="114" t="s">
        <v>26</v>
      </c>
      <c r="K283" s="115">
        <v>1</v>
      </c>
      <c r="L283" s="116">
        <v>124.46249999999999</v>
      </c>
      <c r="M283" s="116">
        <f>K283*L283</f>
        <v>124.46249999999999</v>
      </c>
      <c r="N283" s="116">
        <v>0.2223</v>
      </c>
      <c r="O283" s="116">
        <f>P283-M283</f>
        <v>27.667500000000004</v>
      </c>
      <c r="P283" s="116">
        <v>152.13</v>
      </c>
      <c r="Q283" s="116">
        <f>G283*P283</f>
        <v>31177.522199999999</v>
      </c>
      <c r="R283" s="114" t="s">
        <v>2349</v>
      </c>
      <c r="S283" s="108" t="s">
        <v>3722</v>
      </c>
      <c r="T283" s="108" t="s">
        <v>3572</v>
      </c>
    </row>
    <row r="284" spans="1:20" ht="51" x14ac:dyDescent="0.2">
      <c r="A284" s="114" t="s">
        <v>3721</v>
      </c>
      <c r="B284" s="114" t="s">
        <v>174</v>
      </c>
      <c r="C284" s="114" t="s">
        <v>1378</v>
      </c>
      <c r="D284" s="114" t="s">
        <v>56</v>
      </c>
      <c r="E284" s="114" t="s">
        <v>175</v>
      </c>
      <c r="F284" s="114" t="s">
        <v>26</v>
      </c>
      <c r="G284" s="115">
        <v>204.94</v>
      </c>
      <c r="H284" s="114">
        <v>2</v>
      </c>
      <c r="I284" s="114" t="s">
        <v>3573</v>
      </c>
      <c r="J284" s="114" t="s">
        <v>1283</v>
      </c>
      <c r="K284" s="115">
        <v>0.2223</v>
      </c>
      <c r="L284" s="116">
        <v>124.46249999999999</v>
      </c>
      <c r="M284" s="116">
        <v>0</v>
      </c>
      <c r="N284" s="116">
        <v>0.2223</v>
      </c>
      <c r="O284" s="116">
        <f>O283</f>
        <v>27.667500000000004</v>
      </c>
      <c r="P284" s="116"/>
      <c r="Q284" s="116"/>
      <c r="R284" s="114" t="s">
        <v>3574</v>
      </c>
      <c r="S284" s="108" t="s">
        <v>3575</v>
      </c>
      <c r="T284" s="108" t="s">
        <v>3576</v>
      </c>
    </row>
    <row r="285" spans="1:20" ht="51" x14ac:dyDescent="0.2">
      <c r="A285" s="114" t="s">
        <v>3721</v>
      </c>
      <c r="B285" s="114" t="s">
        <v>174</v>
      </c>
      <c r="C285" s="114" t="s">
        <v>1378</v>
      </c>
      <c r="D285" s="114" t="s">
        <v>56</v>
      </c>
      <c r="E285" s="114" t="s">
        <v>175</v>
      </c>
      <c r="F285" s="114" t="s">
        <v>26</v>
      </c>
      <c r="G285" s="115">
        <v>204.94</v>
      </c>
      <c r="H285" s="114">
        <v>3</v>
      </c>
      <c r="I285" s="114" t="s">
        <v>3577</v>
      </c>
      <c r="J285" s="114"/>
      <c r="K285" s="115"/>
      <c r="L285" s="116"/>
      <c r="M285" s="116"/>
      <c r="N285" s="116"/>
      <c r="O285" s="116"/>
      <c r="P285" s="116"/>
      <c r="Q285" s="116"/>
      <c r="R285" s="114" t="s">
        <v>3578</v>
      </c>
      <c r="S285" s="108" t="s">
        <v>3579</v>
      </c>
      <c r="T285" s="108" t="s">
        <v>3580</v>
      </c>
    </row>
    <row r="286" spans="1:20" ht="51" x14ac:dyDescent="0.2">
      <c r="A286" s="114" t="s">
        <v>3721</v>
      </c>
      <c r="B286" s="114" t="s">
        <v>174</v>
      </c>
      <c r="C286" s="114" t="s">
        <v>1378</v>
      </c>
      <c r="D286" s="114" t="s">
        <v>56</v>
      </c>
      <c r="E286" s="114" t="s">
        <v>175</v>
      </c>
      <c r="F286" s="114" t="s">
        <v>26</v>
      </c>
      <c r="G286" s="115">
        <v>204.94</v>
      </c>
      <c r="H286" s="114">
        <v>4</v>
      </c>
      <c r="I286" s="114" t="s">
        <v>3581</v>
      </c>
      <c r="J286" s="114"/>
      <c r="K286" s="115"/>
      <c r="L286" s="116"/>
      <c r="M286" s="116"/>
      <c r="N286" s="116"/>
      <c r="O286" s="116"/>
      <c r="P286" s="116"/>
      <c r="Q286" s="116"/>
      <c r="R286" s="114" t="s">
        <v>3578</v>
      </c>
      <c r="S286" s="108" t="s">
        <v>3579</v>
      </c>
      <c r="T286" s="108" t="s">
        <v>3580</v>
      </c>
    </row>
    <row r="287" spans="1:20" ht="38.25" x14ac:dyDescent="0.2">
      <c r="A287" s="114" t="s">
        <v>3723</v>
      </c>
      <c r="B287" s="114" t="s">
        <v>64</v>
      </c>
      <c r="C287" s="114" t="s">
        <v>1335</v>
      </c>
      <c r="D287" s="114" t="s">
        <v>56</v>
      </c>
      <c r="E287" s="114" t="s">
        <v>1336</v>
      </c>
      <c r="F287" s="114" t="s">
        <v>61</v>
      </c>
      <c r="G287" s="115">
        <v>600</v>
      </c>
      <c r="H287" s="114">
        <v>1</v>
      </c>
      <c r="I287" s="114" t="s">
        <v>3570</v>
      </c>
      <c r="J287" s="114" t="s">
        <v>61</v>
      </c>
      <c r="K287" s="115">
        <v>1</v>
      </c>
      <c r="L287" s="116">
        <v>42.412499999999994</v>
      </c>
      <c r="M287" s="116">
        <f>K287*L287</f>
        <v>42.412499999999994</v>
      </c>
      <c r="N287" s="116">
        <v>0.2223</v>
      </c>
      <c r="O287" s="116">
        <f>P287-M287</f>
        <v>9.4275000000000091</v>
      </c>
      <c r="P287" s="116">
        <v>51.84</v>
      </c>
      <c r="Q287" s="116">
        <f>G287*P287</f>
        <v>31104.000000000004</v>
      </c>
      <c r="R287" s="114" t="s">
        <v>2349</v>
      </c>
      <c r="S287" s="108" t="s">
        <v>3724</v>
      </c>
      <c r="T287" s="108" t="s">
        <v>3572</v>
      </c>
    </row>
    <row r="288" spans="1:20" ht="25.5" x14ac:dyDescent="0.2">
      <c r="A288" s="114" t="s">
        <v>3723</v>
      </c>
      <c r="B288" s="114" t="s">
        <v>64</v>
      </c>
      <c r="C288" s="114" t="s">
        <v>1335</v>
      </c>
      <c r="D288" s="114" t="s">
        <v>56</v>
      </c>
      <c r="E288" s="114" t="s">
        <v>1336</v>
      </c>
      <c r="F288" s="114" t="s">
        <v>61</v>
      </c>
      <c r="G288" s="115">
        <v>600</v>
      </c>
      <c r="H288" s="114">
        <v>2</v>
      </c>
      <c r="I288" s="114" t="s">
        <v>3573</v>
      </c>
      <c r="J288" s="114" t="s">
        <v>1283</v>
      </c>
      <c r="K288" s="115">
        <v>0.2223</v>
      </c>
      <c r="L288" s="116">
        <v>42.412499999999994</v>
      </c>
      <c r="M288" s="116">
        <v>0</v>
      </c>
      <c r="N288" s="116">
        <v>0.2223</v>
      </c>
      <c r="O288" s="116">
        <f>O287</f>
        <v>9.4275000000000091</v>
      </c>
      <c r="P288" s="116"/>
      <c r="Q288" s="116"/>
      <c r="R288" s="114" t="s">
        <v>3574</v>
      </c>
      <c r="S288" s="108" t="s">
        <v>3575</v>
      </c>
      <c r="T288" s="108" t="s">
        <v>3576</v>
      </c>
    </row>
    <row r="289" spans="1:20" ht="25.5" x14ac:dyDescent="0.2">
      <c r="A289" s="114" t="s">
        <v>3723</v>
      </c>
      <c r="B289" s="114" t="s">
        <v>64</v>
      </c>
      <c r="C289" s="114" t="s">
        <v>1335</v>
      </c>
      <c r="D289" s="114" t="s">
        <v>56</v>
      </c>
      <c r="E289" s="114" t="s">
        <v>1336</v>
      </c>
      <c r="F289" s="114" t="s">
        <v>61</v>
      </c>
      <c r="G289" s="115">
        <v>600</v>
      </c>
      <c r="H289" s="114">
        <v>3</v>
      </c>
      <c r="I289" s="114" t="s">
        <v>3577</v>
      </c>
      <c r="J289" s="114"/>
      <c r="K289" s="115"/>
      <c r="L289" s="116"/>
      <c r="M289" s="116"/>
      <c r="N289" s="116"/>
      <c r="O289" s="116"/>
      <c r="P289" s="116"/>
      <c r="Q289" s="116"/>
      <c r="R289" s="114" t="s">
        <v>3578</v>
      </c>
      <c r="S289" s="108" t="s">
        <v>3579</v>
      </c>
      <c r="T289" s="108" t="s">
        <v>3580</v>
      </c>
    </row>
    <row r="290" spans="1:20" ht="25.5" x14ac:dyDescent="0.2">
      <c r="A290" s="114" t="s">
        <v>3723</v>
      </c>
      <c r="B290" s="114" t="s">
        <v>64</v>
      </c>
      <c r="C290" s="114" t="s">
        <v>1335</v>
      </c>
      <c r="D290" s="114" t="s">
        <v>56</v>
      </c>
      <c r="E290" s="114" t="s">
        <v>1336</v>
      </c>
      <c r="F290" s="114" t="s">
        <v>61</v>
      </c>
      <c r="G290" s="115">
        <v>600</v>
      </c>
      <c r="H290" s="114">
        <v>4</v>
      </c>
      <c r="I290" s="114" t="s">
        <v>3581</v>
      </c>
      <c r="J290" s="114"/>
      <c r="K290" s="115"/>
      <c r="L290" s="116"/>
      <c r="M290" s="116"/>
      <c r="N290" s="116"/>
      <c r="O290" s="116"/>
      <c r="P290" s="116"/>
      <c r="Q290" s="116"/>
      <c r="R290" s="114" t="s">
        <v>3578</v>
      </c>
      <c r="S290" s="108" t="s">
        <v>3579</v>
      </c>
      <c r="T290" s="108" t="s">
        <v>3580</v>
      </c>
    </row>
    <row r="291" spans="1:20" ht="38.25" x14ac:dyDescent="0.2">
      <c r="A291" s="114" t="s">
        <v>3725</v>
      </c>
      <c r="B291" s="114" t="s">
        <v>142</v>
      </c>
      <c r="C291" s="114" t="s">
        <v>1364</v>
      </c>
      <c r="D291" s="114" t="s">
        <v>56</v>
      </c>
      <c r="E291" s="114" t="s">
        <v>143</v>
      </c>
      <c r="F291" s="114" t="s">
        <v>118</v>
      </c>
      <c r="G291" s="115">
        <v>260.41899999999998</v>
      </c>
      <c r="H291" s="114">
        <v>1</v>
      </c>
      <c r="I291" s="114" t="s">
        <v>3570</v>
      </c>
      <c r="J291" s="114" t="s">
        <v>118</v>
      </c>
      <c r="K291" s="115">
        <v>1</v>
      </c>
      <c r="L291" s="116">
        <v>94.605000000000004</v>
      </c>
      <c r="M291" s="116">
        <f>K291*L291</f>
        <v>94.605000000000004</v>
      </c>
      <c r="N291" s="116">
        <v>0.2223</v>
      </c>
      <c r="O291" s="116">
        <f>P291-M291</f>
        <v>21.03</v>
      </c>
      <c r="P291" s="116">
        <v>115.63500000000001</v>
      </c>
      <c r="Q291" s="116">
        <f>G291*P291</f>
        <v>30113.551065</v>
      </c>
      <c r="R291" s="114" t="s">
        <v>2349</v>
      </c>
      <c r="S291" s="108" t="s">
        <v>3726</v>
      </c>
      <c r="T291" s="108" t="s">
        <v>3572</v>
      </c>
    </row>
    <row r="292" spans="1:20" ht="25.5" x14ac:dyDescent="0.2">
      <c r="A292" s="114" t="s">
        <v>3725</v>
      </c>
      <c r="B292" s="114" t="s">
        <v>142</v>
      </c>
      <c r="C292" s="114" t="s">
        <v>1364</v>
      </c>
      <c r="D292" s="114" t="s">
        <v>56</v>
      </c>
      <c r="E292" s="114" t="s">
        <v>143</v>
      </c>
      <c r="F292" s="114" t="s">
        <v>118</v>
      </c>
      <c r="G292" s="115">
        <v>260.41899999999998</v>
      </c>
      <c r="H292" s="114">
        <v>2</v>
      </c>
      <c r="I292" s="114" t="s">
        <v>3573</v>
      </c>
      <c r="J292" s="114" t="s">
        <v>1283</v>
      </c>
      <c r="K292" s="115">
        <v>0.2223</v>
      </c>
      <c r="L292" s="116">
        <v>94.605000000000004</v>
      </c>
      <c r="M292" s="116">
        <v>0</v>
      </c>
      <c r="N292" s="116">
        <v>0.2223</v>
      </c>
      <c r="O292" s="116">
        <f>O291</f>
        <v>21.03</v>
      </c>
      <c r="P292" s="116"/>
      <c r="Q292" s="116"/>
      <c r="R292" s="114" t="s">
        <v>3574</v>
      </c>
      <c r="S292" s="108" t="s">
        <v>3575</v>
      </c>
      <c r="T292" s="108" t="s">
        <v>3576</v>
      </c>
    </row>
    <row r="293" spans="1:20" ht="25.5" x14ac:dyDescent="0.2">
      <c r="A293" s="114" t="s">
        <v>3725</v>
      </c>
      <c r="B293" s="114" t="s">
        <v>142</v>
      </c>
      <c r="C293" s="114" t="s">
        <v>1364</v>
      </c>
      <c r="D293" s="114" t="s">
        <v>56</v>
      </c>
      <c r="E293" s="114" t="s">
        <v>143</v>
      </c>
      <c r="F293" s="114" t="s">
        <v>118</v>
      </c>
      <c r="G293" s="115">
        <v>260.41899999999998</v>
      </c>
      <c r="H293" s="114">
        <v>3</v>
      </c>
      <c r="I293" s="114" t="s">
        <v>3577</v>
      </c>
      <c r="J293" s="114"/>
      <c r="K293" s="115"/>
      <c r="L293" s="116"/>
      <c r="M293" s="116"/>
      <c r="N293" s="116"/>
      <c r="O293" s="116"/>
      <c r="P293" s="116"/>
      <c r="Q293" s="116"/>
      <c r="R293" s="114" t="s">
        <v>3578</v>
      </c>
      <c r="S293" s="108" t="s">
        <v>3579</v>
      </c>
      <c r="T293" s="108" t="s">
        <v>3580</v>
      </c>
    </row>
    <row r="294" spans="1:20" ht="25.5" x14ac:dyDescent="0.2">
      <c r="A294" s="114" t="s">
        <v>3725</v>
      </c>
      <c r="B294" s="114" t="s">
        <v>142</v>
      </c>
      <c r="C294" s="114" t="s">
        <v>1364</v>
      </c>
      <c r="D294" s="114" t="s">
        <v>56</v>
      </c>
      <c r="E294" s="114" t="s">
        <v>143</v>
      </c>
      <c r="F294" s="114" t="s">
        <v>118</v>
      </c>
      <c r="G294" s="115">
        <v>260.41899999999998</v>
      </c>
      <c r="H294" s="114">
        <v>4</v>
      </c>
      <c r="I294" s="114" t="s">
        <v>3581</v>
      </c>
      <c r="J294" s="114"/>
      <c r="K294" s="115"/>
      <c r="L294" s="116"/>
      <c r="M294" s="116"/>
      <c r="N294" s="116"/>
      <c r="O294" s="116"/>
      <c r="P294" s="116"/>
      <c r="Q294" s="116"/>
      <c r="R294" s="114" t="s">
        <v>3578</v>
      </c>
      <c r="S294" s="108" t="s">
        <v>3579</v>
      </c>
      <c r="T294" s="108" t="s">
        <v>3580</v>
      </c>
    </row>
    <row r="295" spans="1:20" ht="63.75" x14ac:dyDescent="0.2">
      <c r="A295" s="114" t="s">
        <v>3727</v>
      </c>
      <c r="B295" s="114" t="s">
        <v>109</v>
      </c>
      <c r="C295" s="114" t="s">
        <v>1352</v>
      </c>
      <c r="D295" s="114" t="s">
        <v>24</v>
      </c>
      <c r="E295" s="114" t="s">
        <v>111</v>
      </c>
      <c r="F295" s="114" t="s">
        <v>99</v>
      </c>
      <c r="G295" s="115">
        <v>210</v>
      </c>
      <c r="H295" s="114">
        <v>1</v>
      </c>
      <c r="I295" s="114" t="s">
        <v>3570</v>
      </c>
      <c r="J295" s="114" t="s">
        <v>99</v>
      </c>
      <c r="K295" s="115">
        <v>1</v>
      </c>
      <c r="L295" s="116">
        <v>114.435</v>
      </c>
      <c r="M295" s="116">
        <f>K295*L295</f>
        <v>114.435</v>
      </c>
      <c r="N295" s="116">
        <v>0.2223</v>
      </c>
      <c r="O295" s="116">
        <f>P295-M295</f>
        <v>25.432500000000005</v>
      </c>
      <c r="P295" s="116">
        <v>139.86750000000001</v>
      </c>
      <c r="Q295" s="116">
        <f>G295*P295</f>
        <v>29372.175000000003</v>
      </c>
      <c r="R295" s="114" t="s">
        <v>2332</v>
      </c>
      <c r="S295" s="108" t="s">
        <v>3728</v>
      </c>
      <c r="T295" s="108" t="s">
        <v>3572</v>
      </c>
    </row>
    <row r="296" spans="1:20" ht="63.75" x14ac:dyDescent="0.2">
      <c r="A296" s="114" t="s">
        <v>3727</v>
      </c>
      <c r="B296" s="114" t="s">
        <v>109</v>
      </c>
      <c r="C296" s="114" t="s">
        <v>1352</v>
      </c>
      <c r="D296" s="114" t="s">
        <v>24</v>
      </c>
      <c r="E296" s="114" t="s">
        <v>111</v>
      </c>
      <c r="F296" s="114" t="s">
        <v>99</v>
      </c>
      <c r="G296" s="115">
        <v>210</v>
      </c>
      <c r="H296" s="114">
        <v>2</v>
      </c>
      <c r="I296" s="114" t="s">
        <v>3573</v>
      </c>
      <c r="J296" s="114" t="s">
        <v>1283</v>
      </c>
      <c r="K296" s="115">
        <v>0.2223</v>
      </c>
      <c r="L296" s="116">
        <v>114.435</v>
      </c>
      <c r="M296" s="116">
        <v>0</v>
      </c>
      <c r="N296" s="116">
        <v>0.2223</v>
      </c>
      <c r="O296" s="116">
        <f>O295</f>
        <v>25.432500000000005</v>
      </c>
      <c r="P296" s="116"/>
      <c r="Q296" s="116"/>
      <c r="R296" s="114" t="s">
        <v>3574</v>
      </c>
      <c r="S296" s="108" t="s">
        <v>3575</v>
      </c>
      <c r="T296" s="108" t="s">
        <v>3576</v>
      </c>
    </row>
    <row r="297" spans="1:20" ht="63.75" x14ac:dyDescent="0.2">
      <c r="A297" s="114" t="s">
        <v>3727</v>
      </c>
      <c r="B297" s="114" t="s">
        <v>109</v>
      </c>
      <c r="C297" s="114" t="s">
        <v>1352</v>
      </c>
      <c r="D297" s="114" t="s">
        <v>24</v>
      </c>
      <c r="E297" s="114" t="s">
        <v>111</v>
      </c>
      <c r="F297" s="114" t="s">
        <v>99</v>
      </c>
      <c r="G297" s="115">
        <v>210</v>
      </c>
      <c r="H297" s="114">
        <v>3</v>
      </c>
      <c r="I297" s="114" t="s">
        <v>3577</v>
      </c>
      <c r="J297" s="114"/>
      <c r="K297" s="115"/>
      <c r="L297" s="116"/>
      <c r="M297" s="116"/>
      <c r="N297" s="116"/>
      <c r="O297" s="116"/>
      <c r="P297" s="116"/>
      <c r="Q297" s="116"/>
      <c r="R297" s="114" t="s">
        <v>3578</v>
      </c>
      <c r="S297" s="108" t="s">
        <v>3579</v>
      </c>
      <c r="T297" s="108" t="s">
        <v>3580</v>
      </c>
    </row>
    <row r="298" spans="1:20" ht="63.75" x14ac:dyDescent="0.2">
      <c r="A298" s="114" t="s">
        <v>3727</v>
      </c>
      <c r="B298" s="114" t="s">
        <v>109</v>
      </c>
      <c r="C298" s="114" t="s">
        <v>1352</v>
      </c>
      <c r="D298" s="114" t="s">
        <v>24</v>
      </c>
      <c r="E298" s="114" t="s">
        <v>111</v>
      </c>
      <c r="F298" s="114" t="s">
        <v>99</v>
      </c>
      <c r="G298" s="115">
        <v>210</v>
      </c>
      <c r="H298" s="114">
        <v>4</v>
      </c>
      <c r="I298" s="114" t="s">
        <v>3581</v>
      </c>
      <c r="J298" s="114"/>
      <c r="K298" s="115"/>
      <c r="L298" s="116"/>
      <c r="M298" s="116"/>
      <c r="N298" s="116"/>
      <c r="O298" s="116"/>
      <c r="P298" s="116"/>
      <c r="Q298" s="116"/>
      <c r="R298" s="114" t="s">
        <v>3578</v>
      </c>
      <c r="S298" s="108" t="s">
        <v>3579</v>
      </c>
      <c r="T298" s="108" t="s">
        <v>3580</v>
      </c>
    </row>
    <row r="299" spans="1:20" ht="51" x14ac:dyDescent="0.2">
      <c r="A299" s="114" t="s">
        <v>3729</v>
      </c>
      <c r="B299" s="114" t="s">
        <v>219</v>
      </c>
      <c r="C299" s="114" t="s">
        <v>1395</v>
      </c>
      <c r="D299" s="114" t="s">
        <v>56</v>
      </c>
      <c r="E299" s="114" t="s">
        <v>200</v>
      </c>
      <c r="F299" s="114" t="s">
        <v>180</v>
      </c>
      <c r="G299" s="115">
        <v>1954.125</v>
      </c>
      <c r="H299" s="114">
        <v>1</v>
      </c>
      <c r="I299" s="114" t="s">
        <v>3570</v>
      </c>
      <c r="J299" s="114" t="s">
        <v>180</v>
      </c>
      <c r="K299" s="115">
        <v>1</v>
      </c>
      <c r="L299" s="116">
        <v>11.925000000000001</v>
      </c>
      <c r="M299" s="116">
        <f>K299*L299</f>
        <v>11.925000000000001</v>
      </c>
      <c r="N299" s="116">
        <v>0.2223</v>
      </c>
      <c r="O299" s="116">
        <f>P299-M299</f>
        <v>2.6474999999999991</v>
      </c>
      <c r="P299" s="116">
        <v>14.5725</v>
      </c>
      <c r="Q299" s="116">
        <f>G299*P299</f>
        <v>28476.486562499998</v>
      </c>
      <c r="R299" s="114" t="s">
        <v>2349</v>
      </c>
      <c r="S299" s="108" t="s">
        <v>3730</v>
      </c>
      <c r="T299" s="108" t="s">
        <v>3572</v>
      </c>
    </row>
    <row r="300" spans="1:20" ht="51" x14ac:dyDescent="0.2">
      <c r="A300" s="114" t="s">
        <v>3729</v>
      </c>
      <c r="B300" s="114" t="s">
        <v>219</v>
      </c>
      <c r="C300" s="114" t="s">
        <v>1395</v>
      </c>
      <c r="D300" s="114" t="s">
        <v>56</v>
      </c>
      <c r="E300" s="114" t="s">
        <v>200</v>
      </c>
      <c r="F300" s="114" t="s">
        <v>180</v>
      </c>
      <c r="G300" s="115">
        <v>1954.125</v>
      </c>
      <c r="H300" s="114">
        <v>2</v>
      </c>
      <c r="I300" s="114" t="s">
        <v>3573</v>
      </c>
      <c r="J300" s="114" t="s">
        <v>1283</v>
      </c>
      <c r="K300" s="115">
        <v>0.2223</v>
      </c>
      <c r="L300" s="116">
        <v>11.925000000000001</v>
      </c>
      <c r="M300" s="116">
        <v>0</v>
      </c>
      <c r="N300" s="116">
        <v>0.2223</v>
      </c>
      <c r="O300" s="116">
        <f>O299</f>
        <v>2.6474999999999991</v>
      </c>
      <c r="P300" s="116"/>
      <c r="Q300" s="116"/>
      <c r="R300" s="114" t="s">
        <v>3574</v>
      </c>
      <c r="S300" s="108" t="s">
        <v>3575</v>
      </c>
      <c r="T300" s="108" t="s">
        <v>3576</v>
      </c>
    </row>
    <row r="301" spans="1:20" ht="51" x14ac:dyDescent="0.2">
      <c r="A301" s="114" t="s">
        <v>3729</v>
      </c>
      <c r="B301" s="114" t="s">
        <v>219</v>
      </c>
      <c r="C301" s="114" t="s">
        <v>1395</v>
      </c>
      <c r="D301" s="114" t="s">
        <v>56</v>
      </c>
      <c r="E301" s="114" t="s">
        <v>200</v>
      </c>
      <c r="F301" s="114" t="s">
        <v>180</v>
      </c>
      <c r="G301" s="115">
        <v>1954.125</v>
      </c>
      <c r="H301" s="114">
        <v>3</v>
      </c>
      <c r="I301" s="114" t="s">
        <v>3577</v>
      </c>
      <c r="J301" s="114"/>
      <c r="K301" s="115"/>
      <c r="L301" s="116"/>
      <c r="M301" s="116"/>
      <c r="N301" s="116"/>
      <c r="O301" s="116"/>
      <c r="P301" s="116"/>
      <c r="Q301" s="116"/>
      <c r="R301" s="114" t="s">
        <v>3578</v>
      </c>
      <c r="S301" s="108" t="s">
        <v>3579</v>
      </c>
      <c r="T301" s="108" t="s">
        <v>3580</v>
      </c>
    </row>
    <row r="302" spans="1:20" ht="51" x14ac:dyDescent="0.2">
      <c r="A302" s="114" t="s">
        <v>3729</v>
      </c>
      <c r="B302" s="114" t="s">
        <v>219</v>
      </c>
      <c r="C302" s="114" t="s">
        <v>1395</v>
      </c>
      <c r="D302" s="114" t="s">
        <v>56</v>
      </c>
      <c r="E302" s="114" t="s">
        <v>200</v>
      </c>
      <c r="F302" s="114" t="s">
        <v>180</v>
      </c>
      <c r="G302" s="115">
        <v>1954.125</v>
      </c>
      <c r="H302" s="114">
        <v>4</v>
      </c>
      <c r="I302" s="114" t="s">
        <v>3581</v>
      </c>
      <c r="J302" s="114"/>
      <c r="K302" s="115"/>
      <c r="L302" s="116"/>
      <c r="M302" s="116"/>
      <c r="N302" s="116"/>
      <c r="O302" s="116"/>
      <c r="P302" s="116"/>
      <c r="Q302" s="116"/>
      <c r="R302" s="114" t="s">
        <v>3578</v>
      </c>
      <c r="S302" s="108" t="s">
        <v>3579</v>
      </c>
      <c r="T302" s="108" t="s">
        <v>3580</v>
      </c>
    </row>
    <row r="303" spans="1:20" ht="38.25" x14ac:dyDescent="0.2">
      <c r="A303" s="114" t="s">
        <v>3731</v>
      </c>
      <c r="B303" s="114" t="s">
        <v>454</v>
      </c>
      <c r="C303" s="114" t="s">
        <v>1513</v>
      </c>
      <c r="D303" s="114" t="s">
        <v>335</v>
      </c>
      <c r="E303" s="114" t="s">
        <v>455</v>
      </c>
      <c r="F303" s="114" t="s">
        <v>84</v>
      </c>
      <c r="G303" s="115">
        <v>11</v>
      </c>
      <c r="H303" s="114">
        <v>1</v>
      </c>
      <c r="I303" s="114" t="s">
        <v>3570</v>
      </c>
      <c r="J303" s="114" t="s">
        <v>84</v>
      </c>
      <c r="K303" s="115">
        <v>1</v>
      </c>
      <c r="L303" s="116">
        <v>2082.5025000000001</v>
      </c>
      <c r="M303" s="116">
        <f>K303*L303</f>
        <v>2082.5025000000001</v>
      </c>
      <c r="N303" s="116">
        <v>0.2223</v>
      </c>
      <c r="O303" s="116">
        <f>P303-M303</f>
        <v>462.9375</v>
      </c>
      <c r="P303" s="116">
        <v>2545.44</v>
      </c>
      <c r="Q303" s="116">
        <f>G303*P303</f>
        <v>27999.84</v>
      </c>
      <c r="R303" s="114" t="s">
        <v>2589</v>
      </c>
      <c r="S303" s="108" t="s">
        <v>3732</v>
      </c>
      <c r="T303" s="108" t="s">
        <v>3572</v>
      </c>
    </row>
    <row r="304" spans="1:20" ht="25.5" x14ac:dyDescent="0.2">
      <c r="A304" s="114" t="s">
        <v>3731</v>
      </c>
      <c r="B304" s="114" t="s">
        <v>454</v>
      </c>
      <c r="C304" s="114" t="s">
        <v>1513</v>
      </c>
      <c r="D304" s="114" t="s">
        <v>335</v>
      </c>
      <c r="E304" s="114" t="s">
        <v>455</v>
      </c>
      <c r="F304" s="114" t="s">
        <v>84</v>
      </c>
      <c r="G304" s="115">
        <v>11</v>
      </c>
      <c r="H304" s="114">
        <v>2</v>
      </c>
      <c r="I304" s="114" t="s">
        <v>3573</v>
      </c>
      <c r="J304" s="114" t="s">
        <v>1283</v>
      </c>
      <c r="K304" s="115">
        <v>0.2223</v>
      </c>
      <c r="L304" s="116">
        <v>2082.5025000000001</v>
      </c>
      <c r="M304" s="116">
        <v>0</v>
      </c>
      <c r="N304" s="116">
        <v>0.2223</v>
      </c>
      <c r="O304" s="116">
        <f>O303</f>
        <v>462.9375</v>
      </c>
      <c r="P304" s="116"/>
      <c r="Q304" s="116"/>
      <c r="R304" s="114" t="s">
        <v>3574</v>
      </c>
      <c r="S304" s="108" t="s">
        <v>3575</v>
      </c>
      <c r="T304" s="108" t="s">
        <v>3576</v>
      </c>
    </row>
    <row r="305" spans="1:20" ht="25.5" x14ac:dyDescent="0.2">
      <c r="A305" s="114" t="s">
        <v>3731</v>
      </c>
      <c r="B305" s="114" t="s">
        <v>454</v>
      </c>
      <c r="C305" s="114" t="s">
        <v>1513</v>
      </c>
      <c r="D305" s="114" t="s">
        <v>335</v>
      </c>
      <c r="E305" s="114" t="s">
        <v>455</v>
      </c>
      <c r="F305" s="114" t="s">
        <v>84</v>
      </c>
      <c r="G305" s="115">
        <v>11</v>
      </c>
      <c r="H305" s="114">
        <v>3</v>
      </c>
      <c r="I305" s="114" t="s">
        <v>3577</v>
      </c>
      <c r="J305" s="114"/>
      <c r="K305" s="115"/>
      <c r="L305" s="116"/>
      <c r="M305" s="116"/>
      <c r="N305" s="116"/>
      <c r="O305" s="116"/>
      <c r="P305" s="116"/>
      <c r="Q305" s="116"/>
      <c r="R305" s="114" t="s">
        <v>3578</v>
      </c>
      <c r="S305" s="108" t="s">
        <v>3579</v>
      </c>
      <c r="T305" s="108" t="s">
        <v>3580</v>
      </c>
    </row>
    <row r="306" spans="1:20" ht="25.5" x14ac:dyDescent="0.2">
      <c r="A306" s="114" t="s">
        <v>3731</v>
      </c>
      <c r="B306" s="114" t="s">
        <v>454</v>
      </c>
      <c r="C306" s="114" t="s">
        <v>1513</v>
      </c>
      <c r="D306" s="114" t="s">
        <v>335</v>
      </c>
      <c r="E306" s="114" t="s">
        <v>455</v>
      </c>
      <c r="F306" s="114" t="s">
        <v>84</v>
      </c>
      <c r="G306" s="115">
        <v>11</v>
      </c>
      <c r="H306" s="114">
        <v>4</v>
      </c>
      <c r="I306" s="114" t="s">
        <v>3581</v>
      </c>
      <c r="J306" s="114"/>
      <c r="K306" s="115"/>
      <c r="L306" s="116"/>
      <c r="M306" s="116"/>
      <c r="N306" s="116"/>
      <c r="O306" s="116"/>
      <c r="P306" s="116"/>
      <c r="Q306" s="116"/>
      <c r="R306" s="114" t="s">
        <v>3578</v>
      </c>
      <c r="S306" s="108" t="s">
        <v>3579</v>
      </c>
      <c r="T306" s="108" t="s">
        <v>3580</v>
      </c>
    </row>
    <row r="307" spans="1:20" ht="38.25" x14ac:dyDescent="0.2">
      <c r="A307" s="114" t="s">
        <v>3733</v>
      </c>
      <c r="B307" s="114" t="s">
        <v>1390</v>
      </c>
      <c r="C307" s="114" t="s">
        <v>1391</v>
      </c>
      <c r="D307" s="114" t="s">
        <v>56</v>
      </c>
      <c r="E307" s="114" t="s">
        <v>192</v>
      </c>
      <c r="F307" s="114" t="s">
        <v>26</v>
      </c>
      <c r="G307" s="115">
        <v>517.53800000000001</v>
      </c>
      <c r="H307" s="114">
        <v>1</v>
      </c>
      <c r="I307" s="114" t="s">
        <v>3570</v>
      </c>
      <c r="J307" s="114" t="s">
        <v>26</v>
      </c>
      <c r="K307" s="115">
        <v>1</v>
      </c>
      <c r="L307" s="116">
        <v>43.852499999999999</v>
      </c>
      <c r="M307" s="116">
        <f>K307*L307</f>
        <v>43.852499999999999</v>
      </c>
      <c r="N307" s="116">
        <v>0.2223</v>
      </c>
      <c r="O307" s="116">
        <f>P307-M307</f>
        <v>9.7424999999999997</v>
      </c>
      <c r="P307" s="116">
        <v>53.594999999999999</v>
      </c>
      <c r="Q307" s="116">
        <f>G307*P307</f>
        <v>27737.449110000001</v>
      </c>
      <c r="R307" s="114" t="s">
        <v>2349</v>
      </c>
      <c r="S307" s="108" t="s">
        <v>3734</v>
      </c>
      <c r="T307" s="108" t="s">
        <v>3572</v>
      </c>
    </row>
    <row r="308" spans="1:20" ht="25.5" x14ac:dyDescent="0.2">
      <c r="A308" s="114" t="s">
        <v>3733</v>
      </c>
      <c r="B308" s="114" t="s">
        <v>1390</v>
      </c>
      <c r="C308" s="114" t="s">
        <v>1391</v>
      </c>
      <c r="D308" s="114" t="s">
        <v>56</v>
      </c>
      <c r="E308" s="114" t="s">
        <v>192</v>
      </c>
      <c r="F308" s="114" t="s">
        <v>26</v>
      </c>
      <c r="G308" s="115">
        <v>517.53800000000001</v>
      </c>
      <c r="H308" s="114">
        <v>2</v>
      </c>
      <c r="I308" s="114" t="s">
        <v>3573</v>
      </c>
      <c r="J308" s="114" t="s">
        <v>1283</v>
      </c>
      <c r="K308" s="115">
        <v>0.2223</v>
      </c>
      <c r="L308" s="116">
        <v>43.852499999999999</v>
      </c>
      <c r="M308" s="116">
        <v>0</v>
      </c>
      <c r="N308" s="116">
        <v>0.2223</v>
      </c>
      <c r="O308" s="116">
        <f>O307</f>
        <v>9.7424999999999997</v>
      </c>
      <c r="P308" s="116"/>
      <c r="Q308" s="116"/>
      <c r="R308" s="114" t="s">
        <v>3574</v>
      </c>
      <c r="S308" s="108" t="s">
        <v>3575</v>
      </c>
      <c r="T308" s="108" t="s">
        <v>3576</v>
      </c>
    </row>
    <row r="309" spans="1:20" ht="25.5" x14ac:dyDescent="0.2">
      <c r="A309" s="114" t="s">
        <v>3733</v>
      </c>
      <c r="B309" s="114" t="s">
        <v>1390</v>
      </c>
      <c r="C309" s="114" t="s">
        <v>1391</v>
      </c>
      <c r="D309" s="114" t="s">
        <v>56</v>
      </c>
      <c r="E309" s="114" t="s">
        <v>192</v>
      </c>
      <c r="F309" s="114" t="s">
        <v>26</v>
      </c>
      <c r="G309" s="115">
        <v>517.53800000000001</v>
      </c>
      <c r="H309" s="114">
        <v>3</v>
      </c>
      <c r="I309" s="114" t="s">
        <v>3577</v>
      </c>
      <c r="J309" s="114"/>
      <c r="K309" s="115"/>
      <c r="L309" s="116"/>
      <c r="M309" s="116"/>
      <c r="N309" s="116"/>
      <c r="O309" s="116"/>
      <c r="P309" s="116"/>
      <c r="Q309" s="116"/>
      <c r="R309" s="114" t="s">
        <v>3578</v>
      </c>
      <c r="S309" s="108" t="s">
        <v>3579</v>
      </c>
      <c r="T309" s="108" t="s">
        <v>3580</v>
      </c>
    </row>
    <row r="310" spans="1:20" ht="25.5" x14ac:dyDescent="0.2">
      <c r="A310" s="114" t="s">
        <v>3733</v>
      </c>
      <c r="B310" s="114" t="s">
        <v>1390</v>
      </c>
      <c r="C310" s="114" t="s">
        <v>1391</v>
      </c>
      <c r="D310" s="114" t="s">
        <v>56</v>
      </c>
      <c r="E310" s="114" t="s">
        <v>192</v>
      </c>
      <c r="F310" s="114" t="s">
        <v>26</v>
      </c>
      <c r="G310" s="115">
        <v>517.53800000000001</v>
      </c>
      <c r="H310" s="114">
        <v>4</v>
      </c>
      <c r="I310" s="114" t="s">
        <v>3581</v>
      </c>
      <c r="J310" s="114"/>
      <c r="K310" s="115"/>
      <c r="L310" s="116"/>
      <c r="M310" s="116"/>
      <c r="N310" s="116"/>
      <c r="O310" s="116"/>
      <c r="P310" s="116"/>
      <c r="Q310" s="116"/>
      <c r="R310" s="114" t="s">
        <v>3578</v>
      </c>
      <c r="S310" s="108" t="s">
        <v>3579</v>
      </c>
      <c r="T310" s="108" t="s">
        <v>3580</v>
      </c>
    </row>
    <row r="311" spans="1:20" ht="63.75" x14ac:dyDescent="0.2">
      <c r="A311" s="114" t="s">
        <v>3735</v>
      </c>
      <c r="B311" s="114" t="s">
        <v>456</v>
      </c>
      <c r="C311" s="114" t="s">
        <v>457</v>
      </c>
      <c r="D311" s="114" t="s">
        <v>209</v>
      </c>
      <c r="E311" s="114" t="s">
        <v>458</v>
      </c>
      <c r="F311" s="114" t="s">
        <v>84</v>
      </c>
      <c r="G311" s="115">
        <v>11</v>
      </c>
      <c r="H311" s="114">
        <v>1</v>
      </c>
      <c r="I311" s="114" t="s">
        <v>3570</v>
      </c>
      <c r="J311" s="114" t="s">
        <v>84</v>
      </c>
      <c r="K311" s="115">
        <v>1</v>
      </c>
      <c r="L311" s="116">
        <v>2009.73</v>
      </c>
      <c r="M311" s="116">
        <f>K311*L311</f>
        <v>2009.73</v>
      </c>
      <c r="N311" s="116">
        <v>0.2223</v>
      </c>
      <c r="O311" s="116">
        <f>P311-M311</f>
        <v>446.76000000000022</v>
      </c>
      <c r="P311" s="116">
        <v>2456.4900000000002</v>
      </c>
      <c r="Q311" s="116">
        <f>G311*P311</f>
        <v>27021.390000000003</v>
      </c>
      <c r="R311" s="114" t="s">
        <v>3583</v>
      </c>
      <c r="S311" s="108" t="s">
        <v>3736</v>
      </c>
      <c r="T311" s="108" t="s">
        <v>3572</v>
      </c>
    </row>
    <row r="312" spans="1:20" ht="63.75" x14ac:dyDescent="0.2">
      <c r="A312" s="114" t="s">
        <v>3735</v>
      </c>
      <c r="B312" s="114" t="s">
        <v>456</v>
      </c>
      <c r="C312" s="114" t="s">
        <v>457</v>
      </c>
      <c r="D312" s="114" t="s">
        <v>209</v>
      </c>
      <c r="E312" s="114" t="s">
        <v>458</v>
      </c>
      <c r="F312" s="114" t="s">
        <v>84</v>
      </c>
      <c r="G312" s="115">
        <v>11</v>
      </c>
      <c r="H312" s="114">
        <v>2</v>
      </c>
      <c r="I312" s="114" t="s">
        <v>3573</v>
      </c>
      <c r="J312" s="114" t="s">
        <v>1283</v>
      </c>
      <c r="K312" s="115">
        <v>0.2223</v>
      </c>
      <c r="L312" s="116">
        <v>2009.73</v>
      </c>
      <c r="M312" s="116">
        <v>0</v>
      </c>
      <c r="N312" s="116">
        <v>0.2223</v>
      </c>
      <c r="O312" s="116">
        <f>O311</f>
        <v>446.76000000000022</v>
      </c>
      <c r="P312" s="116"/>
      <c r="Q312" s="116"/>
      <c r="R312" s="114" t="s">
        <v>3574</v>
      </c>
      <c r="S312" s="108" t="s">
        <v>3575</v>
      </c>
      <c r="T312" s="108" t="s">
        <v>3576</v>
      </c>
    </row>
    <row r="313" spans="1:20" ht="63.75" x14ac:dyDescent="0.2">
      <c r="A313" s="114" t="s">
        <v>3735</v>
      </c>
      <c r="B313" s="114" t="s">
        <v>456</v>
      </c>
      <c r="C313" s="114" t="s">
        <v>457</v>
      </c>
      <c r="D313" s="114" t="s">
        <v>209</v>
      </c>
      <c r="E313" s="114" t="s">
        <v>458</v>
      </c>
      <c r="F313" s="114" t="s">
        <v>84</v>
      </c>
      <c r="G313" s="115">
        <v>11</v>
      </c>
      <c r="H313" s="114">
        <v>3</v>
      </c>
      <c r="I313" s="114" t="s">
        <v>3577</v>
      </c>
      <c r="J313" s="114"/>
      <c r="K313" s="115"/>
      <c r="L313" s="116"/>
      <c r="M313" s="116"/>
      <c r="N313" s="116"/>
      <c r="O313" s="116"/>
      <c r="P313" s="116"/>
      <c r="Q313" s="116"/>
      <c r="R313" s="114" t="s">
        <v>3578</v>
      </c>
      <c r="S313" s="108" t="s">
        <v>3579</v>
      </c>
      <c r="T313" s="108" t="s">
        <v>3580</v>
      </c>
    </row>
    <row r="314" spans="1:20" ht="63.75" x14ac:dyDescent="0.2">
      <c r="A314" s="114" t="s">
        <v>3735</v>
      </c>
      <c r="B314" s="114" t="s">
        <v>456</v>
      </c>
      <c r="C314" s="114" t="s">
        <v>457</v>
      </c>
      <c r="D314" s="114" t="s">
        <v>209</v>
      </c>
      <c r="E314" s="114" t="s">
        <v>458</v>
      </c>
      <c r="F314" s="114" t="s">
        <v>84</v>
      </c>
      <c r="G314" s="115">
        <v>11</v>
      </c>
      <c r="H314" s="114">
        <v>4</v>
      </c>
      <c r="I314" s="114" t="s">
        <v>3581</v>
      </c>
      <c r="J314" s="114"/>
      <c r="K314" s="115"/>
      <c r="L314" s="116"/>
      <c r="M314" s="116"/>
      <c r="N314" s="116"/>
      <c r="O314" s="116"/>
      <c r="P314" s="116"/>
      <c r="Q314" s="116"/>
      <c r="R314" s="114" t="s">
        <v>3578</v>
      </c>
      <c r="S314" s="108" t="s">
        <v>3579</v>
      </c>
      <c r="T314" s="108" t="s">
        <v>3580</v>
      </c>
    </row>
    <row r="315" spans="1:20" ht="38.25" x14ac:dyDescent="0.2">
      <c r="A315" s="114" t="s">
        <v>3737</v>
      </c>
      <c r="B315" s="114" t="s">
        <v>181</v>
      </c>
      <c r="C315" s="114" t="s">
        <v>1381</v>
      </c>
      <c r="D315" s="114" t="s">
        <v>56</v>
      </c>
      <c r="E315" s="114" t="s">
        <v>1382</v>
      </c>
      <c r="F315" s="114" t="s">
        <v>180</v>
      </c>
      <c r="G315" s="115">
        <v>1839.22</v>
      </c>
      <c r="H315" s="114">
        <v>1</v>
      </c>
      <c r="I315" s="114" t="s">
        <v>3570</v>
      </c>
      <c r="J315" s="114" t="s">
        <v>180</v>
      </c>
      <c r="K315" s="115">
        <v>1</v>
      </c>
      <c r="L315" s="116">
        <v>11.602500000000001</v>
      </c>
      <c r="M315" s="116">
        <f>K315*L315</f>
        <v>11.602500000000001</v>
      </c>
      <c r="N315" s="116">
        <v>0.2223</v>
      </c>
      <c r="O315" s="116">
        <f>P315-M315</f>
        <v>2.572499999999998</v>
      </c>
      <c r="P315" s="116">
        <v>14.174999999999999</v>
      </c>
      <c r="Q315" s="116">
        <f>G315*P315</f>
        <v>26070.943499999998</v>
      </c>
      <c r="R315" s="114" t="s">
        <v>2349</v>
      </c>
      <c r="S315" s="108" t="s">
        <v>3738</v>
      </c>
      <c r="T315" s="108" t="s">
        <v>3572</v>
      </c>
    </row>
    <row r="316" spans="1:20" ht="25.5" x14ac:dyDescent="0.2">
      <c r="A316" s="114" t="s">
        <v>3737</v>
      </c>
      <c r="B316" s="114" t="s">
        <v>181</v>
      </c>
      <c r="C316" s="114" t="s">
        <v>1381</v>
      </c>
      <c r="D316" s="114" t="s">
        <v>56</v>
      </c>
      <c r="E316" s="114" t="s">
        <v>1382</v>
      </c>
      <c r="F316" s="114" t="s">
        <v>180</v>
      </c>
      <c r="G316" s="115">
        <v>1839.22</v>
      </c>
      <c r="H316" s="114">
        <v>2</v>
      </c>
      <c r="I316" s="114" t="s">
        <v>3573</v>
      </c>
      <c r="J316" s="114" t="s">
        <v>1283</v>
      </c>
      <c r="K316" s="115">
        <v>0.2223</v>
      </c>
      <c r="L316" s="116">
        <v>11.602500000000001</v>
      </c>
      <c r="M316" s="116">
        <v>0</v>
      </c>
      <c r="N316" s="116">
        <v>0.2223</v>
      </c>
      <c r="O316" s="116">
        <f>O315</f>
        <v>2.572499999999998</v>
      </c>
      <c r="P316" s="116"/>
      <c r="Q316" s="116"/>
      <c r="R316" s="114" t="s">
        <v>3574</v>
      </c>
      <c r="S316" s="108" t="s">
        <v>3575</v>
      </c>
      <c r="T316" s="108" t="s">
        <v>3576</v>
      </c>
    </row>
    <row r="317" spans="1:20" ht="25.5" x14ac:dyDescent="0.2">
      <c r="A317" s="114" t="s">
        <v>3737</v>
      </c>
      <c r="B317" s="114" t="s">
        <v>181</v>
      </c>
      <c r="C317" s="114" t="s">
        <v>1381</v>
      </c>
      <c r="D317" s="114" t="s">
        <v>56</v>
      </c>
      <c r="E317" s="114" t="s">
        <v>1382</v>
      </c>
      <c r="F317" s="114" t="s">
        <v>180</v>
      </c>
      <c r="G317" s="115">
        <v>1839.22</v>
      </c>
      <c r="H317" s="114">
        <v>3</v>
      </c>
      <c r="I317" s="114" t="s">
        <v>3577</v>
      </c>
      <c r="J317" s="114"/>
      <c r="K317" s="115"/>
      <c r="L317" s="116"/>
      <c r="M317" s="116"/>
      <c r="N317" s="116"/>
      <c r="O317" s="116"/>
      <c r="P317" s="116"/>
      <c r="Q317" s="116"/>
      <c r="R317" s="114" t="s">
        <v>3578</v>
      </c>
      <c r="S317" s="108" t="s">
        <v>3579</v>
      </c>
      <c r="T317" s="108" t="s">
        <v>3580</v>
      </c>
    </row>
    <row r="318" spans="1:20" ht="25.5" x14ac:dyDescent="0.2">
      <c r="A318" s="114" t="s">
        <v>3737</v>
      </c>
      <c r="B318" s="114" t="s">
        <v>181</v>
      </c>
      <c r="C318" s="114" t="s">
        <v>1381</v>
      </c>
      <c r="D318" s="114" t="s">
        <v>56</v>
      </c>
      <c r="E318" s="114" t="s">
        <v>1382</v>
      </c>
      <c r="F318" s="114" t="s">
        <v>180</v>
      </c>
      <c r="G318" s="115">
        <v>1839.22</v>
      </c>
      <c r="H318" s="114">
        <v>4</v>
      </c>
      <c r="I318" s="114" t="s">
        <v>3581</v>
      </c>
      <c r="J318" s="114"/>
      <c r="K318" s="115"/>
      <c r="L318" s="116"/>
      <c r="M318" s="116"/>
      <c r="N318" s="116"/>
      <c r="O318" s="116"/>
      <c r="P318" s="116"/>
      <c r="Q318" s="116"/>
      <c r="R318" s="114" t="s">
        <v>3578</v>
      </c>
      <c r="S318" s="108" t="s">
        <v>3579</v>
      </c>
      <c r="T318" s="108" t="s">
        <v>3580</v>
      </c>
    </row>
    <row r="319" spans="1:20" ht="38.25" x14ac:dyDescent="0.2">
      <c r="A319" s="114" t="s">
        <v>3739</v>
      </c>
      <c r="B319" s="114" t="s">
        <v>176</v>
      </c>
      <c r="C319" s="114" t="s">
        <v>1379</v>
      </c>
      <c r="D319" s="114" t="s">
        <v>56</v>
      </c>
      <c r="E319" s="114" t="s">
        <v>177</v>
      </c>
      <c r="F319" s="114" t="s">
        <v>26</v>
      </c>
      <c r="G319" s="115">
        <v>312.59800000000001</v>
      </c>
      <c r="H319" s="114">
        <v>1</v>
      </c>
      <c r="I319" s="114" t="s">
        <v>3570</v>
      </c>
      <c r="J319" s="114" t="s">
        <v>26</v>
      </c>
      <c r="K319" s="115">
        <v>1</v>
      </c>
      <c r="L319" s="116">
        <v>65.760000000000005</v>
      </c>
      <c r="M319" s="116">
        <f>K319*L319</f>
        <v>65.760000000000005</v>
      </c>
      <c r="N319" s="116">
        <v>0.2223</v>
      </c>
      <c r="O319" s="116">
        <f>P319-M319</f>
        <v>14.617499999999993</v>
      </c>
      <c r="P319" s="116">
        <v>80.377499999999998</v>
      </c>
      <c r="Q319" s="116">
        <f>G319*P319</f>
        <v>25125.845744999999</v>
      </c>
      <c r="R319" s="114" t="s">
        <v>2349</v>
      </c>
      <c r="S319" s="108" t="s">
        <v>3740</v>
      </c>
      <c r="T319" s="108" t="s">
        <v>3572</v>
      </c>
    </row>
    <row r="320" spans="1:20" ht="38.25" x14ac:dyDescent="0.2">
      <c r="A320" s="114" t="s">
        <v>3739</v>
      </c>
      <c r="B320" s="114" t="s">
        <v>176</v>
      </c>
      <c r="C320" s="114" t="s">
        <v>1379</v>
      </c>
      <c r="D320" s="114" t="s">
        <v>56</v>
      </c>
      <c r="E320" s="114" t="s">
        <v>177</v>
      </c>
      <c r="F320" s="114" t="s">
        <v>26</v>
      </c>
      <c r="G320" s="115">
        <v>312.59800000000001</v>
      </c>
      <c r="H320" s="114">
        <v>2</v>
      </c>
      <c r="I320" s="114" t="s">
        <v>3573</v>
      </c>
      <c r="J320" s="114" t="s">
        <v>1283</v>
      </c>
      <c r="K320" s="115">
        <v>0.2223</v>
      </c>
      <c r="L320" s="116">
        <v>65.760000000000005</v>
      </c>
      <c r="M320" s="116">
        <v>0</v>
      </c>
      <c r="N320" s="116">
        <v>0.2223</v>
      </c>
      <c r="O320" s="116">
        <f>O319</f>
        <v>14.617499999999993</v>
      </c>
      <c r="P320" s="116"/>
      <c r="Q320" s="116"/>
      <c r="R320" s="114" t="s">
        <v>3574</v>
      </c>
      <c r="S320" s="108" t="s">
        <v>3575</v>
      </c>
      <c r="T320" s="108" t="s">
        <v>3576</v>
      </c>
    </row>
    <row r="321" spans="1:20" ht="38.25" x14ac:dyDescent="0.2">
      <c r="A321" s="114" t="s">
        <v>3739</v>
      </c>
      <c r="B321" s="114" t="s">
        <v>176</v>
      </c>
      <c r="C321" s="114" t="s">
        <v>1379</v>
      </c>
      <c r="D321" s="114" t="s">
        <v>56</v>
      </c>
      <c r="E321" s="114" t="s">
        <v>177</v>
      </c>
      <c r="F321" s="114" t="s">
        <v>26</v>
      </c>
      <c r="G321" s="115">
        <v>312.59800000000001</v>
      </c>
      <c r="H321" s="114">
        <v>3</v>
      </c>
      <c r="I321" s="114" t="s">
        <v>3577</v>
      </c>
      <c r="J321" s="114"/>
      <c r="K321" s="115"/>
      <c r="L321" s="116"/>
      <c r="M321" s="116"/>
      <c r="N321" s="116"/>
      <c r="O321" s="116"/>
      <c r="P321" s="116"/>
      <c r="Q321" s="116"/>
      <c r="R321" s="114" t="s">
        <v>3578</v>
      </c>
      <c r="S321" s="108" t="s">
        <v>3579</v>
      </c>
      <c r="T321" s="108" t="s">
        <v>3580</v>
      </c>
    </row>
    <row r="322" spans="1:20" ht="38.25" x14ac:dyDescent="0.2">
      <c r="A322" s="114" t="s">
        <v>3739</v>
      </c>
      <c r="B322" s="114" t="s">
        <v>176</v>
      </c>
      <c r="C322" s="114" t="s">
        <v>1379</v>
      </c>
      <c r="D322" s="114" t="s">
        <v>56</v>
      </c>
      <c r="E322" s="114" t="s">
        <v>177</v>
      </c>
      <c r="F322" s="114" t="s">
        <v>26</v>
      </c>
      <c r="G322" s="115">
        <v>312.59800000000001</v>
      </c>
      <c r="H322" s="114">
        <v>4</v>
      </c>
      <c r="I322" s="114" t="s">
        <v>3581</v>
      </c>
      <c r="J322" s="114"/>
      <c r="K322" s="115"/>
      <c r="L322" s="116"/>
      <c r="M322" s="116"/>
      <c r="N322" s="116"/>
      <c r="O322" s="116"/>
      <c r="P322" s="116"/>
      <c r="Q322" s="116"/>
      <c r="R322" s="114" t="s">
        <v>3578</v>
      </c>
      <c r="S322" s="108" t="s">
        <v>3579</v>
      </c>
      <c r="T322" s="108" t="s">
        <v>3580</v>
      </c>
    </row>
    <row r="323" spans="1:20" ht="102" x14ac:dyDescent="0.2">
      <c r="A323" s="114" t="s">
        <v>3741</v>
      </c>
      <c r="B323" s="114" t="s">
        <v>823</v>
      </c>
      <c r="C323" s="114" t="s">
        <v>824</v>
      </c>
      <c r="D323" s="114" t="s">
        <v>209</v>
      </c>
      <c r="E323" s="114" t="s">
        <v>825</v>
      </c>
      <c r="F323" s="114" t="s">
        <v>84</v>
      </c>
      <c r="G323" s="115">
        <v>27</v>
      </c>
      <c r="H323" s="114">
        <v>1</v>
      </c>
      <c r="I323" s="114" t="s">
        <v>3570</v>
      </c>
      <c r="J323" s="114" t="s">
        <v>84</v>
      </c>
      <c r="K323" s="115">
        <v>1</v>
      </c>
      <c r="L323" s="116">
        <v>745.43999999999994</v>
      </c>
      <c r="M323" s="116">
        <f>K323*L323</f>
        <v>745.43999999999994</v>
      </c>
      <c r="N323" s="116">
        <v>0.2223</v>
      </c>
      <c r="O323" s="116">
        <f>P323-M323</f>
        <v>165.70500000000004</v>
      </c>
      <c r="P323" s="116">
        <v>911.14499999999998</v>
      </c>
      <c r="Q323" s="116">
        <f>G323*P323</f>
        <v>24600.915000000001</v>
      </c>
      <c r="R323" s="114" t="s">
        <v>3583</v>
      </c>
      <c r="S323" s="108" t="s">
        <v>3742</v>
      </c>
      <c r="T323" s="108" t="s">
        <v>3572</v>
      </c>
    </row>
    <row r="324" spans="1:20" ht="102" x14ac:dyDescent="0.2">
      <c r="A324" s="114" t="s">
        <v>3741</v>
      </c>
      <c r="B324" s="114" t="s">
        <v>823</v>
      </c>
      <c r="C324" s="114" t="s">
        <v>824</v>
      </c>
      <c r="D324" s="114" t="s">
        <v>209</v>
      </c>
      <c r="E324" s="114" t="s">
        <v>825</v>
      </c>
      <c r="F324" s="114" t="s">
        <v>84</v>
      </c>
      <c r="G324" s="115">
        <v>27</v>
      </c>
      <c r="H324" s="114">
        <v>2</v>
      </c>
      <c r="I324" s="114" t="s">
        <v>3573</v>
      </c>
      <c r="J324" s="114" t="s">
        <v>1283</v>
      </c>
      <c r="K324" s="115">
        <v>0.2223</v>
      </c>
      <c r="L324" s="116">
        <v>745.43999999999994</v>
      </c>
      <c r="M324" s="116">
        <v>0</v>
      </c>
      <c r="N324" s="116">
        <v>0.2223</v>
      </c>
      <c r="O324" s="116">
        <f>O323</f>
        <v>165.70500000000004</v>
      </c>
      <c r="P324" s="116"/>
      <c r="Q324" s="116"/>
      <c r="R324" s="114" t="s">
        <v>3574</v>
      </c>
      <c r="S324" s="108" t="s">
        <v>3575</v>
      </c>
      <c r="T324" s="108" t="s">
        <v>3576</v>
      </c>
    </row>
    <row r="325" spans="1:20" ht="102" x14ac:dyDescent="0.2">
      <c r="A325" s="114" t="s">
        <v>3741</v>
      </c>
      <c r="B325" s="114" t="s">
        <v>823</v>
      </c>
      <c r="C325" s="114" t="s">
        <v>824</v>
      </c>
      <c r="D325" s="114" t="s">
        <v>209</v>
      </c>
      <c r="E325" s="114" t="s">
        <v>825</v>
      </c>
      <c r="F325" s="114" t="s">
        <v>84</v>
      </c>
      <c r="G325" s="115">
        <v>27</v>
      </c>
      <c r="H325" s="114">
        <v>3</v>
      </c>
      <c r="I325" s="114" t="s">
        <v>3577</v>
      </c>
      <c r="J325" s="114"/>
      <c r="K325" s="115"/>
      <c r="L325" s="116"/>
      <c r="M325" s="116"/>
      <c r="N325" s="116"/>
      <c r="O325" s="116"/>
      <c r="P325" s="116"/>
      <c r="Q325" s="116"/>
      <c r="R325" s="114" t="s">
        <v>3578</v>
      </c>
      <c r="S325" s="108" t="s">
        <v>3579</v>
      </c>
      <c r="T325" s="108" t="s">
        <v>3580</v>
      </c>
    </row>
    <row r="326" spans="1:20" ht="102" x14ac:dyDescent="0.2">
      <c r="A326" s="114" t="s">
        <v>3741</v>
      </c>
      <c r="B326" s="114" t="s">
        <v>823</v>
      </c>
      <c r="C326" s="114" t="s">
        <v>824</v>
      </c>
      <c r="D326" s="114" t="s">
        <v>209</v>
      </c>
      <c r="E326" s="114" t="s">
        <v>825</v>
      </c>
      <c r="F326" s="114" t="s">
        <v>84</v>
      </c>
      <c r="G326" s="115">
        <v>27</v>
      </c>
      <c r="H326" s="114">
        <v>4</v>
      </c>
      <c r="I326" s="114" t="s">
        <v>3581</v>
      </c>
      <c r="J326" s="114"/>
      <c r="K326" s="115"/>
      <c r="L326" s="116"/>
      <c r="M326" s="116"/>
      <c r="N326" s="116"/>
      <c r="O326" s="116"/>
      <c r="P326" s="116"/>
      <c r="Q326" s="116"/>
      <c r="R326" s="114" t="s">
        <v>3578</v>
      </c>
      <c r="S326" s="108" t="s">
        <v>3579</v>
      </c>
      <c r="T326" s="108" t="s">
        <v>3580</v>
      </c>
    </row>
    <row r="327" spans="1:20" ht="76.5" x14ac:dyDescent="0.2">
      <c r="A327" s="114" t="s">
        <v>3743</v>
      </c>
      <c r="B327" s="114" t="s">
        <v>450</v>
      </c>
      <c r="C327" s="114" t="s">
        <v>1511</v>
      </c>
      <c r="D327" s="114" t="s">
        <v>56</v>
      </c>
      <c r="E327" s="114" t="s">
        <v>451</v>
      </c>
      <c r="F327" s="114" t="s">
        <v>84</v>
      </c>
      <c r="G327" s="115">
        <v>26</v>
      </c>
      <c r="H327" s="114">
        <v>1</v>
      </c>
      <c r="I327" s="114" t="s">
        <v>3570</v>
      </c>
      <c r="J327" s="114" t="s">
        <v>84</v>
      </c>
      <c r="K327" s="115">
        <v>1</v>
      </c>
      <c r="L327" s="116">
        <v>740.51250000000005</v>
      </c>
      <c r="M327" s="116">
        <f>K327*L327</f>
        <v>740.51250000000005</v>
      </c>
      <c r="N327" s="116">
        <v>0.2223</v>
      </c>
      <c r="O327" s="116">
        <f>P327-M327</f>
        <v>164.6099999999999</v>
      </c>
      <c r="P327" s="116">
        <v>905.12249999999995</v>
      </c>
      <c r="Q327" s="116">
        <f>G327*P327</f>
        <v>23533.184999999998</v>
      </c>
      <c r="R327" s="114" t="s">
        <v>2349</v>
      </c>
      <c r="S327" s="108" t="s">
        <v>3744</v>
      </c>
      <c r="T327" s="108" t="s">
        <v>3572</v>
      </c>
    </row>
    <row r="328" spans="1:20" ht="76.5" x14ac:dyDescent="0.2">
      <c r="A328" s="114" t="s">
        <v>3743</v>
      </c>
      <c r="B328" s="114" t="s">
        <v>450</v>
      </c>
      <c r="C328" s="114" t="s">
        <v>1511</v>
      </c>
      <c r="D328" s="114" t="s">
        <v>56</v>
      </c>
      <c r="E328" s="114" t="s">
        <v>451</v>
      </c>
      <c r="F328" s="114" t="s">
        <v>84</v>
      </c>
      <c r="G328" s="115">
        <v>26</v>
      </c>
      <c r="H328" s="114">
        <v>2</v>
      </c>
      <c r="I328" s="114" t="s">
        <v>3573</v>
      </c>
      <c r="J328" s="114" t="s">
        <v>1283</v>
      </c>
      <c r="K328" s="115">
        <v>0.2223</v>
      </c>
      <c r="L328" s="116">
        <v>740.51250000000005</v>
      </c>
      <c r="M328" s="116">
        <v>0</v>
      </c>
      <c r="N328" s="116">
        <v>0.2223</v>
      </c>
      <c r="O328" s="116">
        <f>O327</f>
        <v>164.6099999999999</v>
      </c>
      <c r="P328" s="116"/>
      <c r="Q328" s="116"/>
      <c r="R328" s="114" t="s">
        <v>3574</v>
      </c>
      <c r="S328" s="108" t="s">
        <v>3575</v>
      </c>
      <c r="T328" s="108" t="s">
        <v>3576</v>
      </c>
    </row>
    <row r="329" spans="1:20" ht="76.5" x14ac:dyDescent="0.2">
      <c r="A329" s="114" t="s">
        <v>3743</v>
      </c>
      <c r="B329" s="114" t="s">
        <v>450</v>
      </c>
      <c r="C329" s="114" t="s">
        <v>1511</v>
      </c>
      <c r="D329" s="114" t="s">
        <v>56</v>
      </c>
      <c r="E329" s="114" t="s">
        <v>451</v>
      </c>
      <c r="F329" s="114" t="s">
        <v>84</v>
      </c>
      <c r="G329" s="115">
        <v>26</v>
      </c>
      <c r="H329" s="114">
        <v>3</v>
      </c>
      <c r="I329" s="114" t="s">
        <v>3577</v>
      </c>
      <c r="J329" s="114"/>
      <c r="K329" s="115"/>
      <c r="L329" s="116"/>
      <c r="M329" s="116"/>
      <c r="N329" s="116"/>
      <c r="O329" s="116"/>
      <c r="P329" s="116"/>
      <c r="Q329" s="116"/>
      <c r="R329" s="114" t="s">
        <v>3578</v>
      </c>
      <c r="S329" s="108" t="s">
        <v>3579</v>
      </c>
      <c r="T329" s="108" t="s">
        <v>3580</v>
      </c>
    </row>
    <row r="330" spans="1:20" ht="76.5" x14ac:dyDescent="0.2">
      <c r="A330" s="114" t="s">
        <v>3743</v>
      </c>
      <c r="B330" s="114" t="s">
        <v>450</v>
      </c>
      <c r="C330" s="114" t="s">
        <v>1511</v>
      </c>
      <c r="D330" s="114" t="s">
        <v>56</v>
      </c>
      <c r="E330" s="114" t="s">
        <v>451</v>
      </c>
      <c r="F330" s="114" t="s">
        <v>84</v>
      </c>
      <c r="G330" s="115">
        <v>26</v>
      </c>
      <c r="H330" s="114">
        <v>4</v>
      </c>
      <c r="I330" s="114" t="s">
        <v>3581</v>
      </c>
      <c r="J330" s="114"/>
      <c r="K330" s="115"/>
      <c r="L330" s="116"/>
      <c r="M330" s="116"/>
      <c r="N330" s="116"/>
      <c r="O330" s="116"/>
      <c r="P330" s="116"/>
      <c r="Q330" s="116"/>
      <c r="R330" s="114" t="s">
        <v>3578</v>
      </c>
      <c r="S330" s="108" t="s">
        <v>3579</v>
      </c>
      <c r="T330" s="108" t="s">
        <v>3580</v>
      </c>
    </row>
    <row r="331" spans="1:20" ht="38.25" x14ac:dyDescent="0.2">
      <c r="A331" s="114" t="s">
        <v>3745</v>
      </c>
      <c r="B331" s="114" t="s">
        <v>2211</v>
      </c>
      <c r="C331" s="114" t="s">
        <v>2212</v>
      </c>
      <c r="D331" s="114" t="s">
        <v>56</v>
      </c>
      <c r="E331" s="114" t="s">
        <v>1090</v>
      </c>
      <c r="F331" s="114" t="s">
        <v>26</v>
      </c>
      <c r="G331" s="115">
        <v>292.67899999999997</v>
      </c>
      <c r="H331" s="114">
        <v>1</v>
      </c>
      <c r="I331" s="114" t="s">
        <v>3570</v>
      </c>
      <c r="J331" s="114" t="s">
        <v>26</v>
      </c>
      <c r="K331" s="115">
        <v>1</v>
      </c>
      <c r="L331" s="116">
        <v>64.754999999999995</v>
      </c>
      <c r="M331" s="116">
        <f>K331*L331</f>
        <v>64.754999999999995</v>
      </c>
      <c r="N331" s="116">
        <v>0.2223</v>
      </c>
      <c r="O331" s="116">
        <f>P331-M331</f>
        <v>14.392500000000013</v>
      </c>
      <c r="P331" s="116">
        <v>79.147500000000008</v>
      </c>
      <c r="Q331" s="116">
        <f>G331*P331</f>
        <v>23164.811152499999</v>
      </c>
      <c r="R331" s="114" t="s">
        <v>2349</v>
      </c>
      <c r="S331" s="108" t="s">
        <v>3746</v>
      </c>
      <c r="T331" s="108" t="s">
        <v>3572</v>
      </c>
    </row>
    <row r="332" spans="1:20" ht="38.25" x14ac:dyDescent="0.2">
      <c r="A332" s="114" t="s">
        <v>3745</v>
      </c>
      <c r="B332" s="114" t="s">
        <v>2211</v>
      </c>
      <c r="C332" s="114" t="s">
        <v>2212</v>
      </c>
      <c r="D332" s="114" t="s">
        <v>56</v>
      </c>
      <c r="E332" s="114" t="s">
        <v>1090</v>
      </c>
      <c r="F332" s="114" t="s">
        <v>26</v>
      </c>
      <c r="G332" s="115">
        <v>292.67899999999997</v>
      </c>
      <c r="H332" s="114">
        <v>2</v>
      </c>
      <c r="I332" s="114" t="s">
        <v>3573</v>
      </c>
      <c r="J332" s="114" t="s">
        <v>1283</v>
      </c>
      <c r="K332" s="115">
        <v>0.2223</v>
      </c>
      <c r="L332" s="116">
        <v>64.754999999999995</v>
      </c>
      <c r="M332" s="116">
        <v>0</v>
      </c>
      <c r="N332" s="116">
        <v>0.2223</v>
      </c>
      <c r="O332" s="116">
        <f>O331</f>
        <v>14.392500000000013</v>
      </c>
      <c r="P332" s="116"/>
      <c r="Q332" s="116"/>
      <c r="R332" s="114" t="s">
        <v>3574</v>
      </c>
      <c r="S332" s="108" t="s">
        <v>3575</v>
      </c>
      <c r="T332" s="108" t="s">
        <v>3576</v>
      </c>
    </row>
    <row r="333" spans="1:20" ht="38.25" x14ac:dyDescent="0.2">
      <c r="A333" s="114" t="s">
        <v>3745</v>
      </c>
      <c r="B333" s="114" t="s">
        <v>2211</v>
      </c>
      <c r="C333" s="114" t="s">
        <v>2212</v>
      </c>
      <c r="D333" s="114" t="s">
        <v>56</v>
      </c>
      <c r="E333" s="114" t="s">
        <v>1090</v>
      </c>
      <c r="F333" s="114" t="s">
        <v>26</v>
      </c>
      <c r="G333" s="115">
        <v>292.67899999999997</v>
      </c>
      <c r="H333" s="114">
        <v>3</v>
      </c>
      <c r="I333" s="114" t="s">
        <v>3577</v>
      </c>
      <c r="J333" s="114"/>
      <c r="K333" s="115"/>
      <c r="L333" s="116"/>
      <c r="M333" s="116"/>
      <c r="N333" s="116"/>
      <c r="O333" s="116"/>
      <c r="P333" s="116"/>
      <c r="Q333" s="116"/>
      <c r="R333" s="114" t="s">
        <v>3578</v>
      </c>
      <c r="S333" s="108" t="s">
        <v>3579</v>
      </c>
      <c r="T333" s="108" t="s">
        <v>3580</v>
      </c>
    </row>
    <row r="334" spans="1:20" ht="38.25" x14ac:dyDescent="0.2">
      <c r="A334" s="114" t="s">
        <v>3745</v>
      </c>
      <c r="B334" s="114" t="s">
        <v>2211</v>
      </c>
      <c r="C334" s="114" t="s">
        <v>2212</v>
      </c>
      <c r="D334" s="114" t="s">
        <v>56</v>
      </c>
      <c r="E334" s="114" t="s">
        <v>1090</v>
      </c>
      <c r="F334" s="114" t="s">
        <v>26</v>
      </c>
      <c r="G334" s="115">
        <v>292.67899999999997</v>
      </c>
      <c r="H334" s="114">
        <v>4</v>
      </c>
      <c r="I334" s="114" t="s">
        <v>3581</v>
      </c>
      <c r="J334" s="114"/>
      <c r="K334" s="115"/>
      <c r="L334" s="116"/>
      <c r="M334" s="116"/>
      <c r="N334" s="116"/>
      <c r="O334" s="116"/>
      <c r="P334" s="116"/>
      <c r="Q334" s="116"/>
      <c r="R334" s="114" t="s">
        <v>3578</v>
      </c>
      <c r="S334" s="108" t="s">
        <v>3579</v>
      </c>
      <c r="T334" s="108" t="s">
        <v>3580</v>
      </c>
    </row>
    <row r="335" spans="1:20" ht="38.25" x14ac:dyDescent="0.2">
      <c r="A335" s="114" t="s">
        <v>3747</v>
      </c>
      <c r="B335" s="114" t="s">
        <v>1942</v>
      </c>
      <c r="C335" s="114" t="s">
        <v>1943</v>
      </c>
      <c r="D335" s="114" t="s">
        <v>56</v>
      </c>
      <c r="E335" s="114" t="s">
        <v>891</v>
      </c>
      <c r="F335" s="114" t="s">
        <v>84</v>
      </c>
      <c r="G335" s="115">
        <v>2</v>
      </c>
      <c r="H335" s="114">
        <v>1</v>
      </c>
      <c r="I335" s="114" t="s">
        <v>3570</v>
      </c>
      <c r="J335" s="114" t="s">
        <v>84</v>
      </c>
      <c r="K335" s="115">
        <v>1</v>
      </c>
      <c r="L335" s="116">
        <v>9726.2024999999994</v>
      </c>
      <c r="M335" s="116">
        <f>K335*L335</f>
        <v>9726.2024999999994</v>
      </c>
      <c r="N335" s="116">
        <v>0.2223</v>
      </c>
      <c r="O335" s="116">
        <f>P335-M335</f>
        <v>1485.9675000000007</v>
      </c>
      <c r="P335" s="116">
        <v>11212.17</v>
      </c>
      <c r="Q335" s="116">
        <f>G335*P335</f>
        <v>22424.34</v>
      </c>
      <c r="R335" s="114" t="s">
        <v>2349</v>
      </c>
      <c r="S335" s="108" t="s">
        <v>3748</v>
      </c>
      <c r="T335" s="108" t="s">
        <v>3572</v>
      </c>
    </row>
    <row r="336" spans="1:20" ht="38.25" x14ac:dyDescent="0.2">
      <c r="A336" s="114" t="s">
        <v>3747</v>
      </c>
      <c r="B336" s="114" t="s">
        <v>1942</v>
      </c>
      <c r="C336" s="114" t="s">
        <v>1943</v>
      </c>
      <c r="D336" s="114" t="s">
        <v>56</v>
      </c>
      <c r="E336" s="114" t="s">
        <v>891</v>
      </c>
      <c r="F336" s="114" t="s">
        <v>84</v>
      </c>
      <c r="G336" s="115">
        <v>2</v>
      </c>
      <c r="H336" s="114">
        <v>2</v>
      </c>
      <c r="I336" s="114" t="s">
        <v>3573</v>
      </c>
      <c r="J336" s="114" t="s">
        <v>1283</v>
      </c>
      <c r="K336" s="115">
        <v>0.2223</v>
      </c>
      <c r="L336" s="116">
        <v>9726.2024999999994</v>
      </c>
      <c r="M336" s="116">
        <v>0</v>
      </c>
      <c r="N336" s="116">
        <v>0.2223</v>
      </c>
      <c r="O336" s="116">
        <f>O335</f>
        <v>1485.9675000000007</v>
      </c>
      <c r="P336" s="116"/>
      <c r="Q336" s="116"/>
      <c r="R336" s="114" t="s">
        <v>3574</v>
      </c>
      <c r="S336" s="108" t="s">
        <v>3575</v>
      </c>
      <c r="T336" s="108" t="s">
        <v>3576</v>
      </c>
    </row>
    <row r="337" spans="1:20" ht="38.25" x14ac:dyDescent="0.2">
      <c r="A337" s="114" t="s">
        <v>3747</v>
      </c>
      <c r="B337" s="114" t="s">
        <v>1942</v>
      </c>
      <c r="C337" s="114" t="s">
        <v>1943</v>
      </c>
      <c r="D337" s="114" t="s">
        <v>56</v>
      </c>
      <c r="E337" s="114" t="s">
        <v>891</v>
      </c>
      <c r="F337" s="114" t="s">
        <v>84</v>
      </c>
      <c r="G337" s="115">
        <v>2</v>
      </c>
      <c r="H337" s="114">
        <v>3</v>
      </c>
      <c r="I337" s="114" t="s">
        <v>3577</v>
      </c>
      <c r="J337" s="114"/>
      <c r="K337" s="115"/>
      <c r="L337" s="116"/>
      <c r="M337" s="116"/>
      <c r="N337" s="116"/>
      <c r="O337" s="116"/>
      <c r="P337" s="116"/>
      <c r="Q337" s="116"/>
      <c r="R337" s="114" t="s">
        <v>3578</v>
      </c>
      <c r="S337" s="108" t="s">
        <v>3579</v>
      </c>
      <c r="T337" s="108" t="s">
        <v>3580</v>
      </c>
    </row>
    <row r="338" spans="1:20" ht="38.25" x14ac:dyDescent="0.2">
      <c r="A338" s="114" t="s">
        <v>3747</v>
      </c>
      <c r="B338" s="114" t="s">
        <v>1942</v>
      </c>
      <c r="C338" s="114" t="s">
        <v>1943</v>
      </c>
      <c r="D338" s="114" t="s">
        <v>56</v>
      </c>
      <c r="E338" s="114" t="s">
        <v>891</v>
      </c>
      <c r="F338" s="114" t="s">
        <v>84</v>
      </c>
      <c r="G338" s="115">
        <v>2</v>
      </c>
      <c r="H338" s="114">
        <v>4</v>
      </c>
      <c r="I338" s="114" t="s">
        <v>3581</v>
      </c>
      <c r="J338" s="114"/>
      <c r="K338" s="115"/>
      <c r="L338" s="116"/>
      <c r="M338" s="116"/>
      <c r="N338" s="116"/>
      <c r="O338" s="116"/>
      <c r="P338" s="116"/>
      <c r="Q338" s="116"/>
      <c r="R338" s="114" t="s">
        <v>3578</v>
      </c>
      <c r="S338" s="108" t="s">
        <v>3579</v>
      </c>
      <c r="T338" s="108" t="s">
        <v>3580</v>
      </c>
    </row>
    <row r="339" spans="1:20" ht="127.5" x14ac:dyDescent="0.2">
      <c r="A339" s="114" t="s">
        <v>3749</v>
      </c>
      <c r="B339" s="114" t="s">
        <v>78</v>
      </c>
      <c r="C339" s="114" t="s">
        <v>1341</v>
      </c>
      <c r="D339" s="114" t="s">
        <v>24</v>
      </c>
      <c r="E339" s="114" t="s">
        <v>80</v>
      </c>
      <c r="F339" s="114" t="s">
        <v>26</v>
      </c>
      <c r="G339" s="115">
        <v>42.530999999999999</v>
      </c>
      <c r="H339" s="114">
        <v>1</v>
      </c>
      <c r="I339" s="114" t="s">
        <v>3570</v>
      </c>
      <c r="J339" s="114" t="s">
        <v>26</v>
      </c>
      <c r="K339" s="115">
        <v>1</v>
      </c>
      <c r="L339" s="116">
        <v>428.0625</v>
      </c>
      <c r="M339" s="116">
        <f>K339*L339</f>
        <v>428.0625</v>
      </c>
      <c r="N339" s="116">
        <v>0.2223</v>
      </c>
      <c r="O339" s="116">
        <f>P339-M339</f>
        <v>95.152500000000032</v>
      </c>
      <c r="P339" s="116">
        <v>523.21500000000003</v>
      </c>
      <c r="Q339" s="116">
        <f>G339*P339</f>
        <v>22252.857165000001</v>
      </c>
      <c r="R339" s="114" t="s">
        <v>2332</v>
      </c>
      <c r="S339" s="108" t="s">
        <v>3750</v>
      </c>
      <c r="T339" s="108" t="s">
        <v>3572</v>
      </c>
    </row>
    <row r="340" spans="1:20" ht="127.5" x14ac:dyDescent="0.2">
      <c r="A340" s="114" t="s">
        <v>3749</v>
      </c>
      <c r="B340" s="114" t="s">
        <v>78</v>
      </c>
      <c r="C340" s="114" t="s">
        <v>1341</v>
      </c>
      <c r="D340" s="114" t="s">
        <v>24</v>
      </c>
      <c r="E340" s="114" t="s">
        <v>80</v>
      </c>
      <c r="F340" s="114" t="s">
        <v>26</v>
      </c>
      <c r="G340" s="115">
        <v>42.530999999999999</v>
      </c>
      <c r="H340" s="114">
        <v>2</v>
      </c>
      <c r="I340" s="114" t="s">
        <v>3573</v>
      </c>
      <c r="J340" s="114" t="s">
        <v>1283</v>
      </c>
      <c r="K340" s="115">
        <v>0.2223</v>
      </c>
      <c r="L340" s="116">
        <v>428.0625</v>
      </c>
      <c r="M340" s="116">
        <v>0</v>
      </c>
      <c r="N340" s="116">
        <v>0.2223</v>
      </c>
      <c r="O340" s="116">
        <f>O339</f>
        <v>95.152500000000032</v>
      </c>
      <c r="P340" s="116"/>
      <c r="Q340" s="116"/>
      <c r="R340" s="114" t="s">
        <v>3574</v>
      </c>
      <c r="S340" s="108" t="s">
        <v>3575</v>
      </c>
      <c r="T340" s="108" t="s">
        <v>3576</v>
      </c>
    </row>
    <row r="341" spans="1:20" ht="127.5" x14ac:dyDescent="0.2">
      <c r="A341" s="114" t="s">
        <v>3749</v>
      </c>
      <c r="B341" s="114" t="s">
        <v>78</v>
      </c>
      <c r="C341" s="114" t="s">
        <v>1341</v>
      </c>
      <c r="D341" s="114" t="s">
        <v>24</v>
      </c>
      <c r="E341" s="114" t="s">
        <v>80</v>
      </c>
      <c r="F341" s="114" t="s">
        <v>26</v>
      </c>
      <c r="G341" s="115">
        <v>42.530999999999999</v>
      </c>
      <c r="H341" s="114">
        <v>3</v>
      </c>
      <c r="I341" s="114" t="s">
        <v>3577</v>
      </c>
      <c r="J341" s="114"/>
      <c r="K341" s="115"/>
      <c r="L341" s="116"/>
      <c r="M341" s="116"/>
      <c r="N341" s="116"/>
      <c r="O341" s="116"/>
      <c r="P341" s="116"/>
      <c r="Q341" s="116"/>
      <c r="R341" s="114" t="s">
        <v>3578</v>
      </c>
      <c r="S341" s="108" t="s">
        <v>3579</v>
      </c>
      <c r="T341" s="108" t="s">
        <v>3580</v>
      </c>
    </row>
    <row r="342" spans="1:20" ht="127.5" x14ac:dyDescent="0.2">
      <c r="A342" s="114" t="s">
        <v>3749</v>
      </c>
      <c r="B342" s="114" t="s">
        <v>78</v>
      </c>
      <c r="C342" s="114" t="s">
        <v>1341</v>
      </c>
      <c r="D342" s="114" t="s">
        <v>24</v>
      </c>
      <c r="E342" s="114" t="s">
        <v>80</v>
      </c>
      <c r="F342" s="114" t="s">
        <v>26</v>
      </c>
      <c r="G342" s="115">
        <v>42.530999999999999</v>
      </c>
      <c r="H342" s="114">
        <v>4</v>
      </c>
      <c r="I342" s="114" t="s">
        <v>3581</v>
      </c>
      <c r="J342" s="114"/>
      <c r="K342" s="115"/>
      <c r="L342" s="116"/>
      <c r="M342" s="116"/>
      <c r="N342" s="116"/>
      <c r="O342" s="116"/>
      <c r="P342" s="116"/>
      <c r="Q342" s="116"/>
      <c r="R342" s="114" t="s">
        <v>3578</v>
      </c>
      <c r="S342" s="108" t="s">
        <v>3579</v>
      </c>
      <c r="T342" s="108" t="s">
        <v>3580</v>
      </c>
    </row>
    <row r="343" spans="1:20" ht="89.25" x14ac:dyDescent="0.2">
      <c r="A343" s="114" t="s">
        <v>3751</v>
      </c>
      <c r="B343" s="114" t="s">
        <v>103</v>
      </c>
      <c r="C343" s="114" t="s">
        <v>1350</v>
      </c>
      <c r="D343" s="114" t="s">
        <v>56</v>
      </c>
      <c r="E343" s="114" t="s">
        <v>1351</v>
      </c>
      <c r="F343" s="114" t="s">
        <v>105</v>
      </c>
      <c r="G343" s="115">
        <v>728</v>
      </c>
      <c r="H343" s="114">
        <v>1</v>
      </c>
      <c r="I343" s="114" t="s">
        <v>3570</v>
      </c>
      <c r="J343" s="114" t="s">
        <v>105</v>
      </c>
      <c r="K343" s="115">
        <v>1</v>
      </c>
      <c r="L343" s="116">
        <v>24</v>
      </c>
      <c r="M343" s="116">
        <f>K343*L343</f>
        <v>24</v>
      </c>
      <c r="N343" s="116">
        <v>0.2223</v>
      </c>
      <c r="O343" s="116">
        <f>P343-M343</f>
        <v>5.3324999999999996</v>
      </c>
      <c r="P343" s="116">
        <v>29.3325</v>
      </c>
      <c r="Q343" s="116">
        <f>G343*P343</f>
        <v>21354.06</v>
      </c>
      <c r="R343" s="114" t="s">
        <v>2349</v>
      </c>
      <c r="S343" s="108" t="s">
        <v>3752</v>
      </c>
      <c r="T343" s="108" t="s">
        <v>3572</v>
      </c>
    </row>
    <row r="344" spans="1:20" ht="89.25" x14ac:dyDescent="0.2">
      <c r="A344" s="114" t="s">
        <v>3751</v>
      </c>
      <c r="B344" s="114" t="s">
        <v>103</v>
      </c>
      <c r="C344" s="114" t="s">
        <v>1350</v>
      </c>
      <c r="D344" s="114" t="s">
        <v>56</v>
      </c>
      <c r="E344" s="114" t="s">
        <v>1351</v>
      </c>
      <c r="F344" s="114" t="s">
        <v>105</v>
      </c>
      <c r="G344" s="115">
        <v>728</v>
      </c>
      <c r="H344" s="114">
        <v>2</v>
      </c>
      <c r="I344" s="114" t="s">
        <v>3573</v>
      </c>
      <c r="J344" s="114" t="s">
        <v>1283</v>
      </c>
      <c r="K344" s="115">
        <v>0.2223</v>
      </c>
      <c r="L344" s="116">
        <v>24</v>
      </c>
      <c r="M344" s="116">
        <v>0</v>
      </c>
      <c r="N344" s="116">
        <v>0.2223</v>
      </c>
      <c r="O344" s="116">
        <f>O343</f>
        <v>5.3324999999999996</v>
      </c>
      <c r="P344" s="116"/>
      <c r="Q344" s="116"/>
      <c r="R344" s="114" t="s">
        <v>3574</v>
      </c>
      <c r="S344" s="108" t="s">
        <v>3575</v>
      </c>
      <c r="T344" s="108" t="s">
        <v>3576</v>
      </c>
    </row>
    <row r="345" spans="1:20" ht="89.25" x14ac:dyDescent="0.2">
      <c r="A345" s="114" t="s">
        <v>3751</v>
      </c>
      <c r="B345" s="114" t="s">
        <v>103</v>
      </c>
      <c r="C345" s="114" t="s">
        <v>1350</v>
      </c>
      <c r="D345" s="114" t="s">
        <v>56</v>
      </c>
      <c r="E345" s="114" t="s">
        <v>1351</v>
      </c>
      <c r="F345" s="114" t="s">
        <v>105</v>
      </c>
      <c r="G345" s="115">
        <v>728</v>
      </c>
      <c r="H345" s="114">
        <v>3</v>
      </c>
      <c r="I345" s="114" t="s">
        <v>3577</v>
      </c>
      <c r="J345" s="114"/>
      <c r="K345" s="115"/>
      <c r="L345" s="116"/>
      <c r="M345" s="116"/>
      <c r="N345" s="116"/>
      <c r="O345" s="116"/>
      <c r="P345" s="116"/>
      <c r="Q345" s="116"/>
      <c r="R345" s="114" t="s">
        <v>3578</v>
      </c>
      <c r="S345" s="108" t="s">
        <v>3579</v>
      </c>
      <c r="T345" s="108" t="s">
        <v>3580</v>
      </c>
    </row>
    <row r="346" spans="1:20" ht="89.25" x14ac:dyDescent="0.2">
      <c r="A346" s="114" t="s">
        <v>3751</v>
      </c>
      <c r="B346" s="114" t="s">
        <v>103</v>
      </c>
      <c r="C346" s="114" t="s">
        <v>1350</v>
      </c>
      <c r="D346" s="114" t="s">
        <v>56</v>
      </c>
      <c r="E346" s="114" t="s">
        <v>1351</v>
      </c>
      <c r="F346" s="114" t="s">
        <v>105</v>
      </c>
      <c r="G346" s="115">
        <v>728</v>
      </c>
      <c r="H346" s="114">
        <v>4</v>
      </c>
      <c r="I346" s="114" t="s">
        <v>3581</v>
      </c>
      <c r="J346" s="114"/>
      <c r="K346" s="115"/>
      <c r="L346" s="116"/>
      <c r="M346" s="116"/>
      <c r="N346" s="116"/>
      <c r="O346" s="116"/>
      <c r="P346" s="116"/>
      <c r="Q346" s="116"/>
      <c r="R346" s="114" t="s">
        <v>3578</v>
      </c>
      <c r="S346" s="108" t="s">
        <v>3579</v>
      </c>
      <c r="T346" s="108" t="s">
        <v>3580</v>
      </c>
    </row>
    <row r="347" spans="1:20" ht="89.25" x14ac:dyDescent="0.2">
      <c r="A347" s="114" t="s">
        <v>3753</v>
      </c>
      <c r="B347" s="114" t="s">
        <v>256</v>
      </c>
      <c r="C347" s="114" t="s">
        <v>1426</v>
      </c>
      <c r="D347" s="114" t="s">
        <v>24</v>
      </c>
      <c r="E347" s="114" t="s">
        <v>1427</v>
      </c>
      <c r="F347" s="114" t="s">
        <v>26</v>
      </c>
      <c r="G347" s="115">
        <v>290.88900000000001</v>
      </c>
      <c r="H347" s="114">
        <v>1</v>
      </c>
      <c r="I347" s="114" t="s">
        <v>3570</v>
      </c>
      <c r="J347" s="114" t="s">
        <v>26</v>
      </c>
      <c r="K347" s="115">
        <v>1</v>
      </c>
      <c r="L347" s="116">
        <v>59.872500000000002</v>
      </c>
      <c r="M347" s="116">
        <f>K347*L347</f>
        <v>59.872500000000002</v>
      </c>
      <c r="N347" s="116">
        <v>0.2223</v>
      </c>
      <c r="O347" s="116">
        <f>P347-M347</f>
        <v>13.304999999999993</v>
      </c>
      <c r="P347" s="116">
        <v>73.177499999999995</v>
      </c>
      <c r="Q347" s="116">
        <f>G347*P347</f>
        <v>21286.529797499999</v>
      </c>
      <c r="R347" s="114" t="s">
        <v>2332</v>
      </c>
      <c r="S347" s="108" t="s">
        <v>3754</v>
      </c>
      <c r="T347" s="108" t="s">
        <v>3572</v>
      </c>
    </row>
    <row r="348" spans="1:20" ht="89.25" x14ac:dyDescent="0.2">
      <c r="A348" s="114" t="s">
        <v>3753</v>
      </c>
      <c r="B348" s="114" t="s">
        <v>256</v>
      </c>
      <c r="C348" s="114" t="s">
        <v>1426</v>
      </c>
      <c r="D348" s="114" t="s">
        <v>24</v>
      </c>
      <c r="E348" s="114" t="s">
        <v>1427</v>
      </c>
      <c r="F348" s="114" t="s">
        <v>26</v>
      </c>
      <c r="G348" s="115">
        <v>290.88900000000001</v>
      </c>
      <c r="H348" s="114">
        <v>2</v>
      </c>
      <c r="I348" s="114" t="s">
        <v>3573</v>
      </c>
      <c r="J348" s="114" t="s">
        <v>1283</v>
      </c>
      <c r="K348" s="115">
        <v>0.2223</v>
      </c>
      <c r="L348" s="116">
        <v>59.872500000000002</v>
      </c>
      <c r="M348" s="116">
        <v>0</v>
      </c>
      <c r="N348" s="116">
        <v>0.2223</v>
      </c>
      <c r="O348" s="116">
        <f>O347</f>
        <v>13.304999999999993</v>
      </c>
      <c r="P348" s="116"/>
      <c r="Q348" s="116"/>
      <c r="R348" s="114" t="s">
        <v>3574</v>
      </c>
      <c r="S348" s="108" t="s">
        <v>3575</v>
      </c>
      <c r="T348" s="108" t="s">
        <v>3576</v>
      </c>
    </row>
    <row r="349" spans="1:20" ht="89.25" x14ac:dyDescent="0.2">
      <c r="A349" s="114" t="s">
        <v>3753</v>
      </c>
      <c r="B349" s="114" t="s">
        <v>256</v>
      </c>
      <c r="C349" s="114" t="s">
        <v>1426</v>
      </c>
      <c r="D349" s="114" t="s">
        <v>24</v>
      </c>
      <c r="E349" s="114" t="s">
        <v>1427</v>
      </c>
      <c r="F349" s="114" t="s">
        <v>26</v>
      </c>
      <c r="G349" s="115">
        <v>290.88900000000001</v>
      </c>
      <c r="H349" s="114">
        <v>3</v>
      </c>
      <c r="I349" s="114" t="s">
        <v>3577</v>
      </c>
      <c r="J349" s="114"/>
      <c r="K349" s="115"/>
      <c r="L349" s="116"/>
      <c r="M349" s="116"/>
      <c r="N349" s="116"/>
      <c r="O349" s="116"/>
      <c r="P349" s="116"/>
      <c r="Q349" s="116"/>
      <c r="R349" s="114" t="s">
        <v>3578</v>
      </c>
      <c r="S349" s="108" t="s">
        <v>3579</v>
      </c>
      <c r="T349" s="108" t="s">
        <v>3580</v>
      </c>
    </row>
    <row r="350" spans="1:20" ht="89.25" x14ac:dyDescent="0.2">
      <c r="A350" s="114" t="s">
        <v>3753</v>
      </c>
      <c r="B350" s="114" t="s">
        <v>256</v>
      </c>
      <c r="C350" s="114" t="s">
        <v>1426</v>
      </c>
      <c r="D350" s="114" t="s">
        <v>24</v>
      </c>
      <c r="E350" s="114" t="s">
        <v>1427</v>
      </c>
      <c r="F350" s="114" t="s">
        <v>26</v>
      </c>
      <c r="G350" s="115">
        <v>290.88900000000001</v>
      </c>
      <c r="H350" s="114">
        <v>4</v>
      </c>
      <c r="I350" s="114" t="s">
        <v>3581</v>
      </c>
      <c r="J350" s="114"/>
      <c r="K350" s="115"/>
      <c r="L350" s="116"/>
      <c r="M350" s="116"/>
      <c r="N350" s="116"/>
      <c r="O350" s="116"/>
      <c r="P350" s="116"/>
      <c r="Q350" s="116"/>
      <c r="R350" s="114" t="s">
        <v>3578</v>
      </c>
      <c r="S350" s="108" t="s">
        <v>3579</v>
      </c>
      <c r="T350" s="108" t="s">
        <v>3580</v>
      </c>
    </row>
    <row r="351" spans="1:20" ht="38.25" x14ac:dyDescent="0.2">
      <c r="A351" s="114" t="s">
        <v>3755</v>
      </c>
      <c r="B351" s="114" t="s">
        <v>1940</v>
      </c>
      <c r="C351" s="114" t="s">
        <v>1941</v>
      </c>
      <c r="D351" s="114" t="s">
        <v>56</v>
      </c>
      <c r="E351" s="114" t="s">
        <v>889</v>
      </c>
      <c r="F351" s="114" t="s">
        <v>84</v>
      </c>
      <c r="G351" s="115">
        <v>2</v>
      </c>
      <c r="H351" s="114">
        <v>1</v>
      </c>
      <c r="I351" s="114" t="s">
        <v>3570</v>
      </c>
      <c r="J351" s="114" t="s">
        <v>84</v>
      </c>
      <c r="K351" s="115">
        <v>1</v>
      </c>
      <c r="L351" s="116">
        <v>9147.067500000001</v>
      </c>
      <c r="M351" s="116">
        <f>K351*L351</f>
        <v>9147.067500000001</v>
      </c>
      <c r="N351" s="116">
        <v>0.2223</v>
      </c>
      <c r="O351" s="116">
        <f>P351-M351</f>
        <v>1397.489999999998</v>
      </c>
      <c r="P351" s="116">
        <v>10544.557499999999</v>
      </c>
      <c r="Q351" s="116">
        <f>G351*P351</f>
        <v>21089.114999999998</v>
      </c>
      <c r="R351" s="114" t="s">
        <v>2349</v>
      </c>
      <c r="S351" s="108" t="s">
        <v>3756</v>
      </c>
      <c r="T351" s="108" t="s">
        <v>3572</v>
      </c>
    </row>
    <row r="352" spans="1:20" ht="38.25" x14ac:dyDescent="0.2">
      <c r="A352" s="114" t="s">
        <v>3755</v>
      </c>
      <c r="B352" s="114" t="s">
        <v>1940</v>
      </c>
      <c r="C352" s="114" t="s">
        <v>1941</v>
      </c>
      <c r="D352" s="114" t="s">
        <v>56</v>
      </c>
      <c r="E352" s="114" t="s">
        <v>889</v>
      </c>
      <c r="F352" s="114" t="s">
        <v>84</v>
      </c>
      <c r="G352" s="115">
        <v>2</v>
      </c>
      <c r="H352" s="114">
        <v>2</v>
      </c>
      <c r="I352" s="114" t="s">
        <v>3573</v>
      </c>
      <c r="J352" s="114" t="s">
        <v>1283</v>
      </c>
      <c r="K352" s="115">
        <v>0.2223</v>
      </c>
      <c r="L352" s="116">
        <v>9147.067500000001</v>
      </c>
      <c r="M352" s="116">
        <v>0</v>
      </c>
      <c r="N352" s="116">
        <v>0.2223</v>
      </c>
      <c r="O352" s="116">
        <f>O351</f>
        <v>1397.489999999998</v>
      </c>
      <c r="P352" s="116"/>
      <c r="Q352" s="116"/>
      <c r="R352" s="114" t="s">
        <v>3574</v>
      </c>
      <c r="S352" s="108" t="s">
        <v>3575</v>
      </c>
      <c r="T352" s="108" t="s">
        <v>3576</v>
      </c>
    </row>
    <row r="353" spans="1:20" ht="38.25" x14ac:dyDescent="0.2">
      <c r="A353" s="114" t="s">
        <v>3755</v>
      </c>
      <c r="B353" s="114" t="s">
        <v>1940</v>
      </c>
      <c r="C353" s="114" t="s">
        <v>1941</v>
      </c>
      <c r="D353" s="114" t="s">
        <v>56</v>
      </c>
      <c r="E353" s="114" t="s">
        <v>889</v>
      </c>
      <c r="F353" s="114" t="s">
        <v>84</v>
      </c>
      <c r="G353" s="115">
        <v>2</v>
      </c>
      <c r="H353" s="114">
        <v>3</v>
      </c>
      <c r="I353" s="114" t="s">
        <v>3577</v>
      </c>
      <c r="J353" s="114"/>
      <c r="K353" s="115"/>
      <c r="L353" s="116"/>
      <c r="M353" s="116"/>
      <c r="N353" s="116"/>
      <c r="O353" s="116"/>
      <c r="P353" s="116"/>
      <c r="Q353" s="116"/>
      <c r="R353" s="114" t="s">
        <v>3578</v>
      </c>
      <c r="S353" s="108" t="s">
        <v>3579</v>
      </c>
      <c r="T353" s="108" t="s">
        <v>3580</v>
      </c>
    </row>
    <row r="354" spans="1:20" ht="38.25" x14ac:dyDescent="0.2">
      <c r="A354" s="114" t="s">
        <v>3755</v>
      </c>
      <c r="B354" s="114" t="s">
        <v>1940</v>
      </c>
      <c r="C354" s="114" t="s">
        <v>1941</v>
      </c>
      <c r="D354" s="114" t="s">
        <v>56</v>
      </c>
      <c r="E354" s="114" t="s">
        <v>889</v>
      </c>
      <c r="F354" s="114" t="s">
        <v>84</v>
      </c>
      <c r="G354" s="115">
        <v>2</v>
      </c>
      <c r="H354" s="114">
        <v>4</v>
      </c>
      <c r="I354" s="114" t="s">
        <v>3581</v>
      </c>
      <c r="J354" s="114"/>
      <c r="K354" s="115"/>
      <c r="L354" s="116"/>
      <c r="M354" s="116"/>
      <c r="N354" s="116"/>
      <c r="O354" s="116"/>
      <c r="P354" s="116"/>
      <c r="Q354" s="116"/>
      <c r="R354" s="114" t="s">
        <v>3578</v>
      </c>
      <c r="S354" s="108" t="s">
        <v>3579</v>
      </c>
      <c r="T354" s="108" t="s">
        <v>3580</v>
      </c>
    </row>
    <row r="355" spans="1:20" ht="51" x14ac:dyDescent="0.2">
      <c r="A355" s="114" t="s">
        <v>3757</v>
      </c>
      <c r="B355" s="114" t="s">
        <v>203</v>
      </c>
      <c r="C355" s="114" t="s">
        <v>1397</v>
      </c>
      <c r="D355" s="114" t="s">
        <v>56</v>
      </c>
      <c r="E355" s="114" t="s">
        <v>204</v>
      </c>
      <c r="F355" s="114" t="s">
        <v>180</v>
      </c>
      <c r="G355" s="115">
        <v>2033.6669999999999</v>
      </c>
      <c r="H355" s="114">
        <v>1</v>
      </c>
      <c r="I355" s="114" t="s">
        <v>3570</v>
      </c>
      <c r="J355" s="114" t="s">
        <v>180</v>
      </c>
      <c r="K355" s="115">
        <v>1</v>
      </c>
      <c r="L355" s="116">
        <v>8.3925000000000001</v>
      </c>
      <c r="M355" s="116">
        <f>K355*L355</f>
        <v>8.3925000000000001</v>
      </c>
      <c r="N355" s="116">
        <v>0.2223</v>
      </c>
      <c r="O355" s="116">
        <f>P355-M355</f>
        <v>1.8599999999999994</v>
      </c>
      <c r="P355" s="116">
        <v>10.2525</v>
      </c>
      <c r="Q355" s="116">
        <f>G355*P355</f>
        <v>20850.1709175</v>
      </c>
      <c r="R355" s="114" t="s">
        <v>2349</v>
      </c>
      <c r="S355" s="108" t="s">
        <v>3758</v>
      </c>
      <c r="T355" s="108" t="s">
        <v>3572</v>
      </c>
    </row>
    <row r="356" spans="1:20" ht="51" x14ac:dyDescent="0.2">
      <c r="A356" s="114" t="s">
        <v>3757</v>
      </c>
      <c r="B356" s="114" t="s">
        <v>203</v>
      </c>
      <c r="C356" s="114" t="s">
        <v>1397</v>
      </c>
      <c r="D356" s="114" t="s">
        <v>56</v>
      </c>
      <c r="E356" s="114" t="s">
        <v>204</v>
      </c>
      <c r="F356" s="114" t="s">
        <v>180</v>
      </c>
      <c r="G356" s="115">
        <v>2033.6669999999999</v>
      </c>
      <c r="H356" s="114">
        <v>2</v>
      </c>
      <c r="I356" s="114" t="s">
        <v>3573</v>
      </c>
      <c r="J356" s="114" t="s">
        <v>1283</v>
      </c>
      <c r="K356" s="115">
        <v>0.2223</v>
      </c>
      <c r="L356" s="116">
        <v>8.3925000000000001</v>
      </c>
      <c r="M356" s="116">
        <v>0</v>
      </c>
      <c r="N356" s="116">
        <v>0.2223</v>
      </c>
      <c r="O356" s="116">
        <f>O355</f>
        <v>1.8599999999999994</v>
      </c>
      <c r="P356" s="116"/>
      <c r="Q356" s="116"/>
      <c r="R356" s="114" t="s">
        <v>3574</v>
      </c>
      <c r="S356" s="108" t="s">
        <v>3575</v>
      </c>
      <c r="T356" s="108" t="s">
        <v>3576</v>
      </c>
    </row>
    <row r="357" spans="1:20" ht="51" x14ac:dyDescent="0.2">
      <c r="A357" s="114" t="s">
        <v>3757</v>
      </c>
      <c r="B357" s="114" t="s">
        <v>203</v>
      </c>
      <c r="C357" s="114" t="s">
        <v>1397</v>
      </c>
      <c r="D357" s="114" t="s">
        <v>56</v>
      </c>
      <c r="E357" s="114" t="s">
        <v>204</v>
      </c>
      <c r="F357" s="114" t="s">
        <v>180</v>
      </c>
      <c r="G357" s="115">
        <v>2033.6669999999999</v>
      </c>
      <c r="H357" s="114">
        <v>3</v>
      </c>
      <c r="I357" s="114" t="s">
        <v>3577</v>
      </c>
      <c r="J357" s="114"/>
      <c r="K357" s="115"/>
      <c r="L357" s="116"/>
      <c r="M357" s="116"/>
      <c r="N357" s="116"/>
      <c r="O357" s="116"/>
      <c r="P357" s="116"/>
      <c r="Q357" s="116"/>
      <c r="R357" s="114" t="s">
        <v>3578</v>
      </c>
      <c r="S357" s="108" t="s">
        <v>3579</v>
      </c>
      <c r="T357" s="108" t="s">
        <v>3580</v>
      </c>
    </row>
    <row r="358" spans="1:20" ht="51" x14ac:dyDescent="0.2">
      <c r="A358" s="114" t="s">
        <v>3757</v>
      </c>
      <c r="B358" s="114" t="s">
        <v>203</v>
      </c>
      <c r="C358" s="114" t="s">
        <v>1397</v>
      </c>
      <c r="D358" s="114" t="s">
        <v>56</v>
      </c>
      <c r="E358" s="114" t="s">
        <v>204</v>
      </c>
      <c r="F358" s="114" t="s">
        <v>180</v>
      </c>
      <c r="G358" s="115">
        <v>2033.6669999999999</v>
      </c>
      <c r="H358" s="114">
        <v>4</v>
      </c>
      <c r="I358" s="114" t="s">
        <v>3581</v>
      </c>
      <c r="J358" s="114"/>
      <c r="K358" s="115"/>
      <c r="L358" s="116"/>
      <c r="M358" s="116"/>
      <c r="N358" s="116"/>
      <c r="O358" s="116"/>
      <c r="P358" s="116"/>
      <c r="Q358" s="116"/>
      <c r="R358" s="114" t="s">
        <v>3578</v>
      </c>
      <c r="S358" s="108" t="s">
        <v>3579</v>
      </c>
      <c r="T358" s="108" t="s">
        <v>3580</v>
      </c>
    </row>
    <row r="359" spans="1:20" ht="76.5" x14ac:dyDescent="0.2">
      <c r="A359" s="114" t="s">
        <v>3759</v>
      </c>
      <c r="B359" s="114" t="s">
        <v>2021</v>
      </c>
      <c r="C359" s="114" t="s">
        <v>2022</v>
      </c>
      <c r="D359" s="114" t="s">
        <v>24</v>
      </c>
      <c r="E359" s="114" t="s">
        <v>956</v>
      </c>
      <c r="F359" s="114" t="s">
        <v>99</v>
      </c>
      <c r="G359" s="115">
        <v>99.5</v>
      </c>
      <c r="H359" s="114">
        <v>1</v>
      </c>
      <c r="I359" s="114" t="s">
        <v>3570</v>
      </c>
      <c r="J359" s="114" t="s">
        <v>99</v>
      </c>
      <c r="K359" s="115">
        <v>1</v>
      </c>
      <c r="L359" s="116">
        <v>169.5</v>
      </c>
      <c r="M359" s="116">
        <f>K359*L359</f>
        <v>169.5</v>
      </c>
      <c r="N359" s="116">
        <v>0.2223</v>
      </c>
      <c r="O359" s="116">
        <f>P359-M359</f>
        <v>37.672500000000014</v>
      </c>
      <c r="P359" s="116">
        <v>207.17250000000001</v>
      </c>
      <c r="Q359" s="116">
        <f>G359*P359</f>
        <v>20613.66375</v>
      </c>
      <c r="R359" s="114" t="s">
        <v>2332</v>
      </c>
      <c r="S359" s="108" t="s">
        <v>3760</v>
      </c>
      <c r="T359" s="108" t="s">
        <v>3572</v>
      </c>
    </row>
    <row r="360" spans="1:20" ht="76.5" x14ac:dyDescent="0.2">
      <c r="A360" s="114" t="s">
        <v>3759</v>
      </c>
      <c r="B360" s="114" t="s">
        <v>2021</v>
      </c>
      <c r="C360" s="114" t="s">
        <v>2022</v>
      </c>
      <c r="D360" s="114" t="s">
        <v>24</v>
      </c>
      <c r="E360" s="114" t="s">
        <v>956</v>
      </c>
      <c r="F360" s="114" t="s">
        <v>99</v>
      </c>
      <c r="G360" s="115">
        <v>99.5</v>
      </c>
      <c r="H360" s="114">
        <v>2</v>
      </c>
      <c r="I360" s="114" t="s">
        <v>3573</v>
      </c>
      <c r="J360" s="114" t="s">
        <v>1283</v>
      </c>
      <c r="K360" s="115">
        <v>0.2223</v>
      </c>
      <c r="L360" s="116">
        <v>169.5</v>
      </c>
      <c r="M360" s="116">
        <v>0</v>
      </c>
      <c r="N360" s="116">
        <v>0.2223</v>
      </c>
      <c r="O360" s="116">
        <f>O359</f>
        <v>37.672500000000014</v>
      </c>
      <c r="P360" s="116"/>
      <c r="Q360" s="116"/>
      <c r="R360" s="114" t="s">
        <v>3574</v>
      </c>
      <c r="S360" s="108" t="s">
        <v>3575</v>
      </c>
      <c r="T360" s="108" t="s">
        <v>3576</v>
      </c>
    </row>
    <row r="361" spans="1:20" ht="76.5" x14ac:dyDescent="0.2">
      <c r="A361" s="114" t="s">
        <v>3759</v>
      </c>
      <c r="B361" s="114" t="s">
        <v>2021</v>
      </c>
      <c r="C361" s="114" t="s">
        <v>2022</v>
      </c>
      <c r="D361" s="114" t="s">
        <v>24</v>
      </c>
      <c r="E361" s="114" t="s">
        <v>956</v>
      </c>
      <c r="F361" s="114" t="s">
        <v>99</v>
      </c>
      <c r="G361" s="115">
        <v>99.5</v>
      </c>
      <c r="H361" s="114">
        <v>3</v>
      </c>
      <c r="I361" s="114" t="s">
        <v>3577</v>
      </c>
      <c r="J361" s="114"/>
      <c r="K361" s="115"/>
      <c r="L361" s="116"/>
      <c r="M361" s="116"/>
      <c r="N361" s="116"/>
      <c r="O361" s="116"/>
      <c r="P361" s="116"/>
      <c r="Q361" s="116"/>
      <c r="R361" s="114" t="s">
        <v>3578</v>
      </c>
      <c r="S361" s="108" t="s">
        <v>3579</v>
      </c>
      <c r="T361" s="108" t="s">
        <v>3580</v>
      </c>
    </row>
    <row r="362" spans="1:20" ht="76.5" x14ac:dyDescent="0.2">
      <c r="A362" s="114" t="s">
        <v>3759</v>
      </c>
      <c r="B362" s="114" t="s">
        <v>2021</v>
      </c>
      <c r="C362" s="114" t="s">
        <v>2022</v>
      </c>
      <c r="D362" s="114" t="s">
        <v>24</v>
      </c>
      <c r="E362" s="114" t="s">
        <v>956</v>
      </c>
      <c r="F362" s="114" t="s">
        <v>99</v>
      </c>
      <c r="G362" s="115">
        <v>99.5</v>
      </c>
      <c r="H362" s="114">
        <v>4</v>
      </c>
      <c r="I362" s="114" t="s">
        <v>3581</v>
      </c>
      <c r="J362" s="114"/>
      <c r="K362" s="115"/>
      <c r="L362" s="116"/>
      <c r="M362" s="116"/>
      <c r="N362" s="116"/>
      <c r="O362" s="116"/>
      <c r="P362" s="116"/>
      <c r="Q362" s="116"/>
      <c r="R362" s="114" t="s">
        <v>3578</v>
      </c>
      <c r="S362" s="108" t="s">
        <v>3579</v>
      </c>
      <c r="T362" s="108" t="s">
        <v>3580</v>
      </c>
    </row>
    <row r="363" spans="1:20" ht="76.5" x14ac:dyDescent="0.2">
      <c r="A363" s="114" t="s">
        <v>3761</v>
      </c>
      <c r="B363" s="114" t="s">
        <v>100</v>
      </c>
      <c r="C363" s="114" t="s">
        <v>1349</v>
      </c>
      <c r="D363" s="114" t="s">
        <v>56</v>
      </c>
      <c r="E363" s="114" t="s">
        <v>101</v>
      </c>
      <c r="F363" s="114" t="s">
        <v>102</v>
      </c>
      <c r="G363" s="115">
        <v>910</v>
      </c>
      <c r="H363" s="114">
        <v>1</v>
      </c>
      <c r="I363" s="114" t="s">
        <v>3570</v>
      </c>
      <c r="J363" s="114" t="s">
        <v>102</v>
      </c>
      <c r="K363" s="115">
        <v>1</v>
      </c>
      <c r="L363" s="116">
        <v>18</v>
      </c>
      <c r="M363" s="116">
        <f>K363*L363</f>
        <v>18</v>
      </c>
      <c r="N363" s="116">
        <v>0.2223</v>
      </c>
      <c r="O363" s="116">
        <f>P363-M363</f>
        <v>3.9974999999999987</v>
      </c>
      <c r="P363" s="116">
        <v>21.997499999999999</v>
      </c>
      <c r="Q363" s="116">
        <f>G363*P363</f>
        <v>20017.724999999999</v>
      </c>
      <c r="R363" s="114" t="s">
        <v>2349</v>
      </c>
      <c r="S363" s="108" t="s">
        <v>3762</v>
      </c>
      <c r="T363" s="108" t="s">
        <v>3572</v>
      </c>
    </row>
    <row r="364" spans="1:20" ht="76.5" x14ac:dyDescent="0.2">
      <c r="A364" s="114" t="s">
        <v>3761</v>
      </c>
      <c r="B364" s="114" t="s">
        <v>100</v>
      </c>
      <c r="C364" s="114" t="s">
        <v>1349</v>
      </c>
      <c r="D364" s="114" t="s">
        <v>56</v>
      </c>
      <c r="E364" s="114" t="s">
        <v>101</v>
      </c>
      <c r="F364" s="114" t="s">
        <v>102</v>
      </c>
      <c r="G364" s="115">
        <v>910</v>
      </c>
      <c r="H364" s="114">
        <v>2</v>
      </c>
      <c r="I364" s="114" t="s">
        <v>3573</v>
      </c>
      <c r="J364" s="114" t="s">
        <v>1283</v>
      </c>
      <c r="K364" s="115">
        <v>0.2223</v>
      </c>
      <c r="L364" s="116">
        <v>18</v>
      </c>
      <c r="M364" s="116">
        <v>0</v>
      </c>
      <c r="N364" s="116">
        <v>0.2223</v>
      </c>
      <c r="O364" s="116">
        <f>O363</f>
        <v>3.9974999999999987</v>
      </c>
      <c r="P364" s="116"/>
      <c r="Q364" s="116"/>
      <c r="R364" s="114" t="s">
        <v>3574</v>
      </c>
      <c r="S364" s="108" t="s">
        <v>3575</v>
      </c>
      <c r="T364" s="108" t="s">
        <v>3576</v>
      </c>
    </row>
    <row r="365" spans="1:20" ht="76.5" x14ac:dyDescent="0.2">
      <c r="A365" s="114" t="s">
        <v>3761</v>
      </c>
      <c r="B365" s="114" t="s">
        <v>100</v>
      </c>
      <c r="C365" s="114" t="s">
        <v>1349</v>
      </c>
      <c r="D365" s="114" t="s">
        <v>56</v>
      </c>
      <c r="E365" s="114" t="s">
        <v>101</v>
      </c>
      <c r="F365" s="114" t="s">
        <v>102</v>
      </c>
      <c r="G365" s="115">
        <v>910</v>
      </c>
      <c r="H365" s="114">
        <v>3</v>
      </c>
      <c r="I365" s="114" t="s">
        <v>3577</v>
      </c>
      <c r="J365" s="114"/>
      <c r="K365" s="115"/>
      <c r="L365" s="116"/>
      <c r="M365" s="116"/>
      <c r="N365" s="116"/>
      <c r="O365" s="116"/>
      <c r="P365" s="116"/>
      <c r="Q365" s="116"/>
      <c r="R365" s="114" t="s">
        <v>3578</v>
      </c>
      <c r="S365" s="108" t="s">
        <v>3579</v>
      </c>
      <c r="T365" s="108" t="s">
        <v>3580</v>
      </c>
    </row>
    <row r="366" spans="1:20" ht="76.5" x14ac:dyDescent="0.2">
      <c r="A366" s="114" t="s">
        <v>3761</v>
      </c>
      <c r="B366" s="114" t="s">
        <v>100</v>
      </c>
      <c r="C366" s="114" t="s">
        <v>1349</v>
      </c>
      <c r="D366" s="114" t="s">
        <v>56</v>
      </c>
      <c r="E366" s="114" t="s">
        <v>101</v>
      </c>
      <c r="F366" s="114" t="s">
        <v>102</v>
      </c>
      <c r="G366" s="115">
        <v>910</v>
      </c>
      <c r="H366" s="114">
        <v>4</v>
      </c>
      <c r="I366" s="114" t="s">
        <v>3581</v>
      </c>
      <c r="J366" s="114"/>
      <c r="K366" s="115"/>
      <c r="L366" s="116"/>
      <c r="M366" s="116"/>
      <c r="N366" s="116"/>
      <c r="O366" s="116"/>
      <c r="P366" s="116"/>
      <c r="Q366" s="116"/>
      <c r="R366" s="114" t="s">
        <v>3578</v>
      </c>
      <c r="S366" s="108" t="s">
        <v>3579</v>
      </c>
      <c r="T366" s="108" t="s">
        <v>3580</v>
      </c>
    </row>
    <row r="367" spans="1:20" ht="38.25" x14ac:dyDescent="0.2">
      <c r="A367" s="114" t="s">
        <v>3763</v>
      </c>
      <c r="B367" s="114" t="s">
        <v>550</v>
      </c>
      <c r="C367" s="114" t="s">
        <v>551</v>
      </c>
      <c r="D367" s="114" t="s">
        <v>209</v>
      </c>
      <c r="E367" s="114" t="s">
        <v>552</v>
      </c>
      <c r="F367" s="114" t="s">
        <v>26</v>
      </c>
      <c r="G367" s="115">
        <v>15.467000000000001</v>
      </c>
      <c r="H367" s="114">
        <v>1</v>
      </c>
      <c r="I367" s="114" t="s">
        <v>3570</v>
      </c>
      <c r="J367" s="114" t="s">
        <v>26</v>
      </c>
      <c r="K367" s="115">
        <v>1</v>
      </c>
      <c r="L367" s="116">
        <v>961.44749999999999</v>
      </c>
      <c r="M367" s="116">
        <f>K367*L367</f>
        <v>961.44749999999999</v>
      </c>
      <c r="N367" s="116">
        <v>0.2223</v>
      </c>
      <c r="O367" s="116">
        <f>P367-M367</f>
        <v>213.72750000000019</v>
      </c>
      <c r="P367" s="116">
        <v>1175.1750000000002</v>
      </c>
      <c r="Q367" s="116">
        <f>G367*P367</f>
        <v>18176.431725000002</v>
      </c>
      <c r="R367" s="114" t="s">
        <v>3583</v>
      </c>
      <c r="S367" s="108" t="s">
        <v>3764</v>
      </c>
      <c r="T367" s="108" t="s">
        <v>3572</v>
      </c>
    </row>
    <row r="368" spans="1:20" ht="38.25" x14ac:dyDescent="0.2">
      <c r="A368" s="114" t="s">
        <v>3763</v>
      </c>
      <c r="B368" s="114" t="s">
        <v>550</v>
      </c>
      <c r="C368" s="114" t="s">
        <v>551</v>
      </c>
      <c r="D368" s="114" t="s">
        <v>209</v>
      </c>
      <c r="E368" s="114" t="s">
        <v>552</v>
      </c>
      <c r="F368" s="114" t="s">
        <v>26</v>
      </c>
      <c r="G368" s="115">
        <v>15.467000000000001</v>
      </c>
      <c r="H368" s="114">
        <v>2</v>
      </c>
      <c r="I368" s="114" t="s">
        <v>3573</v>
      </c>
      <c r="J368" s="114" t="s">
        <v>1283</v>
      </c>
      <c r="K368" s="115">
        <v>0.2223</v>
      </c>
      <c r="L368" s="116">
        <v>961.44749999999999</v>
      </c>
      <c r="M368" s="116">
        <v>0</v>
      </c>
      <c r="N368" s="116">
        <v>0.2223</v>
      </c>
      <c r="O368" s="116">
        <f>O367</f>
        <v>213.72750000000019</v>
      </c>
      <c r="P368" s="116"/>
      <c r="Q368" s="116"/>
      <c r="R368" s="114" t="s">
        <v>3574</v>
      </c>
      <c r="S368" s="108" t="s">
        <v>3575</v>
      </c>
      <c r="T368" s="108" t="s">
        <v>3576</v>
      </c>
    </row>
    <row r="369" spans="1:20" ht="38.25" x14ac:dyDescent="0.2">
      <c r="A369" s="114" t="s">
        <v>3763</v>
      </c>
      <c r="B369" s="114" t="s">
        <v>550</v>
      </c>
      <c r="C369" s="114" t="s">
        <v>551</v>
      </c>
      <c r="D369" s="114" t="s">
        <v>209</v>
      </c>
      <c r="E369" s="114" t="s">
        <v>552</v>
      </c>
      <c r="F369" s="114" t="s">
        <v>26</v>
      </c>
      <c r="G369" s="115">
        <v>15.467000000000001</v>
      </c>
      <c r="H369" s="114">
        <v>3</v>
      </c>
      <c r="I369" s="114" t="s">
        <v>3577</v>
      </c>
      <c r="J369" s="114"/>
      <c r="K369" s="115"/>
      <c r="L369" s="116"/>
      <c r="M369" s="116"/>
      <c r="N369" s="116"/>
      <c r="O369" s="116"/>
      <c r="P369" s="116"/>
      <c r="Q369" s="116"/>
      <c r="R369" s="114" t="s">
        <v>3578</v>
      </c>
      <c r="S369" s="108" t="s">
        <v>3579</v>
      </c>
      <c r="T369" s="108" t="s">
        <v>3580</v>
      </c>
    </row>
    <row r="370" spans="1:20" ht="38.25" x14ac:dyDescent="0.2">
      <c r="A370" s="114" t="s">
        <v>3763</v>
      </c>
      <c r="B370" s="114" t="s">
        <v>550</v>
      </c>
      <c r="C370" s="114" t="s">
        <v>551</v>
      </c>
      <c r="D370" s="114" t="s">
        <v>209</v>
      </c>
      <c r="E370" s="114" t="s">
        <v>552</v>
      </c>
      <c r="F370" s="114" t="s">
        <v>26</v>
      </c>
      <c r="G370" s="115">
        <v>15.467000000000001</v>
      </c>
      <c r="H370" s="114">
        <v>4</v>
      </c>
      <c r="I370" s="114" t="s">
        <v>3581</v>
      </c>
      <c r="J370" s="114"/>
      <c r="K370" s="115"/>
      <c r="L370" s="116"/>
      <c r="M370" s="116"/>
      <c r="N370" s="116"/>
      <c r="O370" s="116"/>
      <c r="P370" s="116"/>
      <c r="Q370" s="116"/>
      <c r="R370" s="114" t="s">
        <v>3578</v>
      </c>
      <c r="S370" s="108" t="s">
        <v>3579</v>
      </c>
      <c r="T370" s="108" t="s">
        <v>3580</v>
      </c>
    </row>
    <row r="371" spans="1:20" ht="51" x14ac:dyDescent="0.2">
      <c r="A371" s="114" t="s">
        <v>3765</v>
      </c>
      <c r="B371" s="114" t="s">
        <v>543</v>
      </c>
      <c r="C371" s="114" t="s">
        <v>544</v>
      </c>
      <c r="D371" s="114" t="s">
        <v>209</v>
      </c>
      <c r="E371" s="114" t="s">
        <v>1557</v>
      </c>
      <c r="F371" s="114" t="s">
        <v>99</v>
      </c>
      <c r="G371" s="115">
        <v>322.73500000000001</v>
      </c>
      <c r="H371" s="114">
        <v>1</v>
      </c>
      <c r="I371" s="114" t="s">
        <v>3570</v>
      </c>
      <c r="J371" s="114" t="s">
        <v>99</v>
      </c>
      <c r="K371" s="115">
        <v>1</v>
      </c>
      <c r="L371" s="116">
        <v>43.125</v>
      </c>
      <c r="M371" s="116">
        <f>K371*L371</f>
        <v>43.125</v>
      </c>
      <c r="N371" s="116">
        <v>0.2223</v>
      </c>
      <c r="O371" s="116">
        <f>P371-M371</f>
        <v>9.5850000000000009</v>
      </c>
      <c r="P371" s="116">
        <v>52.71</v>
      </c>
      <c r="Q371" s="116">
        <f>G371*P371</f>
        <v>17011.361850000001</v>
      </c>
      <c r="R371" s="114" t="s">
        <v>3583</v>
      </c>
      <c r="S371" s="108" t="s">
        <v>3766</v>
      </c>
      <c r="T371" s="108" t="s">
        <v>3572</v>
      </c>
    </row>
    <row r="372" spans="1:20" ht="51" x14ac:dyDescent="0.2">
      <c r="A372" s="114" t="s">
        <v>3765</v>
      </c>
      <c r="B372" s="114" t="s">
        <v>543</v>
      </c>
      <c r="C372" s="114" t="s">
        <v>544</v>
      </c>
      <c r="D372" s="114" t="s">
        <v>209</v>
      </c>
      <c r="E372" s="114" t="s">
        <v>1557</v>
      </c>
      <c r="F372" s="114" t="s">
        <v>99</v>
      </c>
      <c r="G372" s="115">
        <v>322.73500000000001</v>
      </c>
      <c r="H372" s="114">
        <v>2</v>
      </c>
      <c r="I372" s="114" t="s">
        <v>3573</v>
      </c>
      <c r="J372" s="114" t="s">
        <v>1283</v>
      </c>
      <c r="K372" s="115">
        <v>0.2223</v>
      </c>
      <c r="L372" s="116">
        <v>43.125</v>
      </c>
      <c r="M372" s="116">
        <v>0</v>
      </c>
      <c r="N372" s="116">
        <v>0.2223</v>
      </c>
      <c r="O372" s="116">
        <f>O371</f>
        <v>9.5850000000000009</v>
      </c>
      <c r="P372" s="116"/>
      <c r="Q372" s="116"/>
      <c r="R372" s="114" t="s">
        <v>3574</v>
      </c>
      <c r="S372" s="108" t="s">
        <v>3575</v>
      </c>
      <c r="T372" s="108" t="s">
        <v>3576</v>
      </c>
    </row>
    <row r="373" spans="1:20" ht="51" x14ac:dyDescent="0.2">
      <c r="A373" s="114" t="s">
        <v>3765</v>
      </c>
      <c r="B373" s="114" t="s">
        <v>543</v>
      </c>
      <c r="C373" s="114" t="s">
        <v>544</v>
      </c>
      <c r="D373" s="114" t="s">
        <v>209</v>
      </c>
      <c r="E373" s="114" t="s">
        <v>1557</v>
      </c>
      <c r="F373" s="114" t="s">
        <v>99</v>
      </c>
      <c r="G373" s="115">
        <v>322.73500000000001</v>
      </c>
      <c r="H373" s="114">
        <v>3</v>
      </c>
      <c r="I373" s="114" t="s">
        <v>3577</v>
      </c>
      <c r="J373" s="114"/>
      <c r="K373" s="115"/>
      <c r="L373" s="116"/>
      <c r="M373" s="116"/>
      <c r="N373" s="116"/>
      <c r="O373" s="116"/>
      <c r="P373" s="116"/>
      <c r="Q373" s="116"/>
      <c r="R373" s="114" t="s">
        <v>3578</v>
      </c>
      <c r="S373" s="108" t="s">
        <v>3579</v>
      </c>
      <c r="T373" s="108" t="s">
        <v>3580</v>
      </c>
    </row>
    <row r="374" spans="1:20" ht="51" x14ac:dyDescent="0.2">
      <c r="A374" s="114" t="s">
        <v>3765</v>
      </c>
      <c r="B374" s="114" t="s">
        <v>543</v>
      </c>
      <c r="C374" s="114" t="s">
        <v>544</v>
      </c>
      <c r="D374" s="114" t="s">
        <v>209</v>
      </c>
      <c r="E374" s="114" t="s">
        <v>1557</v>
      </c>
      <c r="F374" s="114" t="s">
        <v>99</v>
      </c>
      <c r="G374" s="115">
        <v>322.73500000000001</v>
      </c>
      <c r="H374" s="114">
        <v>4</v>
      </c>
      <c r="I374" s="114" t="s">
        <v>3581</v>
      </c>
      <c r="J374" s="114"/>
      <c r="K374" s="115"/>
      <c r="L374" s="116"/>
      <c r="M374" s="116"/>
      <c r="N374" s="116"/>
      <c r="O374" s="116"/>
      <c r="P374" s="116"/>
      <c r="Q374" s="116"/>
      <c r="R374" s="114" t="s">
        <v>3578</v>
      </c>
      <c r="S374" s="108" t="s">
        <v>3579</v>
      </c>
      <c r="T374" s="108" t="s">
        <v>3580</v>
      </c>
    </row>
    <row r="375" spans="1:20" ht="38.25" x14ac:dyDescent="0.2">
      <c r="A375" s="114" t="s">
        <v>3767</v>
      </c>
      <c r="B375" s="114" t="s">
        <v>2201</v>
      </c>
      <c r="C375" s="114" t="s">
        <v>1081</v>
      </c>
      <c r="D375" s="114" t="s">
        <v>209</v>
      </c>
      <c r="E375" s="114" t="s">
        <v>1082</v>
      </c>
      <c r="F375" s="114" t="s">
        <v>99</v>
      </c>
      <c r="G375" s="115">
        <v>43.436</v>
      </c>
      <c r="H375" s="114">
        <v>1</v>
      </c>
      <c r="I375" s="114" t="s">
        <v>3570</v>
      </c>
      <c r="J375" s="114" t="s">
        <v>99</v>
      </c>
      <c r="K375" s="115">
        <v>1</v>
      </c>
      <c r="L375" s="116">
        <v>261.29999999999995</v>
      </c>
      <c r="M375" s="116">
        <f>K375*L375</f>
        <v>261.29999999999995</v>
      </c>
      <c r="N375" s="116">
        <v>0.2223</v>
      </c>
      <c r="O375" s="116">
        <f>P375-M375</f>
        <v>58.080000000000041</v>
      </c>
      <c r="P375" s="116">
        <v>319.38</v>
      </c>
      <c r="Q375" s="116">
        <f>G375*P375</f>
        <v>13872.589679999999</v>
      </c>
      <c r="R375" s="114" t="s">
        <v>3583</v>
      </c>
      <c r="S375" s="108" t="s">
        <v>3768</v>
      </c>
      <c r="T375" s="108" t="s">
        <v>3572</v>
      </c>
    </row>
    <row r="376" spans="1:20" ht="38.25" x14ac:dyDescent="0.2">
      <c r="A376" s="114" t="s">
        <v>3767</v>
      </c>
      <c r="B376" s="114" t="s">
        <v>2201</v>
      </c>
      <c r="C376" s="114" t="s">
        <v>1081</v>
      </c>
      <c r="D376" s="114" t="s">
        <v>209</v>
      </c>
      <c r="E376" s="114" t="s">
        <v>1082</v>
      </c>
      <c r="F376" s="114" t="s">
        <v>99</v>
      </c>
      <c r="G376" s="115">
        <v>43.436</v>
      </c>
      <c r="H376" s="114">
        <v>2</v>
      </c>
      <c r="I376" s="114" t="s">
        <v>3573</v>
      </c>
      <c r="J376" s="114" t="s">
        <v>1283</v>
      </c>
      <c r="K376" s="115">
        <v>0.2223</v>
      </c>
      <c r="L376" s="116">
        <v>261.29999999999995</v>
      </c>
      <c r="M376" s="116">
        <v>0</v>
      </c>
      <c r="N376" s="116">
        <v>0.2223</v>
      </c>
      <c r="O376" s="116">
        <f>O375</f>
        <v>58.080000000000041</v>
      </c>
      <c r="P376" s="116"/>
      <c r="Q376" s="116"/>
      <c r="R376" s="114" t="s">
        <v>3574</v>
      </c>
      <c r="S376" s="108" t="s">
        <v>3575</v>
      </c>
      <c r="T376" s="108" t="s">
        <v>3576</v>
      </c>
    </row>
    <row r="377" spans="1:20" ht="38.25" x14ac:dyDescent="0.2">
      <c r="A377" s="114" t="s">
        <v>3767</v>
      </c>
      <c r="B377" s="114" t="s">
        <v>2201</v>
      </c>
      <c r="C377" s="114" t="s">
        <v>1081</v>
      </c>
      <c r="D377" s="114" t="s">
        <v>209</v>
      </c>
      <c r="E377" s="114" t="s">
        <v>1082</v>
      </c>
      <c r="F377" s="114" t="s">
        <v>99</v>
      </c>
      <c r="G377" s="115">
        <v>43.436</v>
      </c>
      <c r="H377" s="114">
        <v>3</v>
      </c>
      <c r="I377" s="114" t="s">
        <v>3577</v>
      </c>
      <c r="J377" s="114"/>
      <c r="K377" s="115"/>
      <c r="L377" s="116"/>
      <c r="M377" s="116"/>
      <c r="N377" s="116"/>
      <c r="O377" s="116"/>
      <c r="P377" s="116"/>
      <c r="Q377" s="116"/>
      <c r="R377" s="114" t="s">
        <v>3578</v>
      </c>
      <c r="S377" s="108" t="s">
        <v>3579</v>
      </c>
      <c r="T377" s="108" t="s">
        <v>3580</v>
      </c>
    </row>
    <row r="378" spans="1:20" ht="38.25" x14ac:dyDescent="0.2">
      <c r="A378" s="114" t="s">
        <v>3767</v>
      </c>
      <c r="B378" s="114" t="s">
        <v>2201</v>
      </c>
      <c r="C378" s="114" t="s">
        <v>1081</v>
      </c>
      <c r="D378" s="114" t="s">
        <v>209</v>
      </c>
      <c r="E378" s="114" t="s">
        <v>1082</v>
      </c>
      <c r="F378" s="114" t="s">
        <v>99</v>
      </c>
      <c r="G378" s="115">
        <v>43.436</v>
      </c>
      <c r="H378" s="114">
        <v>4</v>
      </c>
      <c r="I378" s="114" t="s">
        <v>3581</v>
      </c>
      <c r="J378" s="114"/>
      <c r="K378" s="115"/>
      <c r="L378" s="116"/>
      <c r="M378" s="116"/>
      <c r="N378" s="116"/>
      <c r="O378" s="116"/>
      <c r="P378" s="116"/>
      <c r="Q378" s="116"/>
      <c r="R378" s="114" t="s">
        <v>3578</v>
      </c>
      <c r="S378" s="108" t="s">
        <v>3579</v>
      </c>
      <c r="T378" s="108" t="s">
        <v>3580</v>
      </c>
    </row>
    <row r="379" spans="1:20" ht="38.25" x14ac:dyDescent="0.2">
      <c r="A379" s="114" t="s">
        <v>3769</v>
      </c>
      <c r="B379" s="114" t="s">
        <v>2167</v>
      </c>
      <c r="C379" s="114" t="s">
        <v>1051</v>
      </c>
      <c r="D379" s="114" t="s">
        <v>209</v>
      </c>
      <c r="E379" s="114" t="s">
        <v>1052</v>
      </c>
      <c r="F379" s="114" t="s">
        <v>84</v>
      </c>
      <c r="G379" s="115">
        <v>238</v>
      </c>
      <c r="H379" s="114">
        <v>1</v>
      </c>
      <c r="I379" s="114" t="s">
        <v>3570</v>
      </c>
      <c r="J379" s="114" t="s">
        <v>84</v>
      </c>
      <c r="K379" s="115">
        <v>1</v>
      </c>
      <c r="L379" s="116">
        <v>45.292500000000004</v>
      </c>
      <c r="M379" s="116">
        <f>K379*L379</f>
        <v>45.292500000000004</v>
      </c>
      <c r="N379" s="116">
        <v>0.2223</v>
      </c>
      <c r="O379" s="116">
        <f>P379-M379</f>
        <v>10.064999999999998</v>
      </c>
      <c r="P379" s="116">
        <v>55.357500000000002</v>
      </c>
      <c r="Q379" s="116">
        <f>G379*P379</f>
        <v>13175.085000000001</v>
      </c>
      <c r="R379" s="114" t="s">
        <v>3583</v>
      </c>
      <c r="S379" s="108" t="s">
        <v>3770</v>
      </c>
      <c r="T379" s="108" t="s">
        <v>3572</v>
      </c>
    </row>
    <row r="380" spans="1:20" ht="38.25" x14ac:dyDescent="0.2">
      <c r="A380" s="114" t="s">
        <v>3769</v>
      </c>
      <c r="B380" s="114" t="s">
        <v>2167</v>
      </c>
      <c r="C380" s="114" t="s">
        <v>1051</v>
      </c>
      <c r="D380" s="114" t="s">
        <v>209</v>
      </c>
      <c r="E380" s="114" t="s">
        <v>1052</v>
      </c>
      <c r="F380" s="114" t="s">
        <v>84</v>
      </c>
      <c r="G380" s="115">
        <v>238</v>
      </c>
      <c r="H380" s="114">
        <v>2</v>
      </c>
      <c r="I380" s="114" t="s">
        <v>3573</v>
      </c>
      <c r="J380" s="114" t="s">
        <v>1283</v>
      </c>
      <c r="K380" s="115">
        <v>0.2223</v>
      </c>
      <c r="L380" s="116">
        <v>45.292500000000004</v>
      </c>
      <c r="M380" s="116">
        <v>0</v>
      </c>
      <c r="N380" s="116">
        <v>0.2223</v>
      </c>
      <c r="O380" s="116">
        <f>O379</f>
        <v>10.064999999999998</v>
      </c>
      <c r="P380" s="116"/>
      <c r="Q380" s="116"/>
      <c r="R380" s="114" t="s">
        <v>3574</v>
      </c>
      <c r="S380" s="108" t="s">
        <v>3575</v>
      </c>
      <c r="T380" s="108" t="s">
        <v>3576</v>
      </c>
    </row>
    <row r="381" spans="1:20" ht="38.25" x14ac:dyDescent="0.2">
      <c r="A381" s="114" t="s">
        <v>3769</v>
      </c>
      <c r="B381" s="114" t="s">
        <v>2167</v>
      </c>
      <c r="C381" s="114" t="s">
        <v>1051</v>
      </c>
      <c r="D381" s="114" t="s">
        <v>209</v>
      </c>
      <c r="E381" s="114" t="s">
        <v>1052</v>
      </c>
      <c r="F381" s="114" t="s">
        <v>84</v>
      </c>
      <c r="G381" s="115">
        <v>238</v>
      </c>
      <c r="H381" s="114">
        <v>3</v>
      </c>
      <c r="I381" s="114" t="s">
        <v>3577</v>
      </c>
      <c r="J381" s="114"/>
      <c r="K381" s="115"/>
      <c r="L381" s="116"/>
      <c r="M381" s="116"/>
      <c r="N381" s="116"/>
      <c r="O381" s="116"/>
      <c r="P381" s="116"/>
      <c r="Q381" s="116"/>
      <c r="R381" s="114" t="s">
        <v>3578</v>
      </c>
      <c r="S381" s="108" t="s">
        <v>3579</v>
      </c>
      <c r="T381" s="108" t="s">
        <v>3580</v>
      </c>
    </row>
    <row r="382" spans="1:20" ht="38.25" x14ac:dyDescent="0.2">
      <c r="A382" s="114" t="s">
        <v>3769</v>
      </c>
      <c r="B382" s="114" t="s">
        <v>2167</v>
      </c>
      <c r="C382" s="114" t="s">
        <v>1051</v>
      </c>
      <c r="D382" s="114" t="s">
        <v>209</v>
      </c>
      <c r="E382" s="114" t="s">
        <v>1052</v>
      </c>
      <c r="F382" s="114" t="s">
        <v>84</v>
      </c>
      <c r="G382" s="115">
        <v>238</v>
      </c>
      <c r="H382" s="114">
        <v>4</v>
      </c>
      <c r="I382" s="114" t="s">
        <v>3581</v>
      </c>
      <c r="J382" s="114"/>
      <c r="K382" s="115"/>
      <c r="L382" s="116"/>
      <c r="M382" s="116"/>
      <c r="N382" s="116"/>
      <c r="O382" s="116"/>
      <c r="P382" s="116"/>
      <c r="Q382" s="116"/>
      <c r="R382" s="114" t="s">
        <v>3578</v>
      </c>
      <c r="S382" s="108" t="s">
        <v>3579</v>
      </c>
      <c r="T382" s="108" t="s">
        <v>3580</v>
      </c>
    </row>
    <row r="383" spans="1:20" ht="51" x14ac:dyDescent="0.2">
      <c r="A383" s="114" t="s">
        <v>3771</v>
      </c>
      <c r="B383" s="114" t="s">
        <v>1434</v>
      </c>
      <c r="C383" s="114" t="s">
        <v>236</v>
      </c>
      <c r="D383" s="114" t="s">
        <v>209</v>
      </c>
      <c r="E383" s="114" t="s">
        <v>271</v>
      </c>
      <c r="F383" s="114" t="s">
        <v>118</v>
      </c>
      <c r="G383" s="115">
        <v>20.338000000000001</v>
      </c>
      <c r="H383" s="114">
        <v>1</v>
      </c>
      <c r="I383" s="114" t="s">
        <v>3570</v>
      </c>
      <c r="J383" s="114" t="s">
        <v>118</v>
      </c>
      <c r="K383" s="115">
        <v>1</v>
      </c>
      <c r="L383" s="116">
        <v>521.81999999999994</v>
      </c>
      <c r="M383" s="116">
        <f>K383*L383</f>
        <v>521.81999999999994</v>
      </c>
      <c r="N383" s="116">
        <v>0.2223</v>
      </c>
      <c r="O383" s="116">
        <f>P383-M383</f>
        <v>115.995</v>
      </c>
      <c r="P383" s="116">
        <v>637.81499999999994</v>
      </c>
      <c r="Q383" s="116">
        <f>G383*P383</f>
        <v>12971.88147</v>
      </c>
      <c r="R383" s="114" t="s">
        <v>3583</v>
      </c>
      <c r="S383" s="108" t="s">
        <v>3772</v>
      </c>
      <c r="T383" s="108" t="s">
        <v>3572</v>
      </c>
    </row>
    <row r="384" spans="1:20" ht="51" x14ac:dyDescent="0.2">
      <c r="A384" s="114" t="s">
        <v>3771</v>
      </c>
      <c r="B384" s="114" t="s">
        <v>1434</v>
      </c>
      <c r="C384" s="114" t="s">
        <v>236</v>
      </c>
      <c r="D384" s="114" t="s">
        <v>209</v>
      </c>
      <c r="E384" s="114" t="s">
        <v>271</v>
      </c>
      <c r="F384" s="114" t="s">
        <v>118</v>
      </c>
      <c r="G384" s="115">
        <v>20.338000000000001</v>
      </c>
      <c r="H384" s="114">
        <v>2</v>
      </c>
      <c r="I384" s="114" t="s">
        <v>3573</v>
      </c>
      <c r="J384" s="114" t="s">
        <v>1283</v>
      </c>
      <c r="K384" s="115">
        <v>0.2223</v>
      </c>
      <c r="L384" s="116">
        <v>521.81999999999994</v>
      </c>
      <c r="M384" s="116">
        <v>0</v>
      </c>
      <c r="N384" s="116">
        <v>0.2223</v>
      </c>
      <c r="O384" s="116">
        <f>O383</f>
        <v>115.995</v>
      </c>
      <c r="P384" s="116"/>
      <c r="Q384" s="116"/>
      <c r="R384" s="114" t="s">
        <v>3574</v>
      </c>
      <c r="S384" s="108" t="s">
        <v>3575</v>
      </c>
      <c r="T384" s="108" t="s">
        <v>3576</v>
      </c>
    </row>
    <row r="385" spans="1:20" ht="51" x14ac:dyDescent="0.2">
      <c r="A385" s="114" t="s">
        <v>3771</v>
      </c>
      <c r="B385" s="114" t="s">
        <v>1434</v>
      </c>
      <c r="C385" s="114" t="s">
        <v>236</v>
      </c>
      <c r="D385" s="114" t="s">
        <v>209</v>
      </c>
      <c r="E385" s="114" t="s">
        <v>271</v>
      </c>
      <c r="F385" s="114" t="s">
        <v>118</v>
      </c>
      <c r="G385" s="115">
        <v>20.338000000000001</v>
      </c>
      <c r="H385" s="114">
        <v>3</v>
      </c>
      <c r="I385" s="114" t="s">
        <v>3577</v>
      </c>
      <c r="J385" s="114"/>
      <c r="K385" s="115"/>
      <c r="L385" s="116"/>
      <c r="M385" s="116"/>
      <c r="N385" s="116"/>
      <c r="O385" s="116"/>
      <c r="P385" s="116"/>
      <c r="Q385" s="116"/>
      <c r="R385" s="114" t="s">
        <v>3578</v>
      </c>
      <c r="S385" s="108" t="s">
        <v>3579</v>
      </c>
      <c r="T385" s="108" t="s">
        <v>3580</v>
      </c>
    </row>
    <row r="386" spans="1:20" ht="51" x14ac:dyDescent="0.2">
      <c r="A386" s="114" t="s">
        <v>3771</v>
      </c>
      <c r="B386" s="114" t="s">
        <v>1434</v>
      </c>
      <c r="C386" s="114" t="s">
        <v>236</v>
      </c>
      <c r="D386" s="114" t="s">
        <v>209</v>
      </c>
      <c r="E386" s="114" t="s">
        <v>271</v>
      </c>
      <c r="F386" s="114" t="s">
        <v>118</v>
      </c>
      <c r="G386" s="115">
        <v>20.338000000000001</v>
      </c>
      <c r="H386" s="114">
        <v>4</v>
      </c>
      <c r="I386" s="114" t="s">
        <v>3581</v>
      </c>
      <c r="J386" s="114"/>
      <c r="K386" s="115"/>
      <c r="L386" s="116"/>
      <c r="M386" s="116"/>
      <c r="N386" s="116"/>
      <c r="O386" s="116"/>
      <c r="P386" s="116"/>
      <c r="Q386" s="116"/>
      <c r="R386" s="114" t="s">
        <v>3578</v>
      </c>
      <c r="S386" s="108" t="s">
        <v>3579</v>
      </c>
      <c r="T386" s="108" t="s">
        <v>3580</v>
      </c>
    </row>
    <row r="387" spans="1:20" ht="38.25" x14ac:dyDescent="0.2">
      <c r="A387" s="114" t="s">
        <v>3773</v>
      </c>
      <c r="B387" s="114" t="s">
        <v>1952</v>
      </c>
      <c r="C387" s="114" t="s">
        <v>1953</v>
      </c>
      <c r="D387" s="114" t="s">
        <v>209</v>
      </c>
      <c r="E387" s="114" t="s">
        <v>1954</v>
      </c>
      <c r="F387" s="114" t="s">
        <v>84</v>
      </c>
      <c r="G387" s="115">
        <v>7</v>
      </c>
      <c r="H387" s="114">
        <v>1</v>
      </c>
      <c r="I387" s="114" t="s">
        <v>3570</v>
      </c>
      <c r="J387" s="114" t="s">
        <v>84</v>
      </c>
      <c r="K387" s="115">
        <v>1</v>
      </c>
      <c r="L387" s="116">
        <v>1497.5025000000001</v>
      </c>
      <c r="M387" s="116">
        <f>K387*L387</f>
        <v>1497.5025000000001</v>
      </c>
      <c r="N387" s="116">
        <v>0.2223</v>
      </c>
      <c r="O387" s="116">
        <f>P387-M387</f>
        <v>332.88749999999982</v>
      </c>
      <c r="P387" s="116">
        <v>1830.3899999999999</v>
      </c>
      <c r="Q387" s="116">
        <f>G387*P387</f>
        <v>12812.73</v>
      </c>
      <c r="R387" s="114" t="s">
        <v>3583</v>
      </c>
      <c r="S387" s="108" t="s">
        <v>3774</v>
      </c>
      <c r="T387" s="108" t="s">
        <v>3572</v>
      </c>
    </row>
    <row r="388" spans="1:20" ht="38.25" x14ac:dyDescent="0.2">
      <c r="A388" s="114" t="s">
        <v>3773</v>
      </c>
      <c r="B388" s="114" t="s">
        <v>1952</v>
      </c>
      <c r="C388" s="114" t="s">
        <v>1953</v>
      </c>
      <c r="D388" s="114" t="s">
        <v>209</v>
      </c>
      <c r="E388" s="114" t="s">
        <v>1954</v>
      </c>
      <c r="F388" s="114" t="s">
        <v>84</v>
      </c>
      <c r="G388" s="115">
        <v>7</v>
      </c>
      <c r="H388" s="114">
        <v>2</v>
      </c>
      <c r="I388" s="114" t="s">
        <v>3573</v>
      </c>
      <c r="J388" s="114" t="s">
        <v>1283</v>
      </c>
      <c r="K388" s="115">
        <v>0.2223</v>
      </c>
      <c r="L388" s="116">
        <v>1497.5025000000001</v>
      </c>
      <c r="M388" s="116">
        <v>0</v>
      </c>
      <c r="N388" s="116">
        <v>0.2223</v>
      </c>
      <c r="O388" s="116">
        <f>O387</f>
        <v>332.88749999999982</v>
      </c>
      <c r="P388" s="116"/>
      <c r="Q388" s="116"/>
      <c r="R388" s="114" t="s">
        <v>3574</v>
      </c>
      <c r="S388" s="108" t="s">
        <v>3575</v>
      </c>
      <c r="T388" s="108" t="s">
        <v>3576</v>
      </c>
    </row>
    <row r="389" spans="1:20" ht="38.25" x14ac:dyDescent="0.2">
      <c r="A389" s="114" t="s">
        <v>3773</v>
      </c>
      <c r="B389" s="114" t="s">
        <v>1952</v>
      </c>
      <c r="C389" s="114" t="s">
        <v>1953</v>
      </c>
      <c r="D389" s="114" t="s">
        <v>209</v>
      </c>
      <c r="E389" s="114" t="s">
        <v>1954</v>
      </c>
      <c r="F389" s="114" t="s">
        <v>84</v>
      </c>
      <c r="G389" s="115">
        <v>7</v>
      </c>
      <c r="H389" s="114">
        <v>3</v>
      </c>
      <c r="I389" s="114" t="s">
        <v>3577</v>
      </c>
      <c r="J389" s="114"/>
      <c r="K389" s="115"/>
      <c r="L389" s="116"/>
      <c r="M389" s="116"/>
      <c r="N389" s="116"/>
      <c r="O389" s="116"/>
      <c r="P389" s="116"/>
      <c r="Q389" s="116"/>
      <c r="R389" s="114" t="s">
        <v>3578</v>
      </c>
      <c r="S389" s="108" t="s">
        <v>3579</v>
      </c>
      <c r="T389" s="108" t="s">
        <v>3580</v>
      </c>
    </row>
    <row r="390" spans="1:20" ht="38.25" x14ac:dyDescent="0.2">
      <c r="A390" s="114" t="s">
        <v>3773</v>
      </c>
      <c r="B390" s="114" t="s">
        <v>1952</v>
      </c>
      <c r="C390" s="114" t="s">
        <v>1953</v>
      </c>
      <c r="D390" s="114" t="s">
        <v>209</v>
      </c>
      <c r="E390" s="114" t="s">
        <v>1954</v>
      </c>
      <c r="F390" s="114" t="s">
        <v>84</v>
      </c>
      <c r="G390" s="115">
        <v>7</v>
      </c>
      <c r="H390" s="114">
        <v>4</v>
      </c>
      <c r="I390" s="114" t="s">
        <v>3581</v>
      </c>
      <c r="J390" s="114"/>
      <c r="K390" s="115"/>
      <c r="L390" s="116"/>
      <c r="M390" s="116"/>
      <c r="N390" s="116"/>
      <c r="O390" s="116"/>
      <c r="P390" s="116"/>
      <c r="Q390" s="116"/>
      <c r="R390" s="114" t="s">
        <v>3578</v>
      </c>
      <c r="S390" s="108" t="s">
        <v>3579</v>
      </c>
      <c r="T390" s="108" t="s">
        <v>3580</v>
      </c>
    </row>
    <row r="391" spans="1:20" ht="38.25" x14ac:dyDescent="0.2">
      <c r="A391" s="114" t="s">
        <v>3775</v>
      </c>
      <c r="B391" s="114" t="s">
        <v>537</v>
      </c>
      <c r="C391" s="114" t="s">
        <v>538</v>
      </c>
      <c r="D391" s="114" t="s">
        <v>209</v>
      </c>
      <c r="E391" s="114" t="s">
        <v>539</v>
      </c>
      <c r="F391" s="114" t="s">
        <v>540</v>
      </c>
      <c r="G391" s="115">
        <v>30.593</v>
      </c>
      <c r="H391" s="114">
        <v>1</v>
      </c>
      <c r="I391" s="114" t="s">
        <v>3570</v>
      </c>
      <c r="J391" s="114" t="s">
        <v>540</v>
      </c>
      <c r="K391" s="115">
        <v>1</v>
      </c>
      <c r="L391" s="116">
        <v>341.66250000000002</v>
      </c>
      <c r="M391" s="116">
        <f>K391*L391</f>
        <v>341.66250000000002</v>
      </c>
      <c r="N391" s="116">
        <v>0.2223</v>
      </c>
      <c r="O391" s="116">
        <f>P391-M391</f>
        <v>75.944999999999936</v>
      </c>
      <c r="P391" s="116">
        <v>417.60749999999996</v>
      </c>
      <c r="Q391" s="116">
        <f>G391*P391</f>
        <v>12775.866247499998</v>
      </c>
      <c r="R391" s="114" t="s">
        <v>3583</v>
      </c>
      <c r="S391" s="108" t="s">
        <v>3776</v>
      </c>
      <c r="T391" s="108" t="s">
        <v>3572</v>
      </c>
    </row>
    <row r="392" spans="1:20" ht="38.25" x14ac:dyDescent="0.2">
      <c r="A392" s="114" t="s">
        <v>3775</v>
      </c>
      <c r="B392" s="114" t="s">
        <v>537</v>
      </c>
      <c r="C392" s="114" t="s">
        <v>538</v>
      </c>
      <c r="D392" s="114" t="s">
        <v>209</v>
      </c>
      <c r="E392" s="114" t="s">
        <v>539</v>
      </c>
      <c r="F392" s="114" t="s">
        <v>540</v>
      </c>
      <c r="G392" s="115">
        <v>30.593</v>
      </c>
      <c r="H392" s="114">
        <v>2</v>
      </c>
      <c r="I392" s="114" t="s">
        <v>3573</v>
      </c>
      <c r="J392" s="114" t="s">
        <v>1283</v>
      </c>
      <c r="K392" s="115">
        <v>0.2223</v>
      </c>
      <c r="L392" s="116">
        <v>341.66250000000002</v>
      </c>
      <c r="M392" s="116">
        <v>0</v>
      </c>
      <c r="N392" s="116">
        <v>0.2223</v>
      </c>
      <c r="O392" s="116">
        <f>O391</f>
        <v>75.944999999999936</v>
      </c>
      <c r="P392" s="116"/>
      <c r="Q392" s="116"/>
      <c r="R392" s="114" t="s">
        <v>3574</v>
      </c>
      <c r="S392" s="108" t="s">
        <v>3575</v>
      </c>
      <c r="T392" s="108" t="s">
        <v>3576</v>
      </c>
    </row>
    <row r="393" spans="1:20" ht="38.25" x14ac:dyDescent="0.2">
      <c r="A393" s="114" t="s">
        <v>3775</v>
      </c>
      <c r="B393" s="114" t="s">
        <v>537</v>
      </c>
      <c r="C393" s="114" t="s">
        <v>538</v>
      </c>
      <c r="D393" s="114" t="s">
        <v>209</v>
      </c>
      <c r="E393" s="114" t="s">
        <v>539</v>
      </c>
      <c r="F393" s="114" t="s">
        <v>540</v>
      </c>
      <c r="G393" s="115">
        <v>30.593</v>
      </c>
      <c r="H393" s="114">
        <v>3</v>
      </c>
      <c r="I393" s="114" t="s">
        <v>3577</v>
      </c>
      <c r="J393" s="114"/>
      <c r="K393" s="115"/>
      <c r="L393" s="116"/>
      <c r="M393" s="116"/>
      <c r="N393" s="116"/>
      <c r="O393" s="116"/>
      <c r="P393" s="116"/>
      <c r="Q393" s="116"/>
      <c r="R393" s="114" t="s">
        <v>3578</v>
      </c>
      <c r="S393" s="108" t="s">
        <v>3579</v>
      </c>
      <c r="T393" s="108" t="s">
        <v>3580</v>
      </c>
    </row>
    <row r="394" spans="1:20" ht="38.25" x14ac:dyDescent="0.2">
      <c r="A394" s="114" t="s">
        <v>3775</v>
      </c>
      <c r="B394" s="114" t="s">
        <v>537</v>
      </c>
      <c r="C394" s="114" t="s">
        <v>538</v>
      </c>
      <c r="D394" s="114" t="s">
        <v>209</v>
      </c>
      <c r="E394" s="114" t="s">
        <v>539</v>
      </c>
      <c r="F394" s="114" t="s">
        <v>540</v>
      </c>
      <c r="G394" s="115">
        <v>30.593</v>
      </c>
      <c r="H394" s="114">
        <v>4</v>
      </c>
      <c r="I394" s="114" t="s">
        <v>3581</v>
      </c>
      <c r="J394" s="114"/>
      <c r="K394" s="115"/>
      <c r="L394" s="116"/>
      <c r="M394" s="116"/>
      <c r="N394" s="116"/>
      <c r="O394" s="116"/>
      <c r="P394" s="116"/>
      <c r="Q394" s="116"/>
      <c r="R394" s="114" t="s">
        <v>3578</v>
      </c>
      <c r="S394" s="108" t="s">
        <v>3579</v>
      </c>
      <c r="T394" s="108" t="s">
        <v>3580</v>
      </c>
    </row>
    <row r="395" spans="1:20" ht="51" x14ac:dyDescent="0.2">
      <c r="A395" s="114" t="s">
        <v>3777</v>
      </c>
      <c r="B395" s="114" t="s">
        <v>321</v>
      </c>
      <c r="C395" s="114" t="s">
        <v>322</v>
      </c>
      <c r="D395" s="114" t="s">
        <v>209</v>
      </c>
      <c r="E395" s="114" t="s">
        <v>323</v>
      </c>
      <c r="F395" s="114" t="s">
        <v>26</v>
      </c>
      <c r="G395" s="115">
        <v>15.861000000000001</v>
      </c>
      <c r="H395" s="114">
        <v>1</v>
      </c>
      <c r="I395" s="114" t="s">
        <v>3570</v>
      </c>
      <c r="J395" s="114" t="s">
        <v>26</v>
      </c>
      <c r="K395" s="115">
        <v>1</v>
      </c>
      <c r="L395" s="116">
        <v>574.35749999999996</v>
      </c>
      <c r="M395" s="116">
        <f>K395*L395</f>
        <v>574.35749999999996</v>
      </c>
      <c r="N395" s="116">
        <v>0.2223</v>
      </c>
      <c r="O395" s="116">
        <f>P395-M395</f>
        <v>127.67250000000001</v>
      </c>
      <c r="P395" s="116">
        <v>702.03</v>
      </c>
      <c r="Q395" s="116">
        <f>G395*P395</f>
        <v>11134.89783</v>
      </c>
      <c r="R395" s="114" t="s">
        <v>3583</v>
      </c>
      <c r="S395" s="108" t="s">
        <v>3778</v>
      </c>
      <c r="T395" s="108" t="s">
        <v>3572</v>
      </c>
    </row>
    <row r="396" spans="1:20" ht="51" x14ac:dyDescent="0.2">
      <c r="A396" s="114" t="s">
        <v>3777</v>
      </c>
      <c r="B396" s="114" t="s">
        <v>321</v>
      </c>
      <c r="C396" s="114" t="s">
        <v>322</v>
      </c>
      <c r="D396" s="114" t="s">
        <v>209</v>
      </c>
      <c r="E396" s="114" t="s">
        <v>323</v>
      </c>
      <c r="F396" s="114" t="s">
        <v>26</v>
      </c>
      <c r="G396" s="115">
        <v>15.861000000000001</v>
      </c>
      <c r="H396" s="114">
        <v>2</v>
      </c>
      <c r="I396" s="114" t="s">
        <v>3573</v>
      </c>
      <c r="J396" s="114" t="s">
        <v>1283</v>
      </c>
      <c r="K396" s="115">
        <v>0.2223</v>
      </c>
      <c r="L396" s="116">
        <v>574.35749999999996</v>
      </c>
      <c r="M396" s="116">
        <v>0</v>
      </c>
      <c r="N396" s="116">
        <v>0.2223</v>
      </c>
      <c r="O396" s="116">
        <f>O395</f>
        <v>127.67250000000001</v>
      </c>
      <c r="P396" s="116"/>
      <c r="Q396" s="116"/>
      <c r="R396" s="114" t="s">
        <v>3574</v>
      </c>
      <c r="S396" s="108" t="s">
        <v>3575</v>
      </c>
      <c r="T396" s="108" t="s">
        <v>3576</v>
      </c>
    </row>
    <row r="397" spans="1:20" ht="51" x14ac:dyDescent="0.2">
      <c r="A397" s="114" t="s">
        <v>3777</v>
      </c>
      <c r="B397" s="114" t="s">
        <v>321</v>
      </c>
      <c r="C397" s="114" t="s">
        <v>322</v>
      </c>
      <c r="D397" s="114" t="s">
        <v>209</v>
      </c>
      <c r="E397" s="114" t="s">
        <v>323</v>
      </c>
      <c r="F397" s="114" t="s">
        <v>26</v>
      </c>
      <c r="G397" s="115">
        <v>15.861000000000001</v>
      </c>
      <c r="H397" s="114">
        <v>3</v>
      </c>
      <c r="I397" s="114" t="s">
        <v>3577</v>
      </c>
      <c r="J397" s="114"/>
      <c r="K397" s="115"/>
      <c r="L397" s="116"/>
      <c r="M397" s="116"/>
      <c r="N397" s="116"/>
      <c r="O397" s="116"/>
      <c r="P397" s="116"/>
      <c r="Q397" s="116"/>
      <c r="R397" s="114" t="s">
        <v>3578</v>
      </c>
      <c r="S397" s="108" t="s">
        <v>3579</v>
      </c>
      <c r="T397" s="108" t="s">
        <v>3580</v>
      </c>
    </row>
    <row r="398" spans="1:20" ht="51" x14ac:dyDescent="0.2">
      <c r="A398" s="114" t="s">
        <v>3777</v>
      </c>
      <c r="B398" s="114" t="s">
        <v>321</v>
      </c>
      <c r="C398" s="114" t="s">
        <v>322</v>
      </c>
      <c r="D398" s="114" t="s">
        <v>209</v>
      </c>
      <c r="E398" s="114" t="s">
        <v>323</v>
      </c>
      <c r="F398" s="114" t="s">
        <v>26</v>
      </c>
      <c r="G398" s="115">
        <v>15.861000000000001</v>
      </c>
      <c r="H398" s="114">
        <v>4</v>
      </c>
      <c r="I398" s="114" t="s">
        <v>3581</v>
      </c>
      <c r="J398" s="114"/>
      <c r="K398" s="115"/>
      <c r="L398" s="116"/>
      <c r="M398" s="116"/>
      <c r="N398" s="116"/>
      <c r="O398" s="116"/>
      <c r="P398" s="116"/>
      <c r="Q398" s="116"/>
      <c r="R398" s="114" t="s">
        <v>3578</v>
      </c>
      <c r="S398" s="108" t="s">
        <v>3579</v>
      </c>
      <c r="T398" s="108" t="s">
        <v>3580</v>
      </c>
    </row>
    <row r="399" spans="1:20" ht="38.25" x14ac:dyDescent="0.2">
      <c r="A399" s="114" t="s">
        <v>3779</v>
      </c>
      <c r="B399" s="114" t="s">
        <v>514</v>
      </c>
      <c r="C399" s="114" t="s">
        <v>515</v>
      </c>
      <c r="D399" s="114" t="s">
        <v>209</v>
      </c>
      <c r="E399" s="114" t="s">
        <v>516</v>
      </c>
      <c r="F399" s="114" t="s">
        <v>84</v>
      </c>
      <c r="G399" s="115">
        <v>1</v>
      </c>
      <c r="H399" s="114">
        <v>1</v>
      </c>
      <c r="I399" s="114" t="s">
        <v>3570</v>
      </c>
      <c r="J399" s="114" t="s">
        <v>84</v>
      </c>
      <c r="K399" s="115">
        <v>1</v>
      </c>
      <c r="L399" s="116">
        <v>8255.91</v>
      </c>
      <c r="M399" s="116">
        <f>K399*L399</f>
        <v>8255.91</v>
      </c>
      <c r="N399" s="116">
        <v>0.2223</v>
      </c>
      <c r="O399" s="116">
        <f>P399-M399</f>
        <v>1835.2875000000004</v>
      </c>
      <c r="P399" s="116">
        <v>10091.1975</v>
      </c>
      <c r="Q399" s="116">
        <f>G399*P399</f>
        <v>10091.1975</v>
      </c>
      <c r="R399" s="114" t="s">
        <v>3583</v>
      </c>
      <c r="S399" s="108" t="s">
        <v>3780</v>
      </c>
      <c r="T399" s="108" t="s">
        <v>3572</v>
      </c>
    </row>
    <row r="400" spans="1:20" ht="38.25" x14ac:dyDescent="0.2">
      <c r="A400" s="114" t="s">
        <v>3779</v>
      </c>
      <c r="B400" s="114" t="s">
        <v>514</v>
      </c>
      <c r="C400" s="114" t="s">
        <v>515</v>
      </c>
      <c r="D400" s="114" t="s">
        <v>209</v>
      </c>
      <c r="E400" s="114" t="s">
        <v>516</v>
      </c>
      <c r="F400" s="114" t="s">
        <v>84</v>
      </c>
      <c r="G400" s="115">
        <v>1</v>
      </c>
      <c r="H400" s="114">
        <v>2</v>
      </c>
      <c r="I400" s="114" t="s">
        <v>3573</v>
      </c>
      <c r="J400" s="114" t="s">
        <v>1283</v>
      </c>
      <c r="K400" s="115">
        <v>0.2223</v>
      </c>
      <c r="L400" s="116">
        <v>8255.91</v>
      </c>
      <c r="M400" s="116">
        <v>0</v>
      </c>
      <c r="N400" s="116">
        <v>0.2223</v>
      </c>
      <c r="O400" s="116">
        <f>O399</f>
        <v>1835.2875000000004</v>
      </c>
      <c r="P400" s="116"/>
      <c r="Q400" s="116"/>
      <c r="R400" s="114" t="s">
        <v>3574</v>
      </c>
      <c r="S400" s="108" t="s">
        <v>3575</v>
      </c>
      <c r="T400" s="108" t="s">
        <v>3576</v>
      </c>
    </row>
    <row r="401" spans="1:20" ht="38.25" x14ac:dyDescent="0.2">
      <c r="A401" s="114" t="s">
        <v>3779</v>
      </c>
      <c r="B401" s="114" t="s">
        <v>514</v>
      </c>
      <c r="C401" s="114" t="s">
        <v>515</v>
      </c>
      <c r="D401" s="114" t="s">
        <v>209</v>
      </c>
      <c r="E401" s="114" t="s">
        <v>516</v>
      </c>
      <c r="F401" s="114" t="s">
        <v>84</v>
      </c>
      <c r="G401" s="115">
        <v>1</v>
      </c>
      <c r="H401" s="114">
        <v>3</v>
      </c>
      <c r="I401" s="114" t="s">
        <v>3577</v>
      </c>
      <c r="J401" s="114"/>
      <c r="K401" s="115"/>
      <c r="L401" s="116"/>
      <c r="M401" s="116"/>
      <c r="N401" s="116"/>
      <c r="O401" s="116"/>
      <c r="P401" s="116"/>
      <c r="Q401" s="116"/>
      <c r="R401" s="114" t="s">
        <v>3578</v>
      </c>
      <c r="S401" s="108" t="s">
        <v>3579</v>
      </c>
      <c r="T401" s="108" t="s">
        <v>3580</v>
      </c>
    </row>
    <row r="402" spans="1:20" ht="38.25" x14ac:dyDescent="0.2">
      <c r="A402" s="114" t="s">
        <v>3779</v>
      </c>
      <c r="B402" s="114" t="s">
        <v>514</v>
      </c>
      <c r="C402" s="114" t="s">
        <v>515</v>
      </c>
      <c r="D402" s="114" t="s">
        <v>209</v>
      </c>
      <c r="E402" s="114" t="s">
        <v>516</v>
      </c>
      <c r="F402" s="114" t="s">
        <v>84</v>
      </c>
      <c r="G402" s="115">
        <v>1</v>
      </c>
      <c r="H402" s="114">
        <v>4</v>
      </c>
      <c r="I402" s="114" t="s">
        <v>3581</v>
      </c>
      <c r="J402" s="114"/>
      <c r="K402" s="115"/>
      <c r="L402" s="116"/>
      <c r="M402" s="116"/>
      <c r="N402" s="116"/>
      <c r="O402" s="116"/>
      <c r="P402" s="116"/>
      <c r="Q402" s="116"/>
      <c r="R402" s="114" t="s">
        <v>3578</v>
      </c>
      <c r="S402" s="108" t="s">
        <v>3579</v>
      </c>
      <c r="T402" s="108" t="s">
        <v>3580</v>
      </c>
    </row>
    <row r="403" spans="1:20" ht="102" x14ac:dyDescent="0.2">
      <c r="A403" s="114" t="s">
        <v>3781</v>
      </c>
      <c r="B403" s="114" t="s">
        <v>1526</v>
      </c>
      <c r="C403" s="114" t="s">
        <v>474</v>
      </c>
      <c r="D403" s="114" t="s">
        <v>209</v>
      </c>
      <c r="E403" s="114" t="s">
        <v>475</v>
      </c>
      <c r="F403" s="114" t="s">
        <v>84</v>
      </c>
      <c r="G403" s="115">
        <v>1</v>
      </c>
      <c r="H403" s="114">
        <v>1</v>
      </c>
      <c r="I403" s="114" t="s">
        <v>3570</v>
      </c>
      <c r="J403" s="114" t="s">
        <v>84</v>
      </c>
      <c r="K403" s="115">
        <v>1</v>
      </c>
      <c r="L403" s="116">
        <v>8206.3724999999995</v>
      </c>
      <c r="M403" s="116">
        <f>K403*L403</f>
        <v>8206.3724999999995</v>
      </c>
      <c r="N403" s="116">
        <v>0.2223</v>
      </c>
      <c r="O403" s="116">
        <f>P403-M403</f>
        <v>1824.2700000000004</v>
      </c>
      <c r="P403" s="116">
        <v>10030.6425</v>
      </c>
      <c r="Q403" s="116">
        <f>G403*P403</f>
        <v>10030.6425</v>
      </c>
      <c r="R403" s="114" t="s">
        <v>3583</v>
      </c>
      <c r="S403" s="108" t="s">
        <v>3782</v>
      </c>
      <c r="T403" s="108" t="s">
        <v>3572</v>
      </c>
    </row>
    <row r="404" spans="1:20" ht="102" x14ac:dyDescent="0.2">
      <c r="A404" s="114" t="s">
        <v>3781</v>
      </c>
      <c r="B404" s="114" t="s">
        <v>1526</v>
      </c>
      <c r="C404" s="114" t="s">
        <v>474</v>
      </c>
      <c r="D404" s="114" t="s">
        <v>209</v>
      </c>
      <c r="E404" s="114" t="s">
        <v>475</v>
      </c>
      <c r="F404" s="114" t="s">
        <v>84</v>
      </c>
      <c r="G404" s="115">
        <v>1</v>
      </c>
      <c r="H404" s="114">
        <v>2</v>
      </c>
      <c r="I404" s="114" t="s">
        <v>3573</v>
      </c>
      <c r="J404" s="114" t="s">
        <v>1283</v>
      </c>
      <c r="K404" s="115">
        <v>0.2223</v>
      </c>
      <c r="L404" s="116">
        <v>8206.3724999999995</v>
      </c>
      <c r="M404" s="116">
        <v>0</v>
      </c>
      <c r="N404" s="116">
        <v>0.2223</v>
      </c>
      <c r="O404" s="116">
        <f>O403</f>
        <v>1824.2700000000004</v>
      </c>
      <c r="P404" s="116"/>
      <c r="Q404" s="116"/>
      <c r="R404" s="114" t="s">
        <v>3574</v>
      </c>
      <c r="S404" s="108" t="s">
        <v>3575</v>
      </c>
      <c r="T404" s="108" t="s">
        <v>3576</v>
      </c>
    </row>
    <row r="405" spans="1:20" ht="102" x14ac:dyDescent="0.2">
      <c r="A405" s="114" t="s">
        <v>3781</v>
      </c>
      <c r="B405" s="114" t="s">
        <v>1526</v>
      </c>
      <c r="C405" s="114" t="s">
        <v>474</v>
      </c>
      <c r="D405" s="114" t="s">
        <v>209</v>
      </c>
      <c r="E405" s="114" t="s">
        <v>475</v>
      </c>
      <c r="F405" s="114" t="s">
        <v>84</v>
      </c>
      <c r="G405" s="115">
        <v>1</v>
      </c>
      <c r="H405" s="114">
        <v>3</v>
      </c>
      <c r="I405" s="114" t="s">
        <v>3577</v>
      </c>
      <c r="J405" s="114"/>
      <c r="K405" s="115"/>
      <c r="L405" s="116"/>
      <c r="M405" s="116"/>
      <c r="N405" s="116"/>
      <c r="O405" s="116"/>
      <c r="P405" s="116"/>
      <c r="Q405" s="116"/>
      <c r="R405" s="114" t="s">
        <v>3578</v>
      </c>
      <c r="S405" s="108" t="s">
        <v>3579</v>
      </c>
      <c r="T405" s="108" t="s">
        <v>3580</v>
      </c>
    </row>
    <row r="406" spans="1:20" ht="102" x14ac:dyDescent="0.2">
      <c r="A406" s="114" t="s">
        <v>3781</v>
      </c>
      <c r="B406" s="114" t="s">
        <v>1526</v>
      </c>
      <c r="C406" s="114" t="s">
        <v>474</v>
      </c>
      <c r="D406" s="114" t="s">
        <v>209</v>
      </c>
      <c r="E406" s="114" t="s">
        <v>475</v>
      </c>
      <c r="F406" s="114" t="s">
        <v>84</v>
      </c>
      <c r="G406" s="115">
        <v>1</v>
      </c>
      <c r="H406" s="114">
        <v>4</v>
      </c>
      <c r="I406" s="114" t="s">
        <v>3581</v>
      </c>
      <c r="J406" s="114"/>
      <c r="K406" s="115"/>
      <c r="L406" s="116"/>
      <c r="M406" s="116"/>
      <c r="N406" s="116"/>
      <c r="O406" s="116"/>
      <c r="P406" s="116"/>
      <c r="Q406" s="116"/>
      <c r="R406" s="114" t="s">
        <v>3578</v>
      </c>
      <c r="S406" s="108" t="s">
        <v>3579</v>
      </c>
      <c r="T406" s="108" t="s">
        <v>3580</v>
      </c>
    </row>
    <row r="407" spans="1:20" ht="63.75" x14ac:dyDescent="0.2">
      <c r="A407" s="114" t="s">
        <v>3783</v>
      </c>
      <c r="B407" s="114" t="s">
        <v>1910</v>
      </c>
      <c r="C407" s="114" t="s">
        <v>856</v>
      </c>
      <c r="D407" s="114" t="s">
        <v>209</v>
      </c>
      <c r="E407" s="114" t="s">
        <v>857</v>
      </c>
      <c r="F407" s="114" t="s">
        <v>99</v>
      </c>
      <c r="G407" s="115">
        <v>50</v>
      </c>
      <c r="H407" s="114">
        <v>1</v>
      </c>
      <c r="I407" s="114" t="s">
        <v>3570</v>
      </c>
      <c r="J407" s="114" t="s">
        <v>99</v>
      </c>
      <c r="K407" s="115">
        <v>1</v>
      </c>
      <c r="L407" s="116">
        <v>160.22999999999999</v>
      </c>
      <c r="M407" s="116">
        <f>K407*L407</f>
        <v>160.22999999999999</v>
      </c>
      <c r="N407" s="116">
        <v>0.2223</v>
      </c>
      <c r="O407" s="116">
        <f>P407-M407</f>
        <v>35.617500000000007</v>
      </c>
      <c r="P407" s="116">
        <v>195.8475</v>
      </c>
      <c r="Q407" s="116">
        <f>G407*P407</f>
        <v>9792.375</v>
      </c>
      <c r="R407" s="114" t="s">
        <v>3583</v>
      </c>
      <c r="S407" s="108" t="s">
        <v>3784</v>
      </c>
      <c r="T407" s="108" t="s">
        <v>3572</v>
      </c>
    </row>
    <row r="408" spans="1:20" ht="63.75" x14ac:dyDescent="0.2">
      <c r="A408" s="114" t="s">
        <v>3783</v>
      </c>
      <c r="B408" s="114" t="s">
        <v>1910</v>
      </c>
      <c r="C408" s="114" t="s">
        <v>856</v>
      </c>
      <c r="D408" s="114" t="s">
        <v>209</v>
      </c>
      <c r="E408" s="114" t="s">
        <v>857</v>
      </c>
      <c r="F408" s="114" t="s">
        <v>99</v>
      </c>
      <c r="G408" s="115">
        <v>50</v>
      </c>
      <c r="H408" s="114">
        <v>2</v>
      </c>
      <c r="I408" s="114" t="s">
        <v>3573</v>
      </c>
      <c r="J408" s="114" t="s">
        <v>1283</v>
      </c>
      <c r="K408" s="115">
        <v>0.2223</v>
      </c>
      <c r="L408" s="116">
        <v>160.22999999999999</v>
      </c>
      <c r="M408" s="116">
        <v>0</v>
      </c>
      <c r="N408" s="116">
        <v>0.2223</v>
      </c>
      <c r="O408" s="116">
        <f>O407</f>
        <v>35.617500000000007</v>
      </c>
      <c r="P408" s="116"/>
      <c r="Q408" s="116"/>
      <c r="R408" s="114" t="s">
        <v>3574</v>
      </c>
      <c r="S408" s="108" t="s">
        <v>3575</v>
      </c>
      <c r="T408" s="108" t="s">
        <v>3576</v>
      </c>
    </row>
    <row r="409" spans="1:20" ht="63.75" x14ac:dyDescent="0.2">
      <c r="A409" s="114" t="s">
        <v>3783</v>
      </c>
      <c r="B409" s="114" t="s">
        <v>1910</v>
      </c>
      <c r="C409" s="114" t="s">
        <v>856</v>
      </c>
      <c r="D409" s="114" t="s">
        <v>209</v>
      </c>
      <c r="E409" s="114" t="s">
        <v>857</v>
      </c>
      <c r="F409" s="114" t="s">
        <v>99</v>
      </c>
      <c r="G409" s="115">
        <v>50</v>
      </c>
      <c r="H409" s="114">
        <v>3</v>
      </c>
      <c r="I409" s="114" t="s">
        <v>3577</v>
      </c>
      <c r="J409" s="114"/>
      <c r="K409" s="115"/>
      <c r="L409" s="116"/>
      <c r="M409" s="116"/>
      <c r="N409" s="116"/>
      <c r="O409" s="116"/>
      <c r="P409" s="116"/>
      <c r="Q409" s="116"/>
      <c r="R409" s="114" t="s">
        <v>3578</v>
      </c>
      <c r="S409" s="108" t="s">
        <v>3579</v>
      </c>
      <c r="T409" s="108" t="s">
        <v>3580</v>
      </c>
    </row>
    <row r="410" spans="1:20" ht="63.75" x14ac:dyDescent="0.2">
      <c r="A410" s="114" t="s">
        <v>3783</v>
      </c>
      <c r="B410" s="114" t="s">
        <v>1910</v>
      </c>
      <c r="C410" s="114" t="s">
        <v>856</v>
      </c>
      <c r="D410" s="114" t="s">
        <v>209</v>
      </c>
      <c r="E410" s="114" t="s">
        <v>857</v>
      </c>
      <c r="F410" s="114" t="s">
        <v>99</v>
      </c>
      <c r="G410" s="115">
        <v>50</v>
      </c>
      <c r="H410" s="114">
        <v>4</v>
      </c>
      <c r="I410" s="114" t="s">
        <v>3581</v>
      </c>
      <c r="J410" s="114"/>
      <c r="K410" s="115"/>
      <c r="L410" s="116"/>
      <c r="M410" s="116"/>
      <c r="N410" s="116"/>
      <c r="O410" s="116"/>
      <c r="P410" s="116"/>
      <c r="Q410" s="116"/>
      <c r="R410" s="114" t="s">
        <v>3578</v>
      </c>
      <c r="S410" s="108" t="s">
        <v>3579</v>
      </c>
      <c r="T410" s="108" t="s">
        <v>3580</v>
      </c>
    </row>
    <row r="411" spans="1:20" ht="63.75" x14ac:dyDescent="0.2">
      <c r="A411" s="114" t="s">
        <v>3785</v>
      </c>
      <c r="B411" s="114" t="s">
        <v>1911</v>
      </c>
      <c r="C411" s="114" t="s">
        <v>858</v>
      </c>
      <c r="D411" s="114" t="s">
        <v>209</v>
      </c>
      <c r="E411" s="114" t="s">
        <v>859</v>
      </c>
      <c r="F411" s="114" t="s">
        <v>99</v>
      </c>
      <c r="G411" s="115">
        <v>40</v>
      </c>
      <c r="H411" s="114">
        <v>1</v>
      </c>
      <c r="I411" s="114" t="s">
        <v>3570</v>
      </c>
      <c r="J411" s="114" t="s">
        <v>99</v>
      </c>
      <c r="K411" s="115">
        <v>1</v>
      </c>
      <c r="L411" s="116">
        <v>200.01</v>
      </c>
      <c r="M411" s="116">
        <f>K411*L411</f>
        <v>200.01</v>
      </c>
      <c r="N411" s="116">
        <v>0.2223</v>
      </c>
      <c r="O411" s="116">
        <f>P411-M411</f>
        <v>44.45999999999998</v>
      </c>
      <c r="P411" s="116">
        <v>244.46999999999997</v>
      </c>
      <c r="Q411" s="116">
        <f>G411*P411</f>
        <v>9778.7999999999993</v>
      </c>
      <c r="R411" s="114" t="s">
        <v>3583</v>
      </c>
      <c r="S411" s="108" t="s">
        <v>3786</v>
      </c>
      <c r="T411" s="108" t="s">
        <v>3572</v>
      </c>
    </row>
    <row r="412" spans="1:20" ht="63.75" x14ac:dyDescent="0.2">
      <c r="A412" s="114" t="s">
        <v>3785</v>
      </c>
      <c r="B412" s="114" t="s">
        <v>1911</v>
      </c>
      <c r="C412" s="114" t="s">
        <v>858</v>
      </c>
      <c r="D412" s="114" t="s">
        <v>209</v>
      </c>
      <c r="E412" s="114" t="s">
        <v>859</v>
      </c>
      <c r="F412" s="114" t="s">
        <v>99</v>
      </c>
      <c r="G412" s="115">
        <v>40</v>
      </c>
      <c r="H412" s="114">
        <v>2</v>
      </c>
      <c r="I412" s="114" t="s">
        <v>3573</v>
      </c>
      <c r="J412" s="114" t="s">
        <v>1283</v>
      </c>
      <c r="K412" s="115">
        <v>0.2223</v>
      </c>
      <c r="L412" s="116">
        <v>200.01</v>
      </c>
      <c r="M412" s="116">
        <v>0</v>
      </c>
      <c r="N412" s="116">
        <v>0.2223</v>
      </c>
      <c r="O412" s="116">
        <f>O411</f>
        <v>44.45999999999998</v>
      </c>
      <c r="P412" s="116"/>
      <c r="Q412" s="116"/>
      <c r="R412" s="114" t="s">
        <v>3574</v>
      </c>
      <c r="S412" s="108" t="s">
        <v>3575</v>
      </c>
      <c r="T412" s="108" t="s">
        <v>3576</v>
      </c>
    </row>
    <row r="413" spans="1:20" ht="63.75" x14ac:dyDescent="0.2">
      <c r="A413" s="114" t="s">
        <v>3785</v>
      </c>
      <c r="B413" s="114" t="s">
        <v>1911</v>
      </c>
      <c r="C413" s="114" t="s">
        <v>858</v>
      </c>
      <c r="D413" s="114" t="s">
        <v>209</v>
      </c>
      <c r="E413" s="114" t="s">
        <v>859</v>
      </c>
      <c r="F413" s="114" t="s">
        <v>99</v>
      </c>
      <c r="G413" s="115">
        <v>40</v>
      </c>
      <c r="H413" s="114">
        <v>3</v>
      </c>
      <c r="I413" s="114" t="s">
        <v>3577</v>
      </c>
      <c r="J413" s="114"/>
      <c r="K413" s="115"/>
      <c r="L413" s="116"/>
      <c r="M413" s="116"/>
      <c r="N413" s="116"/>
      <c r="O413" s="116"/>
      <c r="P413" s="116"/>
      <c r="Q413" s="116"/>
      <c r="R413" s="114" t="s">
        <v>3578</v>
      </c>
      <c r="S413" s="108" t="s">
        <v>3579</v>
      </c>
      <c r="T413" s="108" t="s">
        <v>3580</v>
      </c>
    </row>
    <row r="414" spans="1:20" ht="63.75" x14ac:dyDescent="0.2">
      <c r="A414" s="114" t="s">
        <v>3785</v>
      </c>
      <c r="B414" s="114" t="s">
        <v>1911</v>
      </c>
      <c r="C414" s="114" t="s">
        <v>858</v>
      </c>
      <c r="D414" s="114" t="s">
        <v>209</v>
      </c>
      <c r="E414" s="114" t="s">
        <v>859</v>
      </c>
      <c r="F414" s="114" t="s">
        <v>99</v>
      </c>
      <c r="G414" s="115">
        <v>40</v>
      </c>
      <c r="H414" s="114">
        <v>4</v>
      </c>
      <c r="I414" s="114" t="s">
        <v>3581</v>
      </c>
      <c r="J414" s="114"/>
      <c r="K414" s="115"/>
      <c r="L414" s="116"/>
      <c r="M414" s="116"/>
      <c r="N414" s="116"/>
      <c r="O414" s="116"/>
      <c r="P414" s="116"/>
      <c r="Q414" s="116"/>
      <c r="R414" s="114" t="s">
        <v>3578</v>
      </c>
      <c r="S414" s="108" t="s">
        <v>3579</v>
      </c>
      <c r="T414" s="108" t="s">
        <v>3580</v>
      </c>
    </row>
    <row r="415" spans="1:20" ht="38.25" x14ac:dyDescent="0.2">
      <c r="A415" s="114" t="s">
        <v>3787</v>
      </c>
      <c r="B415" s="114" t="s">
        <v>1435</v>
      </c>
      <c r="C415" s="114" t="s">
        <v>272</v>
      </c>
      <c r="D415" s="114" t="s">
        <v>209</v>
      </c>
      <c r="E415" s="114" t="s">
        <v>273</v>
      </c>
      <c r="F415" s="114" t="s">
        <v>118</v>
      </c>
      <c r="G415" s="115">
        <v>14.555999999999999</v>
      </c>
      <c r="H415" s="114">
        <v>1</v>
      </c>
      <c r="I415" s="114" t="s">
        <v>3570</v>
      </c>
      <c r="J415" s="114" t="s">
        <v>118</v>
      </c>
      <c r="K415" s="115">
        <v>1</v>
      </c>
      <c r="L415" s="116">
        <v>540.85500000000002</v>
      </c>
      <c r="M415" s="116">
        <f>K415*L415</f>
        <v>540.85500000000002</v>
      </c>
      <c r="N415" s="116">
        <v>0.2223</v>
      </c>
      <c r="O415" s="116">
        <f>P415-M415</f>
        <v>120.22500000000002</v>
      </c>
      <c r="P415" s="116">
        <v>661.08</v>
      </c>
      <c r="Q415" s="116">
        <f>G415*P415</f>
        <v>9622.6804800000009</v>
      </c>
      <c r="R415" s="114" t="s">
        <v>3583</v>
      </c>
      <c r="S415" s="108" t="s">
        <v>3788</v>
      </c>
      <c r="T415" s="108" t="s">
        <v>3572</v>
      </c>
    </row>
    <row r="416" spans="1:20" ht="38.25" x14ac:dyDescent="0.2">
      <c r="A416" s="114" t="s">
        <v>3787</v>
      </c>
      <c r="B416" s="114" t="s">
        <v>1435</v>
      </c>
      <c r="C416" s="114" t="s">
        <v>272</v>
      </c>
      <c r="D416" s="114" t="s">
        <v>209</v>
      </c>
      <c r="E416" s="114" t="s">
        <v>273</v>
      </c>
      <c r="F416" s="114" t="s">
        <v>118</v>
      </c>
      <c r="G416" s="115">
        <v>14.555999999999999</v>
      </c>
      <c r="H416" s="114">
        <v>2</v>
      </c>
      <c r="I416" s="114" t="s">
        <v>3573</v>
      </c>
      <c r="J416" s="114" t="s">
        <v>1283</v>
      </c>
      <c r="K416" s="115">
        <v>0.2223</v>
      </c>
      <c r="L416" s="116">
        <v>540.85500000000002</v>
      </c>
      <c r="M416" s="116">
        <v>0</v>
      </c>
      <c r="N416" s="116">
        <v>0.2223</v>
      </c>
      <c r="O416" s="116">
        <f>O415</f>
        <v>120.22500000000002</v>
      </c>
      <c r="P416" s="116"/>
      <c r="Q416" s="116"/>
      <c r="R416" s="114" t="s">
        <v>3574</v>
      </c>
      <c r="S416" s="108" t="s">
        <v>3575</v>
      </c>
      <c r="T416" s="108" t="s">
        <v>3576</v>
      </c>
    </row>
    <row r="417" spans="1:20" ht="38.25" x14ac:dyDescent="0.2">
      <c r="A417" s="114" t="s">
        <v>3787</v>
      </c>
      <c r="B417" s="114" t="s">
        <v>1435</v>
      </c>
      <c r="C417" s="114" t="s">
        <v>272</v>
      </c>
      <c r="D417" s="114" t="s">
        <v>209</v>
      </c>
      <c r="E417" s="114" t="s">
        <v>273</v>
      </c>
      <c r="F417" s="114" t="s">
        <v>118</v>
      </c>
      <c r="G417" s="115">
        <v>14.555999999999999</v>
      </c>
      <c r="H417" s="114">
        <v>3</v>
      </c>
      <c r="I417" s="114" t="s">
        <v>3577</v>
      </c>
      <c r="J417" s="114"/>
      <c r="K417" s="115"/>
      <c r="L417" s="116"/>
      <c r="M417" s="116"/>
      <c r="N417" s="116"/>
      <c r="O417" s="116"/>
      <c r="P417" s="116"/>
      <c r="Q417" s="116"/>
      <c r="R417" s="114" t="s">
        <v>3578</v>
      </c>
      <c r="S417" s="108" t="s">
        <v>3579</v>
      </c>
      <c r="T417" s="108" t="s">
        <v>3580</v>
      </c>
    </row>
    <row r="418" spans="1:20" ht="38.25" x14ac:dyDescent="0.2">
      <c r="A418" s="114" t="s">
        <v>3787</v>
      </c>
      <c r="B418" s="114" t="s">
        <v>1435</v>
      </c>
      <c r="C418" s="114" t="s">
        <v>272</v>
      </c>
      <c r="D418" s="114" t="s">
        <v>209</v>
      </c>
      <c r="E418" s="114" t="s">
        <v>273</v>
      </c>
      <c r="F418" s="114" t="s">
        <v>118</v>
      </c>
      <c r="G418" s="115">
        <v>14.555999999999999</v>
      </c>
      <c r="H418" s="114">
        <v>4</v>
      </c>
      <c r="I418" s="114" t="s">
        <v>3581</v>
      </c>
      <c r="J418" s="114"/>
      <c r="K418" s="115"/>
      <c r="L418" s="116"/>
      <c r="M418" s="116"/>
      <c r="N418" s="116"/>
      <c r="O418" s="116"/>
      <c r="P418" s="116"/>
      <c r="Q418" s="116"/>
      <c r="R418" s="114" t="s">
        <v>3578</v>
      </c>
      <c r="S418" s="108" t="s">
        <v>3579</v>
      </c>
      <c r="T418" s="108" t="s">
        <v>3580</v>
      </c>
    </row>
    <row r="419" spans="1:20" ht="63.75" x14ac:dyDescent="0.2">
      <c r="A419" s="114" t="s">
        <v>3789</v>
      </c>
      <c r="B419" s="114" t="s">
        <v>1913</v>
      </c>
      <c r="C419" s="114" t="s">
        <v>862</v>
      </c>
      <c r="D419" s="114" t="s">
        <v>209</v>
      </c>
      <c r="E419" s="114" t="s">
        <v>863</v>
      </c>
      <c r="F419" s="114" t="s">
        <v>99</v>
      </c>
      <c r="G419" s="115">
        <v>20</v>
      </c>
      <c r="H419" s="114">
        <v>1</v>
      </c>
      <c r="I419" s="114" t="s">
        <v>3570</v>
      </c>
      <c r="J419" s="114" t="s">
        <v>99</v>
      </c>
      <c r="K419" s="115">
        <v>1</v>
      </c>
      <c r="L419" s="116">
        <v>340.85250000000002</v>
      </c>
      <c r="M419" s="116">
        <f>K419*L419</f>
        <v>340.85250000000002</v>
      </c>
      <c r="N419" s="116">
        <v>0.2223</v>
      </c>
      <c r="O419" s="116">
        <f>P419-M419</f>
        <v>75.764999999999986</v>
      </c>
      <c r="P419" s="116">
        <v>416.61750000000001</v>
      </c>
      <c r="Q419" s="116">
        <f>G419*P419</f>
        <v>8332.35</v>
      </c>
      <c r="R419" s="114" t="s">
        <v>3583</v>
      </c>
      <c r="S419" s="108" t="s">
        <v>3790</v>
      </c>
      <c r="T419" s="108" t="s">
        <v>3572</v>
      </c>
    </row>
    <row r="420" spans="1:20" ht="63.75" x14ac:dyDescent="0.2">
      <c r="A420" s="114" t="s">
        <v>3789</v>
      </c>
      <c r="B420" s="114" t="s">
        <v>1913</v>
      </c>
      <c r="C420" s="114" t="s">
        <v>862</v>
      </c>
      <c r="D420" s="114" t="s">
        <v>209</v>
      </c>
      <c r="E420" s="114" t="s">
        <v>863</v>
      </c>
      <c r="F420" s="114" t="s">
        <v>99</v>
      </c>
      <c r="G420" s="115">
        <v>20</v>
      </c>
      <c r="H420" s="114">
        <v>2</v>
      </c>
      <c r="I420" s="114" t="s">
        <v>3573</v>
      </c>
      <c r="J420" s="114" t="s">
        <v>1283</v>
      </c>
      <c r="K420" s="115">
        <v>0.2223</v>
      </c>
      <c r="L420" s="116">
        <v>340.85250000000002</v>
      </c>
      <c r="M420" s="116">
        <v>0</v>
      </c>
      <c r="N420" s="116">
        <v>0.2223</v>
      </c>
      <c r="O420" s="116">
        <f>O419</f>
        <v>75.764999999999986</v>
      </c>
      <c r="P420" s="116"/>
      <c r="Q420" s="116"/>
      <c r="R420" s="114" t="s">
        <v>3574</v>
      </c>
      <c r="S420" s="108" t="s">
        <v>3575</v>
      </c>
      <c r="T420" s="108" t="s">
        <v>3576</v>
      </c>
    </row>
    <row r="421" spans="1:20" ht="63.75" x14ac:dyDescent="0.2">
      <c r="A421" s="114" t="s">
        <v>3789</v>
      </c>
      <c r="B421" s="114" t="s">
        <v>1913</v>
      </c>
      <c r="C421" s="114" t="s">
        <v>862</v>
      </c>
      <c r="D421" s="114" t="s">
        <v>209</v>
      </c>
      <c r="E421" s="114" t="s">
        <v>863</v>
      </c>
      <c r="F421" s="114" t="s">
        <v>99</v>
      </c>
      <c r="G421" s="115">
        <v>20</v>
      </c>
      <c r="H421" s="114">
        <v>3</v>
      </c>
      <c r="I421" s="114" t="s">
        <v>3577</v>
      </c>
      <c r="J421" s="114"/>
      <c r="K421" s="115"/>
      <c r="L421" s="116"/>
      <c r="M421" s="116"/>
      <c r="N421" s="116"/>
      <c r="O421" s="116"/>
      <c r="P421" s="116"/>
      <c r="Q421" s="116"/>
      <c r="R421" s="114" t="s">
        <v>3578</v>
      </c>
      <c r="S421" s="108" t="s">
        <v>3579</v>
      </c>
      <c r="T421" s="108" t="s">
        <v>3580</v>
      </c>
    </row>
    <row r="422" spans="1:20" ht="63.75" x14ac:dyDescent="0.2">
      <c r="A422" s="114" t="s">
        <v>3789</v>
      </c>
      <c r="B422" s="114" t="s">
        <v>1913</v>
      </c>
      <c r="C422" s="114" t="s">
        <v>862</v>
      </c>
      <c r="D422" s="114" t="s">
        <v>209</v>
      </c>
      <c r="E422" s="114" t="s">
        <v>863</v>
      </c>
      <c r="F422" s="114" t="s">
        <v>99</v>
      </c>
      <c r="G422" s="115">
        <v>20</v>
      </c>
      <c r="H422" s="114">
        <v>4</v>
      </c>
      <c r="I422" s="114" t="s">
        <v>3581</v>
      </c>
      <c r="J422" s="114"/>
      <c r="K422" s="115"/>
      <c r="L422" s="116"/>
      <c r="M422" s="116"/>
      <c r="N422" s="116"/>
      <c r="O422" s="116"/>
      <c r="P422" s="116"/>
      <c r="Q422" s="116"/>
      <c r="R422" s="114" t="s">
        <v>3578</v>
      </c>
      <c r="S422" s="108" t="s">
        <v>3579</v>
      </c>
      <c r="T422" s="108" t="s">
        <v>3580</v>
      </c>
    </row>
    <row r="423" spans="1:20" ht="38.25" x14ac:dyDescent="0.2">
      <c r="A423" s="114" t="s">
        <v>3791</v>
      </c>
      <c r="B423" s="114" t="s">
        <v>1955</v>
      </c>
      <c r="C423" s="114" t="s">
        <v>907</v>
      </c>
      <c r="D423" s="114" t="s">
        <v>209</v>
      </c>
      <c r="E423" s="114" t="s">
        <v>908</v>
      </c>
      <c r="F423" s="114" t="s">
        <v>84</v>
      </c>
      <c r="G423" s="115">
        <v>3</v>
      </c>
      <c r="H423" s="114">
        <v>1</v>
      </c>
      <c r="I423" s="114" t="s">
        <v>3570</v>
      </c>
      <c r="J423" s="114" t="s">
        <v>84</v>
      </c>
      <c r="K423" s="115">
        <v>1</v>
      </c>
      <c r="L423" s="116">
        <v>2238.12</v>
      </c>
      <c r="M423" s="116">
        <f>K423*L423</f>
        <v>2238.12</v>
      </c>
      <c r="N423" s="116">
        <v>0.2223</v>
      </c>
      <c r="O423" s="116">
        <f>P423-M423</f>
        <v>497.52750000000015</v>
      </c>
      <c r="P423" s="116">
        <v>2735.6475</v>
      </c>
      <c r="Q423" s="116">
        <f>G423*P423</f>
        <v>8206.942500000001</v>
      </c>
      <c r="R423" s="114" t="s">
        <v>3583</v>
      </c>
      <c r="S423" s="108" t="s">
        <v>3792</v>
      </c>
      <c r="T423" s="108" t="s">
        <v>3572</v>
      </c>
    </row>
    <row r="424" spans="1:20" ht="38.25" x14ac:dyDescent="0.2">
      <c r="A424" s="114" t="s">
        <v>3791</v>
      </c>
      <c r="B424" s="114" t="s">
        <v>1955</v>
      </c>
      <c r="C424" s="114" t="s">
        <v>907</v>
      </c>
      <c r="D424" s="114" t="s">
        <v>209</v>
      </c>
      <c r="E424" s="114" t="s">
        <v>908</v>
      </c>
      <c r="F424" s="114" t="s">
        <v>84</v>
      </c>
      <c r="G424" s="115">
        <v>3</v>
      </c>
      <c r="H424" s="114">
        <v>2</v>
      </c>
      <c r="I424" s="114" t="s">
        <v>3573</v>
      </c>
      <c r="J424" s="114" t="s">
        <v>1283</v>
      </c>
      <c r="K424" s="115">
        <v>0.2223</v>
      </c>
      <c r="L424" s="116">
        <v>2238.12</v>
      </c>
      <c r="M424" s="116">
        <v>0</v>
      </c>
      <c r="N424" s="116">
        <v>0.2223</v>
      </c>
      <c r="O424" s="116">
        <f>O423</f>
        <v>497.52750000000015</v>
      </c>
      <c r="P424" s="116"/>
      <c r="Q424" s="116"/>
      <c r="R424" s="114" t="s">
        <v>3574</v>
      </c>
      <c r="S424" s="108" t="s">
        <v>3575</v>
      </c>
      <c r="T424" s="108" t="s">
        <v>3576</v>
      </c>
    </row>
    <row r="425" spans="1:20" ht="38.25" x14ac:dyDescent="0.2">
      <c r="A425" s="114" t="s">
        <v>3791</v>
      </c>
      <c r="B425" s="114" t="s">
        <v>1955</v>
      </c>
      <c r="C425" s="114" t="s">
        <v>907</v>
      </c>
      <c r="D425" s="114" t="s">
        <v>209</v>
      </c>
      <c r="E425" s="114" t="s">
        <v>908</v>
      </c>
      <c r="F425" s="114" t="s">
        <v>84</v>
      </c>
      <c r="G425" s="115">
        <v>3</v>
      </c>
      <c r="H425" s="114">
        <v>3</v>
      </c>
      <c r="I425" s="114" t="s">
        <v>3577</v>
      </c>
      <c r="J425" s="114"/>
      <c r="K425" s="115"/>
      <c r="L425" s="116"/>
      <c r="M425" s="116"/>
      <c r="N425" s="116"/>
      <c r="O425" s="116"/>
      <c r="P425" s="116"/>
      <c r="Q425" s="116"/>
      <c r="R425" s="114" t="s">
        <v>3578</v>
      </c>
      <c r="S425" s="108" t="s">
        <v>3579</v>
      </c>
      <c r="T425" s="108" t="s">
        <v>3580</v>
      </c>
    </row>
    <row r="426" spans="1:20" ht="38.25" x14ac:dyDescent="0.2">
      <c r="A426" s="114" t="s">
        <v>3791</v>
      </c>
      <c r="B426" s="114" t="s">
        <v>1955</v>
      </c>
      <c r="C426" s="114" t="s">
        <v>907</v>
      </c>
      <c r="D426" s="114" t="s">
        <v>209</v>
      </c>
      <c r="E426" s="114" t="s">
        <v>908</v>
      </c>
      <c r="F426" s="114" t="s">
        <v>84</v>
      </c>
      <c r="G426" s="115">
        <v>3</v>
      </c>
      <c r="H426" s="114">
        <v>4</v>
      </c>
      <c r="I426" s="114" t="s">
        <v>3581</v>
      </c>
      <c r="J426" s="114"/>
      <c r="K426" s="115"/>
      <c r="L426" s="116"/>
      <c r="M426" s="116"/>
      <c r="N426" s="116"/>
      <c r="O426" s="116"/>
      <c r="P426" s="116"/>
      <c r="Q426" s="116"/>
      <c r="R426" s="114" t="s">
        <v>3578</v>
      </c>
      <c r="S426" s="108" t="s">
        <v>3579</v>
      </c>
      <c r="T426" s="108" t="s">
        <v>3580</v>
      </c>
    </row>
    <row r="427" spans="1:20" ht="51" x14ac:dyDescent="0.2">
      <c r="A427" s="114" t="s">
        <v>3793</v>
      </c>
      <c r="B427" s="114" t="s">
        <v>1993</v>
      </c>
      <c r="C427" s="114" t="s">
        <v>940</v>
      </c>
      <c r="D427" s="114" t="s">
        <v>209</v>
      </c>
      <c r="E427" s="114" t="s">
        <v>941</v>
      </c>
      <c r="F427" s="114" t="s">
        <v>99</v>
      </c>
      <c r="G427" s="115">
        <v>78.900000000000006</v>
      </c>
      <c r="H427" s="114">
        <v>1</v>
      </c>
      <c r="I427" s="114" t="s">
        <v>3570</v>
      </c>
      <c r="J427" s="114" t="s">
        <v>99</v>
      </c>
      <c r="K427" s="115">
        <v>1</v>
      </c>
      <c r="L427" s="116">
        <v>80.894999999999996</v>
      </c>
      <c r="M427" s="116">
        <f>K427*L427</f>
        <v>80.894999999999996</v>
      </c>
      <c r="N427" s="116">
        <v>0.2223</v>
      </c>
      <c r="O427" s="116">
        <f>P427-M427</f>
        <v>17.977500000000006</v>
      </c>
      <c r="P427" s="116">
        <v>98.872500000000002</v>
      </c>
      <c r="Q427" s="116">
        <f>G427*P427</f>
        <v>7801.0402500000009</v>
      </c>
      <c r="R427" s="114" t="s">
        <v>3583</v>
      </c>
      <c r="S427" s="108" t="s">
        <v>3794</v>
      </c>
      <c r="T427" s="108" t="s">
        <v>3572</v>
      </c>
    </row>
    <row r="428" spans="1:20" ht="51" x14ac:dyDescent="0.2">
      <c r="A428" s="114" t="s">
        <v>3793</v>
      </c>
      <c r="B428" s="114" t="s">
        <v>1993</v>
      </c>
      <c r="C428" s="114" t="s">
        <v>940</v>
      </c>
      <c r="D428" s="114" t="s">
        <v>209</v>
      </c>
      <c r="E428" s="114" t="s">
        <v>941</v>
      </c>
      <c r="F428" s="114" t="s">
        <v>99</v>
      </c>
      <c r="G428" s="115">
        <v>78.900000000000006</v>
      </c>
      <c r="H428" s="114">
        <v>2</v>
      </c>
      <c r="I428" s="114" t="s">
        <v>3573</v>
      </c>
      <c r="J428" s="114" t="s">
        <v>1283</v>
      </c>
      <c r="K428" s="115">
        <v>0.2223</v>
      </c>
      <c r="L428" s="116">
        <v>80.894999999999996</v>
      </c>
      <c r="M428" s="116">
        <v>0</v>
      </c>
      <c r="N428" s="116">
        <v>0.2223</v>
      </c>
      <c r="O428" s="116">
        <f>O427</f>
        <v>17.977500000000006</v>
      </c>
      <c r="P428" s="116"/>
      <c r="Q428" s="116"/>
      <c r="R428" s="114" t="s">
        <v>3574</v>
      </c>
      <c r="S428" s="108" t="s">
        <v>3575</v>
      </c>
      <c r="T428" s="108" t="s">
        <v>3576</v>
      </c>
    </row>
    <row r="429" spans="1:20" ht="51" x14ac:dyDescent="0.2">
      <c r="A429" s="114" t="s">
        <v>3793</v>
      </c>
      <c r="B429" s="114" t="s">
        <v>1993</v>
      </c>
      <c r="C429" s="114" t="s">
        <v>940</v>
      </c>
      <c r="D429" s="114" t="s">
        <v>209</v>
      </c>
      <c r="E429" s="114" t="s">
        <v>941</v>
      </c>
      <c r="F429" s="114" t="s">
        <v>99</v>
      </c>
      <c r="G429" s="115">
        <v>78.900000000000006</v>
      </c>
      <c r="H429" s="114">
        <v>3</v>
      </c>
      <c r="I429" s="114" t="s">
        <v>3577</v>
      </c>
      <c r="J429" s="114"/>
      <c r="K429" s="115"/>
      <c r="L429" s="116"/>
      <c r="M429" s="116"/>
      <c r="N429" s="116"/>
      <c r="O429" s="116"/>
      <c r="P429" s="116"/>
      <c r="Q429" s="116"/>
      <c r="R429" s="114" t="s">
        <v>3578</v>
      </c>
      <c r="S429" s="108" t="s">
        <v>3579</v>
      </c>
      <c r="T429" s="108" t="s">
        <v>3580</v>
      </c>
    </row>
    <row r="430" spans="1:20" ht="51" x14ac:dyDescent="0.2">
      <c r="A430" s="114" t="s">
        <v>3793</v>
      </c>
      <c r="B430" s="114" t="s">
        <v>1993</v>
      </c>
      <c r="C430" s="114" t="s">
        <v>940</v>
      </c>
      <c r="D430" s="114" t="s">
        <v>209</v>
      </c>
      <c r="E430" s="114" t="s">
        <v>941</v>
      </c>
      <c r="F430" s="114" t="s">
        <v>99</v>
      </c>
      <c r="G430" s="115">
        <v>78.900000000000006</v>
      </c>
      <c r="H430" s="114">
        <v>4</v>
      </c>
      <c r="I430" s="114" t="s">
        <v>3581</v>
      </c>
      <c r="J430" s="114"/>
      <c r="K430" s="115"/>
      <c r="L430" s="116"/>
      <c r="M430" s="116"/>
      <c r="N430" s="116"/>
      <c r="O430" s="116"/>
      <c r="P430" s="116"/>
      <c r="Q430" s="116"/>
      <c r="R430" s="114" t="s">
        <v>3578</v>
      </c>
      <c r="S430" s="108" t="s">
        <v>3579</v>
      </c>
      <c r="T430" s="108" t="s">
        <v>3580</v>
      </c>
    </row>
    <row r="431" spans="1:20" ht="51" x14ac:dyDescent="0.2">
      <c r="A431" s="114" t="s">
        <v>3795</v>
      </c>
      <c r="B431" s="114" t="s">
        <v>1907</v>
      </c>
      <c r="C431" s="114" t="s">
        <v>852</v>
      </c>
      <c r="D431" s="114" t="s">
        <v>209</v>
      </c>
      <c r="E431" s="114" t="s">
        <v>1908</v>
      </c>
      <c r="F431" s="114" t="s">
        <v>99</v>
      </c>
      <c r="G431" s="115">
        <v>70</v>
      </c>
      <c r="H431" s="114">
        <v>1</v>
      </c>
      <c r="I431" s="114" t="s">
        <v>3570</v>
      </c>
      <c r="J431" s="114" t="s">
        <v>99</v>
      </c>
      <c r="K431" s="115">
        <v>1</v>
      </c>
      <c r="L431" s="116">
        <v>84.292500000000004</v>
      </c>
      <c r="M431" s="116">
        <f>K431*L431</f>
        <v>84.292500000000004</v>
      </c>
      <c r="N431" s="116">
        <v>0.2223</v>
      </c>
      <c r="O431" s="116">
        <f>P431-M431</f>
        <v>18.734999999999999</v>
      </c>
      <c r="P431" s="116">
        <v>103.0275</v>
      </c>
      <c r="Q431" s="116">
        <f>G431*P431</f>
        <v>7211.9250000000002</v>
      </c>
      <c r="R431" s="114" t="s">
        <v>3583</v>
      </c>
      <c r="S431" s="108" t="s">
        <v>3796</v>
      </c>
      <c r="T431" s="108" t="s">
        <v>3572</v>
      </c>
    </row>
    <row r="432" spans="1:20" ht="51" x14ac:dyDescent="0.2">
      <c r="A432" s="114" t="s">
        <v>3795</v>
      </c>
      <c r="B432" s="114" t="s">
        <v>1907</v>
      </c>
      <c r="C432" s="114" t="s">
        <v>852</v>
      </c>
      <c r="D432" s="114" t="s">
        <v>209</v>
      </c>
      <c r="E432" s="114" t="s">
        <v>1908</v>
      </c>
      <c r="F432" s="114" t="s">
        <v>99</v>
      </c>
      <c r="G432" s="115">
        <v>70</v>
      </c>
      <c r="H432" s="114">
        <v>2</v>
      </c>
      <c r="I432" s="114" t="s">
        <v>3573</v>
      </c>
      <c r="J432" s="114" t="s">
        <v>1283</v>
      </c>
      <c r="K432" s="115">
        <v>0.2223</v>
      </c>
      <c r="L432" s="116">
        <v>84.292500000000004</v>
      </c>
      <c r="M432" s="116">
        <v>0</v>
      </c>
      <c r="N432" s="116">
        <v>0.2223</v>
      </c>
      <c r="O432" s="116">
        <f>O431</f>
        <v>18.734999999999999</v>
      </c>
      <c r="P432" s="116"/>
      <c r="Q432" s="116"/>
      <c r="R432" s="114" t="s">
        <v>3574</v>
      </c>
      <c r="S432" s="108" t="s">
        <v>3575</v>
      </c>
      <c r="T432" s="108" t="s">
        <v>3576</v>
      </c>
    </row>
    <row r="433" spans="1:20" ht="51" x14ac:dyDescent="0.2">
      <c r="A433" s="114" t="s">
        <v>3795</v>
      </c>
      <c r="B433" s="114" t="s">
        <v>1907</v>
      </c>
      <c r="C433" s="114" t="s">
        <v>852</v>
      </c>
      <c r="D433" s="114" t="s">
        <v>209</v>
      </c>
      <c r="E433" s="114" t="s">
        <v>1908</v>
      </c>
      <c r="F433" s="114" t="s">
        <v>99</v>
      </c>
      <c r="G433" s="115">
        <v>70</v>
      </c>
      <c r="H433" s="114">
        <v>3</v>
      </c>
      <c r="I433" s="114" t="s">
        <v>3577</v>
      </c>
      <c r="J433" s="114"/>
      <c r="K433" s="115"/>
      <c r="L433" s="116"/>
      <c r="M433" s="116"/>
      <c r="N433" s="116"/>
      <c r="O433" s="116"/>
      <c r="P433" s="116"/>
      <c r="Q433" s="116"/>
      <c r="R433" s="114" t="s">
        <v>3578</v>
      </c>
      <c r="S433" s="108" t="s">
        <v>3579</v>
      </c>
      <c r="T433" s="108" t="s">
        <v>3580</v>
      </c>
    </row>
    <row r="434" spans="1:20" ht="51" x14ac:dyDescent="0.2">
      <c r="A434" s="114" t="s">
        <v>3795</v>
      </c>
      <c r="B434" s="114" t="s">
        <v>1907</v>
      </c>
      <c r="C434" s="114" t="s">
        <v>852</v>
      </c>
      <c r="D434" s="114" t="s">
        <v>209</v>
      </c>
      <c r="E434" s="114" t="s">
        <v>1908</v>
      </c>
      <c r="F434" s="114" t="s">
        <v>99</v>
      </c>
      <c r="G434" s="115">
        <v>70</v>
      </c>
      <c r="H434" s="114">
        <v>4</v>
      </c>
      <c r="I434" s="114" t="s">
        <v>3581</v>
      </c>
      <c r="J434" s="114"/>
      <c r="K434" s="115"/>
      <c r="L434" s="116"/>
      <c r="M434" s="116"/>
      <c r="N434" s="116"/>
      <c r="O434" s="116"/>
      <c r="P434" s="116"/>
      <c r="Q434" s="116"/>
      <c r="R434" s="114" t="s">
        <v>3578</v>
      </c>
      <c r="S434" s="108" t="s">
        <v>3579</v>
      </c>
      <c r="T434" s="108" t="s">
        <v>3580</v>
      </c>
    </row>
    <row r="435" spans="1:20" ht="63.75" x14ac:dyDescent="0.2">
      <c r="A435" s="114" t="s">
        <v>3797</v>
      </c>
      <c r="B435" s="114" t="s">
        <v>2076</v>
      </c>
      <c r="C435" s="114" t="s">
        <v>989</v>
      </c>
      <c r="D435" s="114" t="s">
        <v>209</v>
      </c>
      <c r="E435" s="114" t="s">
        <v>990</v>
      </c>
      <c r="F435" s="114" t="s">
        <v>84</v>
      </c>
      <c r="G435" s="115">
        <v>2</v>
      </c>
      <c r="H435" s="114">
        <v>1</v>
      </c>
      <c r="I435" s="114" t="s">
        <v>3570</v>
      </c>
      <c r="J435" s="114" t="s">
        <v>84</v>
      </c>
      <c r="K435" s="115">
        <v>1</v>
      </c>
      <c r="L435" s="116">
        <v>2546.3175000000001</v>
      </c>
      <c r="M435" s="116">
        <f>K435*L435</f>
        <v>2546.3175000000001</v>
      </c>
      <c r="N435" s="116">
        <v>0.2223</v>
      </c>
      <c r="O435" s="116">
        <f>P435-M435</f>
        <v>566.04</v>
      </c>
      <c r="P435" s="116">
        <v>3112.3575000000001</v>
      </c>
      <c r="Q435" s="116">
        <f>G435*P435</f>
        <v>6224.7150000000001</v>
      </c>
      <c r="R435" s="114" t="s">
        <v>3583</v>
      </c>
      <c r="S435" s="108" t="s">
        <v>3798</v>
      </c>
      <c r="T435" s="108" t="s">
        <v>3572</v>
      </c>
    </row>
    <row r="436" spans="1:20" ht="63.75" x14ac:dyDescent="0.2">
      <c r="A436" s="114" t="s">
        <v>3797</v>
      </c>
      <c r="B436" s="114" t="s">
        <v>2076</v>
      </c>
      <c r="C436" s="114" t="s">
        <v>989</v>
      </c>
      <c r="D436" s="114" t="s">
        <v>209</v>
      </c>
      <c r="E436" s="114" t="s">
        <v>990</v>
      </c>
      <c r="F436" s="114" t="s">
        <v>84</v>
      </c>
      <c r="G436" s="115">
        <v>2</v>
      </c>
      <c r="H436" s="114">
        <v>2</v>
      </c>
      <c r="I436" s="114" t="s">
        <v>3573</v>
      </c>
      <c r="J436" s="114" t="s">
        <v>1283</v>
      </c>
      <c r="K436" s="115">
        <v>0.2223</v>
      </c>
      <c r="L436" s="116">
        <v>2546.3175000000001</v>
      </c>
      <c r="M436" s="116">
        <v>0</v>
      </c>
      <c r="N436" s="116">
        <v>0.2223</v>
      </c>
      <c r="O436" s="116">
        <f>O435</f>
        <v>566.04</v>
      </c>
      <c r="P436" s="116"/>
      <c r="Q436" s="116"/>
      <c r="R436" s="114" t="s">
        <v>3574</v>
      </c>
      <c r="S436" s="108" t="s">
        <v>3575</v>
      </c>
      <c r="T436" s="108" t="s">
        <v>3576</v>
      </c>
    </row>
    <row r="437" spans="1:20" ht="63.75" x14ac:dyDescent="0.2">
      <c r="A437" s="114" t="s">
        <v>3797</v>
      </c>
      <c r="B437" s="114" t="s">
        <v>2076</v>
      </c>
      <c r="C437" s="114" t="s">
        <v>989</v>
      </c>
      <c r="D437" s="114" t="s">
        <v>209</v>
      </c>
      <c r="E437" s="114" t="s">
        <v>990</v>
      </c>
      <c r="F437" s="114" t="s">
        <v>84</v>
      </c>
      <c r="G437" s="115">
        <v>2</v>
      </c>
      <c r="H437" s="114">
        <v>3</v>
      </c>
      <c r="I437" s="114" t="s">
        <v>3577</v>
      </c>
      <c r="J437" s="114"/>
      <c r="K437" s="115"/>
      <c r="L437" s="116"/>
      <c r="M437" s="116"/>
      <c r="N437" s="116"/>
      <c r="O437" s="116"/>
      <c r="P437" s="116"/>
      <c r="Q437" s="116"/>
      <c r="R437" s="114" t="s">
        <v>3578</v>
      </c>
      <c r="S437" s="108" t="s">
        <v>3579</v>
      </c>
      <c r="T437" s="108" t="s">
        <v>3580</v>
      </c>
    </row>
    <row r="438" spans="1:20" ht="63.75" x14ac:dyDescent="0.2">
      <c r="A438" s="114" t="s">
        <v>3797</v>
      </c>
      <c r="B438" s="114" t="s">
        <v>2076</v>
      </c>
      <c r="C438" s="114" t="s">
        <v>989</v>
      </c>
      <c r="D438" s="114" t="s">
        <v>209</v>
      </c>
      <c r="E438" s="114" t="s">
        <v>990</v>
      </c>
      <c r="F438" s="114" t="s">
        <v>84</v>
      </c>
      <c r="G438" s="115">
        <v>2</v>
      </c>
      <c r="H438" s="114">
        <v>4</v>
      </c>
      <c r="I438" s="114" t="s">
        <v>3581</v>
      </c>
      <c r="J438" s="114"/>
      <c r="K438" s="115"/>
      <c r="L438" s="116"/>
      <c r="M438" s="116"/>
      <c r="N438" s="116"/>
      <c r="O438" s="116"/>
      <c r="P438" s="116"/>
      <c r="Q438" s="116"/>
      <c r="R438" s="114" t="s">
        <v>3578</v>
      </c>
      <c r="S438" s="108" t="s">
        <v>3579</v>
      </c>
      <c r="T438" s="108" t="s">
        <v>3580</v>
      </c>
    </row>
    <row r="439" spans="1:20" ht="51" x14ac:dyDescent="0.2">
      <c r="A439" s="114" t="s">
        <v>3799</v>
      </c>
      <c r="B439" s="114" t="s">
        <v>2074</v>
      </c>
      <c r="C439" s="114" t="s">
        <v>987</v>
      </c>
      <c r="D439" s="114" t="s">
        <v>209</v>
      </c>
      <c r="E439" s="114" t="s">
        <v>2075</v>
      </c>
      <c r="F439" s="114" t="s">
        <v>84</v>
      </c>
      <c r="G439" s="115">
        <v>1</v>
      </c>
      <c r="H439" s="114">
        <v>1</v>
      </c>
      <c r="I439" s="114" t="s">
        <v>3570</v>
      </c>
      <c r="J439" s="114" t="s">
        <v>84</v>
      </c>
      <c r="K439" s="115">
        <v>1</v>
      </c>
      <c r="L439" s="116">
        <v>4900.83</v>
      </c>
      <c r="M439" s="116">
        <f>K439*L439</f>
        <v>4900.83</v>
      </c>
      <c r="N439" s="116">
        <v>0.2223</v>
      </c>
      <c r="O439" s="116">
        <f>P439-M439</f>
        <v>1089.4499999999998</v>
      </c>
      <c r="P439" s="116">
        <v>5990.28</v>
      </c>
      <c r="Q439" s="116">
        <f>G439*P439</f>
        <v>5990.28</v>
      </c>
      <c r="R439" s="114" t="s">
        <v>3583</v>
      </c>
      <c r="S439" s="108" t="s">
        <v>3800</v>
      </c>
      <c r="T439" s="108" t="s">
        <v>3572</v>
      </c>
    </row>
    <row r="440" spans="1:20" ht="51" x14ac:dyDescent="0.2">
      <c r="A440" s="114" t="s">
        <v>3799</v>
      </c>
      <c r="B440" s="114" t="s">
        <v>2074</v>
      </c>
      <c r="C440" s="114" t="s">
        <v>987</v>
      </c>
      <c r="D440" s="114" t="s">
        <v>209</v>
      </c>
      <c r="E440" s="114" t="s">
        <v>2075</v>
      </c>
      <c r="F440" s="114" t="s">
        <v>84</v>
      </c>
      <c r="G440" s="115">
        <v>1</v>
      </c>
      <c r="H440" s="114">
        <v>2</v>
      </c>
      <c r="I440" s="114" t="s">
        <v>3573</v>
      </c>
      <c r="J440" s="114" t="s">
        <v>1283</v>
      </c>
      <c r="K440" s="115">
        <v>0.2223</v>
      </c>
      <c r="L440" s="116">
        <v>4900.83</v>
      </c>
      <c r="M440" s="116">
        <v>0</v>
      </c>
      <c r="N440" s="116">
        <v>0.2223</v>
      </c>
      <c r="O440" s="116">
        <f>O439</f>
        <v>1089.4499999999998</v>
      </c>
      <c r="P440" s="116"/>
      <c r="Q440" s="116"/>
      <c r="R440" s="114" t="s">
        <v>3574</v>
      </c>
      <c r="S440" s="108" t="s">
        <v>3575</v>
      </c>
      <c r="T440" s="108" t="s">
        <v>3576</v>
      </c>
    </row>
    <row r="441" spans="1:20" ht="51" x14ac:dyDescent="0.2">
      <c r="A441" s="114" t="s">
        <v>3799</v>
      </c>
      <c r="B441" s="114" t="s">
        <v>2074</v>
      </c>
      <c r="C441" s="114" t="s">
        <v>987</v>
      </c>
      <c r="D441" s="114" t="s">
        <v>209</v>
      </c>
      <c r="E441" s="114" t="s">
        <v>2075</v>
      </c>
      <c r="F441" s="114" t="s">
        <v>84</v>
      </c>
      <c r="G441" s="115">
        <v>1</v>
      </c>
      <c r="H441" s="114">
        <v>3</v>
      </c>
      <c r="I441" s="114" t="s">
        <v>3577</v>
      </c>
      <c r="J441" s="114"/>
      <c r="K441" s="115"/>
      <c r="L441" s="116"/>
      <c r="M441" s="116"/>
      <c r="N441" s="116"/>
      <c r="O441" s="116"/>
      <c r="P441" s="116"/>
      <c r="Q441" s="116"/>
      <c r="R441" s="114" t="s">
        <v>3578</v>
      </c>
      <c r="S441" s="108" t="s">
        <v>3579</v>
      </c>
      <c r="T441" s="108" t="s">
        <v>3580</v>
      </c>
    </row>
    <row r="442" spans="1:20" ht="51" x14ac:dyDescent="0.2">
      <c r="A442" s="114" t="s">
        <v>3799</v>
      </c>
      <c r="B442" s="114" t="s">
        <v>2074</v>
      </c>
      <c r="C442" s="114" t="s">
        <v>987</v>
      </c>
      <c r="D442" s="114" t="s">
        <v>209</v>
      </c>
      <c r="E442" s="114" t="s">
        <v>2075</v>
      </c>
      <c r="F442" s="114" t="s">
        <v>84</v>
      </c>
      <c r="G442" s="115">
        <v>1</v>
      </c>
      <c r="H442" s="114">
        <v>4</v>
      </c>
      <c r="I442" s="114" t="s">
        <v>3581</v>
      </c>
      <c r="J442" s="114"/>
      <c r="K442" s="115"/>
      <c r="L442" s="116"/>
      <c r="M442" s="116"/>
      <c r="N442" s="116"/>
      <c r="O442" s="116"/>
      <c r="P442" s="116"/>
      <c r="Q442" s="116"/>
      <c r="R442" s="114" t="s">
        <v>3578</v>
      </c>
      <c r="S442" s="108" t="s">
        <v>3579</v>
      </c>
      <c r="T442" s="108" t="s">
        <v>3580</v>
      </c>
    </row>
    <row r="443" spans="1:20" ht="38.25" x14ac:dyDescent="0.2">
      <c r="A443" s="114" t="s">
        <v>3801</v>
      </c>
      <c r="B443" s="114" t="s">
        <v>500</v>
      </c>
      <c r="C443" s="114" t="s">
        <v>1538</v>
      </c>
      <c r="D443" s="114" t="s">
        <v>209</v>
      </c>
      <c r="E443" s="114" t="s">
        <v>1539</v>
      </c>
      <c r="F443" s="114" t="s">
        <v>84</v>
      </c>
      <c r="G443" s="115">
        <v>1</v>
      </c>
      <c r="H443" s="114">
        <v>1</v>
      </c>
      <c r="I443" s="114" t="s">
        <v>3570</v>
      </c>
      <c r="J443" s="114" t="s">
        <v>84</v>
      </c>
      <c r="K443" s="115">
        <v>1</v>
      </c>
      <c r="L443" s="116">
        <v>4827.7950000000001</v>
      </c>
      <c r="M443" s="116">
        <f>K443*L443</f>
        <v>4827.7950000000001</v>
      </c>
      <c r="N443" s="116">
        <v>0.2223</v>
      </c>
      <c r="O443" s="116">
        <f>P443-M443</f>
        <v>1073.2124999999996</v>
      </c>
      <c r="P443" s="116">
        <v>5901.0074999999997</v>
      </c>
      <c r="Q443" s="116">
        <f>G443*P443</f>
        <v>5901.0074999999997</v>
      </c>
      <c r="R443" s="114" t="s">
        <v>3583</v>
      </c>
      <c r="S443" s="108" t="s">
        <v>3802</v>
      </c>
      <c r="T443" s="108" t="s">
        <v>3572</v>
      </c>
    </row>
    <row r="444" spans="1:20" ht="38.25" x14ac:dyDescent="0.2">
      <c r="A444" s="114" t="s">
        <v>3801</v>
      </c>
      <c r="B444" s="114" t="s">
        <v>500</v>
      </c>
      <c r="C444" s="114" t="s">
        <v>1538</v>
      </c>
      <c r="D444" s="114" t="s">
        <v>209</v>
      </c>
      <c r="E444" s="114" t="s">
        <v>1539</v>
      </c>
      <c r="F444" s="114" t="s">
        <v>84</v>
      </c>
      <c r="G444" s="115">
        <v>1</v>
      </c>
      <c r="H444" s="114">
        <v>2</v>
      </c>
      <c r="I444" s="114" t="s">
        <v>3573</v>
      </c>
      <c r="J444" s="114" t="s">
        <v>1283</v>
      </c>
      <c r="K444" s="115">
        <v>0.2223</v>
      </c>
      <c r="L444" s="116">
        <v>4827.7950000000001</v>
      </c>
      <c r="M444" s="116">
        <v>0</v>
      </c>
      <c r="N444" s="116">
        <v>0.2223</v>
      </c>
      <c r="O444" s="116">
        <f>O443</f>
        <v>1073.2124999999996</v>
      </c>
      <c r="P444" s="116"/>
      <c r="Q444" s="116"/>
      <c r="R444" s="114" t="s">
        <v>3574</v>
      </c>
      <c r="S444" s="108" t="s">
        <v>3575</v>
      </c>
      <c r="T444" s="108" t="s">
        <v>3576</v>
      </c>
    </row>
    <row r="445" spans="1:20" ht="38.25" x14ac:dyDescent="0.2">
      <c r="A445" s="114" t="s">
        <v>3801</v>
      </c>
      <c r="B445" s="114" t="s">
        <v>500</v>
      </c>
      <c r="C445" s="114" t="s">
        <v>1538</v>
      </c>
      <c r="D445" s="114" t="s">
        <v>209</v>
      </c>
      <c r="E445" s="114" t="s">
        <v>1539</v>
      </c>
      <c r="F445" s="114" t="s">
        <v>84</v>
      </c>
      <c r="G445" s="115">
        <v>1</v>
      </c>
      <c r="H445" s="114">
        <v>3</v>
      </c>
      <c r="I445" s="114" t="s">
        <v>3577</v>
      </c>
      <c r="J445" s="114"/>
      <c r="K445" s="115"/>
      <c r="L445" s="116"/>
      <c r="M445" s="116"/>
      <c r="N445" s="116"/>
      <c r="O445" s="116"/>
      <c r="P445" s="116"/>
      <c r="Q445" s="116"/>
      <c r="R445" s="114" t="s">
        <v>3578</v>
      </c>
      <c r="S445" s="108" t="s">
        <v>3579</v>
      </c>
      <c r="T445" s="108" t="s">
        <v>3580</v>
      </c>
    </row>
    <row r="446" spans="1:20" ht="38.25" x14ac:dyDescent="0.2">
      <c r="A446" s="114" t="s">
        <v>3801</v>
      </c>
      <c r="B446" s="114" t="s">
        <v>500</v>
      </c>
      <c r="C446" s="114" t="s">
        <v>1538</v>
      </c>
      <c r="D446" s="114" t="s">
        <v>209</v>
      </c>
      <c r="E446" s="114" t="s">
        <v>1539</v>
      </c>
      <c r="F446" s="114" t="s">
        <v>84</v>
      </c>
      <c r="G446" s="115">
        <v>1</v>
      </c>
      <c r="H446" s="114">
        <v>4</v>
      </c>
      <c r="I446" s="114" t="s">
        <v>3581</v>
      </c>
      <c r="J446" s="114"/>
      <c r="K446" s="115"/>
      <c r="L446" s="116"/>
      <c r="M446" s="116"/>
      <c r="N446" s="116"/>
      <c r="O446" s="116"/>
      <c r="P446" s="116"/>
      <c r="Q446" s="116"/>
      <c r="R446" s="114" t="s">
        <v>3578</v>
      </c>
      <c r="S446" s="108" t="s">
        <v>3579</v>
      </c>
      <c r="T446" s="108" t="s">
        <v>3580</v>
      </c>
    </row>
    <row r="447" spans="1:20" ht="38.25" x14ac:dyDescent="0.2">
      <c r="A447" s="114" t="s">
        <v>3803</v>
      </c>
      <c r="B447" s="114" t="s">
        <v>368</v>
      </c>
      <c r="C447" s="114" t="s">
        <v>369</v>
      </c>
      <c r="D447" s="114" t="s">
        <v>209</v>
      </c>
      <c r="E447" s="114" t="s">
        <v>370</v>
      </c>
      <c r="F447" s="114" t="s">
        <v>371</v>
      </c>
      <c r="G447" s="115">
        <v>14.662000000000001</v>
      </c>
      <c r="H447" s="114">
        <v>1</v>
      </c>
      <c r="I447" s="114" t="s">
        <v>3570</v>
      </c>
      <c r="J447" s="114" t="s">
        <v>371</v>
      </c>
      <c r="K447" s="115">
        <v>1</v>
      </c>
      <c r="L447" s="116">
        <v>327.82500000000005</v>
      </c>
      <c r="M447" s="116">
        <f>K447*L447</f>
        <v>327.82500000000005</v>
      </c>
      <c r="N447" s="116">
        <v>0.2223</v>
      </c>
      <c r="O447" s="116">
        <f>P447-M447</f>
        <v>72.869999999999948</v>
      </c>
      <c r="P447" s="116">
        <v>400.69499999999999</v>
      </c>
      <c r="Q447" s="116">
        <f>G447*P447</f>
        <v>5874.9900900000002</v>
      </c>
      <c r="R447" s="114" t="s">
        <v>3583</v>
      </c>
      <c r="S447" s="108" t="s">
        <v>3804</v>
      </c>
      <c r="T447" s="108" t="s">
        <v>3572</v>
      </c>
    </row>
    <row r="448" spans="1:20" ht="38.25" x14ac:dyDescent="0.2">
      <c r="A448" s="114" t="s">
        <v>3803</v>
      </c>
      <c r="B448" s="114" t="s">
        <v>368</v>
      </c>
      <c r="C448" s="114" t="s">
        <v>369</v>
      </c>
      <c r="D448" s="114" t="s">
        <v>209</v>
      </c>
      <c r="E448" s="114" t="s">
        <v>370</v>
      </c>
      <c r="F448" s="114" t="s">
        <v>371</v>
      </c>
      <c r="G448" s="115">
        <v>14.662000000000001</v>
      </c>
      <c r="H448" s="114">
        <v>2</v>
      </c>
      <c r="I448" s="114" t="s">
        <v>3573</v>
      </c>
      <c r="J448" s="114" t="s">
        <v>1283</v>
      </c>
      <c r="K448" s="115">
        <v>0.2223</v>
      </c>
      <c r="L448" s="116">
        <v>327.82500000000005</v>
      </c>
      <c r="M448" s="116">
        <v>0</v>
      </c>
      <c r="N448" s="116">
        <v>0.2223</v>
      </c>
      <c r="O448" s="116">
        <f>O447</f>
        <v>72.869999999999948</v>
      </c>
      <c r="P448" s="116"/>
      <c r="Q448" s="116"/>
      <c r="R448" s="114" t="s">
        <v>3574</v>
      </c>
      <c r="S448" s="108" t="s">
        <v>3575</v>
      </c>
      <c r="T448" s="108" t="s">
        <v>3576</v>
      </c>
    </row>
    <row r="449" spans="1:20" ht="38.25" x14ac:dyDescent="0.2">
      <c r="A449" s="114" t="s">
        <v>3803</v>
      </c>
      <c r="B449" s="114" t="s">
        <v>368</v>
      </c>
      <c r="C449" s="114" t="s">
        <v>369</v>
      </c>
      <c r="D449" s="114" t="s">
        <v>209</v>
      </c>
      <c r="E449" s="114" t="s">
        <v>370</v>
      </c>
      <c r="F449" s="114" t="s">
        <v>371</v>
      </c>
      <c r="G449" s="115">
        <v>14.662000000000001</v>
      </c>
      <c r="H449" s="114">
        <v>3</v>
      </c>
      <c r="I449" s="114" t="s">
        <v>3577</v>
      </c>
      <c r="J449" s="114"/>
      <c r="K449" s="115"/>
      <c r="L449" s="116"/>
      <c r="M449" s="116"/>
      <c r="N449" s="116"/>
      <c r="O449" s="116"/>
      <c r="P449" s="116"/>
      <c r="Q449" s="116"/>
      <c r="R449" s="114" t="s">
        <v>3578</v>
      </c>
      <c r="S449" s="108" t="s">
        <v>3579</v>
      </c>
      <c r="T449" s="108" t="s">
        <v>3580</v>
      </c>
    </row>
    <row r="450" spans="1:20" ht="38.25" x14ac:dyDescent="0.2">
      <c r="A450" s="114" t="s">
        <v>3803</v>
      </c>
      <c r="B450" s="114" t="s">
        <v>368</v>
      </c>
      <c r="C450" s="114" t="s">
        <v>369</v>
      </c>
      <c r="D450" s="114" t="s">
        <v>209</v>
      </c>
      <c r="E450" s="114" t="s">
        <v>370</v>
      </c>
      <c r="F450" s="114" t="s">
        <v>371</v>
      </c>
      <c r="G450" s="115">
        <v>14.662000000000001</v>
      </c>
      <c r="H450" s="114">
        <v>4</v>
      </c>
      <c r="I450" s="114" t="s">
        <v>3581</v>
      </c>
      <c r="J450" s="114"/>
      <c r="K450" s="115"/>
      <c r="L450" s="116"/>
      <c r="M450" s="116"/>
      <c r="N450" s="116"/>
      <c r="O450" s="116"/>
      <c r="P450" s="116"/>
      <c r="Q450" s="116"/>
      <c r="R450" s="114" t="s">
        <v>3578</v>
      </c>
      <c r="S450" s="108" t="s">
        <v>3579</v>
      </c>
      <c r="T450" s="108" t="s">
        <v>3580</v>
      </c>
    </row>
    <row r="451" spans="1:20" ht="38.25" x14ac:dyDescent="0.2">
      <c r="A451" s="114" t="s">
        <v>3805</v>
      </c>
      <c r="B451" s="114" t="s">
        <v>287</v>
      </c>
      <c r="C451" s="114" t="s">
        <v>208</v>
      </c>
      <c r="D451" s="114" t="s">
        <v>209</v>
      </c>
      <c r="E451" s="114" t="s">
        <v>210</v>
      </c>
      <c r="F451" s="114" t="s">
        <v>118</v>
      </c>
      <c r="G451" s="115">
        <v>7.59</v>
      </c>
      <c r="H451" s="114">
        <v>1</v>
      </c>
      <c r="I451" s="114" t="s">
        <v>3570</v>
      </c>
      <c r="J451" s="114" t="s">
        <v>118</v>
      </c>
      <c r="K451" s="115">
        <v>1</v>
      </c>
      <c r="L451" s="116">
        <v>520.93500000000006</v>
      </c>
      <c r="M451" s="116">
        <f>K451*L451</f>
        <v>520.93500000000006</v>
      </c>
      <c r="N451" s="116">
        <v>0.2223</v>
      </c>
      <c r="O451" s="116">
        <f>P451-M451</f>
        <v>115.79999999999995</v>
      </c>
      <c r="P451" s="116">
        <v>636.73500000000001</v>
      </c>
      <c r="Q451" s="116">
        <f>G451*P451</f>
        <v>4832.8186500000002</v>
      </c>
      <c r="R451" s="114" t="s">
        <v>3583</v>
      </c>
      <c r="S451" s="108" t="s">
        <v>3806</v>
      </c>
      <c r="T451" s="108" t="s">
        <v>3572</v>
      </c>
    </row>
    <row r="452" spans="1:20" ht="38.25" x14ac:dyDescent="0.2">
      <c r="A452" s="114" t="s">
        <v>3805</v>
      </c>
      <c r="B452" s="114" t="s">
        <v>287</v>
      </c>
      <c r="C452" s="114" t="s">
        <v>208</v>
      </c>
      <c r="D452" s="114" t="s">
        <v>209</v>
      </c>
      <c r="E452" s="114" t="s">
        <v>210</v>
      </c>
      <c r="F452" s="114" t="s">
        <v>118</v>
      </c>
      <c r="G452" s="115">
        <v>7.59</v>
      </c>
      <c r="H452" s="114">
        <v>2</v>
      </c>
      <c r="I452" s="114" t="s">
        <v>3573</v>
      </c>
      <c r="J452" s="114" t="s">
        <v>1283</v>
      </c>
      <c r="K452" s="115">
        <v>0.2223</v>
      </c>
      <c r="L452" s="116">
        <v>520.93500000000006</v>
      </c>
      <c r="M452" s="116">
        <v>0</v>
      </c>
      <c r="N452" s="116">
        <v>0.2223</v>
      </c>
      <c r="O452" s="116">
        <f>O451</f>
        <v>115.79999999999995</v>
      </c>
      <c r="P452" s="116"/>
      <c r="Q452" s="116"/>
      <c r="R452" s="114" t="s">
        <v>3574</v>
      </c>
      <c r="S452" s="108" t="s">
        <v>3575</v>
      </c>
      <c r="T452" s="108" t="s">
        <v>3576</v>
      </c>
    </row>
    <row r="453" spans="1:20" ht="38.25" x14ac:dyDescent="0.2">
      <c r="A453" s="114" t="s">
        <v>3805</v>
      </c>
      <c r="B453" s="114" t="s">
        <v>287</v>
      </c>
      <c r="C453" s="114" t="s">
        <v>208</v>
      </c>
      <c r="D453" s="114" t="s">
        <v>209</v>
      </c>
      <c r="E453" s="114" t="s">
        <v>210</v>
      </c>
      <c r="F453" s="114" t="s">
        <v>118</v>
      </c>
      <c r="G453" s="115">
        <v>7.59</v>
      </c>
      <c r="H453" s="114">
        <v>3</v>
      </c>
      <c r="I453" s="114" t="s">
        <v>3577</v>
      </c>
      <c r="J453" s="114"/>
      <c r="K453" s="115"/>
      <c r="L453" s="116"/>
      <c r="M453" s="116"/>
      <c r="N453" s="116"/>
      <c r="O453" s="116"/>
      <c r="P453" s="116"/>
      <c r="Q453" s="116"/>
      <c r="R453" s="114" t="s">
        <v>3578</v>
      </c>
      <c r="S453" s="108" t="s">
        <v>3579</v>
      </c>
      <c r="T453" s="108" t="s">
        <v>3580</v>
      </c>
    </row>
    <row r="454" spans="1:20" ht="38.25" x14ac:dyDescent="0.2">
      <c r="A454" s="114" t="s">
        <v>3805</v>
      </c>
      <c r="B454" s="114" t="s">
        <v>287</v>
      </c>
      <c r="C454" s="114" t="s">
        <v>208</v>
      </c>
      <c r="D454" s="114" t="s">
        <v>209</v>
      </c>
      <c r="E454" s="114" t="s">
        <v>210</v>
      </c>
      <c r="F454" s="114" t="s">
        <v>118</v>
      </c>
      <c r="G454" s="115">
        <v>7.59</v>
      </c>
      <c r="H454" s="114">
        <v>4</v>
      </c>
      <c r="I454" s="114" t="s">
        <v>3581</v>
      </c>
      <c r="J454" s="114"/>
      <c r="K454" s="115"/>
      <c r="L454" s="116"/>
      <c r="M454" s="116"/>
      <c r="N454" s="116"/>
      <c r="O454" s="116"/>
      <c r="P454" s="116"/>
      <c r="Q454" s="116"/>
      <c r="R454" s="114" t="s">
        <v>3578</v>
      </c>
      <c r="S454" s="108" t="s">
        <v>3579</v>
      </c>
      <c r="T454" s="108" t="s">
        <v>3580</v>
      </c>
    </row>
    <row r="455" spans="1:20" ht="38.25" x14ac:dyDescent="0.2">
      <c r="A455" s="114" t="s">
        <v>3807</v>
      </c>
      <c r="B455" s="114" t="s">
        <v>2184</v>
      </c>
      <c r="C455" s="114" t="s">
        <v>2185</v>
      </c>
      <c r="D455" s="114" t="s">
        <v>209</v>
      </c>
      <c r="E455" s="114" t="s">
        <v>1068</v>
      </c>
      <c r="F455" s="114" t="s">
        <v>99</v>
      </c>
      <c r="G455" s="115">
        <v>152.5</v>
      </c>
      <c r="H455" s="114">
        <v>1</v>
      </c>
      <c r="I455" s="114" t="s">
        <v>3570</v>
      </c>
      <c r="J455" s="114" t="s">
        <v>99</v>
      </c>
      <c r="K455" s="115">
        <v>1</v>
      </c>
      <c r="L455" s="116">
        <v>24.427500000000002</v>
      </c>
      <c r="M455" s="116">
        <f>K455*L455</f>
        <v>24.427500000000002</v>
      </c>
      <c r="N455" s="116">
        <v>0.2223</v>
      </c>
      <c r="O455" s="116">
        <f>P455-M455</f>
        <v>5.43</v>
      </c>
      <c r="P455" s="116">
        <v>29.857500000000002</v>
      </c>
      <c r="Q455" s="116">
        <f>G455*P455</f>
        <v>4553.2687500000002</v>
      </c>
      <c r="R455" s="114" t="s">
        <v>3583</v>
      </c>
      <c r="S455" s="108" t="s">
        <v>3808</v>
      </c>
      <c r="T455" s="108" t="s">
        <v>3572</v>
      </c>
    </row>
    <row r="456" spans="1:20" ht="38.25" x14ac:dyDescent="0.2">
      <c r="A456" s="114" t="s">
        <v>3807</v>
      </c>
      <c r="B456" s="114" t="s">
        <v>2184</v>
      </c>
      <c r="C456" s="114" t="s">
        <v>2185</v>
      </c>
      <c r="D456" s="114" t="s">
        <v>209</v>
      </c>
      <c r="E456" s="114" t="s">
        <v>1068</v>
      </c>
      <c r="F456" s="114" t="s">
        <v>99</v>
      </c>
      <c r="G456" s="115">
        <v>152.5</v>
      </c>
      <c r="H456" s="114">
        <v>2</v>
      </c>
      <c r="I456" s="114" t="s">
        <v>3573</v>
      </c>
      <c r="J456" s="114" t="s">
        <v>1283</v>
      </c>
      <c r="K456" s="115">
        <v>0.2223</v>
      </c>
      <c r="L456" s="116">
        <v>24.427500000000002</v>
      </c>
      <c r="M456" s="116">
        <v>0</v>
      </c>
      <c r="N456" s="116">
        <v>0.2223</v>
      </c>
      <c r="O456" s="116">
        <f>O455</f>
        <v>5.43</v>
      </c>
      <c r="P456" s="116"/>
      <c r="Q456" s="116"/>
      <c r="R456" s="114" t="s">
        <v>3574</v>
      </c>
      <c r="S456" s="108" t="s">
        <v>3575</v>
      </c>
      <c r="T456" s="108" t="s">
        <v>3576</v>
      </c>
    </row>
    <row r="457" spans="1:20" ht="38.25" x14ac:dyDescent="0.2">
      <c r="A457" s="114" t="s">
        <v>3807</v>
      </c>
      <c r="B457" s="114" t="s">
        <v>2184</v>
      </c>
      <c r="C457" s="114" t="s">
        <v>2185</v>
      </c>
      <c r="D457" s="114" t="s">
        <v>209</v>
      </c>
      <c r="E457" s="114" t="s">
        <v>1068</v>
      </c>
      <c r="F457" s="114" t="s">
        <v>99</v>
      </c>
      <c r="G457" s="115">
        <v>152.5</v>
      </c>
      <c r="H457" s="114">
        <v>3</v>
      </c>
      <c r="I457" s="114" t="s">
        <v>3577</v>
      </c>
      <c r="J457" s="114"/>
      <c r="K457" s="115"/>
      <c r="L457" s="116"/>
      <c r="M457" s="116"/>
      <c r="N457" s="116"/>
      <c r="O457" s="116"/>
      <c r="P457" s="116"/>
      <c r="Q457" s="116"/>
      <c r="R457" s="114" t="s">
        <v>3578</v>
      </c>
      <c r="S457" s="108" t="s">
        <v>3579</v>
      </c>
      <c r="T457" s="108" t="s">
        <v>3580</v>
      </c>
    </row>
    <row r="458" spans="1:20" ht="38.25" x14ac:dyDescent="0.2">
      <c r="A458" s="114" t="s">
        <v>3807</v>
      </c>
      <c r="B458" s="114" t="s">
        <v>2184</v>
      </c>
      <c r="C458" s="114" t="s">
        <v>2185</v>
      </c>
      <c r="D458" s="114" t="s">
        <v>209</v>
      </c>
      <c r="E458" s="114" t="s">
        <v>1068</v>
      </c>
      <c r="F458" s="114" t="s">
        <v>99</v>
      </c>
      <c r="G458" s="115">
        <v>152.5</v>
      </c>
      <c r="H458" s="114">
        <v>4</v>
      </c>
      <c r="I458" s="114" t="s">
        <v>3581</v>
      </c>
      <c r="J458" s="114"/>
      <c r="K458" s="115"/>
      <c r="L458" s="116"/>
      <c r="M458" s="116"/>
      <c r="N458" s="116"/>
      <c r="O458" s="116"/>
      <c r="P458" s="116"/>
      <c r="Q458" s="116"/>
      <c r="R458" s="114" t="s">
        <v>3578</v>
      </c>
      <c r="S458" s="108" t="s">
        <v>3579</v>
      </c>
      <c r="T458" s="108" t="s">
        <v>3580</v>
      </c>
    </row>
    <row r="459" spans="1:20" ht="51" x14ac:dyDescent="0.2">
      <c r="A459" s="114" t="s">
        <v>3809</v>
      </c>
      <c r="B459" s="114" t="s">
        <v>1909</v>
      </c>
      <c r="C459" s="114" t="s">
        <v>854</v>
      </c>
      <c r="D459" s="114" t="s">
        <v>209</v>
      </c>
      <c r="E459" s="114" t="s">
        <v>855</v>
      </c>
      <c r="F459" s="114" t="s">
        <v>99</v>
      </c>
      <c r="G459" s="115">
        <v>30</v>
      </c>
      <c r="H459" s="114">
        <v>1</v>
      </c>
      <c r="I459" s="114" t="s">
        <v>3570</v>
      </c>
      <c r="J459" s="114" t="s">
        <v>99</v>
      </c>
      <c r="K459" s="115">
        <v>1</v>
      </c>
      <c r="L459" s="116">
        <v>115.77000000000001</v>
      </c>
      <c r="M459" s="116">
        <f>K459*L459</f>
        <v>115.77000000000001</v>
      </c>
      <c r="N459" s="116">
        <v>0.2223</v>
      </c>
      <c r="O459" s="116">
        <f>P459-M459</f>
        <v>25.732499999999987</v>
      </c>
      <c r="P459" s="116">
        <v>141.5025</v>
      </c>
      <c r="Q459" s="116">
        <f>G459*P459</f>
        <v>4245.0749999999998</v>
      </c>
      <c r="R459" s="114" t="s">
        <v>3583</v>
      </c>
      <c r="S459" s="108" t="s">
        <v>3810</v>
      </c>
      <c r="T459" s="108" t="s">
        <v>3572</v>
      </c>
    </row>
    <row r="460" spans="1:20" ht="51" x14ac:dyDescent="0.2">
      <c r="A460" s="114" t="s">
        <v>3809</v>
      </c>
      <c r="B460" s="114" t="s">
        <v>1909</v>
      </c>
      <c r="C460" s="114" t="s">
        <v>854</v>
      </c>
      <c r="D460" s="114" t="s">
        <v>209</v>
      </c>
      <c r="E460" s="114" t="s">
        <v>855</v>
      </c>
      <c r="F460" s="114" t="s">
        <v>99</v>
      </c>
      <c r="G460" s="115">
        <v>30</v>
      </c>
      <c r="H460" s="114">
        <v>2</v>
      </c>
      <c r="I460" s="114" t="s">
        <v>3573</v>
      </c>
      <c r="J460" s="114" t="s">
        <v>1283</v>
      </c>
      <c r="K460" s="115">
        <v>0.2223</v>
      </c>
      <c r="L460" s="116">
        <v>115.77000000000001</v>
      </c>
      <c r="M460" s="116">
        <v>0</v>
      </c>
      <c r="N460" s="116">
        <v>0.2223</v>
      </c>
      <c r="O460" s="116">
        <f>O459</f>
        <v>25.732499999999987</v>
      </c>
      <c r="P460" s="116"/>
      <c r="Q460" s="116"/>
      <c r="R460" s="114" t="s">
        <v>3574</v>
      </c>
      <c r="S460" s="108" t="s">
        <v>3575</v>
      </c>
      <c r="T460" s="108" t="s">
        <v>3576</v>
      </c>
    </row>
    <row r="461" spans="1:20" ht="51" x14ac:dyDescent="0.2">
      <c r="A461" s="114" t="s">
        <v>3809</v>
      </c>
      <c r="B461" s="114" t="s">
        <v>1909</v>
      </c>
      <c r="C461" s="114" t="s">
        <v>854</v>
      </c>
      <c r="D461" s="114" t="s">
        <v>209</v>
      </c>
      <c r="E461" s="114" t="s">
        <v>855</v>
      </c>
      <c r="F461" s="114" t="s">
        <v>99</v>
      </c>
      <c r="G461" s="115">
        <v>30</v>
      </c>
      <c r="H461" s="114">
        <v>3</v>
      </c>
      <c r="I461" s="114" t="s">
        <v>3577</v>
      </c>
      <c r="J461" s="114"/>
      <c r="K461" s="115"/>
      <c r="L461" s="116"/>
      <c r="M461" s="116"/>
      <c r="N461" s="116"/>
      <c r="O461" s="116"/>
      <c r="P461" s="116"/>
      <c r="Q461" s="116"/>
      <c r="R461" s="114" t="s">
        <v>3578</v>
      </c>
      <c r="S461" s="108" t="s">
        <v>3579</v>
      </c>
      <c r="T461" s="108" t="s">
        <v>3580</v>
      </c>
    </row>
    <row r="462" spans="1:20" ht="51" x14ac:dyDescent="0.2">
      <c r="A462" s="114" t="s">
        <v>3809</v>
      </c>
      <c r="B462" s="114" t="s">
        <v>1909</v>
      </c>
      <c r="C462" s="114" t="s">
        <v>854</v>
      </c>
      <c r="D462" s="114" t="s">
        <v>209</v>
      </c>
      <c r="E462" s="114" t="s">
        <v>855</v>
      </c>
      <c r="F462" s="114" t="s">
        <v>99</v>
      </c>
      <c r="G462" s="115">
        <v>30</v>
      </c>
      <c r="H462" s="114">
        <v>4</v>
      </c>
      <c r="I462" s="114" t="s">
        <v>3581</v>
      </c>
      <c r="J462" s="114"/>
      <c r="K462" s="115"/>
      <c r="L462" s="116"/>
      <c r="M462" s="116"/>
      <c r="N462" s="116"/>
      <c r="O462" s="116"/>
      <c r="P462" s="116"/>
      <c r="Q462" s="116"/>
      <c r="R462" s="114" t="s">
        <v>3578</v>
      </c>
      <c r="S462" s="108" t="s">
        <v>3579</v>
      </c>
      <c r="T462" s="108" t="s">
        <v>3580</v>
      </c>
    </row>
    <row r="463" spans="1:20" ht="38.25" x14ac:dyDescent="0.2">
      <c r="A463" s="114" t="s">
        <v>3811</v>
      </c>
      <c r="B463" s="114" t="s">
        <v>511</v>
      </c>
      <c r="C463" s="114" t="s">
        <v>512</v>
      </c>
      <c r="D463" s="114" t="s">
        <v>209</v>
      </c>
      <c r="E463" s="114" t="s">
        <v>513</v>
      </c>
      <c r="F463" s="114" t="s">
        <v>84</v>
      </c>
      <c r="G463" s="115">
        <v>12</v>
      </c>
      <c r="H463" s="114">
        <v>1</v>
      </c>
      <c r="I463" s="114" t="s">
        <v>3570</v>
      </c>
      <c r="J463" s="114" t="s">
        <v>84</v>
      </c>
      <c r="K463" s="115">
        <v>1</v>
      </c>
      <c r="L463" s="116">
        <v>285.90749999999997</v>
      </c>
      <c r="M463" s="116">
        <f>K463*L463</f>
        <v>285.90749999999997</v>
      </c>
      <c r="N463" s="116">
        <v>0.2223</v>
      </c>
      <c r="O463" s="116">
        <f>P463-M463</f>
        <v>63.555000000000007</v>
      </c>
      <c r="P463" s="116">
        <v>349.46249999999998</v>
      </c>
      <c r="Q463" s="116">
        <f>G463*P463</f>
        <v>4193.5499999999993</v>
      </c>
      <c r="R463" s="114" t="s">
        <v>3583</v>
      </c>
      <c r="S463" s="108" t="s">
        <v>3812</v>
      </c>
      <c r="T463" s="108" t="s">
        <v>3572</v>
      </c>
    </row>
    <row r="464" spans="1:20" ht="38.25" x14ac:dyDescent="0.2">
      <c r="A464" s="114" t="s">
        <v>3811</v>
      </c>
      <c r="B464" s="114" t="s">
        <v>511</v>
      </c>
      <c r="C464" s="114" t="s">
        <v>512</v>
      </c>
      <c r="D464" s="114" t="s">
        <v>209</v>
      </c>
      <c r="E464" s="114" t="s">
        <v>513</v>
      </c>
      <c r="F464" s="114" t="s">
        <v>84</v>
      </c>
      <c r="G464" s="115">
        <v>12</v>
      </c>
      <c r="H464" s="114">
        <v>2</v>
      </c>
      <c r="I464" s="114" t="s">
        <v>3573</v>
      </c>
      <c r="J464" s="114" t="s">
        <v>1283</v>
      </c>
      <c r="K464" s="115">
        <v>0.2223</v>
      </c>
      <c r="L464" s="116">
        <v>285.90749999999997</v>
      </c>
      <c r="M464" s="116">
        <v>0</v>
      </c>
      <c r="N464" s="116">
        <v>0.2223</v>
      </c>
      <c r="O464" s="116">
        <f>O463</f>
        <v>63.555000000000007</v>
      </c>
      <c r="P464" s="116"/>
      <c r="Q464" s="116"/>
      <c r="R464" s="114" t="s">
        <v>3574</v>
      </c>
      <c r="S464" s="108" t="s">
        <v>3575</v>
      </c>
      <c r="T464" s="108" t="s">
        <v>3576</v>
      </c>
    </row>
    <row r="465" spans="1:20" ht="38.25" x14ac:dyDescent="0.2">
      <c r="A465" s="114" t="s">
        <v>3811</v>
      </c>
      <c r="B465" s="114" t="s">
        <v>511</v>
      </c>
      <c r="C465" s="114" t="s">
        <v>512</v>
      </c>
      <c r="D465" s="114" t="s">
        <v>209</v>
      </c>
      <c r="E465" s="114" t="s">
        <v>513</v>
      </c>
      <c r="F465" s="114" t="s">
        <v>84</v>
      </c>
      <c r="G465" s="115">
        <v>12</v>
      </c>
      <c r="H465" s="114">
        <v>3</v>
      </c>
      <c r="I465" s="114" t="s">
        <v>3577</v>
      </c>
      <c r="J465" s="114"/>
      <c r="K465" s="115"/>
      <c r="L465" s="116"/>
      <c r="M465" s="116"/>
      <c r="N465" s="116"/>
      <c r="O465" s="116"/>
      <c r="P465" s="116"/>
      <c r="Q465" s="116"/>
      <c r="R465" s="114" t="s">
        <v>3578</v>
      </c>
      <c r="S465" s="108" t="s">
        <v>3579</v>
      </c>
      <c r="T465" s="108" t="s">
        <v>3580</v>
      </c>
    </row>
    <row r="466" spans="1:20" ht="38.25" x14ac:dyDescent="0.2">
      <c r="A466" s="114" t="s">
        <v>3811</v>
      </c>
      <c r="B466" s="114" t="s">
        <v>511</v>
      </c>
      <c r="C466" s="114" t="s">
        <v>512</v>
      </c>
      <c r="D466" s="114" t="s">
        <v>209</v>
      </c>
      <c r="E466" s="114" t="s">
        <v>513</v>
      </c>
      <c r="F466" s="114" t="s">
        <v>84</v>
      </c>
      <c r="G466" s="115">
        <v>12</v>
      </c>
      <c r="H466" s="114">
        <v>4</v>
      </c>
      <c r="I466" s="114" t="s">
        <v>3581</v>
      </c>
      <c r="J466" s="114"/>
      <c r="K466" s="115"/>
      <c r="L466" s="116"/>
      <c r="M466" s="116"/>
      <c r="N466" s="116"/>
      <c r="O466" s="116"/>
      <c r="P466" s="116"/>
      <c r="Q466" s="116"/>
      <c r="R466" s="114" t="s">
        <v>3578</v>
      </c>
      <c r="S466" s="108" t="s">
        <v>3579</v>
      </c>
      <c r="T466" s="108" t="s">
        <v>3580</v>
      </c>
    </row>
    <row r="467" spans="1:20" ht="38.25" x14ac:dyDescent="0.2">
      <c r="A467" s="114" t="s">
        <v>3813</v>
      </c>
      <c r="B467" s="114" t="s">
        <v>1927</v>
      </c>
      <c r="C467" s="114" t="s">
        <v>876</v>
      </c>
      <c r="D467" s="114" t="s">
        <v>209</v>
      </c>
      <c r="E467" s="114" t="s">
        <v>877</v>
      </c>
      <c r="F467" s="114" t="s">
        <v>84</v>
      </c>
      <c r="G467" s="115">
        <v>18</v>
      </c>
      <c r="H467" s="114">
        <v>1</v>
      </c>
      <c r="I467" s="114" t="s">
        <v>3570</v>
      </c>
      <c r="J467" s="114" t="s">
        <v>84</v>
      </c>
      <c r="K467" s="115">
        <v>1</v>
      </c>
      <c r="L467" s="116">
        <v>170.26500000000001</v>
      </c>
      <c r="M467" s="116">
        <f>K467*L467</f>
        <v>170.26500000000001</v>
      </c>
      <c r="N467" s="116">
        <v>0.2223</v>
      </c>
      <c r="O467" s="116">
        <f>P467-M467</f>
        <v>37.844999999999999</v>
      </c>
      <c r="P467" s="116">
        <v>208.11</v>
      </c>
      <c r="Q467" s="116">
        <f>G467*P467</f>
        <v>3745.9800000000005</v>
      </c>
      <c r="R467" s="114" t="s">
        <v>3583</v>
      </c>
      <c r="S467" s="108" t="s">
        <v>3814</v>
      </c>
      <c r="T467" s="108" t="s">
        <v>3572</v>
      </c>
    </row>
    <row r="468" spans="1:20" ht="38.25" x14ac:dyDescent="0.2">
      <c r="A468" s="114" t="s">
        <v>3813</v>
      </c>
      <c r="B468" s="114" t="s">
        <v>1927</v>
      </c>
      <c r="C468" s="114" t="s">
        <v>876</v>
      </c>
      <c r="D468" s="114" t="s">
        <v>209</v>
      </c>
      <c r="E468" s="114" t="s">
        <v>877</v>
      </c>
      <c r="F468" s="114" t="s">
        <v>84</v>
      </c>
      <c r="G468" s="115">
        <v>18</v>
      </c>
      <c r="H468" s="114">
        <v>2</v>
      </c>
      <c r="I468" s="114" t="s">
        <v>3573</v>
      </c>
      <c r="J468" s="114" t="s">
        <v>1283</v>
      </c>
      <c r="K468" s="115">
        <v>0.2223</v>
      </c>
      <c r="L468" s="116">
        <v>170.26500000000001</v>
      </c>
      <c r="M468" s="116">
        <v>0</v>
      </c>
      <c r="N468" s="116">
        <v>0.2223</v>
      </c>
      <c r="O468" s="116">
        <f>O467</f>
        <v>37.844999999999999</v>
      </c>
      <c r="P468" s="116"/>
      <c r="Q468" s="116"/>
      <c r="R468" s="114" t="s">
        <v>3574</v>
      </c>
      <c r="S468" s="108" t="s">
        <v>3575</v>
      </c>
      <c r="T468" s="108" t="s">
        <v>3576</v>
      </c>
    </row>
    <row r="469" spans="1:20" ht="38.25" x14ac:dyDescent="0.2">
      <c r="A469" s="114" t="s">
        <v>3813</v>
      </c>
      <c r="B469" s="114" t="s">
        <v>1927</v>
      </c>
      <c r="C469" s="114" t="s">
        <v>876</v>
      </c>
      <c r="D469" s="114" t="s">
        <v>209</v>
      </c>
      <c r="E469" s="114" t="s">
        <v>877</v>
      </c>
      <c r="F469" s="114" t="s">
        <v>84</v>
      </c>
      <c r="G469" s="115">
        <v>18</v>
      </c>
      <c r="H469" s="114">
        <v>3</v>
      </c>
      <c r="I469" s="114" t="s">
        <v>3577</v>
      </c>
      <c r="J469" s="114"/>
      <c r="K469" s="115"/>
      <c r="L469" s="116"/>
      <c r="M469" s="116"/>
      <c r="N469" s="116"/>
      <c r="O469" s="116"/>
      <c r="P469" s="116"/>
      <c r="Q469" s="116"/>
      <c r="R469" s="114" t="s">
        <v>3578</v>
      </c>
      <c r="S469" s="108" t="s">
        <v>3579</v>
      </c>
      <c r="T469" s="108" t="s">
        <v>3580</v>
      </c>
    </row>
    <row r="470" spans="1:20" ht="38.25" x14ac:dyDescent="0.2">
      <c r="A470" s="114" t="s">
        <v>3813</v>
      </c>
      <c r="B470" s="114" t="s">
        <v>1927</v>
      </c>
      <c r="C470" s="114" t="s">
        <v>876</v>
      </c>
      <c r="D470" s="114" t="s">
        <v>209</v>
      </c>
      <c r="E470" s="114" t="s">
        <v>877</v>
      </c>
      <c r="F470" s="114" t="s">
        <v>84</v>
      </c>
      <c r="G470" s="115">
        <v>18</v>
      </c>
      <c r="H470" s="114">
        <v>4</v>
      </c>
      <c r="I470" s="114" t="s">
        <v>3581</v>
      </c>
      <c r="J470" s="114"/>
      <c r="K470" s="115"/>
      <c r="L470" s="116"/>
      <c r="M470" s="116"/>
      <c r="N470" s="116"/>
      <c r="O470" s="116"/>
      <c r="P470" s="116"/>
      <c r="Q470" s="116"/>
      <c r="R470" s="114" t="s">
        <v>3578</v>
      </c>
      <c r="S470" s="108" t="s">
        <v>3579</v>
      </c>
      <c r="T470" s="108" t="s">
        <v>3580</v>
      </c>
    </row>
    <row r="471" spans="1:20" ht="38.25" x14ac:dyDescent="0.2">
      <c r="A471" s="114" t="s">
        <v>3815</v>
      </c>
      <c r="B471" s="114" t="s">
        <v>1928</v>
      </c>
      <c r="C471" s="114" t="s">
        <v>1929</v>
      </c>
      <c r="D471" s="114" t="s">
        <v>209</v>
      </c>
      <c r="E471" s="114" t="s">
        <v>1930</v>
      </c>
      <c r="F471" s="114" t="s">
        <v>84</v>
      </c>
      <c r="G471" s="115">
        <v>17</v>
      </c>
      <c r="H471" s="114">
        <v>1</v>
      </c>
      <c r="I471" s="114" t="s">
        <v>3570</v>
      </c>
      <c r="J471" s="114" t="s">
        <v>84</v>
      </c>
      <c r="K471" s="115">
        <v>1</v>
      </c>
      <c r="L471" s="116">
        <v>174.91499999999999</v>
      </c>
      <c r="M471" s="116">
        <f>K471*L471</f>
        <v>174.91499999999999</v>
      </c>
      <c r="N471" s="116">
        <v>0.2223</v>
      </c>
      <c r="O471" s="116">
        <f>P471-M471</f>
        <v>38.880000000000024</v>
      </c>
      <c r="P471" s="116">
        <v>213.79500000000002</v>
      </c>
      <c r="Q471" s="116">
        <f>G471*P471</f>
        <v>3634.5150000000003</v>
      </c>
      <c r="R471" s="114" t="s">
        <v>3583</v>
      </c>
      <c r="S471" s="108" t="s">
        <v>3816</v>
      </c>
      <c r="T471" s="108" t="s">
        <v>3572</v>
      </c>
    </row>
    <row r="472" spans="1:20" ht="38.25" x14ac:dyDescent="0.2">
      <c r="A472" s="114" t="s">
        <v>3815</v>
      </c>
      <c r="B472" s="114" t="s">
        <v>1928</v>
      </c>
      <c r="C472" s="114" t="s">
        <v>1929</v>
      </c>
      <c r="D472" s="114" t="s">
        <v>209</v>
      </c>
      <c r="E472" s="114" t="s">
        <v>1930</v>
      </c>
      <c r="F472" s="114" t="s">
        <v>84</v>
      </c>
      <c r="G472" s="115">
        <v>17</v>
      </c>
      <c r="H472" s="114">
        <v>2</v>
      </c>
      <c r="I472" s="114" t="s">
        <v>3573</v>
      </c>
      <c r="J472" s="114" t="s">
        <v>1283</v>
      </c>
      <c r="K472" s="115">
        <v>0.2223</v>
      </c>
      <c r="L472" s="116">
        <v>174.91499999999999</v>
      </c>
      <c r="M472" s="116">
        <v>0</v>
      </c>
      <c r="N472" s="116">
        <v>0.2223</v>
      </c>
      <c r="O472" s="116">
        <f>O471</f>
        <v>38.880000000000024</v>
      </c>
      <c r="P472" s="116"/>
      <c r="Q472" s="116"/>
      <c r="R472" s="114" t="s">
        <v>3574</v>
      </c>
      <c r="S472" s="108" t="s">
        <v>3575</v>
      </c>
      <c r="T472" s="108" t="s">
        <v>3576</v>
      </c>
    </row>
    <row r="473" spans="1:20" ht="38.25" x14ac:dyDescent="0.2">
      <c r="A473" s="114" t="s">
        <v>3815</v>
      </c>
      <c r="B473" s="114" t="s">
        <v>1928</v>
      </c>
      <c r="C473" s="114" t="s">
        <v>1929</v>
      </c>
      <c r="D473" s="114" t="s">
        <v>209</v>
      </c>
      <c r="E473" s="114" t="s">
        <v>1930</v>
      </c>
      <c r="F473" s="114" t="s">
        <v>84</v>
      </c>
      <c r="G473" s="115">
        <v>17</v>
      </c>
      <c r="H473" s="114">
        <v>3</v>
      </c>
      <c r="I473" s="114" t="s">
        <v>3577</v>
      </c>
      <c r="J473" s="114"/>
      <c r="K473" s="115"/>
      <c r="L473" s="116"/>
      <c r="M473" s="116"/>
      <c r="N473" s="116"/>
      <c r="O473" s="116"/>
      <c r="P473" s="116"/>
      <c r="Q473" s="116"/>
      <c r="R473" s="114" t="s">
        <v>3578</v>
      </c>
      <c r="S473" s="108" t="s">
        <v>3579</v>
      </c>
      <c r="T473" s="108" t="s">
        <v>3580</v>
      </c>
    </row>
    <row r="474" spans="1:20" ht="38.25" x14ac:dyDescent="0.2">
      <c r="A474" s="114" t="s">
        <v>3815</v>
      </c>
      <c r="B474" s="114" t="s">
        <v>1928</v>
      </c>
      <c r="C474" s="114" t="s">
        <v>1929</v>
      </c>
      <c r="D474" s="114" t="s">
        <v>209</v>
      </c>
      <c r="E474" s="114" t="s">
        <v>1930</v>
      </c>
      <c r="F474" s="114" t="s">
        <v>84</v>
      </c>
      <c r="G474" s="115">
        <v>17</v>
      </c>
      <c r="H474" s="114">
        <v>4</v>
      </c>
      <c r="I474" s="114" t="s">
        <v>3581</v>
      </c>
      <c r="J474" s="114"/>
      <c r="K474" s="115"/>
      <c r="L474" s="116"/>
      <c r="M474" s="116"/>
      <c r="N474" s="116"/>
      <c r="O474" s="116"/>
      <c r="P474" s="116"/>
      <c r="Q474" s="116"/>
      <c r="R474" s="114" t="s">
        <v>3578</v>
      </c>
      <c r="S474" s="108" t="s">
        <v>3579</v>
      </c>
      <c r="T474" s="108" t="s">
        <v>3580</v>
      </c>
    </row>
    <row r="475" spans="1:20" ht="38.25" x14ac:dyDescent="0.2">
      <c r="A475" s="114" t="s">
        <v>3817</v>
      </c>
      <c r="B475" s="114" t="s">
        <v>1926</v>
      </c>
      <c r="C475" s="114" t="s">
        <v>874</v>
      </c>
      <c r="D475" s="114" t="s">
        <v>209</v>
      </c>
      <c r="E475" s="114" t="s">
        <v>875</v>
      </c>
      <c r="F475" s="114" t="s">
        <v>84</v>
      </c>
      <c r="G475" s="115">
        <v>17</v>
      </c>
      <c r="H475" s="114">
        <v>1</v>
      </c>
      <c r="I475" s="114" t="s">
        <v>3570</v>
      </c>
      <c r="J475" s="114" t="s">
        <v>84</v>
      </c>
      <c r="K475" s="115">
        <v>1</v>
      </c>
      <c r="L475" s="116">
        <v>168.20250000000001</v>
      </c>
      <c r="M475" s="116">
        <f>K475*L475</f>
        <v>168.20250000000001</v>
      </c>
      <c r="N475" s="116">
        <v>0.2223</v>
      </c>
      <c r="O475" s="116">
        <f>P475-M475</f>
        <v>37.387499999999989</v>
      </c>
      <c r="P475" s="116">
        <v>205.59</v>
      </c>
      <c r="Q475" s="116">
        <f>G475*P475</f>
        <v>3495.03</v>
      </c>
      <c r="R475" s="114" t="s">
        <v>3583</v>
      </c>
      <c r="S475" s="108" t="s">
        <v>3818</v>
      </c>
      <c r="T475" s="108" t="s">
        <v>3572</v>
      </c>
    </row>
    <row r="476" spans="1:20" ht="38.25" x14ac:dyDescent="0.2">
      <c r="A476" s="114" t="s">
        <v>3817</v>
      </c>
      <c r="B476" s="114" t="s">
        <v>1926</v>
      </c>
      <c r="C476" s="114" t="s">
        <v>874</v>
      </c>
      <c r="D476" s="114" t="s">
        <v>209</v>
      </c>
      <c r="E476" s="114" t="s">
        <v>875</v>
      </c>
      <c r="F476" s="114" t="s">
        <v>84</v>
      </c>
      <c r="G476" s="115">
        <v>17</v>
      </c>
      <c r="H476" s="114">
        <v>2</v>
      </c>
      <c r="I476" s="114" t="s">
        <v>3573</v>
      </c>
      <c r="J476" s="114" t="s">
        <v>1283</v>
      </c>
      <c r="K476" s="115">
        <v>0.2223</v>
      </c>
      <c r="L476" s="116">
        <v>168.20250000000001</v>
      </c>
      <c r="M476" s="116">
        <v>0</v>
      </c>
      <c r="N476" s="116">
        <v>0.2223</v>
      </c>
      <c r="O476" s="116">
        <f>O475</f>
        <v>37.387499999999989</v>
      </c>
      <c r="P476" s="116"/>
      <c r="Q476" s="116"/>
      <c r="R476" s="114" t="s">
        <v>3574</v>
      </c>
      <c r="S476" s="108" t="s">
        <v>3575</v>
      </c>
      <c r="T476" s="108" t="s">
        <v>3576</v>
      </c>
    </row>
    <row r="477" spans="1:20" ht="38.25" x14ac:dyDescent="0.2">
      <c r="A477" s="114" t="s">
        <v>3817</v>
      </c>
      <c r="B477" s="114" t="s">
        <v>1926</v>
      </c>
      <c r="C477" s="114" t="s">
        <v>874</v>
      </c>
      <c r="D477" s="114" t="s">
        <v>209</v>
      </c>
      <c r="E477" s="114" t="s">
        <v>875</v>
      </c>
      <c r="F477" s="114" t="s">
        <v>84</v>
      </c>
      <c r="G477" s="115">
        <v>17</v>
      </c>
      <c r="H477" s="114">
        <v>3</v>
      </c>
      <c r="I477" s="114" t="s">
        <v>3577</v>
      </c>
      <c r="J477" s="114"/>
      <c r="K477" s="115"/>
      <c r="L477" s="116"/>
      <c r="M477" s="116"/>
      <c r="N477" s="116"/>
      <c r="O477" s="116"/>
      <c r="P477" s="116"/>
      <c r="Q477" s="116"/>
      <c r="R477" s="114" t="s">
        <v>3578</v>
      </c>
      <c r="S477" s="108" t="s">
        <v>3579</v>
      </c>
      <c r="T477" s="108" t="s">
        <v>3580</v>
      </c>
    </row>
    <row r="478" spans="1:20" ht="38.25" x14ac:dyDescent="0.2">
      <c r="A478" s="114" t="s">
        <v>3817</v>
      </c>
      <c r="B478" s="114" t="s">
        <v>1926</v>
      </c>
      <c r="C478" s="114" t="s">
        <v>874</v>
      </c>
      <c r="D478" s="114" t="s">
        <v>209</v>
      </c>
      <c r="E478" s="114" t="s">
        <v>875</v>
      </c>
      <c r="F478" s="114" t="s">
        <v>84</v>
      </c>
      <c r="G478" s="115">
        <v>17</v>
      </c>
      <c r="H478" s="114">
        <v>4</v>
      </c>
      <c r="I478" s="114" t="s">
        <v>3581</v>
      </c>
      <c r="J478" s="114"/>
      <c r="K478" s="115"/>
      <c r="L478" s="116"/>
      <c r="M478" s="116"/>
      <c r="N478" s="116"/>
      <c r="O478" s="116"/>
      <c r="P478" s="116"/>
      <c r="Q478" s="116"/>
      <c r="R478" s="114" t="s">
        <v>3578</v>
      </c>
      <c r="S478" s="108" t="s">
        <v>3579</v>
      </c>
      <c r="T478" s="108" t="s">
        <v>3580</v>
      </c>
    </row>
    <row r="479" spans="1:20" ht="38.25" x14ac:dyDescent="0.2">
      <c r="A479" s="114" t="s">
        <v>3819</v>
      </c>
      <c r="B479" s="114" t="s">
        <v>1925</v>
      </c>
      <c r="C479" s="114" t="s">
        <v>872</v>
      </c>
      <c r="D479" s="114" t="s">
        <v>209</v>
      </c>
      <c r="E479" s="114" t="s">
        <v>873</v>
      </c>
      <c r="F479" s="114" t="s">
        <v>84</v>
      </c>
      <c r="G479" s="115">
        <v>16</v>
      </c>
      <c r="H479" s="114">
        <v>1</v>
      </c>
      <c r="I479" s="114" t="s">
        <v>3570</v>
      </c>
      <c r="J479" s="114" t="s">
        <v>84</v>
      </c>
      <c r="K479" s="115">
        <v>1</v>
      </c>
      <c r="L479" s="116">
        <v>167.08500000000001</v>
      </c>
      <c r="M479" s="116">
        <f>K479*L479</f>
        <v>167.08500000000001</v>
      </c>
      <c r="N479" s="116">
        <v>0.2223</v>
      </c>
      <c r="O479" s="116">
        <f>P479-M479</f>
        <v>37.140000000000015</v>
      </c>
      <c r="P479" s="116">
        <v>204.22500000000002</v>
      </c>
      <c r="Q479" s="116">
        <f>G479*P479</f>
        <v>3267.6000000000004</v>
      </c>
      <c r="R479" s="114" t="s">
        <v>3583</v>
      </c>
      <c r="S479" s="108" t="s">
        <v>3820</v>
      </c>
      <c r="T479" s="108" t="s">
        <v>3572</v>
      </c>
    </row>
    <row r="480" spans="1:20" ht="38.25" x14ac:dyDescent="0.2">
      <c r="A480" s="114" t="s">
        <v>3819</v>
      </c>
      <c r="B480" s="114" t="s">
        <v>1925</v>
      </c>
      <c r="C480" s="114" t="s">
        <v>872</v>
      </c>
      <c r="D480" s="114" t="s">
        <v>209</v>
      </c>
      <c r="E480" s="114" t="s">
        <v>873</v>
      </c>
      <c r="F480" s="114" t="s">
        <v>84</v>
      </c>
      <c r="G480" s="115">
        <v>16</v>
      </c>
      <c r="H480" s="114">
        <v>2</v>
      </c>
      <c r="I480" s="114" t="s">
        <v>3573</v>
      </c>
      <c r="J480" s="114" t="s">
        <v>1283</v>
      </c>
      <c r="K480" s="115">
        <v>0.2223</v>
      </c>
      <c r="L480" s="116">
        <v>167.08500000000001</v>
      </c>
      <c r="M480" s="116">
        <v>0</v>
      </c>
      <c r="N480" s="116">
        <v>0.2223</v>
      </c>
      <c r="O480" s="116">
        <f>O479</f>
        <v>37.140000000000015</v>
      </c>
      <c r="P480" s="116"/>
      <c r="Q480" s="116"/>
      <c r="R480" s="114" t="s">
        <v>3574</v>
      </c>
      <c r="S480" s="108" t="s">
        <v>3575</v>
      </c>
      <c r="T480" s="108" t="s">
        <v>3576</v>
      </c>
    </row>
    <row r="481" spans="1:20" ht="38.25" x14ac:dyDescent="0.2">
      <c r="A481" s="114" t="s">
        <v>3819</v>
      </c>
      <c r="B481" s="114" t="s">
        <v>1925</v>
      </c>
      <c r="C481" s="114" t="s">
        <v>872</v>
      </c>
      <c r="D481" s="114" t="s">
        <v>209</v>
      </c>
      <c r="E481" s="114" t="s">
        <v>873</v>
      </c>
      <c r="F481" s="114" t="s">
        <v>84</v>
      </c>
      <c r="G481" s="115">
        <v>16</v>
      </c>
      <c r="H481" s="114">
        <v>3</v>
      </c>
      <c r="I481" s="114" t="s">
        <v>3577</v>
      </c>
      <c r="J481" s="114"/>
      <c r="K481" s="115"/>
      <c r="L481" s="116"/>
      <c r="M481" s="116"/>
      <c r="N481" s="116"/>
      <c r="O481" s="116"/>
      <c r="P481" s="116"/>
      <c r="Q481" s="116"/>
      <c r="R481" s="114" t="s">
        <v>3578</v>
      </c>
      <c r="S481" s="108" t="s">
        <v>3579</v>
      </c>
      <c r="T481" s="108" t="s">
        <v>3580</v>
      </c>
    </row>
    <row r="482" spans="1:20" ht="38.25" x14ac:dyDescent="0.2">
      <c r="A482" s="114" t="s">
        <v>3819</v>
      </c>
      <c r="B482" s="114" t="s">
        <v>1925</v>
      </c>
      <c r="C482" s="114" t="s">
        <v>872</v>
      </c>
      <c r="D482" s="114" t="s">
        <v>209</v>
      </c>
      <c r="E482" s="114" t="s">
        <v>873</v>
      </c>
      <c r="F482" s="114" t="s">
        <v>84</v>
      </c>
      <c r="G482" s="115">
        <v>16</v>
      </c>
      <c r="H482" s="114">
        <v>4</v>
      </c>
      <c r="I482" s="114" t="s">
        <v>3581</v>
      </c>
      <c r="J482" s="114"/>
      <c r="K482" s="115"/>
      <c r="L482" s="116"/>
      <c r="M482" s="116"/>
      <c r="N482" s="116"/>
      <c r="O482" s="116"/>
      <c r="P482" s="116"/>
      <c r="Q482" s="116"/>
      <c r="R482" s="114" t="s">
        <v>3578</v>
      </c>
      <c r="S482" s="108" t="s">
        <v>3579</v>
      </c>
      <c r="T482" s="108" t="s">
        <v>3580</v>
      </c>
    </row>
    <row r="483" spans="1:20" ht="51" x14ac:dyDescent="0.2">
      <c r="A483" s="114" t="s">
        <v>3821</v>
      </c>
      <c r="B483" s="114" t="s">
        <v>2071</v>
      </c>
      <c r="C483" s="114" t="s">
        <v>984</v>
      </c>
      <c r="D483" s="114" t="s">
        <v>209</v>
      </c>
      <c r="E483" s="114" t="s">
        <v>985</v>
      </c>
      <c r="F483" s="114" t="s">
        <v>84</v>
      </c>
      <c r="G483" s="115">
        <v>2</v>
      </c>
      <c r="H483" s="114">
        <v>1</v>
      </c>
      <c r="I483" s="114" t="s">
        <v>3570</v>
      </c>
      <c r="J483" s="114" t="s">
        <v>84</v>
      </c>
      <c r="K483" s="115">
        <v>1</v>
      </c>
      <c r="L483" s="116">
        <v>1013.3925</v>
      </c>
      <c r="M483" s="116">
        <f>K483*L483</f>
        <v>1013.3925</v>
      </c>
      <c r="N483" s="116">
        <v>0.2223</v>
      </c>
      <c r="O483" s="116">
        <f>P483-M483</f>
        <v>225.26999999999987</v>
      </c>
      <c r="P483" s="116">
        <v>1238.6624999999999</v>
      </c>
      <c r="Q483" s="116">
        <f>G483*P483</f>
        <v>2477.3249999999998</v>
      </c>
      <c r="R483" s="114" t="s">
        <v>3583</v>
      </c>
      <c r="S483" s="108" t="s">
        <v>3822</v>
      </c>
      <c r="T483" s="108" t="s">
        <v>3572</v>
      </c>
    </row>
    <row r="484" spans="1:20" ht="51" x14ac:dyDescent="0.2">
      <c r="A484" s="114" t="s">
        <v>3821</v>
      </c>
      <c r="B484" s="114" t="s">
        <v>2071</v>
      </c>
      <c r="C484" s="114" t="s">
        <v>984</v>
      </c>
      <c r="D484" s="114" t="s">
        <v>209</v>
      </c>
      <c r="E484" s="114" t="s">
        <v>985</v>
      </c>
      <c r="F484" s="114" t="s">
        <v>84</v>
      </c>
      <c r="G484" s="115">
        <v>2</v>
      </c>
      <c r="H484" s="114">
        <v>2</v>
      </c>
      <c r="I484" s="114" t="s">
        <v>3573</v>
      </c>
      <c r="J484" s="114" t="s">
        <v>1283</v>
      </c>
      <c r="K484" s="115">
        <v>0.2223</v>
      </c>
      <c r="L484" s="116">
        <v>1013.3925</v>
      </c>
      <c r="M484" s="116">
        <v>0</v>
      </c>
      <c r="N484" s="116">
        <v>0.2223</v>
      </c>
      <c r="O484" s="116">
        <f>O483</f>
        <v>225.26999999999987</v>
      </c>
      <c r="P484" s="116"/>
      <c r="Q484" s="116"/>
      <c r="R484" s="114" t="s">
        <v>3574</v>
      </c>
      <c r="S484" s="108" t="s">
        <v>3575</v>
      </c>
      <c r="T484" s="108" t="s">
        <v>3576</v>
      </c>
    </row>
    <row r="485" spans="1:20" ht="51" x14ac:dyDescent="0.2">
      <c r="A485" s="114" t="s">
        <v>3821</v>
      </c>
      <c r="B485" s="114" t="s">
        <v>2071</v>
      </c>
      <c r="C485" s="114" t="s">
        <v>984</v>
      </c>
      <c r="D485" s="114" t="s">
        <v>209</v>
      </c>
      <c r="E485" s="114" t="s">
        <v>985</v>
      </c>
      <c r="F485" s="114" t="s">
        <v>84</v>
      </c>
      <c r="G485" s="115">
        <v>2</v>
      </c>
      <c r="H485" s="114">
        <v>3</v>
      </c>
      <c r="I485" s="114" t="s">
        <v>3577</v>
      </c>
      <c r="J485" s="114"/>
      <c r="K485" s="115"/>
      <c r="L485" s="116"/>
      <c r="M485" s="116"/>
      <c r="N485" s="116"/>
      <c r="O485" s="116"/>
      <c r="P485" s="116"/>
      <c r="Q485" s="116"/>
      <c r="R485" s="114" t="s">
        <v>3578</v>
      </c>
      <c r="S485" s="108" t="s">
        <v>3579</v>
      </c>
      <c r="T485" s="108" t="s">
        <v>3580</v>
      </c>
    </row>
    <row r="486" spans="1:20" ht="51" x14ac:dyDescent="0.2">
      <c r="A486" s="114" t="s">
        <v>3821</v>
      </c>
      <c r="B486" s="114" t="s">
        <v>2071</v>
      </c>
      <c r="C486" s="114" t="s">
        <v>984</v>
      </c>
      <c r="D486" s="114" t="s">
        <v>209</v>
      </c>
      <c r="E486" s="114" t="s">
        <v>985</v>
      </c>
      <c r="F486" s="114" t="s">
        <v>84</v>
      </c>
      <c r="G486" s="115">
        <v>2</v>
      </c>
      <c r="H486" s="114">
        <v>4</v>
      </c>
      <c r="I486" s="114" t="s">
        <v>3581</v>
      </c>
      <c r="J486" s="114"/>
      <c r="K486" s="115"/>
      <c r="L486" s="116"/>
      <c r="M486" s="116"/>
      <c r="N486" s="116"/>
      <c r="O486" s="116"/>
      <c r="P486" s="116"/>
      <c r="Q486" s="116"/>
      <c r="R486" s="114" t="s">
        <v>3578</v>
      </c>
      <c r="S486" s="108" t="s">
        <v>3579</v>
      </c>
      <c r="T486" s="108" t="s">
        <v>3580</v>
      </c>
    </row>
    <row r="487" spans="1:20" ht="63.75" x14ac:dyDescent="0.2">
      <c r="A487" s="114" t="s">
        <v>3823</v>
      </c>
      <c r="B487" s="114" t="s">
        <v>815</v>
      </c>
      <c r="C487" s="114" t="s">
        <v>816</v>
      </c>
      <c r="D487" s="114" t="s">
        <v>209</v>
      </c>
      <c r="E487" s="114" t="s">
        <v>1868</v>
      </c>
      <c r="F487" s="114" t="s">
        <v>84</v>
      </c>
      <c r="G487" s="115">
        <v>2</v>
      </c>
      <c r="H487" s="114">
        <v>1</v>
      </c>
      <c r="I487" s="114" t="s">
        <v>3570</v>
      </c>
      <c r="J487" s="114" t="s">
        <v>84</v>
      </c>
      <c r="K487" s="115">
        <v>1</v>
      </c>
      <c r="L487" s="116">
        <v>752.95500000000004</v>
      </c>
      <c r="M487" s="116">
        <f>K487*L487</f>
        <v>752.95500000000004</v>
      </c>
      <c r="N487" s="116">
        <v>0.2223</v>
      </c>
      <c r="O487" s="116">
        <f>P487-M487</f>
        <v>167.37749999999994</v>
      </c>
      <c r="P487" s="116">
        <v>920.33249999999998</v>
      </c>
      <c r="Q487" s="116">
        <f>G487*P487</f>
        <v>1840.665</v>
      </c>
      <c r="R487" s="114" t="s">
        <v>3583</v>
      </c>
      <c r="S487" s="108" t="s">
        <v>3824</v>
      </c>
      <c r="T487" s="108" t="s">
        <v>3572</v>
      </c>
    </row>
    <row r="488" spans="1:20" ht="63.75" x14ac:dyDescent="0.2">
      <c r="A488" s="114" t="s">
        <v>3823</v>
      </c>
      <c r="B488" s="114" t="s">
        <v>815</v>
      </c>
      <c r="C488" s="114" t="s">
        <v>816</v>
      </c>
      <c r="D488" s="114" t="s">
        <v>209</v>
      </c>
      <c r="E488" s="114" t="s">
        <v>1868</v>
      </c>
      <c r="F488" s="114" t="s">
        <v>84</v>
      </c>
      <c r="G488" s="115">
        <v>2</v>
      </c>
      <c r="H488" s="114">
        <v>2</v>
      </c>
      <c r="I488" s="114" t="s">
        <v>3573</v>
      </c>
      <c r="J488" s="114" t="s">
        <v>1283</v>
      </c>
      <c r="K488" s="115">
        <v>0.2223</v>
      </c>
      <c r="L488" s="116">
        <v>752.95500000000004</v>
      </c>
      <c r="M488" s="116">
        <v>0</v>
      </c>
      <c r="N488" s="116">
        <v>0.2223</v>
      </c>
      <c r="O488" s="116">
        <f>O487</f>
        <v>167.37749999999994</v>
      </c>
      <c r="P488" s="116"/>
      <c r="Q488" s="116"/>
      <c r="R488" s="114" t="s">
        <v>3574</v>
      </c>
      <c r="S488" s="108" t="s">
        <v>3575</v>
      </c>
      <c r="T488" s="108" t="s">
        <v>3576</v>
      </c>
    </row>
    <row r="489" spans="1:20" ht="63.75" x14ac:dyDescent="0.2">
      <c r="A489" s="114" t="s">
        <v>3823</v>
      </c>
      <c r="B489" s="114" t="s">
        <v>815</v>
      </c>
      <c r="C489" s="114" t="s">
        <v>816</v>
      </c>
      <c r="D489" s="114" t="s">
        <v>209</v>
      </c>
      <c r="E489" s="114" t="s">
        <v>1868</v>
      </c>
      <c r="F489" s="114" t="s">
        <v>84</v>
      </c>
      <c r="G489" s="115">
        <v>2</v>
      </c>
      <c r="H489" s="114">
        <v>3</v>
      </c>
      <c r="I489" s="114" t="s">
        <v>3577</v>
      </c>
      <c r="J489" s="114"/>
      <c r="K489" s="115"/>
      <c r="L489" s="116"/>
      <c r="M489" s="116"/>
      <c r="N489" s="116"/>
      <c r="O489" s="116"/>
      <c r="P489" s="116"/>
      <c r="Q489" s="116"/>
      <c r="R489" s="114" t="s">
        <v>3578</v>
      </c>
      <c r="S489" s="108" t="s">
        <v>3579</v>
      </c>
      <c r="T489" s="108" t="s">
        <v>3580</v>
      </c>
    </row>
    <row r="490" spans="1:20" ht="63.75" x14ac:dyDescent="0.2">
      <c r="A490" s="114" t="s">
        <v>3823</v>
      </c>
      <c r="B490" s="114" t="s">
        <v>815</v>
      </c>
      <c r="C490" s="114" t="s">
        <v>816</v>
      </c>
      <c r="D490" s="114" t="s">
        <v>209</v>
      </c>
      <c r="E490" s="114" t="s">
        <v>1868</v>
      </c>
      <c r="F490" s="114" t="s">
        <v>84</v>
      </c>
      <c r="G490" s="115">
        <v>2</v>
      </c>
      <c r="H490" s="114">
        <v>4</v>
      </c>
      <c r="I490" s="114" t="s">
        <v>3581</v>
      </c>
      <c r="J490" s="114"/>
      <c r="K490" s="115"/>
      <c r="L490" s="116"/>
      <c r="M490" s="116"/>
      <c r="N490" s="116"/>
      <c r="O490" s="116"/>
      <c r="P490" s="116"/>
      <c r="Q490" s="116"/>
      <c r="R490" s="114" t="s">
        <v>3578</v>
      </c>
      <c r="S490" s="108" t="s">
        <v>3579</v>
      </c>
      <c r="T490" s="108" t="s">
        <v>3580</v>
      </c>
    </row>
    <row r="491" spans="1:20" ht="51" x14ac:dyDescent="0.2">
      <c r="A491" s="114" t="s">
        <v>3825</v>
      </c>
      <c r="B491" s="114" t="s">
        <v>1992</v>
      </c>
      <c r="C491" s="114" t="s">
        <v>938</v>
      </c>
      <c r="D491" s="114" t="s">
        <v>209</v>
      </c>
      <c r="E491" s="114" t="s">
        <v>939</v>
      </c>
      <c r="F491" s="114" t="s">
        <v>99</v>
      </c>
      <c r="G491" s="115">
        <v>21.7</v>
      </c>
      <c r="H491" s="114">
        <v>1</v>
      </c>
      <c r="I491" s="114" t="s">
        <v>3570</v>
      </c>
      <c r="J491" s="114" t="s">
        <v>99</v>
      </c>
      <c r="K491" s="115">
        <v>1</v>
      </c>
      <c r="L491" s="116">
        <v>54.352499999999999</v>
      </c>
      <c r="M491" s="116">
        <f>K491*L491</f>
        <v>54.352499999999999</v>
      </c>
      <c r="N491" s="116">
        <v>0.2223</v>
      </c>
      <c r="O491" s="116">
        <f>P491-M491</f>
        <v>12.082500000000003</v>
      </c>
      <c r="P491" s="116">
        <v>66.435000000000002</v>
      </c>
      <c r="Q491" s="116">
        <f>G491*P491</f>
        <v>1441.6395</v>
      </c>
      <c r="R491" s="114" t="s">
        <v>3583</v>
      </c>
      <c r="S491" s="108" t="s">
        <v>3826</v>
      </c>
      <c r="T491" s="108" t="s">
        <v>3572</v>
      </c>
    </row>
    <row r="492" spans="1:20" ht="51" x14ac:dyDescent="0.2">
      <c r="A492" s="114" t="s">
        <v>3825</v>
      </c>
      <c r="B492" s="114" t="s">
        <v>1992</v>
      </c>
      <c r="C492" s="114" t="s">
        <v>938</v>
      </c>
      <c r="D492" s="114" t="s">
        <v>209</v>
      </c>
      <c r="E492" s="114" t="s">
        <v>939</v>
      </c>
      <c r="F492" s="114" t="s">
        <v>99</v>
      </c>
      <c r="G492" s="115">
        <v>21.7</v>
      </c>
      <c r="H492" s="114">
        <v>2</v>
      </c>
      <c r="I492" s="114" t="s">
        <v>3573</v>
      </c>
      <c r="J492" s="114" t="s">
        <v>1283</v>
      </c>
      <c r="K492" s="115">
        <v>0.2223</v>
      </c>
      <c r="L492" s="116">
        <v>54.352499999999999</v>
      </c>
      <c r="M492" s="116">
        <v>0</v>
      </c>
      <c r="N492" s="116">
        <v>0.2223</v>
      </c>
      <c r="O492" s="116">
        <f>O491</f>
        <v>12.082500000000003</v>
      </c>
      <c r="P492" s="116"/>
      <c r="Q492" s="116"/>
      <c r="R492" s="114" t="s">
        <v>3574</v>
      </c>
      <c r="S492" s="108" t="s">
        <v>3575</v>
      </c>
      <c r="T492" s="108" t="s">
        <v>3576</v>
      </c>
    </row>
    <row r="493" spans="1:20" ht="51" x14ac:dyDescent="0.2">
      <c r="A493" s="114" t="s">
        <v>3825</v>
      </c>
      <c r="B493" s="114" t="s">
        <v>1992</v>
      </c>
      <c r="C493" s="114" t="s">
        <v>938</v>
      </c>
      <c r="D493" s="114" t="s">
        <v>209</v>
      </c>
      <c r="E493" s="114" t="s">
        <v>939</v>
      </c>
      <c r="F493" s="114" t="s">
        <v>99</v>
      </c>
      <c r="G493" s="115">
        <v>21.7</v>
      </c>
      <c r="H493" s="114">
        <v>3</v>
      </c>
      <c r="I493" s="114" t="s">
        <v>3577</v>
      </c>
      <c r="J493" s="114"/>
      <c r="K493" s="115"/>
      <c r="L493" s="116"/>
      <c r="M493" s="116"/>
      <c r="N493" s="116"/>
      <c r="O493" s="116"/>
      <c r="P493" s="116"/>
      <c r="Q493" s="116"/>
      <c r="R493" s="114" t="s">
        <v>3578</v>
      </c>
      <c r="S493" s="108" t="s">
        <v>3579</v>
      </c>
      <c r="T493" s="108" t="s">
        <v>3580</v>
      </c>
    </row>
    <row r="494" spans="1:20" ht="51" x14ac:dyDescent="0.2">
      <c r="A494" s="114" t="s">
        <v>3825</v>
      </c>
      <c r="B494" s="114" t="s">
        <v>1992</v>
      </c>
      <c r="C494" s="114" t="s">
        <v>938</v>
      </c>
      <c r="D494" s="114" t="s">
        <v>209</v>
      </c>
      <c r="E494" s="114" t="s">
        <v>939</v>
      </c>
      <c r="F494" s="114" t="s">
        <v>99</v>
      </c>
      <c r="G494" s="115">
        <v>21.7</v>
      </c>
      <c r="H494" s="114">
        <v>4</v>
      </c>
      <c r="I494" s="114" t="s">
        <v>3581</v>
      </c>
      <c r="J494" s="114"/>
      <c r="K494" s="115"/>
      <c r="L494" s="116"/>
      <c r="M494" s="116"/>
      <c r="N494" s="116"/>
      <c r="O494" s="116"/>
      <c r="P494" s="116"/>
      <c r="Q494" s="116"/>
      <c r="R494" s="114" t="s">
        <v>3578</v>
      </c>
      <c r="S494" s="108" t="s">
        <v>3579</v>
      </c>
      <c r="T494" s="108" t="s">
        <v>3580</v>
      </c>
    </row>
    <row r="495" spans="1:20" ht="140.25" x14ac:dyDescent="0.2">
      <c r="A495" s="114" t="s">
        <v>3827</v>
      </c>
      <c r="B495" s="114" t="s">
        <v>820</v>
      </c>
      <c r="C495" s="114" t="s">
        <v>821</v>
      </c>
      <c r="D495" s="114" t="s">
        <v>209</v>
      </c>
      <c r="E495" s="114" t="s">
        <v>822</v>
      </c>
      <c r="F495" s="114" t="s">
        <v>84</v>
      </c>
      <c r="G495" s="115">
        <v>2</v>
      </c>
      <c r="H495" s="114">
        <v>1</v>
      </c>
      <c r="I495" s="114" t="s">
        <v>3570</v>
      </c>
      <c r="J495" s="114" t="s">
        <v>84</v>
      </c>
      <c r="K495" s="115">
        <v>1</v>
      </c>
      <c r="L495" s="116">
        <v>545.65499999999997</v>
      </c>
      <c r="M495" s="116">
        <f>K495*L495</f>
        <v>545.65499999999997</v>
      </c>
      <c r="N495" s="116">
        <v>0.2223</v>
      </c>
      <c r="O495" s="116">
        <f>P495-M495</f>
        <v>121.29750000000001</v>
      </c>
      <c r="P495" s="116">
        <v>666.95249999999999</v>
      </c>
      <c r="Q495" s="116">
        <f>G495*P495</f>
        <v>1333.905</v>
      </c>
      <c r="R495" s="114" t="s">
        <v>3583</v>
      </c>
      <c r="S495" s="108" t="s">
        <v>3828</v>
      </c>
      <c r="T495" s="108" t="s">
        <v>3572</v>
      </c>
    </row>
    <row r="496" spans="1:20" ht="140.25" x14ac:dyDescent="0.2">
      <c r="A496" s="114" t="s">
        <v>3827</v>
      </c>
      <c r="B496" s="114" t="s">
        <v>820</v>
      </c>
      <c r="C496" s="114" t="s">
        <v>821</v>
      </c>
      <c r="D496" s="114" t="s">
        <v>209</v>
      </c>
      <c r="E496" s="114" t="s">
        <v>822</v>
      </c>
      <c r="F496" s="114" t="s">
        <v>84</v>
      </c>
      <c r="G496" s="115">
        <v>2</v>
      </c>
      <c r="H496" s="114">
        <v>2</v>
      </c>
      <c r="I496" s="114" t="s">
        <v>3573</v>
      </c>
      <c r="J496" s="114" t="s">
        <v>1283</v>
      </c>
      <c r="K496" s="115">
        <v>0.2223</v>
      </c>
      <c r="L496" s="116">
        <v>545.65499999999997</v>
      </c>
      <c r="M496" s="116">
        <v>0</v>
      </c>
      <c r="N496" s="116">
        <v>0.2223</v>
      </c>
      <c r="O496" s="116">
        <f>O495</f>
        <v>121.29750000000001</v>
      </c>
      <c r="P496" s="116"/>
      <c r="Q496" s="116"/>
      <c r="R496" s="114" t="s">
        <v>3574</v>
      </c>
      <c r="S496" s="108" t="s">
        <v>3575</v>
      </c>
      <c r="T496" s="108" t="s">
        <v>3576</v>
      </c>
    </row>
    <row r="497" spans="1:20" ht="140.25" x14ac:dyDescent="0.2">
      <c r="A497" s="114" t="s">
        <v>3827</v>
      </c>
      <c r="B497" s="114" t="s">
        <v>820</v>
      </c>
      <c r="C497" s="114" t="s">
        <v>821</v>
      </c>
      <c r="D497" s="114" t="s">
        <v>209</v>
      </c>
      <c r="E497" s="114" t="s">
        <v>822</v>
      </c>
      <c r="F497" s="114" t="s">
        <v>84</v>
      </c>
      <c r="G497" s="115">
        <v>2</v>
      </c>
      <c r="H497" s="114">
        <v>3</v>
      </c>
      <c r="I497" s="114" t="s">
        <v>3577</v>
      </c>
      <c r="J497" s="114"/>
      <c r="K497" s="115"/>
      <c r="L497" s="116"/>
      <c r="M497" s="116"/>
      <c r="N497" s="116"/>
      <c r="O497" s="116"/>
      <c r="P497" s="116"/>
      <c r="Q497" s="116"/>
      <c r="R497" s="114" t="s">
        <v>3578</v>
      </c>
      <c r="S497" s="108" t="s">
        <v>3579</v>
      </c>
      <c r="T497" s="108" t="s">
        <v>3580</v>
      </c>
    </row>
    <row r="498" spans="1:20" ht="140.25" x14ac:dyDescent="0.2">
      <c r="A498" s="114" t="s">
        <v>3827</v>
      </c>
      <c r="B498" s="114" t="s">
        <v>820</v>
      </c>
      <c r="C498" s="114" t="s">
        <v>821</v>
      </c>
      <c r="D498" s="114" t="s">
        <v>209</v>
      </c>
      <c r="E498" s="114" t="s">
        <v>822</v>
      </c>
      <c r="F498" s="114" t="s">
        <v>84</v>
      </c>
      <c r="G498" s="115">
        <v>2</v>
      </c>
      <c r="H498" s="114">
        <v>4</v>
      </c>
      <c r="I498" s="114" t="s">
        <v>3581</v>
      </c>
      <c r="J498" s="114"/>
      <c r="K498" s="115"/>
      <c r="L498" s="116"/>
      <c r="M498" s="116"/>
      <c r="N498" s="116"/>
      <c r="O498" s="116"/>
      <c r="P498" s="116"/>
      <c r="Q498" s="116"/>
      <c r="R498" s="114" t="s">
        <v>3578</v>
      </c>
      <c r="S498" s="108" t="s">
        <v>3579</v>
      </c>
      <c r="T498" s="108" t="s">
        <v>3580</v>
      </c>
    </row>
    <row r="499" spans="1:20" ht="38.25" x14ac:dyDescent="0.2">
      <c r="A499" s="114" t="s">
        <v>3829</v>
      </c>
      <c r="B499" s="114" t="s">
        <v>2186</v>
      </c>
      <c r="C499" s="114" t="s">
        <v>1069</v>
      </c>
      <c r="D499" s="114" t="s">
        <v>209</v>
      </c>
      <c r="E499" s="114" t="s">
        <v>1070</v>
      </c>
      <c r="F499" s="114" t="s">
        <v>84</v>
      </c>
      <c r="G499" s="115">
        <v>1</v>
      </c>
      <c r="H499" s="114">
        <v>1</v>
      </c>
      <c r="I499" s="114" t="s">
        <v>3570</v>
      </c>
      <c r="J499" s="114" t="s">
        <v>84</v>
      </c>
      <c r="K499" s="115">
        <v>1</v>
      </c>
      <c r="L499" s="116">
        <v>486.12749999999994</v>
      </c>
      <c r="M499" s="116">
        <f>K499*L499</f>
        <v>486.12749999999994</v>
      </c>
      <c r="N499" s="116">
        <v>0.2223</v>
      </c>
      <c r="O499" s="116">
        <f>P499-M499</f>
        <v>108.06000000000006</v>
      </c>
      <c r="P499" s="116">
        <v>594.1875</v>
      </c>
      <c r="Q499" s="116">
        <f>G499*P499</f>
        <v>594.1875</v>
      </c>
      <c r="R499" s="114" t="s">
        <v>3583</v>
      </c>
      <c r="S499" s="108" t="s">
        <v>3830</v>
      </c>
      <c r="T499" s="108" t="s">
        <v>3572</v>
      </c>
    </row>
    <row r="500" spans="1:20" ht="38.25" x14ac:dyDescent="0.2">
      <c r="A500" s="114" t="s">
        <v>3829</v>
      </c>
      <c r="B500" s="114" t="s">
        <v>2186</v>
      </c>
      <c r="C500" s="114" t="s">
        <v>1069</v>
      </c>
      <c r="D500" s="114" t="s">
        <v>209</v>
      </c>
      <c r="E500" s="114" t="s">
        <v>1070</v>
      </c>
      <c r="F500" s="114" t="s">
        <v>84</v>
      </c>
      <c r="G500" s="115">
        <v>1</v>
      </c>
      <c r="H500" s="114">
        <v>2</v>
      </c>
      <c r="I500" s="114" t="s">
        <v>3573</v>
      </c>
      <c r="J500" s="114" t="s">
        <v>1283</v>
      </c>
      <c r="K500" s="115">
        <v>0.2223</v>
      </c>
      <c r="L500" s="116">
        <v>486.12749999999994</v>
      </c>
      <c r="M500" s="116">
        <v>0</v>
      </c>
      <c r="N500" s="116">
        <v>0.2223</v>
      </c>
      <c r="O500" s="116">
        <f>O499</f>
        <v>108.06000000000006</v>
      </c>
      <c r="P500" s="116"/>
      <c r="Q500" s="116"/>
      <c r="R500" s="114" t="s">
        <v>3574</v>
      </c>
      <c r="S500" s="108" t="s">
        <v>3575</v>
      </c>
      <c r="T500" s="108" t="s">
        <v>3576</v>
      </c>
    </row>
    <row r="501" spans="1:20" ht="38.25" x14ac:dyDescent="0.2">
      <c r="A501" s="108" t="s">
        <v>3829</v>
      </c>
      <c r="B501" s="108" t="s">
        <v>2186</v>
      </c>
      <c r="C501" s="108" t="s">
        <v>1069</v>
      </c>
      <c r="D501" s="108" t="s">
        <v>209</v>
      </c>
      <c r="E501" s="108" t="s">
        <v>1070</v>
      </c>
      <c r="F501" s="108" t="s">
        <v>84</v>
      </c>
      <c r="G501" s="111">
        <v>1</v>
      </c>
      <c r="H501" s="108">
        <v>3</v>
      </c>
      <c r="I501" s="108" t="s">
        <v>3577</v>
      </c>
      <c r="J501" s="108"/>
      <c r="K501" s="111"/>
      <c r="L501" s="109"/>
      <c r="M501" s="109"/>
      <c r="N501" s="109"/>
      <c r="O501" s="109"/>
      <c r="P501" s="109"/>
      <c r="Q501" s="109"/>
      <c r="R501" s="108" t="s">
        <v>3578</v>
      </c>
      <c r="S501" s="108" t="s">
        <v>3579</v>
      </c>
      <c r="T501" s="108" t="s">
        <v>3580</v>
      </c>
    </row>
    <row r="502" spans="1:20" ht="38.25" x14ac:dyDescent="0.2">
      <c r="A502" s="108" t="s">
        <v>3829</v>
      </c>
      <c r="B502" s="108" t="s">
        <v>2186</v>
      </c>
      <c r="C502" s="108" t="s">
        <v>1069</v>
      </c>
      <c r="D502" s="108" t="s">
        <v>209</v>
      </c>
      <c r="E502" s="108" t="s">
        <v>1070</v>
      </c>
      <c r="F502" s="108" t="s">
        <v>84</v>
      </c>
      <c r="G502" s="111">
        <v>1</v>
      </c>
      <c r="H502" s="108">
        <v>4</v>
      </c>
      <c r="I502" s="108" t="s">
        <v>3581</v>
      </c>
      <c r="J502" s="108"/>
      <c r="K502" s="111"/>
      <c r="L502" s="109"/>
      <c r="M502" s="109"/>
      <c r="N502" s="109"/>
      <c r="O502" s="109"/>
      <c r="P502" s="109"/>
      <c r="Q502" s="109"/>
      <c r="R502" s="108" t="s">
        <v>3578</v>
      </c>
      <c r="S502" s="108" t="s">
        <v>3579</v>
      </c>
      <c r="T502" s="108" t="s">
        <v>3580</v>
      </c>
    </row>
    <row r="503" spans="1:20" ht="38.25" x14ac:dyDescent="0.2">
      <c r="A503" s="108" t="s">
        <v>3831</v>
      </c>
      <c r="B503" s="108" t="s">
        <v>1931</v>
      </c>
      <c r="C503" s="108" t="s">
        <v>1932</v>
      </c>
      <c r="D503" s="108" t="s">
        <v>209</v>
      </c>
      <c r="E503" s="108" t="s">
        <v>1933</v>
      </c>
      <c r="F503" s="108" t="s">
        <v>84</v>
      </c>
      <c r="G503" s="111">
        <v>2</v>
      </c>
      <c r="H503" s="108">
        <v>1</v>
      </c>
      <c r="I503" s="108" t="s">
        <v>3570</v>
      </c>
      <c r="J503" s="108" t="s">
        <v>84</v>
      </c>
      <c r="K503" s="111">
        <v>1</v>
      </c>
      <c r="L503" s="109">
        <v>233.38499999999999</v>
      </c>
      <c r="M503" s="109">
        <f>K503*L503</f>
        <v>233.38499999999999</v>
      </c>
      <c r="N503" s="109">
        <v>0.2223</v>
      </c>
      <c r="O503" s="109">
        <f>P503-M503</f>
        <v>51.877500000000055</v>
      </c>
      <c r="P503" s="109">
        <v>285.26250000000005</v>
      </c>
      <c r="Q503" s="109">
        <f>G503*P503</f>
        <v>570.52500000000009</v>
      </c>
      <c r="R503" s="108" t="s">
        <v>3583</v>
      </c>
      <c r="S503" s="108" t="s">
        <v>3832</v>
      </c>
      <c r="T503" s="108" t="s">
        <v>3572</v>
      </c>
    </row>
    <row r="504" spans="1:20" ht="38.25" x14ac:dyDescent="0.2">
      <c r="A504" s="108" t="s">
        <v>3831</v>
      </c>
      <c r="B504" s="108" t="s">
        <v>1931</v>
      </c>
      <c r="C504" s="108" t="s">
        <v>1932</v>
      </c>
      <c r="D504" s="108" t="s">
        <v>209</v>
      </c>
      <c r="E504" s="108" t="s">
        <v>1933</v>
      </c>
      <c r="F504" s="108" t="s">
        <v>84</v>
      </c>
      <c r="G504" s="111">
        <v>2</v>
      </c>
      <c r="H504" s="108">
        <v>2</v>
      </c>
      <c r="I504" s="108" t="s">
        <v>3573</v>
      </c>
      <c r="J504" s="108" t="s">
        <v>1283</v>
      </c>
      <c r="K504" s="111">
        <v>0.2223</v>
      </c>
      <c r="L504" s="109">
        <v>233.38499999999999</v>
      </c>
      <c r="M504" s="109">
        <v>0</v>
      </c>
      <c r="N504" s="109">
        <v>0.2223</v>
      </c>
      <c r="O504" s="109">
        <f>O503</f>
        <v>51.877500000000055</v>
      </c>
      <c r="P504" s="109"/>
      <c r="Q504" s="109"/>
      <c r="R504" s="108" t="s">
        <v>3574</v>
      </c>
      <c r="S504" s="108" t="s">
        <v>3575</v>
      </c>
      <c r="T504" s="108" t="s">
        <v>3576</v>
      </c>
    </row>
    <row r="505" spans="1:20" ht="38.25" x14ac:dyDescent="0.2">
      <c r="A505" s="108" t="s">
        <v>3831</v>
      </c>
      <c r="B505" s="108" t="s">
        <v>1931</v>
      </c>
      <c r="C505" s="108" t="s">
        <v>1932</v>
      </c>
      <c r="D505" s="108" t="s">
        <v>209</v>
      </c>
      <c r="E505" s="108" t="s">
        <v>1933</v>
      </c>
      <c r="F505" s="108" t="s">
        <v>84</v>
      </c>
      <c r="G505" s="111">
        <v>2</v>
      </c>
      <c r="H505" s="108">
        <v>3</v>
      </c>
      <c r="I505" s="108" t="s">
        <v>3577</v>
      </c>
      <c r="J505" s="108"/>
      <c r="K505" s="111"/>
      <c r="L505" s="109"/>
      <c r="M505" s="109"/>
      <c r="N505" s="109"/>
      <c r="O505" s="109"/>
      <c r="P505" s="109"/>
      <c r="Q505" s="109"/>
      <c r="R505" s="108" t="s">
        <v>3578</v>
      </c>
      <c r="S505" s="108" t="s">
        <v>3579</v>
      </c>
      <c r="T505" s="108" t="s">
        <v>3580</v>
      </c>
    </row>
    <row r="506" spans="1:20" ht="38.25" x14ac:dyDescent="0.2">
      <c r="A506" s="108" t="s">
        <v>3831</v>
      </c>
      <c r="B506" s="108" t="s">
        <v>1931</v>
      </c>
      <c r="C506" s="108" t="s">
        <v>1932</v>
      </c>
      <c r="D506" s="108" t="s">
        <v>209</v>
      </c>
      <c r="E506" s="108" t="s">
        <v>1933</v>
      </c>
      <c r="F506" s="108" t="s">
        <v>84</v>
      </c>
      <c r="G506" s="111">
        <v>2</v>
      </c>
      <c r="H506" s="108">
        <v>4</v>
      </c>
      <c r="I506" s="108" t="s">
        <v>3581</v>
      </c>
      <c r="J506" s="108"/>
      <c r="K506" s="111"/>
      <c r="L506" s="109"/>
      <c r="M506" s="109"/>
      <c r="N506" s="109"/>
      <c r="O506" s="109"/>
      <c r="P506" s="109"/>
      <c r="Q506" s="109"/>
      <c r="R506" s="108" t="s">
        <v>3578</v>
      </c>
      <c r="S506" s="108" t="s">
        <v>3579</v>
      </c>
      <c r="T506" s="108" t="s">
        <v>3580</v>
      </c>
    </row>
    <row r="507" spans="1:20" ht="38.25" x14ac:dyDescent="0.2">
      <c r="A507" s="108" t="s">
        <v>3833</v>
      </c>
      <c r="B507" s="108" t="s">
        <v>1624</v>
      </c>
      <c r="C507" s="108" t="s">
        <v>600</v>
      </c>
      <c r="D507" s="108" t="s">
        <v>209</v>
      </c>
      <c r="E507" s="108" t="s">
        <v>601</v>
      </c>
      <c r="F507" s="108" t="s">
        <v>84</v>
      </c>
      <c r="G507" s="111">
        <v>1</v>
      </c>
      <c r="H507" s="108">
        <v>1</v>
      </c>
      <c r="I507" s="108" t="s">
        <v>3570</v>
      </c>
      <c r="J507" s="108" t="s">
        <v>84</v>
      </c>
      <c r="K507" s="111">
        <v>1</v>
      </c>
      <c r="L507" s="109">
        <v>306.54000000000002</v>
      </c>
      <c r="M507" s="109">
        <f>K507*L507</f>
        <v>306.54000000000002</v>
      </c>
      <c r="N507" s="109">
        <v>0.2223</v>
      </c>
      <c r="O507" s="109">
        <f>P507-M507</f>
        <v>68.137499999999989</v>
      </c>
      <c r="P507" s="109">
        <v>374.67750000000001</v>
      </c>
      <c r="Q507" s="109">
        <f>G507*P507</f>
        <v>374.67750000000001</v>
      </c>
      <c r="R507" s="108" t="s">
        <v>3583</v>
      </c>
      <c r="S507" s="108" t="s">
        <v>3834</v>
      </c>
      <c r="T507" s="108" t="s">
        <v>3572</v>
      </c>
    </row>
    <row r="508" spans="1:20" ht="38.25" x14ac:dyDescent="0.2">
      <c r="A508" s="108" t="s">
        <v>3833</v>
      </c>
      <c r="B508" s="108" t="s">
        <v>1624</v>
      </c>
      <c r="C508" s="108" t="s">
        <v>600</v>
      </c>
      <c r="D508" s="108" t="s">
        <v>209</v>
      </c>
      <c r="E508" s="108" t="s">
        <v>601</v>
      </c>
      <c r="F508" s="108" t="s">
        <v>84</v>
      </c>
      <c r="G508" s="111">
        <v>1</v>
      </c>
      <c r="H508" s="108">
        <v>2</v>
      </c>
      <c r="I508" s="108" t="s">
        <v>3573</v>
      </c>
      <c r="J508" s="108" t="s">
        <v>1283</v>
      </c>
      <c r="K508" s="111">
        <v>0.2223</v>
      </c>
      <c r="L508" s="109">
        <v>306.54000000000002</v>
      </c>
      <c r="M508" s="109">
        <v>0</v>
      </c>
      <c r="N508" s="109">
        <v>0.2223</v>
      </c>
      <c r="O508" s="109">
        <f>O507</f>
        <v>68.137499999999989</v>
      </c>
      <c r="P508" s="109"/>
      <c r="Q508" s="109"/>
      <c r="R508" s="108" t="s">
        <v>3574</v>
      </c>
      <c r="S508" s="108" t="s">
        <v>3575</v>
      </c>
      <c r="T508" s="108" t="s">
        <v>3576</v>
      </c>
    </row>
    <row r="509" spans="1:20" ht="38.25" x14ac:dyDescent="0.2">
      <c r="A509" s="108" t="s">
        <v>3833</v>
      </c>
      <c r="B509" s="108" t="s">
        <v>1624</v>
      </c>
      <c r="C509" s="108" t="s">
        <v>600</v>
      </c>
      <c r="D509" s="108" t="s">
        <v>209</v>
      </c>
      <c r="E509" s="108" t="s">
        <v>601</v>
      </c>
      <c r="F509" s="108" t="s">
        <v>84</v>
      </c>
      <c r="G509" s="111">
        <v>1</v>
      </c>
      <c r="H509" s="108">
        <v>3</v>
      </c>
      <c r="I509" s="108" t="s">
        <v>3577</v>
      </c>
      <c r="J509" s="108"/>
      <c r="K509" s="111"/>
      <c r="L509" s="109"/>
      <c r="M509" s="109"/>
      <c r="N509" s="109"/>
      <c r="O509" s="109"/>
      <c r="P509" s="109"/>
      <c r="Q509" s="109"/>
      <c r="R509" s="108" t="s">
        <v>3578</v>
      </c>
      <c r="S509" s="108" t="s">
        <v>3579</v>
      </c>
      <c r="T509" s="108" t="s">
        <v>3580</v>
      </c>
    </row>
    <row r="510" spans="1:20" ht="38.25" x14ac:dyDescent="0.2">
      <c r="A510" s="108" t="s">
        <v>3833</v>
      </c>
      <c r="B510" s="108" t="s">
        <v>1624</v>
      </c>
      <c r="C510" s="108" t="s">
        <v>600</v>
      </c>
      <c r="D510" s="108" t="s">
        <v>209</v>
      </c>
      <c r="E510" s="108" t="s">
        <v>601</v>
      </c>
      <c r="F510" s="108" t="s">
        <v>84</v>
      </c>
      <c r="G510" s="111">
        <v>1</v>
      </c>
      <c r="H510" s="108">
        <v>4</v>
      </c>
      <c r="I510" s="108" t="s">
        <v>3581</v>
      </c>
      <c r="J510" s="108"/>
      <c r="K510" s="111"/>
      <c r="L510" s="109"/>
      <c r="M510" s="109"/>
      <c r="N510" s="109"/>
      <c r="O510" s="109"/>
      <c r="P510" s="109"/>
      <c r="Q510" s="109"/>
      <c r="R510" s="108" t="s">
        <v>3578</v>
      </c>
      <c r="S510" s="108" t="s">
        <v>3579</v>
      </c>
      <c r="T510" s="108" t="s">
        <v>3580</v>
      </c>
    </row>
  </sheetData>
  <mergeCells count="1">
    <mergeCell ref="A1:D1"/>
  </mergeCells>
  <pageMargins left="0.7" right="0.7" top="0.75" bottom="0.75" header="0.3" footer="0.3"/>
  <drawing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28"/>
  <sheetViews>
    <sheetView topLeftCell="A132" workbookViewId="0">
      <selection activeCell="E132" sqref="E132"/>
    </sheetView>
  </sheetViews>
  <sheetFormatPr defaultRowHeight="12.75" x14ac:dyDescent="0.2"/>
  <cols>
    <col min="4" max="4" width="55" customWidth="1"/>
    <col min="6" max="6" width="42" customWidth="1"/>
  </cols>
  <sheetData>
    <row r="1" spans="1:6" ht="30" customHeight="1" x14ac:dyDescent="0.2">
      <c r="A1" s="110" t="s">
        <v>8</v>
      </c>
      <c r="B1" s="110" t="s">
        <v>9</v>
      </c>
      <c r="C1" s="110" t="s">
        <v>10</v>
      </c>
      <c r="D1" s="110" t="s">
        <v>11</v>
      </c>
      <c r="E1" s="110" t="s">
        <v>3835</v>
      </c>
      <c r="F1" s="110" t="s">
        <v>3836</v>
      </c>
    </row>
    <row r="2" spans="1:6" ht="51" x14ac:dyDescent="0.2">
      <c r="A2" s="108" t="s">
        <v>165</v>
      </c>
      <c r="B2" s="108" t="s">
        <v>1373</v>
      </c>
      <c r="C2" s="108" t="s">
        <v>56</v>
      </c>
      <c r="D2" s="108" t="s">
        <v>166</v>
      </c>
      <c r="E2" s="108" t="s">
        <v>1287</v>
      </c>
      <c r="F2" s="108" t="s">
        <v>3837</v>
      </c>
    </row>
    <row r="3" spans="1:6" ht="51" x14ac:dyDescent="0.2">
      <c r="A3" s="108" t="s">
        <v>2067</v>
      </c>
      <c r="B3" s="108" t="s">
        <v>979</v>
      </c>
      <c r="C3" s="108" t="s">
        <v>209</v>
      </c>
      <c r="D3" s="108" t="s">
        <v>2068</v>
      </c>
      <c r="E3" s="108" t="s">
        <v>1287</v>
      </c>
      <c r="F3" s="108" t="s">
        <v>3838</v>
      </c>
    </row>
    <row r="4" spans="1:6" ht="114.75" x14ac:dyDescent="0.2">
      <c r="A4" s="108" t="s">
        <v>372</v>
      </c>
      <c r="B4" s="108" t="s">
        <v>1472</v>
      </c>
      <c r="C4" s="108" t="s">
        <v>24</v>
      </c>
      <c r="D4" s="108" t="s">
        <v>374</v>
      </c>
      <c r="E4" s="108" t="s">
        <v>1287</v>
      </c>
      <c r="F4" s="108" t="s">
        <v>3839</v>
      </c>
    </row>
    <row r="5" spans="1:6" ht="51" x14ac:dyDescent="0.2">
      <c r="A5" s="108" t="s">
        <v>213</v>
      </c>
      <c r="B5" s="108" t="s">
        <v>1399</v>
      </c>
      <c r="C5" s="108" t="s">
        <v>56</v>
      </c>
      <c r="D5" s="108" t="s">
        <v>214</v>
      </c>
      <c r="E5" s="108" t="s">
        <v>1287</v>
      </c>
      <c r="F5" s="108" t="s">
        <v>3840</v>
      </c>
    </row>
    <row r="6" spans="1:6" ht="51" x14ac:dyDescent="0.2">
      <c r="A6" s="108" t="s">
        <v>66</v>
      </c>
      <c r="B6" s="108" t="s">
        <v>1337</v>
      </c>
      <c r="C6" s="108" t="s">
        <v>24</v>
      </c>
      <c r="D6" s="108" t="s">
        <v>68</v>
      </c>
      <c r="E6" s="108" t="s">
        <v>1287</v>
      </c>
      <c r="F6" s="108" t="s">
        <v>3841</v>
      </c>
    </row>
    <row r="7" spans="1:6" ht="25.5" x14ac:dyDescent="0.2">
      <c r="A7" s="108" t="s">
        <v>59</v>
      </c>
      <c r="B7" s="108" t="s">
        <v>1332</v>
      </c>
      <c r="C7" s="108" t="s">
        <v>56</v>
      </c>
      <c r="D7" s="108" t="s">
        <v>60</v>
      </c>
      <c r="E7" s="108" t="s">
        <v>1287</v>
      </c>
      <c r="F7" s="108" t="s">
        <v>3842</v>
      </c>
    </row>
    <row r="8" spans="1:6" ht="38.25" x14ac:dyDescent="0.2">
      <c r="A8" s="108" t="s">
        <v>2194</v>
      </c>
      <c r="B8" s="108" t="s">
        <v>2195</v>
      </c>
      <c r="C8" s="108" t="s">
        <v>56</v>
      </c>
      <c r="D8" s="108" t="s">
        <v>1077</v>
      </c>
      <c r="E8" s="108" t="s">
        <v>1287</v>
      </c>
      <c r="F8" s="108" t="s">
        <v>3843</v>
      </c>
    </row>
    <row r="9" spans="1:6" ht="51" x14ac:dyDescent="0.2">
      <c r="A9" s="108" t="s">
        <v>215</v>
      </c>
      <c r="B9" s="108" t="s">
        <v>1400</v>
      </c>
      <c r="C9" s="108" t="s">
        <v>56</v>
      </c>
      <c r="D9" s="108" t="s">
        <v>216</v>
      </c>
      <c r="E9" s="108" t="s">
        <v>1287</v>
      </c>
      <c r="F9" s="108" t="s">
        <v>3844</v>
      </c>
    </row>
    <row r="10" spans="1:6" ht="51" x14ac:dyDescent="0.2">
      <c r="A10" s="108" t="s">
        <v>356</v>
      </c>
      <c r="B10" s="108" t="s">
        <v>1465</v>
      </c>
      <c r="C10" s="108" t="s">
        <v>56</v>
      </c>
      <c r="D10" s="108" t="s">
        <v>357</v>
      </c>
      <c r="E10" s="108" t="s">
        <v>1287</v>
      </c>
      <c r="F10" s="108" t="s">
        <v>3845</v>
      </c>
    </row>
    <row r="11" spans="1:6" ht="38.25" x14ac:dyDescent="0.2">
      <c r="A11" s="108" t="s">
        <v>97</v>
      </c>
      <c r="B11" s="108" t="s">
        <v>1348</v>
      </c>
      <c r="C11" s="108" t="s">
        <v>56</v>
      </c>
      <c r="D11" s="108" t="s">
        <v>98</v>
      </c>
      <c r="E11" s="108" t="s">
        <v>1287</v>
      </c>
      <c r="F11" s="108" t="s">
        <v>3846</v>
      </c>
    </row>
    <row r="12" spans="1:6" ht="25.5" x14ac:dyDescent="0.2">
      <c r="A12" s="108" t="s">
        <v>55</v>
      </c>
      <c r="B12" s="108" t="s">
        <v>1331</v>
      </c>
      <c r="C12" s="108" t="s">
        <v>56</v>
      </c>
      <c r="D12" s="108" t="s">
        <v>57</v>
      </c>
      <c r="E12" s="108" t="s">
        <v>1287</v>
      </c>
      <c r="F12" s="108" t="s">
        <v>3847</v>
      </c>
    </row>
    <row r="13" spans="1:6" ht="38.25" x14ac:dyDescent="0.2">
      <c r="A13" s="108" t="s">
        <v>394</v>
      </c>
      <c r="B13" s="108" t="s">
        <v>1487</v>
      </c>
      <c r="C13" s="108" t="s">
        <v>56</v>
      </c>
      <c r="D13" s="108" t="s">
        <v>1488</v>
      </c>
      <c r="E13" s="108" t="s">
        <v>1287</v>
      </c>
      <c r="F13" s="108" t="s">
        <v>3848</v>
      </c>
    </row>
    <row r="14" spans="1:6" ht="38.25" x14ac:dyDescent="0.2">
      <c r="A14" s="108" t="s">
        <v>1946</v>
      </c>
      <c r="B14" s="108" t="s">
        <v>1947</v>
      </c>
      <c r="C14" s="108" t="s">
        <v>24</v>
      </c>
      <c r="D14" s="108" t="s">
        <v>897</v>
      </c>
      <c r="E14" s="108" t="s">
        <v>1287</v>
      </c>
      <c r="F14" s="108" t="s">
        <v>3849</v>
      </c>
    </row>
    <row r="15" spans="1:6" ht="63.75" x14ac:dyDescent="0.2">
      <c r="A15" s="108" t="s">
        <v>328</v>
      </c>
      <c r="B15" s="108" t="s">
        <v>1456</v>
      </c>
      <c r="C15" s="108" t="s">
        <v>56</v>
      </c>
      <c r="D15" s="108" t="s">
        <v>329</v>
      </c>
      <c r="E15" s="108" t="s">
        <v>1287</v>
      </c>
      <c r="F15" s="108" t="s">
        <v>3850</v>
      </c>
    </row>
    <row r="16" spans="1:6" ht="38.25" x14ac:dyDescent="0.2">
      <c r="A16" s="108" t="s">
        <v>348</v>
      </c>
      <c r="B16" s="108" t="s">
        <v>349</v>
      </c>
      <c r="C16" s="108" t="s">
        <v>209</v>
      </c>
      <c r="D16" s="108" t="s">
        <v>350</v>
      </c>
      <c r="E16" s="108" t="s">
        <v>1287</v>
      </c>
      <c r="F16" s="108" t="s">
        <v>3838</v>
      </c>
    </row>
    <row r="17" spans="1:6" ht="25.5" x14ac:dyDescent="0.2">
      <c r="A17" s="108" t="s">
        <v>62</v>
      </c>
      <c r="B17" s="108" t="s">
        <v>1333</v>
      </c>
      <c r="C17" s="108" t="s">
        <v>56</v>
      </c>
      <c r="D17" s="108" t="s">
        <v>1334</v>
      </c>
      <c r="E17" s="108" t="s">
        <v>1287</v>
      </c>
      <c r="F17" s="108" t="s">
        <v>3851</v>
      </c>
    </row>
    <row r="18" spans="1:6" ht="51" x14ac:dyDescent="0.2">
      <c r="A18" s="108" t="s">
        <v>488</v>
      </c>
      <c r="B18" s="108" t="s">
        <v>1533</v>
      </c>
      <c r="C18" s="108" t="s">
        <v>24</v>
      </c>
      <c r="D18" s="108" t="s">
        <v>490</v>
      </c>
      <c r="E18" s="108" t="s">
        <v>1287</v>
      </c>
      <c r="F18" s="108" t="s">
        <v>3852</v>
      </c>
    </row>
    <row r="19" spans="1:6" ht="114.75" x14ac:dyDescent="0.2">
      <c r="A19" s="108" t="s">
        <v>22</v>
      </c>
      <c r="B19" s="108" t="s">
        <v>1317</v>
      </c>
      <c r="C19" s="108" t="s">
        <v>24</v>
      </c>
      <c r="D19" s="108" t="s">
        <v>1318</v>
      </c>
      <c r="E19" s="108" t="s">
        <v>1287</v>
      </c>
      <c r="F19" s="108" t="s">
        <v>3853</v>
      </c>
    </row>
    <row r="20" spans="1:6" ht="38.25" x14ac:dyDescent="0.2">
      <c r="A20" s="108" t="s">
        <v>217</v>
      </c>
      <c r="B20" s="108" t="s">
        <v>1401</v>
      </c>
      <c r="C20" s="108" t="s">
        <v>56</v>
      </c>
      <c r="D20" s="108" t="s">
        <v>218</v>
      </c>
      <c r="E20" s="108" t="s">
        <v>1287</v>
      </c>
      <c r="F20" s="108" t="s">
        <v>3854</v>
      </c>
    </row>
    <row r="21" spans="1:6" ht="76.5" x14ac:dyDescent="0.2">
      <c r="A21" s="108" t="s">
        <v>2126</v>
      </c>
      <c r="B21" s="108" t="s">
        <v>2127</v>
      </c>
      <c r="C21" s="108" t="s">
        <v>24</v>
      </c>
      <c r="D21" s="108" t="s">
        <v>2128</v>
      </c>
      <c r="E21" s="108" t="s">
        <v>1287</v>
      </c>
      <c r="F21" s="108" t="s">
        <v>3855</v>
      </c>
    </row>
    <row r="22" spans="1:6" ht="127.5" x14ac:dyDescent="0.2">
      <c r="A22" s="108" t="s">
        <v>517</v>
      </c>
      <c r="B22" s="108" t="s">
        <v>1544</v>
      </c>
      <c r="C22" s="108" t="s">
        <v>24</v>
      </c>
      <c r="D22" s="108" t="s">
        <v>519</v>
      </c>
      <c r="E22" s="108" t="s">
        <v>1287</v>
      </c>
      <c r="F22" s="108" t="s">
        <v>3856</v>
      </c>
    </row>
    <row r="23" spans="1:6" ht="38.25" x14ac:dyDescent="0.2">
      <c r="A23" s="108" t="s">
        <v>1938</v>
      </c>
      <c r="B23" s="108" t="s">
        <v>1939</v>
      </c>
      <c r="C23" s="108" t="s">
        <v>56</v>
      </c>
      <c r="D23" s="108" t="s">
        <v>887</v>
      </c>
      <c r="E23" s="108" t="s">
        <v>1287</v>
      </c>
      <c r="F23" s="108" t="s">
        <v>3857</v>
      </c>
    </row>
    <row r="24" spans="1:6" ht="38.25" x14ac:dyDescent="0.2">
      <c r="A24" s="108" t="s">
        <v>315</v>
      </c>
      <c r="B24" s="108" t="s">
        <v>316</v>
      </c>
      <c r="C24" s="108" t="s">
        <v>317</v>
      </c>
      <c r="D24" s="108" t="s">
        <v>318</v>
      </c>
      <c r="E24" s="108" t="s">
        <v>1287</v>
      </c>
      <c r="F24" s="108" t="s">
        <v>3858</v>
      </c>
    </row>
    <row r="25" spans="1:6" ht="38.25" x14ac:dyDescent="0.2">
      <c r="A25" s="108" t="s">
        <v>1936</v>
      </c>
      <c r="B25" s="108" t="s">
        <v>1937</v>
      </c>
      <c r="C25" s="108" t="s">
        <v>56</v>
      </c>
      <c r="D25" s="108" t="s">
        <v>885</v>
      </c>
      <c r="E25" s="108" t="s">
        <v>1287</v>
      </c>
      <c r="F25" s="108" t="s">
        <v>3859</v>
      </c>
    </row>
    <row r="26" spans="1:6" ht="51" x14ac:dyDescent="0.2">
      <c r="A26" s="108" t="s">
        <v>1416</v>
      </c>
      <c r="B26" s="108" t="s">
        <v>236</v>
      </c>
      <c r="C26" s="108" t="s">
        <v>209</v>
      </c>
      <c r="D26" s="108" t="s">
        <v>271</v>
      </c>
      <c r="E26" s="108" t="s">
        <v>1287</v>
      </c>
      <c r="F26" s="108" t="s">
        <v>3838</v>
      </c>
    </row>
    <row r="27" spans="1:6" ht="51" x14ac:dyDescent="0.2">
      <c r="A27" s="108" t="s">
        <v>2206</v>
      </c>
      <c r="B27" s="108" t="s">
        <v>2207</v>
      </c>
      <c r="C27" s="108" t="s">
        <v>56</v>
      </c>
      <c r="D27" s="108" t="s">
        <v>2208</v>
      </c>
      <c r="E27" s="108" t="s">
        <v>1287</v>
      </c>
      <c r="F27" s="108" t="s">
        <v>3860</v>
      </c>
    </row>
    <row r="28" spans="1:6" ht="51" x14ac:dyDescent="0.2">
      <c r="A28" s="108" t="s">
        <v>1408</v>
      </c>
      <c r="B28" s="108" t="s">
        <v>1409</v>
      </c>
      <c r="C28" s="108" t="s">
        <v>56</v>
      </c>
      <c r="D28" s="108" t="s">
        <v>232</v>
      </c>
      <c r="E28" s="108" t="s">
        <v>1287</v>
      </c>
      <c r="F28" s="108" t="s">
        <v>3861</v>
      </c>
    </row>
    <row r="29" spans="1:6" ht="63.75" x14ac:dyDescent="0.2">
      <c r="A29" s="108" t="s">
        <v>428</v>
      </c>
      <c r="B29" s="108" t="s">
        <v>1503</v>
      </c>
      <c r="C29" s="108" t="s">
        <v>56</v>
      </c>
      <c r="D29" s="108" t="s">
        <v>429</v>
      </c>
      <c r="E29" s="108" t="s">
        <v>1287</v>
      </c>
      <c r="F29" s="108" t="s">
        <v>3862</v>
      </c>
    </row>
    <row r="30" spans="1:6" ht="25.5" x14ac:dyDescent="0.2">
      <c r="A30" s="108" t="s">
        <v>400</v>
      </c>
      <c r="B30" s="108" t="s">
        <v>1491</v>
      </c>
      <c r="C30" s="108" t="s">
        <v>335</v>
      </c>
      <c r="D30" s="108" t="s">
        <v>401</v>
      </c>
      <c r="E30" s="108" t="s">
        <v>1287</v>
      </c>
      <c r="F30" s="108" t="s">
        <v>3863</v>
      </c>
    </row>
    <row r="31" spans="1:6" ht="63.75" x14ac:dyDescent="0.2">
      <c r="A31" s="108" t="s">
        <v>307</v>
      </c>
      <c r="B31" s="108" t="s">
        <v>1451</v>
      </c>
      <c r="C31" s="108" t="s">
        <v>56</v>
      </c>
      <c r="D31" s="108" t="s">
        <v>308</v>
      </c>
      <c r="E31" s="108" t="s">
        <v>1287</v>
      </c>
      <c r="F31" s="108" t="s">
        <v>3864</v>
      </c>
    </row>
    <row r="32" spans="1:6" ht="102" x14ac:dyDescent="0.2">
      <c r="A32" s="108" t="s">
        <v>1524</v>
      </c>
      <c r="B32" s="108" t="s">
        <v>1525</v>
      </c>
      <c r="C32" s="108" t="s">
        <v>24</v>
      </c>
      <c r="D32" s="108" t="s">
        <v>473</v>
      </c>
      <c r="E32" s="108" t="s">
        <v>1287</v>
      </c>
      <c r="F32" s="108" t="s">
        <v>3865</v>
      </c>
    </row>
    <row r="33" spans="1:6" ht="25.5" x14ac:dyDescent="0.2">
      <c r="A33" s="108" t="s">
        <v>541</v>
      </c>
      <c r="B33" s="108" t="s">
        <v>1556</v>
      </c>
      <c r="C33" s="108" t="s">
        <v>335</v>
      </c>
      <c r="D33" s="108" t="s">
        <v>542</v>
      </c>
      <c r="E33" s="108" t="s">
        <v>1287</v>
      </c>
      <c r="F33" s="108" t="s">
        <v>3866</v>
      </c>
    </row>
    <row r="34" spans="1:6" ht="51" x14ac:dyDescent="0.2">
      <c r="A34" s="108" t="s">
        <v>1969</v>
      </c>
      <c r="B34" s="108" t="s">
        <v>1970</v>
      </c>
      <c r="C34" s="108" t="s">
        <v>24</v>
      </c>
      <c r="D34" s="108" t="s">
        <v>918</v>
      </c>
      <c r="E34" s="108" t="s">
        <v>1287</v>
      </c>
      <c r="F34" s="108" t="s">
        <v>3867</v>
      </c>
    </row>
    <row r="35" spans="1:6" ht="51" x14ac:dyDescent="0.2">
      <c r="A35" s="108" t="s">
        <v>392</v>
      </c>
      <c r="B35" s="108" t="s">
        <v>1485</v>
      </c>
      <c r="C35" s="108" t="s">
        <v>56</v>
      </c>
      <c r="D35" s="108" t="s">
        <v>1486</v>
      </c>
      <c r="E35" s="108" t="s">
        <v>1287</v>
      </c>
      <c r="F35" s="108" t="s">
        <v>3868</v>
      </c>
    </row>
    <row r="36" spans="1:6" ht="51" x14ac:dyDescent="0.2">
      <c r="A36" s="108" t="s">
        <v>295</v>
      </c>
      <c r="B36" s="108" t="s">
        <v>1443</v>
      </c>
      <c r="C36" s="108" t="s">
        <v>56</v>
      </c>
      <c r="D36" s="108" t="s">
        <v>296</v>
      </c>
      <c r="E36" s="108" t="s">
        <v>1287</v>
      </c>
      <c r="F36" s="108" t="s">
        <v>3869</v>
      </c>
    </row>
    <row r="37" spans="1:6" ht="76.5" x14ac:dyDescent="0.2">
      <c r="A37" s="108" t="s">
        <v>309</v>
      </c>
      <c r="B37" s="108" t="s">
        <v>310</v>
      </c>
      <c r="C37" s="108" t="s">
        <v>209</v>
      </c>
      <c r="D37" s="108" t="s">
        <v>311</v>
      </c>
      <c r="E37" s="108" t="s">
        <v>1287</v>
      </c>
      <c r="F37" s="108" t="s">
        <v>3838</v>
      </c>
    </row>
    <row r="38" spans="1:6" ht="51" x14ac:dyDescent="0.2">
      <c r="A38" s="108" t="s">
        <v>345</v>
      </c>
      <c r="B38" s="108" t="s">
        <v>346</v>
      </c>
      <c r="C38" s="108" t="s">
        <v>209</v>
      </c>
      <c r="D38" s="108" t="s">
        <v>1462</v>
      </c>
      <c r="E38" s="108" t="s">
        <v>1287</v>
      </c>
      <c r="F38" s="108" t="s">
        <v>3838</v>
      </c>
    </row>
    <row r="39" spans="1:6" ht="38.25" x14ac:dyDescent="0.2">
      <c r="A39" s="108" t="s">
        <v>2038</v>
      </c>
      <c r="B39" s="108" t="s">
        <v>2039</v>
      </c>
      <c r="C39" s="108" t="s">
        <v>56</v>
      </c>
      <c r="D39" s="108" t="s">
        <v>966</v>
      </c>
      <c r="E39" s="108" t="s">
        <v>1287</v>
      </c>
      <c r="F39" s="108" t="s">
        <v>3870</v>
      </c>
    </row>
    <row r="40" spans="1:6" ht="63.75" x14ac:dyDescent="0.2">
      <c r="A40" s="108" t="s">
        <v>197</v>
      </c>
      <c r="B40" s="108" t="s">
        <v>1394</v>
      </c>
      <c r="C40" s="108" t="s">
        <v>56</v>
      </c>
      <c r="D40" s="108" t="s">
        <v>198</v>
      </c>
      <c r="E40" s="108" t="s">
        <v>1287</v>
      </c>
      <c r="F40" s="108" t="s">
        <v>3871</v>
      </c>
    </row>
    <row r="41" spans="1:6" ht="25.5" x14ac:dyDescent="0.2">
      <c r="A41" s="108" t="s">
        <v>334</v>
      </c>
      <c r="B41" s="108" t="s">
        <v>1459</v>
      </c>
      <c r="C41" s="108" t="s">
        <v>335</v>
      </c>
      <c r="D41" s="108" t="s">
        <v>336</v>
      </c>
      <c r="E41" s="108" t="s">
        <v>1287</v>
      </c>
      <c r="F41" s="108" t="s">
        <v>3872</v>
      </c>
    </row>
    <row r="42" spans="1:6" ht="89.25" x14ac:dyDescent="0.2">
      <c r="A42" s="108" t="s">
        <v>27</v>
      </c>
      <c r="B42" s="108" t="s">
        <v>1321</v>
      </c>
      <c r="C42" s="108" t="s">
        <v>24</v>
      </c>
      <c r="D42" s="108" t="s">
        <v>29</v>
      </c>
      <c r="E42" s="108" t="s">
        <v>1287</v>
      </c>
      <c r="F42" s="108" t="s">
        <v>3873</v>
      </c>
    </row>
    <row r="43" spans="1:6" ht="63.75" x14ac:dyDescent="0.2">
      <c r="A43" s="108" t="s">
        <v>291</v>
      </c>
      <c r="B43" s="108" t="s">
        <v>1441</v>
      </c>
      <c r="C43" s="108" t="s">
        <v>56</v>
      </c>
      <c r="D43" s="108" t="s">
        <v>292</v>
      </c>
      <c r="E43" s="108" t="s">
        <v>1287</v>
      </c>
      <c r="F43" s="108" t="s">
        <v>3874</v>
      </c>
    </row>
    <row r="44" spans="1:6" ht="51" x14ac:dyDescent="0.2">
      <c r="A44" s="108" t="s">
        <v>312</v>
      </c>
      <c r="B44" s="108" t="s">
        <v>1452</v>
      </c>
      <c r="C44" s="108" t="s">
        <v>24</v>
      </c>
      <c r="D44" s="108" t="s">
        <v>314</v>
      </c>
      <c r="E44" s="108" t="s">
        <v>1287</v>
      </c>
      <c r="F44" s="108" t="s">
        <v>3875</v>
      </c>
    </row>
    <row r="45" spans="1:6" ht="51" x14ac:dyDescent="0.2">
      <c r="A45" s="108" t="s">
        <v>491</v>
      </c>
      <c r="B45" s="108" t="s">
        <v>1534</v>
      </c>
      <c r="C45" s="108" t="s">
        <v>24</v>
      </c>
      <c r="D45" s="108" t="s">
        <v>493</v>
      </c>
      <c r="E45" s="108" t="s">
        <v>1287</v>
      </c>
      <c r="F45" s="108" t="s">
        <v>3876</v>
      </c>
    </row>
    <row r="46" spans="1:6" ht="25.5" x14ac:dyDescent="0.2">
      <c r="A46" s="108" t="s">
        <v>546</v>
      </c>
      <c r="B46" s="108" t="s">
        <v>1558</v>
      </c>
      <c r="C46" s="108" t="s">
        <v>335</v>
      </c>
      <c r="D46" s="108" t="s">
        <v>547</v>
      </c>
      <c r="E46" s="108" t="s">
        <v>1287</v>
      </c>
      <c r="F46" s="108" t="s">
        <v>3877</v>
      </c>
    </row>
    <row r="47" spans="1:6" ht="38.25" x14ac:dyDescent="0.2">
      <c r="A47" s="108" t="s">
        <v>406</v>
      </c>
      <c r="B47" s="108" t="s">
        <v>1493</v>
      </c>
      <c r="C47" s="108" t="s">
        <v>56</v>
      </c>
      <c r="D47" s="108" t="s">
        <v>407</v>
      </c>
      <c r="E47" s="108" t="s">
        <v>1287</v>
      </c>
      <c r="F47" s="108" t="s">
        <v>3878</v>
      </c>
    </row>
    <row r="48" spans="1:6" ht="51" x14ac:dyDescent="0.2">
      <c r="A48" s="108" t="s">
        <v>1410</v>
      </c>
      <c r="B48" s="108" t="s">
        <v>1411</v>
      </c>
      <c r="C48" s="108" t="s">
        <v>56</v>
      </c>
      <c r="D48" s="108" t="s">
        <v>233</v>
      </c>
      <c r="E48" s="108" t="s">
        <v>1287</v>
      </c>
      <c r="F48" s="108" t="s">
        <v>3879</v>
      </c>
    </row>
    <row r="49" spans="1:6" ht="38.25" x14ac:dyDescent="0.2">
      <c r="A49" s="108" t="s">
        <v>1944</v>
      </c>
      <c r="B49" s="108" t="s">
        <v>1945</v>
      </c>
      <c r="C49" s="108" t="s">
        <v>24</v>
      </c>
      <c r="D49" s="108" t="s">
        <v>894</v>
      </c>
      <c r="E49" s="108" t="s">
        <v>1287</v>
      </c>
      <c r="F49" s="108" t="s">
        <v>3880</v>
      </c>
    </row>
    <row r="50" spans="1:6" ht="51" x14ac:dyDescent="0.2">
      <c r="A50" s="108" t="s">
        <v>332</v>
      </c>
      <c r="B50" s="108" t="s">
        <v>1458</v>
      </c>
      <c r="C50" s="108" t="s">
        <v>56</v>
      </c>
      <c r="D50" s="108" t="s">
        <v>333</v>
      </c>
      <c r="E50" s="108" t="s">
        <v>1287</v>
      </c>
      <c r="F50" s="108" t="s">
        <v>3881</v>
      </c>
    </row>
    <row r="51" spans="1:6" ht="38.25" x14ac:dyDescent="0.2">
      <c r="A51" s="108" t="s">
        <v>418</v>
      </c>
      <c r="B51" s="108" t="s">
        <v>1498</v>
      </c>
      <c r="C51" s="108" t="s">
        <v>56</v>
      </c>
      <c r="D51" s="108" t="s">
        <v>419</v>
      </c>
      <c r="E51" s="108" t="s">
        <v>1287</v>
      </c>
      <c r="F51" s="108" t="s">
        <v>3882</v>
      </c>
    </row>
    <row r="52" spans="1:6" ht="38.25" x14ac:dyDescent="0.2">
      <c r="A52" s="108" t="s">
        <v>319</v>
      </c>
      <c r="B52" s="108" t="s">
        <v>1453</v>
      </c>
      <c r="C52" s="108" t="s">
        <v>56</v>
      </c>
      <c r="D52" s="108" t="s">
        <v>320</v>
      </c>
      <c r="E52" s="108" t="s">
        <v>1287</v>
      </c>
      <c r="F52" s="108" t="s">
        <v>3883</v>
      </c>
    </row>
    <row r="53" spans="1:6" ht="63.75" x14ac:dyDescent="0.2">
      <c r="A53" s="108" t="s">
        <v>364</v>
      </c>
      <c r="B53" s="108" t="s">
        <v>1469</v>
      </c>
      <c r="C53" s="108" t="s">
        <v>56</v>
      </c>
      <c r="D53" s="108" t="s">
        <v>365</v>
      </c>
      <c r="E53" s="108" t="s">
        <v>1287</v>
      </c>
      <c r="F53" s="108" t="s">
        <v>3884</v>
      </c>
    </row>
    <row r="54" spans="1:6" ht="38.25" x14ac:dyDescent="0.2">
      <c r="A54" s="108" t="s">
        <v>351</v>
      </c>
      <c r="B54" s="108" t="s">
        <v>1463</v>
      </c>
      <c r="C54" s="108" t="s">
        <v>209</v>
      </c>
      <c r="D54" s="108" t="s">
        <v>1464</v>
      </c>
      <c r="E54" s="108" t="s">
        <v>1287</v>
      </c>
      <c r="F54" s="108" t="s">
        <v>3838</v>
      </c>
    </row>
    <row r="55" spans="1:6" ht="63.75" x14ac:dyDescent="0.2">
      <c r="A55" s="108" t="s">
        <v>330</v>
      </c>
      <c r="B55" s="108" t="s">
        <v>1457</v>
      </c>
      <c r="C55" s="108" t="s">
        <v>56</v>
      </c>
      <c r="D55" s="108" t="s">
        <v>331</v>
      </c>
      <c r="E55" s="108" t="s">
        <v>1287</v>
      </c>
      <c r="F55" s="108" t="s">
        <v>3885</v>
      </c>
    </row>
    <row r="56" spans="1:6" ht="51" x14ac:dyDescent="0.2">
      <c r="A56" s="108" t="s">
        <v>279</v>
      </c>
      <c r="B56" s="108" t="s">
        <v>1399</v>
      </c>
      <c r="C56" s="108" t="s">
        <v>56</v>
      </c>
      <c r="D56" s="108" t="s">
        <v>214</v>
      </c>
      <c r="E56" s="108" t="s">
        <v>1287</v>
      </c>
      <c r="F56" s="108" t="s">
        <v>3840</v>
      </c>
    </row>
    <row r="57" spans="1:6" ht="51" x14ac:dyDescent="0.2">
      <c r="A57" s="108" t="s">
        <v>2063</v>
      </c>
      <c r="B57" s="108" t="s">
        <v>2064</v>
      </c>
      <c r="C57" s="108" t="s">
        <v>56</v>
      </c>
      <c r="D57" s="108" t="s">
        <v>977</v>
      </c>
      <c r="E57" s="108" t="s">
        <v>1287</v>
      </c>
      <c r="F57" s="108" t="s">
        <v>3886</v>
      </c>
    </row>
    <row r="58" spans="1:6" ht="51" x14ac:dyDescent="0.2">
      <c r="A58" s="108" t="s">
        <v>2065</v>
      </c>
      <c r="B58" s="108" t="s">
        <v>2066</v>
      </c>
      <c r="C58" s="108" t="s">
        <v>56</v>
      </c>
      <c r="D58" s="108" t="s">
        <v>978</v>
      </c>
      <c r="E58" s="108" t="s">
        <v>1287</v>
      </c>
      <c r="F58" s="108" t="s">
        <v>3887</v>
      </c>
    </row>
    <row r="59" spans="1:6" ht="51" x14ac:dyDescent="0.2">
      <c r="A59" s="108" t="s">
        <v>1388</v>
      </c>
      <c r="B59" s="108" t="s">
        <v>1389</v>
      </c>
      <c r="C59" s="108" t="s">
        <v>56</v>
      </c>
      <c r="D59" s="108" t="s">
        <v>191</v>
      </c>
      <c r="E59" s="108" t="s">
        <v>1287</v>
      </c>
      <c r="F59" s="108" t="s">
        <v>3888</v>
      </c>
    </row>
    <row r="60" spans="1:6" ht="51" x14ac:dyDescent="0.2">
      <c r="A60" s="108" t="s">
        <v>95</v>
      </c>
      <c r="B60" s="108" t="s">
        <v>1347</v>
      </c>
      <c r="C60" s="108" t="s">
        <v>56</v>
      </c>
      <c r="D60" s="108" t="s">
        <v>96</v>
      </c>
      <c r="E60" s="108" t="s">
        <v>1287</v>
      </c>
      <c r="F60" s="108" t="s">
        <v>3889</v>
      </c>
    </row>
    <row r="61" spans="1:6" ht="51" x14ac:dyDescent="0.2">
      <c r="A61" s="108" t="s">
        <v>396</v>
      </c>
      <c r="B61" s="108" t="s">
        <v>1489</v>
      </c>
      <c r="C61" s="108" t="s">
        <v>56</v>
      </c>
      <c r="D61" s="108" t="s">
        <v>397</v>
      </c>
      <c r="E61" s="108" t="s">
        <v>1287</v>
      </c>
      <c r="F61" s="108" t="s">
        <v>3890</v>
      </c>
    </row>
    <row r="62" spans="1:6" ht="38.25" x14ac:dyDescent="0.2">
      <c r="A62" s="108" t="s">
        <v>2044</v>
      </c>
      <c r="B62" s="108" t="s">
        <v>2045</v>
      </c>
      <c r="C62" s="108" t="s">
        <v>56</v>
      </c>
      <c r="D62" s="108" t="s">
        <v>2046</v>
      </c>
      <c r="E62" s="108" t="s">
        <v>1287</v>
      </c>
      <c r="F62" s="108" t="s">
        <v>3891</v>
      </c>
    </row>
    <row r="63" spans="1:6" ht="76.5" x14ac:dyDescent="0.2">
      <c r="A63" s="108" t="s">
        <v>2019</v>
      </c>
      <c r="B63" s="108" t="s">
        <v>2020</v>
      </c>
      <c r="C63" s="108" t="s">
        <v>24</v>
      </c>
      <c r="D63" s="108" t="s">
        <v>954</v>
      </c>
      <c r="E63" s="108" t="s">
        <v>1287</v>
      </c>
      <c r="F63" s="108" t="s">
        <v>3892</v>
      </c>
    </row>
    <row r="64" spans="1:6" ht="76.5" x14ac:dyDescent="0.2">
      <c r="A64" s="108" t="s">
        <v>2189</v>
      </c>
      <c r="B64" s="108" t="s">
        <v>2190</v>
      </c>
      <c r="C64" s="108" t="s">
        <v>56</v>
      </c>
      <c r="D64" s="108" t="s">
        <v>1075</v>
      </c>
      <c r="E64" s="108" t="s">
        <v>1287</v>
      </c>
      <c r="F64" s="108" t="s">
        <v>3893</v>
      </c>
    </row>
    <row r="65" spans="1:6" ht="51" x14ac:dyDescent="0.2">
      <c r="A65" s="108" t="s">
        <v>1392</v>
      </c>
      <c r="B65" s="108" t="s">
        <v>1393</v>
      </c>
      <c r="C65" s="108" t="s">
        <v>24</v>
      </c>
      <c r="D65" s="108" t="s">
        <v>194</v>
      </c>
      <c r="E65" s="108" t="s">
        <v>1287</v>
      </c>
      <c r="F65" s="108" t="s">
        <v>3894</v>
      </c>
    </row>
    <row r="66" spans="1:6" ht="25.5" x14ac:dyDescent="0.2">
      <c r="A66" s="108" t="s">
        <v>337</v>
      </c>
      <c r="B66" s="108" t="s">
        <v>1460</v>
      </c>
      <c r="C66" s="108" t="s">
        <v>56</v>
      </c>
      <c r="D66" s="108" t="s">
        <v>338</v>
      </c>
      <c r="E66" s="108" t="s">
        <v>1287</v>
      </c>
      <c r="F66" s="108" t="s">
        <v>3895</v>
      </c>
    </row>
    <row r="67" spans="1:6" ht="63.75" x14ac:dyDescent="0.2">
      <c r="A67" s="108" t="s">
        <v>326</v>
      </c>
      <c r="B67" s="108" t="s">
        <v>1454</v>
      </c>
      <c r="C67" s="108" t="s">
        <v>56</v>
      </c>
      <c r="D67" s="108" t="s">
        <v>1455</v>
      </c>
      <c r="E67" s="108" t="s">
        <v>1287</v>
      </c>
      <c r="F67" s="108" t="s">
        <v>3896</v>
      </c>
    </row>
    <row r="68" spans="1:6" ht="63.75" x14ac:dyDescent="0.2">
      <c r="A68" s="108" t="s">
        <v>2187</v>
      </c>
      <c r="B68" s="108" t="s">
        <v>2188</v>
      </c>
      <c r="C68" s="108" t="s">
        <v>56</v>
      </c>
      <c r="D68" s="108" t="s">
        <v>1074</v>
      </c>
      <c r="E68" s="108" t="s">
        <v>1287</v>
      </c>
      <c r="F68" s="108" t="s">
        <v>3897</v>
      </c>
    </row>
    <row r="69" spans="1:6" ht="51" x14ac:dyDescent="0.2">
      <c r="A69" s="108" t="s">
        <v>225</v>
      </c>
      <c r="B69" s="108" t="s">
        <v>1397</v>
      </c>
      <c r="C69" s="108" t="s">
        <v>56</v>
      </c>
      <c r="D69" s="108" t="s">
        <v>204</v>
      </c>
      <c r="E69" s="108" t="s">
        <v>1287</v>
      </c>
      <c r="F69" s="108" t="s">
        <v>3898</v>
      </c>
    </row>
    <row r="70" spans="1:6" ht="25.5" x14ac:dyDescent="0.2">
      <c r="A70" s="108" t="s">
        <v>420</v>
      </c>
      <c r="B70" s="108" t="s">
        <v>1499</v>
      </c>
      <c r="C70" s="108" t="s">
        <v>56</v>
      </c>
      <c r="D70" s="108" t="s">
        <v>1500</v>
      </c>
      <c r="E70" s="108" t="s">
        <v>1287</v>
      </c>
      <c r="F70" s="108" t="s">
        <v>3899</v>
      </c>
    </row>
    <row r="71" spans="1:6" ht="38.25" x14ac:dyDescent="0.2">
      <c r="A71" s="108" t="s">
        <v>207</v>
      </c>
      <c r="B71" s="108" t="s">
        <v>208</v>
      </c>
      <c r="C71" s="108" t="s">
        <v>209</v>
      </c>
      <c r="D71" s="108" t="s">
        <v>210</v>
      </c>
      <c r="E71" s="108" t="s">
        <v>1287</v>
      </c>
      <c r="F71" s="108" t="s">
        <v>3838</v>
      </c>
    </row>
    <row r="72" spans="1:6" ht="51" x14ac:dyDescent="0.2">
      <c r="A72" s="108" t="s">
        <v>174</v>
      </c>
      <c r="B72" s="108" t="s">
        <v>1378</v>
      </c>
      <c r="C72" s="108" t="s">
        <v>56</v>
      </c>
      <c r="D72" s="108" t="s">
        <v>175</v>
      </c>
      <c r="E72" s="108" t="s">
        <v>1287</v>
      </c>
      <c r="F72" s="108" t="s">
        <v>3900</v>
      </c>
    </row>
    <row r="73" spans="1:6" ht="25.5" x14ac:dyDescent="0.2">
      <c r="A73" s="108" t="s">
        <v>64</v>
      </c>
      <c r="B73" s="108" t="s">
        <v>1335</v>
      </c>
      <c r="C73" s="108" t="s">
        <v>56</v>
      </c>
      <c r="D73" s="108" t="s">
        <v>1336</v>
      </c>
      <c r="E73" s="108" t="s">
        <v>1287</v>
      </c>
      <c r="F73" s="108" t="s">
        <v>3901</v>
      </c>
    </row>
    <row r="74" spans="1:6" ht="25.5" x14ac:dyDescent="0.2">
      <c r="A74" s="108" t="s">
        <v>142</v>
      </c>
      <c r="B74" s="108" t="s">
        <v>1364</v>
      </c>
      <c r="C74" s="108" t="s">
        <v>56</v>
      </c>
      <c r="D74" s="108" t="s">
        <v>143</v>
      </c>
      <c r="E74" s="108" t="s">
        <v>1287</v>
      </c>
      <c r="F74" s="108" t="s">
        <v>3902</v>
      </c>
    </row>
    <row r="75" spans="1:6" ht="63.75" x14ac:dyDescent="0.2">
      <c r="A75" s="108" t="s">
        <v>109</v>
      </c>
      <c r="B75" s="108" t="s">
        <v>1352</v>
      </c>
      <c r="C75" s="108" t="s">
        <v>24</v>
      </c>
      <c r="D75" s="108" t="s">
        <v>111</v>
      </c>
      <c r="E75" s="108" t="s">
        <v>1287</v>
      </c>
      <c r="F75" s="108" t="s">
        <v>3903</v>
      </c>
    </row>
    <row r="76" spans="1:6" ht="51" x14ac:dyDescent="0.2">
      <c r="A76" s="108" t="s">
        <v>219</v>
      </c>
      <c r="B76" s="108" t="s">
        <v>1395</v>
      </c>
      <c r="C76" s="108" t="s">
        <v>56</v>
      </c>
      <c r="D76" s="108" t="s">
        <v>200</v>
      </c>
      <c r="E76" s="108" t="s">
        <v>1287</v>
      </c>
      <c r="F76" s="108" t="s">
        <v>3904</v>
      </c>
    </row>
    <row r="77" spans="1:6" ht="25.5" x14ac:dyDescent="0.2">
      <c r="A77" s="108" t="s">
        <v>454</v>
      </c>
      <c r="B77" s="108" t="s">
        <v>1513</v>
      </c>
      <c r="C77" s="108" t="s">
        <v>335</v>
      </c>
      <c r="D77" s="108" t="s">
        <v>455</v>
      </c>
      <c r="E77" s="108" t="s">
        <v>1287</v>
      </c>
      <c r="F77" s="108" t="s">
        <v>3905</v>
      </c>
    </row>
    <row r="78" spans="1:6" ht="25.5" x14ac:dyDescent="0.2">
      <c r="A78" s="108" t="s">
        <v>1390</v>
      </c>
      <c r="B78" s="108" t="s">
        <v>1391</v>
      </c>
      <c r="C78" s="108" t="s">
        <v>56</v>
      </c>
      <c r="D78" s="108" t="s">
        <v>192</v>
      </c>
      <c r="E78" s="108" t="s">
        <v>1287</v>
      </c>
      <c r="F78" s="108" t="s">
        <v>3906</v>
      </c>
    </row>
    <row r="79" spans="1:6" ht="63.75" x14ac:dyDescent="0.2">
      <c r="A79" s="108" t="s">
        <v>456</v>
      </c>
      <c r="B79" s="108" t="s">
        <v>457</v>
      </c>
      <c r="C79" s="108" t="s">
        <v>209</v>
      </c>
      <c r="D79" s="108" t="s">
        <v>458</v>
      </c>
      <c r="E79" s="108" t="s">
        <v>1287</v>
      </c>
      <c r="F79" s="108" t="s">
        <v>3838</v>
      </c>
    </row>
    <row r="80" spans="1:6" ht="25.5" x14ac:dyDescent="0.2">
      <c r="A80" s="108" t="s">
        <v>181</v>
      </c>
      <c r="B80" s="108" t="s">
        <v>1381</v>
      </c>
      <c r="C80" s="108" t="s">
        <v>56</v>
      </c>
      <c r="D80" s="108" t="s">
        <v>1382</v>
      </c>
      <c r="E80" s="108" t="s">
        <v>1287</v>
      </c>
      <c r="F80" s="108" t="s">
        <v>3907</v>
      </c>
    </row>
    <row r="81" spans="1:6" ht="38.25" x14ac:dyDescent="0.2">
      <c r="A81" s="108" t="s">
        <v>176</v>
      </c>
      <c r="B81" s="108" t="s">
        <v>1379</v>
      </c>
      <c r="C81" s="108" t="s">
        <v>56</v>
      </c>
      <c r="D81" s="108" t="s">
        <v>177</v>
      </c>
      <c r="E81" s="108" t="s">
        <v>1287</v>
      </c>
      <c r="F81" s="108" t="s">
        <v>3908</v>
      </c>
    </row>
    <row r="82" spans="1:6" ht="102" x14ac:dyDescent="0.2">
      <c r="A82" s="108" t="s">
        <v>823</v>
      </c>
      <c r="B82" s="108" t="s">
        <v>824</v>
      </c>
      <c r="C82" s="108" t="s">
        <v>209</v>
      </c>
      <c r="D82" s="108" t="s">
        <v>825</v>
      </c>
      <c r="E82" s="108" t="s">
        <v>1287</v>
      </c>
      <c r="F82" s="108" t="s">
        <v>3838</v>
      </c>
    </row>
    <row r="83" spans="1:6" ht="76.5" x14ac:dyDescent="0.2">
      <c r="A83" s="108" t="s">
        <v>450</v>
      </c>
      <c r="B83" s="108" t="s">
        <v>1511</v>
      </c>
      <c r="C83" s="108" t="s">
        <v>56</v>
      </c>
      <c r="D83" s="108" t="s">
        <v>451</v>
      </c>
      <c r="E83" s="108" t="s">
        <v>1287</v>
      </c>
      <c r="F83" s="108" t="s">
        <v>3909</v>
      </c>
    </row>
    <row r="84" spans="1:6" ht="38.25" x14ac:dyDescent="0.2">
      <c r="A84" s="108" t="s">
        <v>2211</v>
      </c>
      <c r="B84" s="108" t="s">
        <v>2212</v>
      </c>
      <c r="C84" s="108" t="s">
        <v>56</v>
      </c>
      <c r="D84" s="108" t="s">
        <v>1090</v>
      </c>
      <c r="E84" s="108" t="s">
        <v>1287</v>
      </c>
      <c r="F84" s="108" t="s">
        <v>3910</v>
      </c>
    </row>
    <row r="85" spans="1:6" ht="38.25" x14ac:dyDescent="0.2">
      <c r="A85" s="108" t="s">
        <v>1942</v>
      </c>
      <c r="B85" s="108" t="s">
        <v>1943</v>
      </c>
      <c r="C85" s="108" t="s">
        <v>56</v>
      </c>
      <c r="D85" s="108" t="s">
        <v>891</v>
      </c>
      <c r="E85" s="108" t="s">
        <v>1287</v>
      </c>
      <c r="F85" s="108" t="s">
        <v>3911</v>
      </c>
    </row>
    <row r="86" spans="1:6" ht="127.5" x14ac:dyDescent="0.2">
      <c r="A86" s="108" t="s">
        <v>78</v>
      </c>
      <c r="B86" s="108" t="s">
        <v>1341</v>
      </c>
      <c r="C86" s="108" t="s">
        <v>24</v>
      </c>
      <c r="D86" s="108" t="s">
        <v>80</v>
      </c>
      <c r="E86" s="108" t="s">
        <v>1287</v>
      </c>
      <c r="F86" s="108" t="s">
        <v>3912</v>
      </c>
    </row>
    <row r="87" spans="1:6" ht="89.25" x14ac:dyDescent="0.2">
      <c r="A87" s="108" t="s">
        <v>103</v>
      </c>
      <c r="B87" s="108" t="s">
        <v>1350</v>
      </c>
      <c r="C87" s="108" t="s">
        <v>56</v>
      </c>
      <c r="D87" s="108" t="s">
        <v>1351</v>
      </c>
      <c r="E87" s="108" t="s">
        <v>1287</v>
      </c>
      <c r="F87" s="108" t="s">
        <v>3913</v>
      </c>
    </row>
    <row r="88" spans="1:6" ht="89.25" x14ac:dyDescent="0.2">
      <c r="A88" s="108" t="s">
        <v>256</v>
      </c>
      <c r="B88" s="108" t="s">
        <v>1426</v>
      </c>
      <c r="C88" s="108" t="s">
        <v>24</v>
      </c>
      <c r="D88" s="108" t="s">
        <v>1427</v>
      </c>
      <c r="E88" s="108" t="s">
        <v>1287</v>
      </c>
      <c r="F88" s="108" t="s">
        <v>3914</v>
      </c>
    </row>
    <row r="89" spans="1:6" ht="38.25" x14ac:dyDescent="0.2">
      <c r="A89" s="108" t="s">
        <v>1940</v>
      </c>
      <c r="B89" s="108" t="s">
        <v>1941</v>
      </c>
      <c r="C89" s="108" t="s">
        <v>56</v>
      </c>
      <c r="D89" s="108" t="s">
        <v>889</v>
      </c>
      <c r="E89" s="108" t="s">
        <v>1287</v>
      </c>
      <c r="F89" s="108" t="s">
        <v>3915</v>
      </c>
    </row>
    <row r="90" spans="1:6" ht="51" x14ac:dyDescent="0.2">
      <c r="A90" s="108" t="s">
        <v>203</v>
      </c>
      <c r="B90" s="108" t="s">
        <v>1397</v>
      </c>
      <c r="C90" s="108" t="s">
        <v>56</v>
      </c>
      <c r="D90" s="108" t="s">
        <v>204</v>
      </c>
      <c r="E90" s="108" t="s">
        <v>1287</v>
      </c>
      <c r="F90" s="108" t="s">
        <v>3898</v>
      </c>
    </row>
    <row r="91" spans="1:6" ht="76.5" x14ac:dyDescent="0.2">
      <c r="A91" s="108" t="s">
        <v>2021</v>
      </c>
      <c r="B91" s="108" t="s">
        <v>2022</v>
      </c>
      <c r="C91" s="108" t="s">
        <v>24</v>
      </c>
      <c r="D91" s="108" t="s">
        <v>956</v>
      </c>
      <c r="E91" s="108" t="s">
        <v>1287</v>
      </c>
      <c r="F91" s="108" t="s">
        <v>3916</v>
      </c>
    </row>
    <row r="92" spans="1:6" ht="76.5" x14ac:dyDescent="0.2">
      <c r="A92" s="108" t="s">
        <v>100</v>
      </c>
      <c r="B92" s="108" t="s">
        <v>1349</v>
      </c>
      <c r="C92" s="108" t="s">
        <v>56</v>
      </c>
      <c r="D92" s="108" t="s">
        <v>101</v>
      </c>
      <c r="E92" s="108" t="s">
        <v>1287</v>
      </c>
      <c r="F92" s="108" t="s">
        <v>3917</v>
      </c>
    </row>
    <row r="93" spans="1:6" ht="38.25" x14ac:dyDescent="0.2">
      <c r="A93" s="108" t="s">
        <v>550</v>
      </c>
      <c r="B93" s="108" t="s">
        <v>551</v>
      </c>
      <c r="C93" s="108" t="s">
        <v>209</v>
      </c>
      <c r="D93" s="108" t="s">
        <v>552</v>
      </c>
      <c r="E93" s="108" t="s">
        <v>1290</v>
      </c>
      <c r="F93" s="108" t="s">
        <v>3838</v>
      </c>
    </row>
    <row r="94" spans="1:6" ht="51" x14ac:dyDescent="0.2">
      <c r="A94" s="108" t="s">
        <v>543</v>
      </c>
      <c r="B94" s="108" t="s">
        <v>544</v>
      </c>
      <c r="C94" s="108" t="s">
        <v>209</v>
      </c>
      <c r="D94" s="108" t="s">
        <v>1557</v>
      </c>
      <c r="E94" s="108" t="s">
        <v>1290</v>
      </c>
      <c r="F94" s="108" t="s">
        <v>3838</v>
      </c>
    </row>
    <row r="95" spans="1:6" ht="38.25" x14ac:dyDescent="0.2">
      <c r="A95" s="108" t="s">
        <v>2201</v>
      </c>
      <c r="B95" s="108" t="s">
        <v>1081</v>
      </c>
      <c r="C95" s="108" t="s">
        <v>209</v>
      </c>
      <c r="D95" s="108" t="s">
        <v>1082</v>
      </c>
      <c r="E95" s="108" t="s">
        <v>1290</v>
      </c>
      <c r="F95" s="108" t="s">
        <v>3838</v>
      </c>
    </row>
    <row r="96" spans="1:6" ht="38.25" x14ac:dyDescent="0.2">
      <c r="A96" s="108" t="s">
        <v>2167</v>
      </c>
      <c r="B96" s="108" t="s">
        <v>1051</v>
      </c>
      <c r="C96" s="108" t="s">
        <v>209</v>
      </c>
      <c r="D96" s="108" t="s">
        <v>1052</v>
      </c>
      <c r="E96" s="108" t="s">
        <v>1290</v>
      </c>
      <c r="F96" s="108" t="s">
        <v>3838</v>
      </c>
    </row>
    <row r="97" spans="1:6" ht="51" x14ac:dyDescent="0.2">
      <c r="A97" s="108" t="s">
        <v>1434</v>
      </c>
      <c r="B97" s="108" t="s">
        <v>236</v>
      </c>
      <c r="C97" s="108" t="s">
        <v>209</v>
      </c>
      <c r="D97" s="108" t="s">
        <v>271</v>
      </c>
      <c r="E97" s="108" t="s">
        <v>1290</v>
      </c>
      <c r="F97" s="108" t="s">
        <v>3838</v>
      </c>
    </row>
    <row r="98" spans="1:6" ht="38.25" x14ac:dyDescent="0.2">
      <c r="A98" s="108" t="s">
        <v>1952</v>
      </c>
      <c r="B98" s="108" t="s">
        <v>1953</v>
      </c>
      <c r="C98" s="108" t="s">
        <v>209</v>
      </c>
      <c r="D98" s="108" t="s">
        <v>1954</v>
      </c>
      <c r="E98" s="108" t="s">
        <v>1290</v>
      </c>
      <c r="F98" s="108" t="s">
        <v>3838</v>
      </c>
    </row>
    <row r="99" spans="1:6" ht="38.25" x14ac:dyDescent="0.2">
      <c r="A99" s="108" t="s">
        <v>537</v>
      </c>
      <c r="B99" s="108" t="s">
        <v>538</v>
      </c>
      <c r="C99" s="108" t="s">
        <v>209</v>
      </c>
      <c r="D99" s="108" t="s">
        <v>539</v>
      </c>
      <c r="E99" s="108" t="s">
        <v>1290</v>
      </c>
      <c r="F99" s="108" t="s">
        <v>3838</v>
      </c>
    </row>
    <row r="100" spans="1:6" ht="51" x14ac:dyDescent="0.2">
      <c r="A100" s="108" t="s">
        <v>321</v>
      </c>
      <c r="B100" s="108" t="s">
        <v>322</v>
      </c>
      <c r="C100" s="108" t="s">
        <v>209</v>
      </c>
      <c r="D100" s="108" t="s">
        <v>323</v>
      </c>
      <c r="E100" s="108" t="s">
        <v>1290</v>
      </c>
      <c r="F100" s="108" t="s">
        <v>3838</v>
      </c>
    </row>
    <row r="101" spans="1:6" ht="38.25" x14ac:dyDescent="0.2">
      <c r="A101" s="108" t="s">
        <v>514</v>
      </c>
      <c r="B101" s="108" t="s">
        <v>515</v>
      </c>
      <c r="C101" s="108" t="s">
        <v>209</v>
      </c>
      <c r="D101" s="108" t="s">
        <v>516</v>
      </c>
      <c r="E101" s="108" t="s">
        <v>1290</v>
      </c>
      <c r="F101" s="108" t="s">
        <v>3838</v>
      </c>
    </row>
    <row r="102" spans="1:6" ht="102" x14ac:dyDescent="0.2">
      <c r="A102" s="108" t="s">
        <v>1526</v>
      </c>
      <c r="B102" s="108" t="s">
        <v>474</v>
      </c>
      <c r="C102" s="108" t="s">
        <v>209</v>
      </c>
      <c r="D102" s="108" t="s">
        <v>475</v>
      </c>
      <c r="E102" s="108" t="s">
        <v>1290</v>
      </c>
      <c r="F102" s="108" t="s">
        <v>3838</v>
      </c>
    </row>
    <row r="103" spans="1:6" ht="63.75" x14ac:dyDescent="0.2">
      <c r="A103" s="108" t="s">
        <v>1910</v>
      </c>
      <c r="B103" s="108" t="s">
        <v>856</v>
      </c>
      <c r="C103" s="108" t="s">
        <v>209</v>
      </c>
      <c r="D103" s="108" t="s">
        <v>857</v>
      </c>
      <c r="E103" s="108" t="s">
        <v>1290</v>
      </c>
      <c r="F103" s="108" t="s">
        <v>3838</v>
      </c>
    </row>
    <row r="104" spans="1:6" ht="63.75" x14ac:dyDescent="0.2">
      <c r="A104" s="108" t="s">
        <v>1911</v>
      </c>
      <c r="B104" s="108" t="s">
        <v>858</v>
      </c>
      <c r="C104" s="108" t="s">
        <v>209</v>
      </c>
      <c r="D104" s="108" t="s">
        <v>859</v>
      </c>
      <c r="E104" s="108" t="s">
        <v>1290</v>
      </c>
      <c r="F104" s="108" t="s">
        <v>3838</v>
      </c>
    </row>
    <row r="105" spans="1:6" ht="38.25" x14ac:dyDescent="0.2">
      <c r="A105" s="108" t="s">
        <v>1435</v>
      </c>
      <c r="B105" s="108" t="s">
        <v>272</v>
      </c>
      <c r="C105" s="108" t="s">
        <v>209</v>
      </c>
      <c r="D105" s="108" t="s">
        <v>273</v>
      </c>
      <c r="E105" s="108" t="s">
        <v>1290</v>
      </c>
      <c r="F105" s="108" t="s">
        <v>3838</v>
      </c>
    </row>
    <row r="106" spans="1:6" ht="63.75" x14ac:dyDescent="0.2">
      <c r="A106" s="108" t="s">
        <v>1913</v>
      </c>
      <c r="B106" s="108" t="s">
        <v>862</v>
      </c>
      <c r="C106" s="108" t="s">
        <v>209</v>
      </c>
      <c r="D106" s="108" t="s">
        <v>863</v>
      </c>
      <c r="E106" s="108" t="s">
        <v>1290</v>
      </c>
      <c r="F106" s="108" t="s">
        <v>3838</v>
      </c>
    </row>
    <row r="107" spans="1:6" ht="38.25" x14ac:dyDescent="0.2">
      <c r="A107" s="108" t="s">
        <v>1955</v>
      </c>
      <c r="B107" s="108" t="s">
        <v>907</v>
      </c>
      <c r="C107" s="108" t="s">
        <v>209</v>
      </c>
      <c r="D107" s="108" t="s">
        <v>908</v>
      </c>
      <c r="E107" s="108" t="s">
        <v>1290</v>
      </c>
      <c r="F107" s="108" t="s">
        <v>3838</v>
      </c>
    </row>
    <row r="108" spans="1:6" ht="51" x14ac:dyDescent="0.2">
      <c r="A108" s="108" t="s">
        <v>1993</v>
      </c>
      <c r="B108" s="108" t="s">
        <v>940</v>
      </c>
      <c r="C108" s="108" t="s">
        <v>209</v>
      </c>
      <c r="D108" s="108" t="s">
        <v>941</v>
      </c>
      <c r="E108" s="108" t="s">
        <v>1290</v>
      </c>
      <c r="F108" s="108" t="s">
        <v>3838</v>
      </c>
    </row>
    <row r="109" spans="1:6" ht="51" x14ac:dyDescent="0.2">
      <c r="A109" s="108" t="s">
        <v>1907</v>
      </c>
      <c r="B109" s="108" t="s">
        <v>852</v>
      </c>
      <c r="C109" s="108" t="s">
        <v>209</v>
      </c>
      <c r="D109" s="108" t="s">
        <v>1908</v>
      </c>
      <c r="E109" s="108" t="s">
        <v>1290</v>
      </c>
      <c r="F109" s="108" t="s">
        <v>3838</v>
      </c>
    </row>
    <row r="110" spans="1:6" ht="63.75" x14ac:dyDescent="0.2">
      <c r="A110" s="108" t="s">
        <v>2076</v>
      </c>
      <c r="B110" s="108" t="s">
        <v>989</v>
      </c>
      <c r="C110" s="108" t="s">
        <v>209</v>
      </c>
      <c r="D110" s="108" t="s">
        <v>990</v>
      </c>
      <c r="E110" s="108" t="s">
        <v>1290</v>
      </c>
      <c r="F110" s="108" t="s">
        <v>3838</v>
      </c>
    </row>
    <row r="111" spans="1:6" ht="51" x14ac:dyDescent="0.2">
      <c r="A111" s="108" t="s">
        <v>2074</v>
      </c>
      <c r="B111" s="108" t="s">
        <v>987</v>
      </c>
      <c r="C111" s="108" t="s">
        <v>209</v>
      </c>
      <c r="D111" s="108" t="s">
        <v>2075</v>
      </c>
      <c r="E111" s="108" t="s">
        <v>1290</v>
      </c>
      <c r="F111" s="108" t="s">
        <v>3838</v>
      </c>
    </row>
    <row r="112" spans="1:6" ht="38.25" x14ac:dyDescent="0.2">
      <c r="A112" s="108" t="s">
        <v>500</v>
      </c>
      <c r="B112" s="108" t="s">
        <v>1538</v>
      </c>
      <c r="C112" s="108" t="s">
        <v>209</v>
      </c>
      <c r="D112" s="108" t="s">
        <v>1539</v>
      </c>
      <c r="E112" s="108" t="s">
        <v>1290</v>
      </c>
      <c r="F112" s="108" t="s">
        <v>3838</v>
      </c>
    </row>
    <row r="113" spans="1:6" ht="38.25" x14ac:dyDescent="0.2">
      <c r="A113" s="108" t="s">
        <v>368</v>
      </c>
      <c r="B113" s="108" t="s">
        <v>369</v>
      </c>
      <c r="C113" s="108" t="s">
        <v>209</v>
      </c>
      <c r="D113" s="108" t="s">
        <v>370</v>
      </c>
      <c r="E113" s="108" t="s">
        <v>1290</v>
      </c>
      <c r="F113" s="108" t="s">
        <v>3838</v>
      </c>
    </row>
    <row r="114" spans="1:6" ht="38.25" x14ac:dyDescent="0.2">
      <c r="A114" s="108" t="s">
        <v>287</v>
      </c>
      <c r="B114" s="108" t="s">
        <v>208</v>
      </c>
      <c r="C114" s="108" t="s">
        <v>209</v>
      </c>
      <c r="D114" s="108" t="s">
        <v>210</v>
      </c>
      <c r="E114" s="108" t="s">
        <v>1293</v>
      </c>
      <c r="F114" s="108" t="s">
        <v>3838</v>
      </c>
    </row>
    <row r="115" spans="1:6" ht="38.25" x14ac:dyDescent="0.2">
      <c r="A115" s="108" t="s">
        <v>2184</v>
      </c>
      <c r="B115" s="108" t="s">
        <v>2185</v>
      </c>
      <c r="C115" s="108" t="s">
        <v>209</v>
      </c>
      <c r="D115" s="108" t="s">
        <v>1068</v>
      </c>
      <c r="E115" s="108" t="s">
        <v>1293</v>
      </c>
      <c r="F115" s="108" t="s">
        <v>3838</v>
      </c>
    </row>
    <row r="116" spans="1:6" ht="51" x14ac:dyDescent="0.2">
      <c r="A116" s="108" t="s">
        <v>1909</v>
      </c>
      <c r="B116" s="108" t="s">
        <v>854</v>
      </c>
      <c r="C116" s="108" t="s">
        <v>209</v>
      </c>
      <c r="D116" s="108" t="s">
        <v>855</v>
      </c>
      <c r="E116" s="108" t="s">
        <v>1293</v>
      </c>
      <c r="F116" s="108" t="s">
        <v>3838</v>
      </c>
    </row>
    <row r="117" spans="1:6" ht="38.25" x14ac:dyDescent="0.2">
      <c r="A117" s="108" t="s">
        <v>511</v>
      </c>
      <c r="B117" s="108" t="s">
        <v>512</v>
      </c>
      <c r="C117" s="108" t="s">
        <v>209</v>
      </c>
      <c r="D117" s="108" t="s">
        <v>513</v>
      </c>
      <c r="E117" s="108" t="s">
        <v>1293</v>
      </c>
      <c r="F117" s="108" t="s">
        <v>3838</v>
      </c>
    </row>
    <row r="118" spans="1:6" ht="38.25" x14ac:dyDescent="0.2">
      <c r="A118" s="108" t="s">
        <v>1927</v>
      </c>
      <c r="B118" s="108" t="s">
        <v>876</v>
      </c>
      <c r="C118" s="108" t="s">
        <v>209</v>
      </c>
      <c r="D118" s="108" t="s">
        <v>877</v>
      </c>
      <c r="E118" s="108" t="s">
        <v>1293</v>
      </c>
      <c r="F118" s="108" t="s">
        <v>3838</v>
      </c>
    </row>
    <row r="119" spans="1:6" ht="38.25" x14ac:dyDescent="0.2">
      <c r="A119" s="108" t="s">
        <v>1928</v>
      </c>
      <c r="B119" s="108" t="s">
        <v>1929</v>
      </c>
      <c r="C119" s="108" t="s">
        <v>209</v>
      </c>
      <c r="D119" s="108" t="s">
        <v>1930</v>
      </c>
      <c r="E119" s="108" t="s">
        <v>1293</v>
      </c>
      <c r="F119" s="108" t="s">
        <v>3838</v>
      </c>
    </row>
    <row r="120" spans="1:6" ht="38.25" x14ac:dyDescent="0.2">
      <c r="A120" s="108" t="s">
        <v>1926</v>
      </c>
      <c r="B120" s="108" t="s">
        <v>874</v>
      </c>
      <c r="C120" s="108" t="s">
        <v>209</v>
      </c>
      <c r="D120" s="108" t="s">
        <v>875</v>
      </c>
      <c r="E120" s="108" t="s">
        <v>1293</v>
      </c>
      <c r="F120" s="108" t="s">
        <v>3838</v>
      </c>
    </row>
    <row r="121" spans="1:6" ht="38.25" x14ac:dyDescent="0.2">
      <c r="A121" s="108" t="s">
        <v>1925</v>
      </c>
      <c r="B121" s="108" t="s">
        <v>872</v>
      </c>
      <c r="C121" s="108" t="s">
        <v>209</v>
      </c>
      <c r="D121" s="108" t="s">
        <v>873</v>
      </c>
      <c r="E121" s="108" t="s">
        <v>1293</v>
      </c>
      <c r="F121" s="108" t="s">
        <v>3838</v>
      </c>
    </row>
    <row r="122" spans="1:6" ht="51" x14ac:dyDescent="0.2">
      <c r="A122" s="108" t="s">
        <v>2071</v>
      </c>
      <c r="B122" s="108" t="s">
        <v>984</v>
      </c>
      <c r="C122" s="108" t="s">
        <v>209</v>
      </c>
      <c r="D122" s="108" t="s">
        <v>985</v>
      </c>
      <c r="E122" s="108" t="s">
        <v>1293</v>
      </c>
      <c r="F122" s="108" t="s">
        <v>3838</v>
      </c>
    </row>
    <row r="123" spans="1:6" ht="63.75" x14ac:dyDescent="0.2">
      <c r="A123" s="108" t="s">
        <v>815</v>
      </c>
      <c r="B123" s="108" t="s">
        <v>816</v>
      </c>
      <c r="C123" s="108" t="s">
        <v>209</v>
      </c>
      <c r="D123" s="108" t="s">
        <v>1868</v>
      </c>
      <c r="E123" s="108" t="s">
        <v>1293</v>
      </c>
      <c r="F123" s="108" t="s">
        <v>3838</v>
      </c>
    </row>
    <row r="124" spans="1:6" ht="51" x14ac:dyDescent="0.2">
      <c r="A124" s="108" t="s">
        <v>1992</v>
      </c>
      <c r="B124" s="108" t="s">
        <v>938</v>
      </c>
      <c r="C124" s="108" t="s">
        <v>209</v>
      </c>
      <c r="D124" s="108" t="s">
        <v>939</v>
      </c>
      <c r="E124" s="108" t="s">
        <v>1293</v>
      </c>
      <c r="F124" s="108" t="s">
        <v>3838</v>
      </c>
    </row>
    <row r="125" spans="1:6" ht="140.25" x14ac:dyDescent="0.2">
      <c r="A125" s="108" t="s">
        <v>820</v>
      </c>
      <c r="B125" s="108" t="s">
        <v>821</v>
      </c>
      <c r="C125" s="108" t="s">
        <v>209</v>
      </c>
      <c r="D125" s="108" t="s">
        <v>822</v>
      </c>
      <c r="E125" s="108" t="s">
        <v>1293</v>
      </c>
      <c r="F125" s="108" t="s">
        <v>3838</v>
      </c>
    </row>
    <row r="126" spans="1:6" ht="38.25" x14ac:dyDescent="0.2">
      <c r="A126" s="108" t="s">
        <v>2186</v>
      </c>
      <c r="B126" s="108" t="s">
        <v>1069</v>
      </c>
      <c r="C126" s="108" t="s">
        <v>209</v>
      </c>
      <c r="D126" s="108" t="s">
        <v>1070</v>
      </c>
      <c r="E126" s="108" t="s">
        <v>1293</v>
      </c>
      <c r="F126" s="108" t="s">
        <v>3838</v>
      </c>
    </row>
    <row r="127" spans="1:6" ht="38.25" x14ac:dyDescent="0.2">
      <c r="A127" s="108" t="s">
        <v>1931</v>
      </c>
      <c r="B127" s="108" t="s">
        <v>1932</v>
      </c>
      <c r="C127" s="108" t="s">
        <v>209</v>
      </c>
      <c r="D127" s="108" t="s">
        <v>1933</v>
      </c>
      <c r="E127" s="108" t="s">
        <v>1293</v>
      </c>
      <c r="F127" s="108" t="s">
        <v>3838</v>
      </c>
    </row>
    <row r="128" spans="1:6" ht="38.25" x14ac:dyDescent="0.2">
      <c r="A128" s="108" t="s">
        <v>1624</v>
      </c>
      <c r="B128" s="108" t="s">
        <v>600</v>
      </c>
      <c r="C128" s="108" t="s">
        <v>209</v>
      </c>
      <c r="D128" s="108" t="s">
        <v>601</v>
      </c>
      <c r="E128" s="108" t="s">
        <v>1293</v>
      </c>
      <c r="F128" s="108" t="s">
        <v>3838</v>
      </c>
    </row>
  </sheetData>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20</vt:i4>
      </vt:variant>
    </vt:vector>
  </HeadingPairs>
  <TitlesOfParts>
    <vt:vector size="20" baseType="lpstr">
      <vt:lpstr>PLANILHA ORÇAMENTARIA</vt:lpstr>
      <vt:lpstr>CRONOGRAMA</vt:lpstr>
      <vt:lpstr>PLANILHA RESUMIDA</vt:lpstr>
      <vt:lpstr>RESUMO_DILIG</vt:lpstr>
      <vt:lpstr>ANALITICA_ITENS</vt:lpstr>
      <vt:lpstr>CURVA_ABC</vt:lpstr>
      <vt:lpstr>CPU_UNITARIA</vt:lpstr>
      <vt:lpstr>CPU_DETALHADA_A</vt:lpstr>
      <vt:lpstr>ANEXOS_COMPROVACAO</vt:lpstr>
      <vt:lpstr>COMPROMISSOS</vt:lpstr>
      <vt:lpstr>CPU_ABERTA_FINAL</vt:lpstr>
      <vt:lpstr>VALIDACAO_FINAL</vt:lpstr>
      <vt:lpstr>ANEXOS_SUPORTE_FINAL</vt:lpstr>
      <vt:lpstr>DECL_CUSTOS</vt:lpstr>
      <vt:lpstr>RESUMO_SANEADO</vt:lpstr>
      <vt:lpstr>CHECKLIST_SANEAMENTO</vt:lpstr>
      <vt:lpstr>RESUMO_CORRIGIDO</vt:lpstr>
      <vt:lpstr>CPU_ABERTA_100</vt:lpstr>
      <vt:lpstr>VALIDACAO_100</vt:lpstr>
      <vt:lpstr>OBSERVACOES_ENVIO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dc:creator>
  <cp:lastModifiedBy>Fabiana Ruiz</cp:lastModifiedBy>
  <dcterms:created xsi:type="dcterms:W3CDTF">2026-07-07T20:30:21Z</dcterms:created>
  <dcterms:modified xsi:type="dcterms:W3CDTF">2026-07-07T20:30:22Z</dcterms:modified>
</cp:coreProperties>
</file>